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03"/>
  <workbookPr showInkAnnotation="0" codeName="ThisWorkbook" defaultThemeVersion="124226"/>
  <mc:AlternateContent xmlns:mc="http://schemas.openxmlformats.org/markup-compatibility/2006">
    <mc:Choice Requires="x15">
      <x15ac:absPath xmlns:x15ac="http://schemas.microsoft.com/office/spreadsheetml/2010/11/ac" url="https://edenhousinginc.sharepoint.com/sites/FundingApplications/Shared Documents/TCAC 9 Percent Round 2 - August 8/Legacy Court TCAC 9% Application (Round 2)/Application and Attachments/Tab 0 E-Application + Other Attachments +Local Reviewing Agency/"/>
    </mc:Choice>
  </mc:AlternateContent>
  <xr:revisionPtr revIDLastSave="33" documentId="11_F7342E602A33A7064399213D4E4B81591CAC1BC3" xr6:coauthVersionLast="47" xr6:coauthVersionMax="47" xr10:uidLastSave="{4129E775-03C3-4E7D-ACFC-352D7D5AAA66}"/>
  <bookViews>
    <workbookView xWindow="-120" yWindow="-120" windowWidth="29040" windowHeight="15840" tabRatio="821" firstSheet="3"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35" i="3" l="1"/>
  <c r="M37" i="4"/>
  <c r="L37" i="4" s="1"/>
  <c r="C37" i="4"/>
  <c r="C29" i="4"/>
  <c r="C10" i="4"/>
  <c r="E49" i="25" l="1"/>
  <c r="AO620" i="3" l="1"/>
  <c r="AM548" i="3"/>
  <c r="E91" i="25" l="1"/>
  <c r="E90" i="25"/>
  <c r="D91" i="25"/>
  <c r="D90" i="25"/>
  <c r="B48" i="25"/>
  <c r="E99" i="4"/>
  <c r="E100" i="4"/>
  <c r="E101" i="4"/>
  <c r="E102" i="4"/>
  <c r="E86" i="4"/>
  <c r="E90" i="4"/>
  <c r="E72" i="4"/>
  <c r="E73" i="4"/>
  <c r="E75" i="4"/>
  <c r="E65" i="4"/>
  <c r="E66" i="4"/>
  <c r="E67" i="4"/>
  <c r="E56" i="4"/>
  <c r="E58" i="4"/>
  <c r="E59" i="4"/>
  <c r="E47" i="4"/>
  <c r="E48" i="4"/>
  <c r="E41" i="4"/>
  <c r="E14" i="4"/>
  <c r="E15" i="4"/>
  <c r="E7" i="4"/>
  <c r="E71" i="4"/>
  <c r="C94" i="4"/>
  <c r="E94" i="4" s="1"/>
  <c r="C36" i="4"/>
  <c r="E36" i="4" s="1"/>
  <c r="C93" i="4"/>
  <c r="E93" i="4" s="1"/>
  <c r="C83" i="4"/>
  <c r="E83" i="4" s="1"/>
  <c r="C92" i="4"/>
  <c r="E92" i="4" s="1"/>
  <c r="C89" i="4"/>
  <c r="E89" i="4" s="1"/>
  <c r="C88" i="4"/>
  <c r="E88" i="4" s="1"/>
  <c r="C87" i="4"/>
  <c r="E87" i="4" s="1"/>
  <c r="C85" i="4"/>
  <c r="E85" i="4" s="1"/>
  <c r="C84" i="4"/>
  <c r="E84" i="4" s="1"/>
  <c r="C91" i="4"/>
  <c r="E91" i="4" s="1"/>
  <c r="C78" i="4"/>
  <c r="E78" i="4" s="1"/>
  <c r="C68" i="4"/>
  <c r="E68" i="4" s="1"/>
  <c r="C64" i="4"/>
  <c r="E64" i="4" s="1"/>
  <c r="C60" i="4"/>
  <c r="E60" i="4" s="1"/>
  <c r="C57" i="4"/>
  <c r="E57" i="4" s="1"/>
  <c r="C52" i="4"/>
  <c r="E52" i="4" s="1"/>
  <c r="C51" i="4"/>
  <c r="E51" i="4" s="1"/>
  <c r="C50" i="4"/>
  <c r="E50" i="4" s="1"/>
  <c r="C49" i="4"/>
  <c r="E49" i="4" s="1"/>
  <c r="C43" i="4"/>
  <c r="E43" i="4" s="1"/>
  <c r="C40" i="4"/>
  <c r="E40" i="4" s="1"/>
  <c r="E37" i="4"/>
  <c r="C35" i="4"/>
  <c r="E35" i="4" s="1"/>
  <c r="C34" i="4"/>
  <c r="C30" i="4" s="1"/>
  <c r="C33" i="4"/>
  <c r="C32" i="4" s="1"/>
  <c r="E32" i="4" s="1"/>
  <c r="C31" i="4"/>
  <c r="E31" i="4" s="1"/>
  <c r="E29" i="4"/>
  <c r="E9" i="4"/>
  <c r="C13" i="4"/>
  <c r="E13" i="4" s="1"/>
  <c r="E10" i="4"/>
  <c r="C6" i="4"/>
  <c r="C5" i="4"/>
  <c r="C4" i="4"/>
  <c r="E4" i="4" s="1"/>
  <c r="AC854" i="3"/>
  <c r="AC853" i="3"/>
  <c r="AC852" i="3"/>
  <c r="E10" i="10"/>
  <c r="E9" i="10"/>
  <c r="E8" i="10"/>
  <c r="E4" i="10"/>
  <c r="O698" i="3"/>
  <c r="O697" i="3"/>
  <c r="O696" i="3"/>
  <c r="O695" i="3"/>
  <c r="O694" i="3"/>
  <c r="O693" i="3"/>
  <c r="O692" i="3"/>
  <c r="AO626" i="3"/>
  <c r="N34" i="4" s="1"/>
  <c r="C627" i="3"/>
  <c r="C620" i="3"/>
  <c r="B42" i="25" s="1"/>
  <c r="C621" i="3"/>
  <c r="B43" i="25" s="1"/>
  <c r="C622" i="3"/>
  <c r="B44" i="25" s="1"/>
  <c r="C623" i="3"/>
  <c r="B45" i="25" s="1"/>
  <c r="C624" i="3"/>
  <c r="B46" i="25" s="1"/>
  <c r="C625" i="3"/>
  <c r="B47" i="25" s="1"/>
  <c r="C619" i="3"/>
  <c r="W618" i="3"/>
  <c r="AM554" i="3"/>
  <c r="AO627" i="3" s="1"/>
  <c r="O34" i="4" s="1"/>
  <c r="AM553" i="3"/>
  <c r="AO625" i="3" s="1"/>
  <c r="AM549" i="3"/>
  <c r="AO621" i="3" s="1"/>
  <c r="AM550" i="3"/>
  <c r="AO622" i="3" s="1"/>
  <c r="AM551" i="3"/>
  <c r="AO623" i="3" s="1"/>
  <c r="AM552" i="3"/>
  <c r="AO624" i="3" s="1"/>
  <c r="AM547" i="3"/>
  <c r="AO619" i="3" s="1"/>
  <c r="L5" i="4" l="1"/>
  <c r="L6" i="4" s="1"/>
  <c r="E46" i="25"/>
  <c r="T13" i="5"/>
  <c r="E6" i="4"/>
  <c r="E33" i="4"/>
  <c r="E45" i="25"/>
  <c r="K30" i="4"/>
  <c r="AA896" i="3"/>
  <c r="H30" i="4"/>
  <c r="E42" i="25"/>
  <c r="E44" i="25"/>
  <c r="J30" i="4"/>
  <c r="AA897" i="3"/>
  <c r="I30" i="4"/>
  <c r="E43" i="25"/>
  <c r="G30" i="4"/>
  <c r="AA880" i="3"/>
  <c r="E47" i="25"/>
  <c r="AA895" i="3"/>
  <c r="AA898" i="3"/>
  <c r="E34" i="4"/>
  <c r="E48" i="25"/>
  <c r="E5" i="4" l="1"/>
  <c r="W5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c r="BE598" i="3"/>
  <c r="BG598" i="3"/>
  <c r="BE599" i="3"/>
  <c r="BG599"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AY918" i="3"/>
  <c r="AY910" i="3" s="1"/>
  <c r="AY914" i="3" s="1"/>
  <c r="BG732" i="3"/>
  <c r="BH717" i="3" s="1"/>
  <c r="BG614" i="3"/>
  <c r="AZ260" i="3"/>
  <c r="BG701" i="3"/>
  <c r="BH707" i="3" l="1"/>
  <c r="BH709" i="3"/>
  <c r="BH713" i="3"/>
  <c r="BH726" i="3"/>
  <c r="BH731" i="3"/>
  <c r="BH714" i="3"/>
  <c r="BH720" i="3"/>
  <c r="BH728" i="3"/>
  <c r="BH727" i="3"/>
  <c r="BH729" i="3"/>
  <c r="BH716" i="3"/>
  <c r="BH723" i="3"/>
  <c r="BH724" i="3"/>
  <c r="BH712" i="3"/>
  <c r="BH730" i="3"/>
  <c r="BH719" i="3"/>
  <c r="BH718" i="3"/>
  <c r="BH708" i="3"/>
  <c r="BH721" i="3"/>
  <c r="BH722" i="3"/>
  <c r="BH715" i="3"/>
  <c r="BH725" i="3"/>
  <c r="BH710" i="3"/>
  <c r="BH711"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AG796" i="3" l="1"/>
  <c r="AF242" i="3"/>
  <c r="AF969" i="3" l="1"/>
  <c r="AF964" i="3"/>
  <c r="AF215" i="3"/>
  <c r="H5" i="10"/>
  <c r="I5" i="10" s="1"/>
  <c r="H6" i="10"/>
  <c r="I6" i="10" s="1"/>
  <c r="H7" i="10"/>
  <c r="I7"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S28" i="9" s="1"/>
  <c r="E29" i="9"/>
  <c r="O29" i="9" s="1"/>
  <c r="E30" i="9"/>
  <c r="E32" i="9"/>
  <c r="E33" i="9"/>
  <c r="AJ124" i="6"/>
  <c r="AD66" i="5"/>
  <c r="Y66" i="5"/>
  <c r="T25" i="5"/>
  <c r="AI7" i="5" s="1"/>
  <c r="AG434" i="3"/>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E10" i="18" s="1"/>
  <c r="F10" i="18" s="1"/>
  <c r="R30" i="28"/>
  <c r="AC692" i="3"/>
  <c r="AM692" i="3" s="1"/>
  <c r="AC693" i="3"/>
  <c r="AM693" i="3" s="1"/>
  <c r="AC694" i="3"/>
  <c r="AM694" i="3" s="1"/>
  <c r="AC695" i="3"/>
  <c r="AC696" i="3"/>
  <c r="AM696" i="3" s="1"/>
  <c r="AC697" i="3"/>
  <c r="AM697" i="3" s="1"/>
  <c r="AC698" i="3"/>
  <c r="AM698" i="3" s="1"/>
  <c r="AC699" i="3"/>
  <c r="AC700" i="3"/>
  <c r="AC701" i="3"/>
  <c r="AC702" i="3"/>
  <c r="AC703" i="3"/>
  <c r="AC704" i="3"/>
  <c r="H35" i="18"/>
  <c r="B35" i="18"/>
  <c r="D35" i="18" s="1"/>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K594" i="3" s="1"/>
  <c r="BI595" i="3"/>
  <c r="BK595" i="3" s="1"/>
  <c r="BI596" i="3"/>
  <c r="BK596" i="3" s="1"/>
  <c r="BI597" i="3"/>
  <c r="BK597" i="3" s="1"/>
  <c r="BI598" i="3"/>
  <c r="BK598" i="3" s="1"/>
  <c r="BI599" i="3"/>
  <c r="BK599" i="3" s="1"/>
  <c r="BI600" i="3"/>
  <c r="BK600" i="3" s="1"/>
  <c r="BI601" i="3"/>
  <c r="BI602" i="3"/>
  <c r="BK602" i="3" s="1"/>
  <c r="BI603" i="3"/>
  <c r="BK603" i="3" s="1"/>
  <c r="BI604" i="3"/>
  <c r="BK604" i="3" s="1"/>
  <c r="BI605" i="3"/>
  <c r="BI606" i="3"/>
  <c r="BI607" i="3"/>
  <c r="BK607" i="3" s="1"/>
  <c r="BI608" i="3"/>
  <c r="BK608" i="3" s="1"/>
  <c r="BI609" i="3"/>
  <c r="BK609" i="3" s="1"/>
  <c r="BI610" i="3"/>
  <c r="BK610" i="3" s="1"/>
  <c r="BI611" i="3"/>
  <c r="BK611" i="3" s="1"/>
  <c r="BI612" i="3"/>
  <c r="BK612" i="3" s="1"/>
  <c r="BI613" i="3"/>
  <c r="BI589" i="3"/>
  <c r="BK589" i="3" s="1"/>
  <c r="J107" i="4"/>
  <c r="K107" i="4"/>
  <c r="L107" i="4"/>
  <c r="M107" i="4"/>
  <c r="N107" i="4"/>
  <c r="O107" i="4"/>
  <c r="P107" i="4"/>
  <c r="Q107" i="4"/>
  <c r="I107" i="4"/>
  <c r="H107" i="4"/>
  <c r="G107" i="4"/>
  <c r="B100" i="15"/>
  <c r="C100" i="15"/>
  <c r="E100" i="15" s="1"/>
  <c r="D100" i="15"/>
  <c r="B101" i="15"/>
  <c r="C101" i="15"/>
  <c r="D101" i="15"/>
  <c r="B102" i="15"/>
  <c r="E102" i="15" s="1"/>
  <c r="C102" i="15"/>
  <c r="D102" i="15"/>
  <c r="B103" i="15"/>
  <c r="C103" i="15"/>
  <c r="E103" i="15" s="1"/>
  <c r="D103" i="15"/>
  <c r="B84" i="15"/>
  <c r="C84" i="15"/>
  <c r="D84" i="15"/>
  <c r="B85" i="15"/>
  <c r="C85" i="15"/>
  <c r="D85" i="15"/>
  <c r="B86" i="15"/>
  <c r="C86" i="15"/>
  <c r="D86" i="15"/>
  <c r="B87" i="15"/>
  <c r="C87" i="15"/>
  <c r="E87" i="15" s="1"/>
  <c r="D87" i="15"/>
  <c r="B88" i="15"/>
  <c r="C88" i="15"/>
  <c r="D88" i="15"/>
  <c r="B89" i="15"/>
  <c r="C89" i="15"/>
  <c r="D89" i="15"/>
  <c r="B90" i="15"/>
  <c r="C90" i="15"/>
  <c r="D90" i="15"/>
  <c r="B91" i="15"/>
  <c r="C91" i="15"/>
  <c r="D91" i="15"/>
  <c r="B92" i="15"/>
  <c r="C92" i="15"/>
  <c r="D92" i="15"/>
  <c r="B93" i="15"/>
  <c r="C93" i="15"/>
  <c r="D93" i="15"/>
  <c r="B94" i="15"/>
  <c r="C94" i="15"/>
  <c r="D94" i="15"/>
  <c r="B95" i="15"/>
  <c r="C95" i="15"/>
  <c r="D95" i="15"/>
  <c r="D79" i="15"/>
  <c r="C79" i="15"/>
  <c r="B79" i="15"/>
  <c r="B73" i="15"/>
  <c r="C73" i="15"/>
  <c r="E73" i="15" s="1"/>
  <c r="D73" i="15"/>
  <c r="B74" i="15"/>
  <c r="C74" i="15"/>
  <c r="E74" i="15" s="1"/>
  <c r="D74" i="15"/>
  <c r="B76" i="15"/>
  <c r="E76" i="15" s="1"/>
  <c r="C76" i="15"/>
  <c r="D76" i="15"/>
  <c r="D72" i="15"/>
  <c r="C72" i="15"/>
  <c r="B72" i="15"/>
  <c r="B66" i="15"/>
  <c r="C66" i="15"/>
  <c r="E66" i="15"/>
  <c r="D66" i="15"/>
  <c r="B67" i="15"/>
  <c r="E67" i="15" s="1"/>
  <c r="C67" i="15"/>
  <c r="D67" i="15"/>
  <c r="B68" i="15"/>
  <c r="C68" i="15"/>
  <c r="D68" i="15"/>
  <c r="B69" i="15"/>
  <c r="C69" i="15"/>
  <c r="D69" i="15"/>
  <c r="D65" i="15"/>
  <c r="C65" i="15"/>
  <c r="B65" i="15"/>
  <c r="B57" i="15"/>
  <c r="C57" i="15"/>
  <c r="E57" i="15" s="1"/>
  <c r="D57" i="15"/>
  <c r="B58" i="15"/>
  <c r="C58" i="15"/>
  <c r="D58" i="15"/>
  <c r="B59" i="15"/>
  <c r="E59" i="15" s="1"/>
  <c r="C59" i="15"/>
  <c r="D59" i="15"/>
  <c r="B60" i="15"/>
  <c r="C60" i="15"/>
  <c r="E60" i="15" s="1"/>
  <c r="D60" i="15"/>
  <c r="B61" i="15"/>
  <c r="C61" i="15"/>
  <c r="D61" i="15"/>
  <c r="B48" i="15"/>
  <c r="C48" i="15"/>
  <c r="E48" i="15" s="1"/>
  <c r="D48" i="15"/>
  <c r="B49" i="15"/>
  <c r="E49" i="15" s="1"/>
  <c r="C49" i="15"/>
  <c r="D49" i="15"/>
  <c r="B50" i="15"/>
  <c r="C50" i="15"/>
  <c r="D50" i="15"/>
  <c r="B51" i="15"/>
  <c r="C51" i="15"/>
  <c r="D51" i="15"/>
  <c r="B52" i="15"/>
  <c r="C52" i="15"/>
  <c r="D52" i="15"/>
  <c r="B53" i="15"/>
  <c r="C53" i="15"/>
  <c r="D53"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D20" i="15"/>
  <c r="B21" i="15"/>
  <c r="C21" i="15"/>
  <c r="D21" i="15"/>
  <c r="B22" i="15"/>
  <c r="C22" i="15"/>
  <c r="E22" i="15" s="1"/>
  <c r="D22" i="15"/>
  <c r="B23" i="15"/>
  <c r="C23" i="15"/>
  <c r="D23" i="15"/>
  <c r="B24" i="15"/>
  <c r="C24" i="15"/>
  <c r="E24" i="15" s="1"/>
  <c r="D24" i="15"/>
  <c r="B25" i="15"/>
  <c r="C25" i="15"/>
  <c r="E25" i="15" s="1"/>
  <c r="D25" i="15"/>
  <c r="B26" i="15"/>
  <c r="C26" i="15"/>
  <c r="E26" i="15" s="1"/>
  <c r="D26" i="15"/>
  <c r="B28" i="15"/>
  <c r="C28" i="15"/>
  <c r="E28" i="15" s="1"/>
  <c r="D28" i="15"/>
  <c r="B5" i="15"/>
  <c r="C5" i="15"/>
  <c r="B6" i="15"/>
  <c r="C6" i="15"/>
  <c r="B7" i="15"/>
  <c r="C7" i="15"/>
  <c r="B8" i="15"/>
  <c r="C8" i="15"/>
  <c r="E8" i="15" s="1"/>
  <c r="B10" i="15"/>
  <c r="C10" i="15"/>
  <c r="B11" i="15"/>
  <c r="C11" i="15"/>
  <c r="B14" i="15"/>
  <c r="C14" i="15"/>
  <c r="B15" i="15"/>
  <c r="C15" i="15"/>
  <c r="B16" i="15"/>
  <c r="E16" i="15" s="1"/>
  <c r="C16" i="15"/>
  <c r="B18" i="15"/>
  <c r="C18" i="15"/>
  <c r="E18" i="15"/>
  <c r="C28" i="10"/>
  <c r="C5" i="10"/>
  <c r="C6" i="10"/>
  <c r="C7" i="10"/>
  <c r="C8" i="10"/>
  <c r="H8" i="10" s="1"/>
  <c r="C9" i="10"/>
  <c r="H9" i="10" s="1"/>
  <c r="C10" i="10"/>
  <c r="H10" i="10" s="1"/>
  <c r="C11" i="10"/>
  <c r="C12" i="10"/>
  <c r="C13" i="10"/>
  <c r="C14" i="10"/>
  <c r="C15" i="10"/>
  <c r="C16" i="10"/>
  <c r="C17" i="10"/>
  <c r="C18" i="10"/>
  <c r="C19" i="10"/>
  <c r="C20" i="10"/>
  <c r="C21" i="10"/>
  <c r="C22" i="10"/>
  <c r="C23" i="10"/>
  <c r="C24" i="10"/>
  <c r="C25" i="10"/>
  <c r="C26" i="10"/>
  <c r="C27" i="10"/>
  <c r="C4" i="10"/>
  <c r="H4" i="10" s="1"/>
  <c r="E101" i="15"/>
  <c r="E91" i="15"/>
  <c r="E21" i="15"/>
  <c r="E42" i="15"/>
  <c r="E15"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B64" i="18"/>
  <c r="D64" i="18" s="1"/>
  <c r="B65" i="18"/>
  <c r="D65" i="18" s="1"/>
  <c r="B66" i="18"/>
  <c r="D66" i="18" s="1"/>
  <c r="B101" i="4"/>
  <c r="R101" i="4"/>
  <c r="S101" i="4" s="1"/>
  <c r="E100" i="18" s="1"/>
  <c r="R67" i="4"/>
  <c r="S67" i="4" s="1"/>
  <c r="E66" i="18" s="1"/>
  <c r="R66" i="4"/>
  <c r="S66" i="4" s="1"/>
  <c r="E65" i="18" s="1"/>
  <c r="R65" i="4"/>
  <c r="S65" i="4" s="1"/>
  <c r="E64" i="18" s="1"/>
  <c r="B67" i="4"/>
  <c r="B66" i="4"/>
  <c r="B65" i="4"/>
  <c r="B36" i="4"/>
  <c r="R36" i="4"/>
  <c r="S36" i="4" s="1"/>
  <c r="E35" i="18" s="1"/>
  <c r="F35" i="18" s="1"/>
  <c r="R24" i="4"/>
  <c r="B24" i="4"/>
  <c r="G53" i="9"/>
  <c r="G54" i="9"/>
  <c r="I54" i="9" s="1"/>
  <c r="K54" i="9" s="1"/>
  <c r="M54" i="9" s="1"/>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2" i="25"/>
  <c r="G93" i="25"/>
  <c r="G94" i="25"/>
  <c r="G95" i="25"/>
  <c r="G96" i="25"/>
  <c r="G97" i="25"/>
  <c r="Q91" i="25"/>
  <c r="Q93" i="25" s="1"/>
  <c r="B15" i="4"/>
  <c r="E50" i="25" s="1"/>
  <c r="Q48" i="25"/>
  <c r="D8" i="4"/>
  <c r="D12" i="4" s="1"/>
  <c r="D11" i="4"/>
  <c r="D26" i="4"/>
  <c r="D38" i="4"/>
  <c r="D42" i="4"/>
  <c r="D53" i="4"/>
  <c r="D61" i="4"/>
  <c r="D69" i="4"/>
  <c r="D76" i="4"/>
  <c r="D80" i="4"/>
  <c r="D95" i="4"/>
  <c r="D103" i="4"/>
  <c r="C8" i="4"/>
  <c r="C11" i="4"/>
  <c r="C26" i="4"/>
  <c r="C38" i="4"/>
  <c r="C39" i="15" s="1"/>
  <c r="C42" i="4"/>
  <c r="D43" i="15" s="1"/>
  <c r="C69" i="4"/>
  <c r="B68" i="18" s="1"/>
  <c r="C66" i="25"/>
  <c r="Y20" i="5"/>
  <c r="Y22" i="5" s="1"/>
  <c r="AI20" i="5"/>
  <c r="AI22" i="5" s="1"/>
  <c r="S26" i="4"/>
  <c r="E25" i="18" s="1"/>
  <c r="F25" i="18"/>
  <c r="T20" i="5"/>
  <c r="T26" i="4"/>
  <c r="T38" i="4"/>
  <c r="H37" i="18" s="1"/>
  <c r="T42" i="4"/>
  <c r="T53" i="4"/>
  <c r="T11" i="4"/>
  <c r="T69" i="4"/>
  <c r="H68" i="18" s="1"/>
  <c r="T80" i="4"/>
  <c r="H79" i="18" s="1"/>
  <c r="T95" i="4"/>
  <c r="H94" i="18" s="1"/>
  <c r="T103" i="4"/>
  <c r="H102" i="18" s="1"/>
  <c r="I11" i="18"/>
  <c r="I25" i="18"/>
  <c r="I37" i="18"/>
  <c r="I41" i="18"/>
  <c r="I52" i="18"/>
  <c r="I68" i="18"/>
  <c r="I79" i="18"/>
  <c r="I94" i="18"/>
  <c r="I102" i="18"/>
  <c r="U66" i="25"/>
  <c r="U67" i="25"/>
  <c r="U68" i="25"/>
  <c r="R83" i="4"/>
  <c r="S83" i="4" s="1"/>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12" i="4" s="1"/>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C79" i="18"/>
  <c r="R71" i="4"/>
  <c r="R72" i="4"/>
  <c r="R73" i="4"/>
  <c r="R75" i="4"/>
  <c r="F80" i="4"/>
  <c r="G80" i="4"/>
  <c r="H80" i="4"/>
  <c r="G76" i="4"/>
  <c r="F76" i="4"/>
  <c r="H78" i="18"/>
  <c r="B78" i="4"/>
  <c r="R78" i="4"/>
  <c r="S78" i="4" s="1"/>
  <c r="E77" i="18" s="1"/>
  <c r="F77" i="18" s="1"/>
  <c r="B102" i="4"/>
  <c r="B25" i="18"/>
  <c r="G25" i="18"/>
  <c r="A5" i="10"/>
  <c r="B5" i="10"/>
  <c r="F5" i="10" s="1"/>
  <c r="A6" i="10"/>
  <c r="B6" i="10"/>
  <c r="F6" i="10" s="1"/>
  <c r="A7" i="10"/>
  <c r="B7" i="10"/>
  <c r="F7" i="10" s="1"/>
  <c r="A8" i="10"/>
  <c r="B8" i="10"/>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A4" i="10"/>
  <c r="AJ278" i="6"/>
  <c r="R5" i="4"/>
  <c r="A101" i="18"/>
  <c r="A92" i="18"/>
  <c r="A93" i="18"/>
  <c r="A91" i="18"/>
  <c r="A74" i="18"/>
  <c r="A67" i="18"/>
  <c r="A59" i="18"/>
  <c r="A51" i="18"/>
  <c r="A36" i="18"/>
  <c r="A24" i="18"/>
  <c r="AB47" i="27"/>
  <c r="W574" i="6"/>
  <c r="B5" i="18"/>
  <c r="D5" i="18" s="1"/>
  <c r="B6" i="18"/>
  <c r="D6" i="18" s="1"/>
  <c r="B7" i="18"/>
  <c r="D7" i="18" s="1"/>
  <c r="B9" i="18"/>
  <c r="D9" i="18" s="1"/>
  <c r="B10" i="18"/>
  <c r="D10" i="18" s="1"/>
  <c r="B13" i="18"/>
  <c r="D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88" i="18"/>
  <c r="F88" i="18" s="1"/>
  <c r="E85" i="18"/>
  <c r="F85" i="18" s="1"/>
  <c r="E26" i="18"/>
  <c r="E24" i="18"/>
  <c r="E23" i="18"/>
  <c r="E22" i="18"/>
  <c r="E21" i="18"/>
  <c r="E20" i="18"/>
  <c r="E19" i="18"/>
  <c r="E18" i="18"/>
  <c r="E17" i="18"/>
  <c r="E15" i="18"/>
  <c r="E13" i="18"/>
  <c r="B101" i="18"/>
  <c r="B100" i="18"/>
  <c r="B99" i="18"/>
  <c r="B98" i="18"/>
  <c r="B93" i="18"/>
  <c r="D93" i="18" s="1"/>
  <c r="B92" i="18"/>
  <c r="D92" i="18" s="1"/>
  <c r="B91" i="18"/>
  <c r="D91" i="18" s="1"/>
  <c r="B90" i="18"/>
  <c r="D90" i="18" s="1"/>
  <c r="B89" i="18"/>
  <c r="D89" i="18" s="1"/>
  <c r="B88" i="18"/>
  <c r="D88" i="18" s="1"/>
  <c r="B87" i="18"/>
  <c r="D87" i="18" s="1"/>
  <c r="B86" i="18"/>
  <c r="D86" i="18" s="1"/>
  <c r="B85" i="18"/>
  <c r="D85" i="18" s="1"/>
  <c r="B84" i="18"/>
  <c r="D84" i="18" s="1"/>
  <c r="B83" i="18"/>
  <c r="D83" i="18" s="1"/>
  <c r="B82" i="18"/>
  <c r="D82" i="18" s="1"/>
  <c r="B77" i="18"/>
  <c r="D77" i="18" s="1"/>
  <c r="B74" i="18"/>
  <c r="D74" i="18" s="1"/>
  <c r="B72" i="18"/>
  <c r="D72" i="18" s="1"/>
  <c r="B71" i="18"/>
  <c r="D71" i="18" s="1"/>
  <c r="B70" i="18"/>
  <c r="D70" i="18" s="1"/>
  <c r="B67" i="18"/>
  <c r="D67" i="18" s="1"/>
  <c r="B63" i="18"/>
  <c r="D63" i="18" s="1"/>
  <c r="B59" i="18"/>
  <c r="D59" i="18" s="1"/>
  <c r="B58" i="18"/>
  <c r="D58" i="18" s="1"/>
  <c r="B57" i="18"/>
  <c r="D57" i="18" s="1"/>
  <c r="B56" i="18"/>
  <c r="D56" i="18" s="1"/>
  <c r="B55" i="18"/>
  <c r="D55" i="18" s="1"/>
  <c r="B51" i="18"/>
  <c r="D51" i="18" s="1"/>
  <c r="B50" i="18"/>
  <c r="D50" i="18" s="1"/>
  <c r="B49" i="18"/>
  <c r="D49" i="18" s="1"/>
  <c r="B48" i="18"/>
  <c r="D48" i="18" s="1"/>
  <c r="B47" i="18"/>
  <c r="D47" i="18" s="1"/>
  <c r="B46" i="18"/>
  <c r="D46" i="18" s="1"/>
  <c r="B42" i="18"/>
  <c r="D42" i="18" s="1"/>
  <c r="B40" i="18"/>
  <c r="B39" i="18"/>
  <c r="D39" i="18" s="1"/>
  <c r="D41" i="18" s="1"/>
  <c r="B36" i="18"/>
  <c r="D36" i="18" s="1"/>
  <c r="B34" i="18"/>
  <c r="D34" i="18" s="1"/>
  <c r="B33" i="18"/>
  <c r="D33" i="18" s="1"/>
  <c r="B32" i="18"/>
  <c r="D32" i="18" s="1"/>
  <c r="B31" i="18"/>
  <c r="D31" i="18" s="1"/>
  <c r="B30" i="18"/>
  <c r="D30" i="18" s="1"/>
  <c r="B29" i="18"/>
  <c r="D29" i="18" s="1"/>
  <c r="B28" i="18"/>
  <c r="D28" i="18" s="1"/>
  <c r="B26" i="18"/>
  <c r="B24" i="18"/>
  <c r="B23" i="18"/>
  <c r="B22" i="18"/>
  <c r="B21" i="18"/>
  <c r="B20" i="18"/>
  <c r="B19" i="18"/>
  <c r="B18" i="18"/>
  <c r="B17" i="18"/>
  <c r="B4" i="18"/>
  <c r="D4" i="18" s="1"/>
  <c r="C102" i="18"/>
  <c r="C94" i="18"/>
  <c r="C75" i="18"/>
  <c r="C68" i="18"/>
  <c r="C60" i="18"/>
  <c r="C52" i="18"/>
  <c r="C41" i="18"/>
  <c r="C37" i="18"/>
  <c r="D25" i="18"/>
  <c r="C25" i="18"/>
  <c r="C11"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S94" i="4" s="1"/>
  <c r="E93" i="18" s="1"/>
  <c r="F93" i="18" s="1"/>
  <c r="R84" i="4"/>
  <c r="S84" i="4" s="1"/>
  <c r="E83" i="18" s="1"/>
  <c r="F83" i="18" s="1"/>
  <c r="R85" i="4"/>
  <c r="S85" i="4" s="1"/>
  <c r="E84" i="18" s="1"/>
  <c r="F84" i="18" s="1"/>
  <c r="R86" i="4"/>
  <c r="S86" i="4" s="1"/>
  <c r="R87" i="4"/>
  <c r="R88" i="4"/>
  <c r="S88" i="4" s="1"/>
  <c r="E87" i="18" s="1"/>
  <c r="F87" i="18" s="1"/>
  <c r="R89" i="4"/>
  <c r="R90" i="4"/>
  <c r="S90" i="4" s="1"/>
  <c r="E89" i="18" s="1"/>
  <c r="F89" i="18" s="1"/>
  <c r="R91" i="4"/>
  <c r="S91" i="4" s="1"/>
  <c r="E90" i="18" s="1"/>
  <c r="F90" i="18" s="1"/>
  <c r="R92" i="4"/>
  <c r="S92" i="4" s="1"/>
  <c r="E91" i="18" s="1"/>
  <c r="F91" i="18" s="1"/>
  <c r="R93" i="4"/>
  <c r="S93" i="4" s="1"/>
  <c r="E92" i="18" s="1"/>
  <c r="F92" i="18" s="1"/>
  <c r="R60" i="4"/>
  <c r="R59" i="4"/>
  <c r="R58" i="4"/>
  <c r="R57" i="4"/>
  <c r="R56" i="4"/>
  <c r="R52" i="4"/>
  <c r="S52" i="4" s="1"/>
  <c r="E51" i="18" s="1"/>
  <c r="F51" i="18" s="1"/>
  <c r="R51" i="4"/>
  <c r="S51" i="4" s="1"/>
  <c r="E50" i="18" s="1"/>
  <c r="F50" i="18" s="1"/>
  <c r="R50" i="4"/>
  <c r="S50" i="4" s="1"/>
  <c r="E49" i="18" s="1"/>
  <c r="F49" i="18" s="1"/>
  <c r="R49" i="4"/>
  <c r="S49" i="4" s="1"/>
  <c r="E48" i="18" s="1"/>
  <c r="F48" i="18" s="1"/>
  <c r="R48" i="4"/>
  <c r="S48" i="4" s="1"/>
  <c r="E47" i="18" s="1"/>
  <c r="F47" i="18" s="1"/>
  <c r="R47" i="4"/>
  <c r="S47" i="4" s="1"/>
  <c r="E46" i="18" s="1"/>
  <c r="F46" i="18" s="1"/>
  <c r="R43" i="4"/>
  <c r="S43" i="4" s="1"/>
  <c r="E42" i="18" s="1"/>
  <c r="F42" i="18" s="1"/>
  <c r="R41" i="4"/>
  <c r="S41" i="4" s="1"/>
  <c r="E40" i="18" s="1"/>
  <c r="R40" i="4"/>
  <c r="R37" i="4"/>
  <c r="E36" i="18" s="1"/>
  <c r="F36" i="18" s="1"/>
  <c r="R35" i="4"/>
  <c r="S35" i="4" s="1"/>
  <c r="E34" i="18" s="1"/>
  <c r="F34" i="18" s="1"/>
  <c r="R34" i="4"/>
  <c r="S34" i="4" s="1"/>
  <c r="E33" i="18" s="1"/>
  <c r="F33" i="18" s="1"/>
  <c r="R33" i="4"/>
  <c r="S33" i="4" s="1"/>
  <c r="E32" i="18" s="1"/>
  <c r="F32" i="18" s="1"/>
  <c r="R32" i="4"/>
  <c r="S32" i="4" s="1"/>
  <c r="E31" i="18" s="1"/>
  <c r="F31" i="18" s="1"/>
  <c r="R31" i="4"/>
  <c r="S31" i="4" s="1"/>
  <c r="E30" i="18" s="1"/>
  <c r="F30" i="18" s="1"/>
  <c r="R29" i="4"/>
  <c r="S29" i="4" s="1"/>
  <c r="E28" i="18" s="1"/>
  <c r="F28" i="18" s="1"/>
  <c r="R27" i="4"/>
  <c r="R25" i="4"/>
  <c r="R23" i="4"/>
  <c r="R22" i="4"/>
  <c r="R21" i="4"/>
  <c r="R20" i="4"/>
  <c r="R19" i="4"/>
  <c r="R18" i="4"/>
  <c r="R17" i="4"/>
  <c r="R15" i="4"/>
  <c r="R14" i="4"/>
  <c r="S14" i="4" s="1"/>
  <c r="E14" i="18" s="1"/>
  <c r="R13" i="4"/>
  <c r="R7" i="4"/>
  <c r="R6" i="4"/>
  <c r="D5" i="15"/>
  <c r="D6" i="15"/>
  <c r="D7" i="15"/>
  <c r="D8" i="15"/>
  <c r="D10" i="15"/>
  <c r="D11" i="15"/>
  <c r="D14" i="15"/>
  <c r="D15" i="15"/>
  <c r="D16" i="15"/>
  <c r="D18" i="15"/>
  <c r="H25" i="18"/>
  <c r="H5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G12" i="4" s="1"/>
  <c r="H8" i="4"/>
  <c r="H12" i="4" s="1"/>
  <c r="H11" i="4"/>
  <c r="L12" i="4"/>
  <c r="B9" i="4"/>
  <c r="B10" i="4"/>
  <c r="F11" i="4"/>
  <c r="F12"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G38" i="4"/>
  <c r="H38" i="4"/>
  <c r="O103" i="4"/>
  <c r="B40" i="4"/>
  <c r="B41" i="4"/>
  <c r="E42" i="4"/>
  <c r="F42" i="4"/>
  <c r="G42" i="4"/>
  <c r="H42" i="4"/>
  <c r="B43" i="4"/>
  <c r="B47" i="4"/>
  <c r="B48" i="4"/>
  <c r="B49" i="4"/>
  <c r="B50" i="4"/>
  <c r="B51" i="4"/>
  <c r="B52" i="4"/>
  <c r="F53" i="4"/>
  <c r="F61" i="4"/>
  <c r="F95" i="4"/>
  <c r="F69" i="4"/>
  <c r="F103" i="4"/>
  <c r="G53" i="4"/>
  <c r="H53" i="4"/>
  <c r="B56" i="4"/>
  <c r="B57" i="4"/>
  <c r="B58" i="4"/>
  <c r="B59" i="4"/>
  <c r="B60" i="4"/>
  <c r="G61" i="4"/>
  <c r="H61" i="4"/>
  <c r="B64" i="4"/>
  <c r="R64" i="4"/>
  <c r="S64" i="4" s="1"/>
  <c r="E63" i="18" s="1"/>
  <c r="F63" i="18" s="1"/>
  <c r="B68" i="4"/>
  <c r="R68" i="4"/>
  <c r="S68" i="4" s="1"/>
  <c r="E67" i="18" s="1"/>
  <c r="E69" i="4"/>
  <c r="G69" i="4"/>
  <c r="H69" i="4"/>
  <c r="B71" i="4"/>
  <c r="B72" i="4"/>
  <c r="B73" i="4"/>
  <c r="B75" i="4"/>
  <c r="H76" i="4"/>
  <c r="B83" i="4"/>
  <c r="B84" i="4"/>
  <c r="AF970" i="3" s="1"/>
  <c r="AJ968" i="3" s="1"/>
  <c r="B85" i="4"/>
  <c r="B86" i="4"/>
  <c r="B87" i="4"/>
  <c r="B88" i="4"/>
  <c r="B89" i="4"/>
  <c r="B90" i="4"/>
  <c r="B91" i="4"/>
  <c r="B92" i="4"/>
  <c r="B93" i="4"/>
  <c r="B94" i="4"/>
  <c r="G95" i="4"/>
  <c r="H95" i="4"/>
  <c r="B99" i="4"/>
  <c r="R99" i="4"/>
  <c r="S99" i="4" s="1"/>
  <c r="E98" i="18" s="1"/>
  <c r="B100" i="4"/>
  <c r="R100" i="4"/>
  <c r="S100" i="4" s="1"/>
  <c r="E99" i="18" s="1"/>
  <c r="R102" i="4"/>
  <c r="S102" i="4" s="1"/>
  <c r="E101" i="18" s="1"/>
  <c r="G103" i="4"/>
  <c r="H103" i="4"/>
  <c r="I103" i="4"/>
  <c r="J103" i="4"/>
  <c r="K103" i="4"/>
  <c r="L103" i="4"/>
  <c r="N103" i="4"/>
  <c r="P103" i="4"/>
  <c r="B131" i="4"/>
  <c r="I184" i="3"/>
  <c r="W411" i="3"/>
  <c r="AF411" i="3" s="1"/>
  <c r="G560" i="3"/>
  <c r="Z560" i="3"/>
  <c r="G568" i="3"/>
  <c r="Z568" i="3"/>
  <c r="G576" i="3"/>
  <c r="Z576" i="3"/>
  <c r="G584" i="3"/>
  <c r="Z584" i="3"/>
  <c r="G592" i="3"/>
  <c r="Z592" i="3"/>
  <c r="G600" i="3"/>
  <c r="Z600" i="3"/>
  <c r="BK601" i="3"/>
  <c r="BK605" i="3"/>
  <c r="BK606" i="3"/>
  <c r="BK613" i="3"/>
  <c r="G634" i="3"/>
  <c r="Z634" i="3"/>
  <c r="G642" i="3"/>
  <c r="Z642" i="3"/>
  <c r="G650" i="3"/>
  <c r="Z650" i="3"/>
  <c r="G658" i="3"/>
  <c r="Z658" i="3"/>
  <c r="G666" i="3"/>
  <c r="Z666" i="3"/>
  <c r="G674" i="3"/>
  <c r="Z674" i="3"/>
  <c r="M796" i="3"/>
  <c r="Q796" i="3"/>
  <c r="U796" i="3"/>
  <c r="Y796" i="3"/>
  <c r="AC796" i="3"/>
  <c r="Z865" i="3"/>
  <c r="Q12" i="4"/>
  <c r="H41" i="18"/>
  <c r="B26" i="4"/>
  <c r="B27" i="15"/>
  <c r="D27" i="15"/>
  <c r="C27" i="15"/>
  <c r="AM695" i="3"/>
  <c r="AM704" i="3"/>
  <c r="AM703" i="3"/>
  <c r="AM702" i="3"/>
  <c r="AM701" i="3"/>
  <c r="AM700" i="3"/>
  <c r="AM699" i="3"/>
  <c r="AB47" i="26"/>
  <c r="K12" i="4"/>
  <c r="C12" i="18"/>
  <c r="H11" i="18"/>
  <c r="G19" i="9"/>
  <c r="I19" i="9" s="1"/>
  <c r="K19" i="9" s="1"/>
  <c r="M19" i="9" s="1"/>
  <c r="O19" i="9" s="1"/>
  <c r="Q19" i="9" s="1"/>
  <c r="S19" i="9" s="1"/>
  <c r="U19" i="9" s="1"/>
  <c r="W19" i="9" s="1"/>
  <c r="Y19" i="9" s="1"/>
  <c r="AA19" i="9" s="1"/>
  <c r="AC19" i="9" s="1"/>
  <c r="AE19" i="9" s="1"/>
  <c r="AG19" i="9" s="1"/>
  <c r="AD67" i="5"/>
  <c r="T24" i="27"/>
  <c r="T24" i="26"/>
  <c r="Q580" i="6"/>
  <c r="W580" i="6" s="1"/>
  <c r="E20" i="15" l="1"/>
  <c r="I4" i="10"/>
  <c r="E68" i="15"/>
  <c r="E72" i="15"/>
  <c r="B11" i="4"/>
  <c r="G58" i="9"/>
  <c r="P12" i="4"/>
  <c r="J61" i="18"/>
  <c r="J95" i="18" s="1"/>
  <c r="J103" i="18" s="1"/>
  <c r="J105" i="18" s="1"/>
  <c r="D62" i="4"/>
  <c r="D96" i="4" s="1"/>
  <c r="D104" i="4" s="1"/>
  <c r="C61" i="18"/>
  <c r="C95" i="18" s="1"/>
  <c r="C103" i="18" s="1"/>
  <c r="N12" i="4"/>
  <c r="I62" i="4"/>
  <c r="I96" i="4" s="1"/>
  <c r="I104" i="4" s="1"/>
  <c r="R26" i="4"/>
  <c r="Q62" i="4"/>
  <c r="Q96" i="4" s="1"/>
  <c r="Q104" i="4" s="1"/>
  <c r="P62" i="4"/>
  <c r="P96" i="4" s="1"/>
  <c r="P104" i="4" s="1"/>
  <c r="T62" i="4"/>
  <c r="T96" i="4" s="1"/>
  <c r="E23" i="15"/>
  <c r="L62" i="4"/>
  <c r="L96" i="4" s="1"/>
  <c r="L104" i="4" s="1"/>
  <c r="H62" i="4"/>
  <c r="H96" i="4" s="1"/>
  <c r="H104" i="4" s="1"/>
  <c r="M62" i="4"/>
  <c r="M96" i="4" s="1"/>
  <c r="M104" i="4" s="1"/>
  <c r="J62" i="4"/>
  <c r="J96" i="4" s="1"/>
  <c r="J104" i="4" s="1"/>
  <c r="AI20" i="26"/>
  <c r="G62" i="4"/>
  <c r="G96" i="4" s="1"/>
  <c r="G104" i="4" s="1"/>
  <c r="I61" i="18"/>
  <c r="I95" i="18" s="1"/>
  <c r="I103" i="18" s="1"/>
  <c r="I105" i="18" s="1"/>
  <c r="I53" i="9"/>
  <c r="E35" i="15"/>
  <c r="F4" i="10"/>
  <c r="C90" i="25"/>
  <c r="G90" i="25" s="1"/>
  <c r="G98" i="25" s="1"/>
  <c r="D100" i="25" s="1"/>
  <c r="D102" i="25" s="1"/>
  <c r="D104" i="25" s="1"/>
  <c r="D110" i="25" s="1"/>
  <c r="G38" i="25" s="1"/>
  <c r="F8" i="10"/>
  <c r="C91" i="25"/>
  <c r="G91" i="25" s="1"/>
  <c r="I10" i="10"/>
  <c r="W842" i="3"/>
  <c r="W843" i="3" s="1"/>
  <c r="E21" i="9" s="1"/>
  <c r="G21" i="9" s="1"/>
  <c r="I21" i="9" s="1"/>
  <c r="K21" i="9" s="1"/>
  <c r="M21" i="9" s="1"/>
  <c r="O21" i="9" s="1"/>
  <c r="Q21" i="9" s="1"/>
  <c r="S21" i="9" s="1"/>
  <c r="U21" i="9" s="1"/>
  <c r="W21" i="9" s="1"/>
  <c r="Y21" i="9" s="1"/>
  <c r="AA21" i="9" s="1"/>
  <c r="AC21" i="9" s="1"/>
  <c r="AE21" i="9" s="1"/>
  <c r="AG21" i="9" s="1"/>
  <c r="T7" i="5"/>
  <c r="N62" i="4"/>
  <c r="N96" i="4" s="1"/>
  <c r="N104" i="4" s="1"/>
  <c r="I9" i="10"/>
  <c r="O62" i="4"/>
  <c r="O96" i="4" s="1"/>
  <c r="O104" i="4" s="1"/>
  <c r="K62" i="4"/>
  <c r="K96" i="4" s="1"/>
  <c r="K104" i="4" s="1"/>
  <c r="I8" i="10"/>
  <c r="E30" i="15"/>
  <c r="E33" i="15"/>
  <c r="D11" i="18"/>
  <c r="G68" i="18"/>
  <c r="F67" i="18"/>
  <c r="F68" i="18" s="1"/>
  <c r="E52" i="15"/>
  <c r="E85" i="15"/>
  <c r="E10" i="15"/>
  <c r="E61" i="15"/>
  <c r="D12" i="15"/>
  <c r="D68" i="18"/>
  <c r="D8" i="18"/>
  <c r="C12" i="15"/>
  <c r="D37" i="18"/>
  <c r="B12" i="15"/>
  <c r="E36" i="15"/>
  <c r="E88" i="15"/>
  <c r="B37" i="18"/>
  <c r="B9" i="15"/>
  <c r="E6" i="15"/>
  <c r="E31" i="15"/>
  <c r="D9" i="15"/>
  <c r="E92" i="15"/>
  <c r="E53" i="15"/>
  <c r="E94" i="15"/>
  <c r="E86" i="15"/>
  <c r="R69" i="4"/>
  <c r="R11" i="4"/>
  <c r="B43" i="15"/>
  <c r="E14" i="15"/>
  <c r="E37" i="15"/>
  <c r="E79" i="15"/>
  <c r="S95" i="4"/>
  <c r="E94" i="18" s="1"/>
  <c r="E93" i="15"/>
  <c r="C43" i="15"/>
  <c r="E32" i="15"/>
  <c r="E51" i="15"/>
  <c r="E58" i="15"/>
  <c r="E90" i="15"/>
  <c r="B41" i="18"/>
  <c r="E82" i="18"/>
  <c r="S69" i="4"/>
  <c r="E68" i="18" s="1"/>
  <c r="E7" i="15"/>
  <c r="E34" i="15"/>
  <c r="E41" i="15"/>
  <c r="E69" i="15"/>
  <c r="E95" i="15"/>
  <c r="E44" i="15"/>
  <c r="R42" i="4"/>
  <c r="S40" i="4"/>
  <c r="D70" i="15"/>
  <c r="E50" i="15"/>
  <c r="E84" i="15"/>
  <c r="C70" i="15"/>
  <c r="E89" i="15"/>
  <c r="B42" i="4"/>
  <c r="B70" i="15"/>
  <c r="B69" i="4"/>
  <c r="E38" i="15"/>
  <c r="E65" i="15"/>
  <c r="R8" i="4"/>
  <c r="E12" i="4"/>
  <c r="B38" i="4"/>
  <c r="D39" i="15"/>
  <c r="B39" i="15"/>
  <c r="E39" i="15" s="1"/>
  <c r="B11" i="18"/>
  <c r="C12" i="4"/>
  <c r="B12" i="18" s="1"/>
  <c r="E11" i="15"/>
  <c r="C9" i="15"/>
  <c r="B8" i="18"/>
  <c r="B8" i="4"/>
  <c r="B12" i="4" s="1"/>
  <c r="E5" i="15"/>
  <c r="BN620" i="3"/>
  <c r="R935" i="3"/>
  <c r="AC28" i="9"/>
  <c r="AO651" i="6"/>
  <c r="AK684" i="6" s="1"/>
  <c r="T706" i="6" s="1"/>
  <c r="AP378" i="6"/>
  <c r="AQ378" i="6" s="1"/>
  <c r="CM620" i="3"/>
  <c r="U69" i="25"/>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BR633" i="3" s="1"/>
  <c r="R937" i="3"/>
  <c r="R934" i="3"/>
  <c r="CH632" i="3"/>
  <c r="CL633" i="3" s="1"/>
  <c r="BX632" i="3"/>
  <c r="CB633" i="3" s="1"/>
  <c r="CC613" i="3"/>
  <c r="L29" i="28" s="1"/>
  <c r="V29" i="28" s="1"/>
  <c r="BO245" i="3"/>
  <c r="T269" i="3" s="1"/>
  <c r="R936"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BD521"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0" i="6"/>
  <c r="AG29" i="9"/>
  <c r="AC581" i="6"/>
  <c r="Q582" i="6"/>
  <c r="W582" i="6" s="1"/>
  <c r="Q585" i="6"/>
  <c r="W585" i="6" s="1"/>
  <c r="T20" i="27"/>
  <c r="T20" i="26"/>
  <c r="T22" i="26" s="1"/>
  <c r="Y20" i="26"/>
  <c r="Y22" i="26" s="1"/>
  <c r="AD20" i="26"/>
  <c r="AD22" i="26" s="1"/>
  <c r="AD7" i="5"/>
  <c r="AI20" i="27"/>
  <c r="AI22" i="27" s="1"/>
  <c r="AD63" i="5"/>
  <c r="E27" i="15"/>
  <c r="U29" i="9"/>
  <c r="AE29" i="9"/>
  <c r="AK61" i="6"/>
  <c r="G29" i="9"/>
  <c r="W29" i="9"/>
  <c r="AA29" i="9"/>
  <c r="I29" i="9"/>
  <c r="S29" i="9"/>
  <c r="Y29" i="9"/>
  <c r="K29" i="9"/>
  <c r="M29" i="9"/>
  <c r="Q29" i="9"/>
  <c r="AC29" i="9"/>
  <c r="F30" i="10"/>
  <c r="I16" i="9"/>
  <c r="T695" i="6"/>
  <c r="Y7" i="5"/>
  <c r="G8" i="9"/>
  <c r="E9" i="9"/>
  <c r="H61" i="18" l="1"/>
  <c r="I30" i="10"/>
  <c r="Z773" i="3" s="1"/>
  <c r="L908" i="3" s="1"/>
  <c r="L909" i="3" s="1"/>
  <c r="AC847" i="3"/>
  <c r="AC849" i="3" s="1"/>
  <c r="I58" i="9"/>
  <c r="K53" i="9"/>
  <c r="T104" i="4"/>
  <c r="H95" i="18"/>
  <c r="D12" i="18"/>
  <c r="E12" i="15"/>
  <c r="E9" i="15"/>
  <c r="G94" i="18"/>
  <c r="F82" i="18"/>
  <c r="F94" i="18" s="1"/>
  <c r="D13" i="15"/>
  <c r="B13" i="15"/>
  <c r="E43" i="15"/>
  <c r="R12" i="4"/>
  <c r="E70" i="15"/>
  <c r="C13" i="15"/>
  <c r="E39" i="18"/>
  <c r="S42" i="4"/>
  <c r="E41" i="18" s="1"/>
  <c r="BN638" i="3"/>
  <c r="AB933" i="3" s="1"/>
  <c r="AJ933" i="3" s="1"/>
  <c r="AS352" i="6"/>
  <c r="AS354" i="6"/>
  <c r="CS620" i="3"/>
  <c r="Y765" i="3"/>
  <c r="E4" i="9" s="1"/>
  <c r="G4" i="9" s="1"/>
  <c r="I4" i="9" s="1"/>
  <c r="I5" i="9" s="1"/>
  <c r="Y764" i="3"/>
  <c r="O605" i="6"/>
  <c r="AU569" i="6" s="1"/>
  <c r="CG614" i="3"/>
  <c r="CH638" i="3"/>
  <c r="L30" i="28"/>
  <c r="V30" i="28" s="1"/>
  <c r="CM638" i="3"/>
  <c r="L28" i="28"/>
  <c r="V28" i="28" s="1"/>
  <c r="CB614" i="3"/>
  <c r="O606" i="6"/>
  <c r="AU570" i="6" s="1"/>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K16" i="9"/>
  <c r="I22" i="9"/>
  <c r="I35" i="9" s="1"/>
  <c r="E6" i="9"/>
  <c r="S15" i="9"/>
  <c r="M32" i="9"/>
  <c r="I8" i="9"/>
  <c r="G9" i="9"/>
  <c r="AK471" i="6" l="1"/>
  <c r="T700" i="6" s="1"/>
  <c r="H103" i="18"/>
  <c r="T106" i="4"/>
  <c r="H105" i="18" s="1"/>
  <c r="K58" i="9"/>
  <c r="M53" i="9"/>
  <c r="G41" i="18"/>
  <c r="F39" i="18"/>
  <c r="F41" i="18" s="1"/>
  <c r="E13" i="15"/>
  <c r="Z782" i="3"/>
  <c r="E5" i="9"/>
  <c r="Y606" i="6"/>
  <c r="BE570" i="6" s="1"/>
  <c r="AP580" i="6" s="1"/>
  <c r="BI701" i="3"/>
  <c r="AH717" i="3" s="1"/>
  <c r="AB937" i="3"/>
  <c r="AJ937" i="3" s="1"/>
  <c r="AJ939" i="3" s="1"/>
  <c r="BI732" i="3"/>
  <c r="AM717" i="3" s="1"/>
  <c r="AO691" i="6"/>
  <c r="G5" i="9"/>
  <c r="K4" i="9"/>
  <c r="M4" i="9" s="1"/>
  <c r="O4" i="9" s="1"/>
  <c r="AC589" i="6"/>
  <c r="CE527" i="6"/>
  <c r="CE528" i="6" s="1"/>
  <c r="CC529" i="6" s="1"/>
  <c r="CQ615" i="3"/>
  <c r="O720" i="3" s="1"/>
  <c r="BE573" i="6"/>
  <c r="AP583" i="6" s="1"/>
  <c r="CH545" i="6"/>
  <c r="BW525" i="6"/>
  <c r="BW528" i="6" s="1"/>
  <c r="BU529" i="6" s="1"/>
  <c r="BO569" i="6"/>
  <c r="BO574" i="6" s="1"/>
  <c r="BH580" i="6"/>
  <c r="BH585" i="6" s="1"/>
  <c r="AY538" i="6"/>
  <c r="BF562" i="6"/>
  <c r="BK565" i="6" s="1"/>
  <c r="AU543" i="6" s="1"/>
  <c r="AX543" i="6" s="1"/>
  <c r="O610" i="6"/>
  <c r="CA526" i="6"/>
  <c r="CA528" i="6" s="1"/>
  <c r="BY529" i="6" s="1"/>
  <c r="BE572" i="6"/>
  <c r="AP582" i="6" s="1"/>
  <c r="BD580" i="6"/>
  <c r="BD585" i="6" s="1"/>
  <c r="BP580" i="6"/>
  <c r="BB581" i="6"/>
  <c r="BB585" i="6" s="1"/>
  <c r="V27" i="28"/>
  <c r="V31" i="28" s="1"/>
  <c r="L31" i="28"/>
  <c r="BJ583" i="6"/>
  <c r="BJ585" i="6" s="1"/>
  <c r="CH543" i="6"/>
  <c r="BE542" i="6" s="1"/>
  <c r="BO523" i="6"/>
  <c r="BO528" i="6" s="1"/>
  <c r="BM529" i="6" s="1"/>
  <c r="BF582" i="6"/>
  <c r="BF585" i="6" s="1"/>
  <c r="BL580" i="6"/>
  <c r="BL581" i="6"/>
  <c r="BP581" i="6"/>
  <c r="BL582" i="6"/>
  <c r="AF694" i="6"/>
  <c r="E7" i="9"/>
  <c r="G6" i="9"/>
  <c r="M16" i="9"/>
  <c r="K22" i="9"/>
  <c r="K35" i="9" s="1"/>
  <c r="U15" i="9"/>
  <c r="O32" i="9"/>
  <c r="I9" i="9"/>
  <c r="K8" i="9"/>
  <c r="AD11" i="26" l="1"/>
  <c r="AD23" i="26" s="1"/>
  <c r="AD26" i="26" s="1"/>
  <c r="AD28" i="26" s="1"/>
  <c r="AD11" i="5"/>
  <c r="AD23" i="5" s="1"/>
  <c r="AD26" i="5" s="1"/>
  <c r="AD28" i="5" s="1"/>
  <c r="AI11" i="5"/>
  <c r="AI23" i="5" s="1"/>
  <c r="AI26" i="5" s="1"/>
  <c r="AI28" i="5" s="1"/>
  <c r="AI11" i="26"/>
  <c r="AI11" i="27"/>
  <c r="AI23" i="27" s="1"/>
  <c r="AI26" i="27" s="1"/>
  <c r="AI28" i="27" s="1"/>
  <c r="AD63" i="27" s="1"/>
  <c r="AD11" i="27"/>
  <c r="AD23" i="27" s="1"/>
  <c r="AD26" i="27" s="1"/>
  <c r="AD28" i="27" s="1"/>
  <c r="AJ941" i="3"/>
  <c r="AJ988" i="3" s="1"/>
  <c r="T24" i="5" s="1"/>
  <c r="O53" i="9"/>
  <c r="M58" i="9"/>
  <c r="AU534" i="6"/>
  <c r="E11" i="9"/>
  <c r="E37" i="9" s="1"/>
  <c r="BS524" i="6"/>
  <c r="BS528" i="6" s="1"/>
  <c r="BQ529" i="6" s="1"/>
  <c r="BQ530" i="6" s="1"/>
  <c r="BQ534" i="6" s="1"/>
  <c r="CH544" i="6"/>
  <c r="BI543" i="6" s="1"/>
  <c r="AU531" i="6"/>
  <c r="AU530" i="6"/>
  <c r="AU533" i="6"/>
  <c r="AU532" i="6"/>
  <c r="AB938" i="3"/>
  <c r="CQ636" i="3"/>
  <c r="U367" i="6" s="1"/>
  <c r="P414" i="3"/>
  <c r="AO689" i="6"/>
  <c r="T698" i="6" s="1"/>
  <c r="AF698" i="6" s="1"/>
  <c r="K5" i="9"/>
  <c r="CC530" i="6"/>
  <c r="T703" i="6"/>
  <c r="AK615" i="6"/>
  <c r="M5" i="9"/>
  <c r="AS539" i="6"/>
  <c r="BY530" i="6"/>
  <c r="BY532" i="6"/>
  <c r="BT570" i="6"/>
  <c r="BT574" i="6" s="1"/>
  <c r="BP585" i="6"/>
  <c r="BN586" i="6" s="1"/>
  <c r="BB586" i="6"/>
  <c r="BU531" i="6"/>
  <c r="CC533" i="6"/>
  <c r="BE547" i="6"/>
  <c r="AU546" i="6"/>
  <c r="BL585" i="6"/>
  <c r="BJ586" i="6" s="1"/>
  <c r="BF586" i="6"/>
  <c r="O16" i="9"/>
  <c r="M22" i="9"/>
  <c r="M35" i="9" s="1"/>
  <c r="O5" i="9"/>
  <c r="Q4" i="9"/>
  <c r="I6" i="9"/>
  <c r="G7" i="9"/>
  <c r="G11" i="9" s="1"/>
  <c r="G37" i="9" s="1"/>
  <c r="W15" i="9"/>
  <c r="Q32" i="9"/>
  <c r="M8" i="9"/>
  <c r="K9" i="9"/>
  <c r="Q53" i="9" l="1"/>
  <c r="O58" i="9"/>
  <c r="BU530" i="6"/>
  <c r="BU534" i="6" s="1"/>
  <c r="BY531" i="6"/>
  <c r="BY534" i="6" s="1"/>
  <c r="CC532" i="6"/>
  <c r="BI547" i="6"/>
  <c r="BM544" i="6"/>
  <c r="BQ545" i="6" s="1"/>
  <c r="T702" i="6"/>
  <c r="AO694" i="6"/>
  <c r="AF702" i="6" s="1"/>
  <c r="AF708" i="6" s="1"/>
  <c r="CC531" i="6"/>
  <c r="BJ587" i="6"/>
  <c r="AV551" i="6" s="1"/>
  <c r="BY571" i="6"/>
  <c r="K6" i="9"/>
  <c r="I7" i="9"/>
  <c r="I11" i="9" s="1"/>
  <c r="I37" i="9" s="1"/>
  <c r="Q16" i="9"/>
  <c r="O22" i="9"/>
  <c r="O35" i="9" s="1"/>
  <c r="Q5" i="9"/>
  <c r="S4" i="9"/>
  <c r="Y15" i="9"/>
  <c r="S32" i="9"/>
  <c r="M9" i="9"/>
  <c r="O8" i="9"/>
  <c r="Q58" i="9" l="1"/>
  <c r="S53" i="9"/>
  <c r="BM547" i="6"/>
  <c r="CC534" i="6"/>
  <c r="CG534" i="6" s="1"/>
  <c r="CD572" i="6"/>
  <c r="BY574" i="6"/>
  <c r="BQ547" i="6"/>
  <c r="BU546" i="6"/>
  <c r="BU547" i="6" s="1"/>
  <c r="S16" i="9"/>
  <c r="Q22" i="9"/>
  <c r="Q35" i="9" s="1"/>
  <c r="AA15" i="9"/>
  <c r="U4" i="9"/>
  <c r="S5" i="9"/>
  <c r="K7" i="9"/>
  <c r="K11" i="9" s="1"/>
  <c r="M6" i="9"/>
  <c r="U32" i="9"/>
  <c r="Q8" i="9"/>
  <c r="O9" i="9"/>
  <c r="S58" i="9" l="1"/>
  <c r="U53" i="9"/>
  <c r="CD574" i="6"/>
  <c r="CI573" i="6"/>
  <c r="CI574" i="6" s="1"/>
  <c r="CC547" i="6"/>
  <c r="K37" i="9"/>
  <c r="U16" i="9"/>
  <c r="S22" i="9"/>
  <c r="S35" i="9" s="1"/>
  <c r="W4" i="9"/>
  <c r="U5" i="9"/>
  <c r="AC15" i="9"/>
  <c r="O6" i="9"/>
  <c r="M7" i="9"/>
  <c r="M11" i="9" s="1"/>
  <c r="M37" i="9" s="1"/>
  <c r="W32" i="9"/>
  <c r="S8" i="9"/>
  <c r="Q9" i="9"/>
  <c r="U58" i="9" l="1"/>
  <c r="W53" i="9"/>
  <c r="CN574" i="6"/>
  <c r="BD555" i="6" s="1"/>
  <c r="AT557" i="6" s="1"/>
  <c r="Q6" i="9"/>
  <c r="O7" i="9"/>
  <c r="O11" i="9" s="1"/>
  <c r="O37" i="9" s="1"/>
  <c r="Y4" i="9"/>
  <c r="W5" i="9"/>
  <c r="AE15" i="9"/>
  <c r="W16" i="9"/>
  <c r="U22" i="9"/>
  <c r="U35" i="9" s="1"/>
  <c r="Y32" i="9"/>
  <c r="U8" i="9"/>
  <c r="S9" i="9"/>
  <c r="W58" i="9" l="1"/>
  <c r="Y53" i="9"/>
  <c r="AW559" i="6"/>
  <c r="AA4" i="9"/>
  <c r="Y5" i="9"/>
  <c r="AG15" i="9"/>
  <c r="Y16" i="9"/>
  <c r="W22" i="9"/>
  <c r="W35" i="9" s="1"/>
  <c r="S6" i="9"/>
  <c r="Q7" i="9"/>
  <c r="Q11" i="9" s="1"/>
  <c r="Q37" i="9" s="1"/>
  <c r="AA32" i="9"/>
  <c r="W8" i="9"/>
  <c r="U9" i="9"/>
  <c r="Y58" i="9" l="1"/>
  <c r="AA53" i="9"/>
  <c r="AC4" i="9"/>
  <c r="AA5" i="9"/>
  <c r="U6" i="9"/>
  <c r="S7" i="9"/>
  <c r="S11" i="9" s="1"/>
  <c r="S37" i="9" s="1"/>
  <c r="AA16" i="9"/>
  <c r="Y22" i="9"/>
  <c r="Y35" i="9" s="1"/>
  <c r="AC32" i="9"/>
  <c r="W9" i="9"/>
  <c r="Y8" i="9"/>
  <c r="AA58" i="9" l="1"/>
  <c r="AC53" i="9"/>
  <c r="W6" i="9"/>
  <c r="U7" i="9"/>
  <c r="U11" i="9" s="1"/>
  <c r="U37" i="9" s="1"/>
  <c r="AC16" i="9"/>
  <c r="AA22" i="9"/>
  <c r="AA35" i="9" s="1"/>
  <c r="AC5" i="9"/>
  <c r="AE4" i="9"/>
  <c r="AE32" i="9"/>
  <c r="Y9" i="9"/>
  <c r="AA8" i="9"/>
  <c r="AE53" i="9" l="1"/>
  <c r="AC58" i="9"/>
  <c r="AE5" i="9"/>
  <c r="AG4" i="9"/>
  <c r="W7" i="9"/>
  <c r="W11" i="9" s="1"/>
  <c r="W37" i="9" s="1"/>
  <c r="Y6" i="9"/>
  <c r="AE16" i="9"/>
  <c r="AC22" i="9"/>
  <c r="AC35" i="9" s="1"/>
  <c r="AG32" i="9"/>
  <c r="AA9" i="9"/>
  <c r="AC8" i="9"/>
  <c r="AG53" i="9" l="1"/>
  <c r="AG58" i="9" s="1"/>
  <c r="AE58" i="9"/>
  <c r="AG5" i="9"/>
  <c r="AG16" i="9"/>
  <c r="AG22" i="9" s="1"/>
  <c r="AG35" i="9" s="1"/>
  <c r="AE22" i="9"/>
  <c r="AE35" i="9" s="1"/>
  <c r="Y7" i="9"/>
  <c r="Y11" i="9" s="1"/>
  <c r="Y37" i="9" s="1"/>
  <c r="AA6" i="9"/>
  <c r="AC9" i="9"/>
  <c r="AE8" i="9"/>
  <c r="AA7" i="9" l="1"/>
  <c r="AA11" i="9" s="1"/>
  <c r="AA37" i="9" s="1"/>
  <c r="AC6" i="9"/>
  <c r="AG8" i="9"/>
  <c r="AE9" i="9"/>
  <c r="AE6" i="9" l="1"/>
  <c r="AC7" i="9"/>
  <c r="AC11" i="9" s="1"/>
  <c r="AC37" i="9" s="1"/>
  <c r="AG9" i="9"/>
  <c r="AG6" i="9" l="1"/>
  <c r="AE7" i="9"/>
  <c r="AE11" i="9" s="1"/>
  <c r="AE37" i="9" s="1"/>
  <c r="AG7" i="9" l="1"/>
  <c r="AG11" i="9" s="1"/>
  <c r="AG37" i="9" s="1"/>
  <c r="G52" i="25"/>
  <c r="G53" i="25" s="1"/>
  <c r="G37" i="18"/>
  <c r="G52" i="18"/>
  <c r="G61" i="18" s="1"/>
  <c r="G95" i="18" s="1"/>
  <c r="G103" i="18" s="1"/>
  <c r="G105" i="18" s="1"/>
  <c r="G79" i="18"/>
  <c r="G102" i="18"/>
  <c r="AM546" i="3" l="1"/>
  <c r="AM555" i="3"/>
  <c r="AF618" i="3"/>
  <c r="E40" i="9" s="1"/>
  <c r="AO618" i="3"/>
  <c r="AO630" i="3" s="1"/>
  <c r="AO631" i="3"/>
  <c r="E107" i="4" s="1"/>
  <c r="F30" i="4"/>
  <c r="E30" i="4" s="1"/>
  <c r="F38" i="4"/>
  <c r="F62" i="4" s="1"/>
  <c r="F96" i="4" s="1"/>
  <c r="F104" i="4" s="1"/>
  <c r="C45" i="4"/>
  <c r="C46" i="15" s="1"/>
  <c r="S45" i="4"/>
  <c r="E44" i="18" s="1"/>
  <c r="F44" i="18" s="1"/>
  <c r="C46" i="4"/>
  <c r="B45" i="18" s="1"/>
  <c r="D45" i="18" s="1"/>
  <c r="C55" i="4"/>
  <c r="C61" i="4" s="1"/>
  <c r="E55" i="4"/>
  <c r="R55" i="4" s="1"/>
  <c r="R61" i="4" s="1"/>
  <c r="C74" i="4"/>
  <c r="C75" i="15" s="1"/>
  <c r="C79" i="4"/>
  <c r="C80" i="15" s="1"/>
  <c r="C82" i="4"/>
  <c r="C83" i="15" s="1"/>
  <c r="E82" i="4"/>
  <c r="R82" i="4" s="1"/>
  <c r="R95" i="4" s="1"/>
  <c r="C98" i="4"/>
  <c r="C99" i="15" s="1"/>
  <c r="F107" i="4"/>
  <c r="B82" i="4" l="1"/>
  <c r="E95" i="4"/>
  <c r="C103" i="4"/>
  <c r="C104" i="15" s="1"/>
  <c r="C80" i="4"/>
  <c r="B74" i="4"/>
  <c r="AC850" i="3" s="1"/>
  <c r="B46" i="4"/>
  <c r="B56" i="15"/>
  <c r="E98" i="4"/>
  <c r="E103" i="4" s="1"/>
  <c r="E79" i="4"/>
  <c r="E80" i="4" s="1"/>
  <c r="E61" i="4"/>
  <c r="B47" i="15"/>
  <c r="B98" i="4"/>
  <c r="B79" i="4"/>
  <c r="B55" i="4"/>
  <c r="C53" i="4"/>
  <c r="C54" i="15" s="1"/>
  <c r="B99" i="15"/>
  <c r="E99" i="15" s="1"/>
  <c r="C76" i="4"/>
  <c r="E74" i="4"/>
  <c r="R74" i="4" s="1"/>
  <c r="R76" i="4" s="1"/>
  <c r="E46" i="4"/>
  <c r="R46" i="4" s="1"/>
  <c r="S46" i="4" s="1"/>
  <c r="S53" i="4" s="1"/>
  <c r="E52" i="18" s="1"/>
  <c r="AM558" i="3"/>
  <c r="E38" i="4"/>
  <c r="R30" i="4"/>
  <c r="K40" i="9"/>
  <c r="K43" i="9" s="1"/>
  <c r="AA40" i="9"/>
  <c r="AA43" i="9" s="1"/>
  <c r="M40" i="9"/>
  <c r="M43" i="9" s="1"/>
  <c r="AC40" i="9"/>
  <c r="AC43" i="9" s="1"/>
  <c r="O40" i="9"/>
  <c r="O43" i="9" s="1"/>
  <c r="AE40" i="9"/>
  <c r="AE43" i="9" s="1"/>
  <c r="S40" i="9"/>
  <c r="S43" i="9" s="1"/>
  <c r="E43" i="9"/>
  <c r="AG40" i="9"/>
  <c r="AG43" i="9" s="1"/>
  <c r="U40" i="9"/>
  <c r="U43" i="9" s="1"/>
  <c r="Q40" i="9"/>
  <c r="Q43" i="9" s="1"/>
  <c r="G40" i="9"/>
  <c r="G43" i="9" s="1"/>
  <c r="W40" i="9"/>
  <c r="W43" i="9" s="1"/>
  <c r="I40" i="9"/>
  <c r="I43" i="9" s="1"/>
  <c r="Y40" i="9"/>
  <c r="Y43" i="9" s="1"/>
  <c r="E75" i="15"/>
  <c r="C62" i="15"/>
  <c r="D62" i="15"/>
  <c r="B60" i="18"/>
  <c r="B62" i="15"/>
  <c r="B61" i="4"/>
  <c r="AO632" i="3"/>
  <c r="AB47" i="5"/>
  <c r="B104" i="15"/>
  <c r="E104" i="15" s="1"/>
  <c r="B83" i="15"/>
  <c r="E83" i="15" s="1"/>
  <c r="B80" i="15"/>
  <c r="E80" i="15" s="1"/>
  <c r="B75" i="15"/>
  <c r="B46" i="15"/>
  <c r="E46" i="15" s="1"/>
  <c r="E45" i="4"/>
  <c r="B97" i="18"/>
  <c r="D97" i="18" s="1"/>
  <c r="D102" i="18" s="1"/>
  <c r="B81" i="18"/>
  <c r="D81" i="18" s="1"/>
  <c r="D94" i="18" s="1"/>
  <c r="B78" i="18"/>
  <c r="D78" i="18" s="1"/>
  <c r="D79" i="18" s="1"/>
  <c r="B44" i="18"/>
  <c r="D44" i="18" s="1"/>
  <c r="D52" i="18" s="1"/>
  <c r="D99" i="15"/>
  <c r="D77" i="15"/>
  <c r="D56" i="15"/>
  <c r="D47" i="15"/>
  <c r="C62" i="4"/>
  <c r="B45" i="4"/>
  <c r="B75" i="18"/>
  <c r="C81" i="15"/>
  <c r="C56" i="15"/>
  <c r="C47" i="15"/>
  <c r="B102" i="18"/>
  <c r="B73" i="18"/>
  <c r="D73" i="18" s="1"/>
  <c r="D75" i="18" s="1"/>
  <c r="B54" i="18"/>
  <c r="D54" i="18" s="1"/>
  <c r="D60" i="18" s="1"/>
  <c r="D83" i="15"/>
  <c r="D80" i="15"/>
  <c r="D75" i="15"/>
  <c r="D46" i="15"/>
  <c r="C95" i="4"/>
  <c r="D54" i="15" l="1"/>
  <c r="B53" i="4"/>
  <c r="R98" i="4"/>
  <c r="B54" i="15"/>
  <c r="E54" i="15" s="1"/>
  <c r="B52" i="18"/>
  <c r="E76" i="4"/>
  <c r="E45" i="18"/>
  <c r="F45" i="18" s="1"/>
  <c r="F52" i="18" s="1"/>
  <c r="B79" i="18"/>
  <c r="B81" i="15"/>
  <c r="E81" i="15" s="1"/>
  <c r="D81" i="15"/>
  <c r="D104" i="15"/>
  <c r="B80" i="4"/>
  <c r="C77" i="15"/>
  <c r="B76" i="4"/>
  <c r="B77" i="15"/>
  <c r="B103" i="4"/>
  <c r="R79" i="4"/>
  <c r="R80" i="4" s="1"/>
  <c r="E47" i="15"/>
  <c r="E56" i="15"/>
  <c r="E49" i="9"/>
  <c r="E45" i="9"/>
  <c r="S45" i="9"/>
  <c r="S49" i="9"/>
  <c r="K49" i="9"/>
  <c r="K45" i="9"/>
  <c r="I49" i="9"/>
  <c r="I45" i="9"/>
  <c r="AE45" i="9"/>
  <c r="AE49" i="9"/>
  <c r="AG45" i="9"/>
  <c r="AG49" i="9"/>
  <c r="Y49" i="9"/>
  <c r="Y45" i="9"/>
  <c r="E53" i="4"/>
  <c r="R45" i="4"/>
  <c r="R53" i="4" s="1"/>
  <c r="W49" i="9"/>
  <c r="W45" i="9"/>
  <c r="O45" i="9"/>
  <c r="O49" i="9"/>
  <c r="B94" i="18"/>
  <c r="B96" i="15"/>
  <c r="C96" i="15"/>
  <c r="E96" i="15" s="1"/>
  <c r="D96" i="15"/>
  <c r="B95" i="4"/>
  <c r="R103" i="4"/>
  <c r="S98" i="4"/>
  <c r="E62" i="15"/>
  <c r="G49" i="9"/>
  <c r="G45" i="9"/>
  <c r="AC49" i="9"/>
  <c r="AC45" i="9"/>
  <c r="R38" i="4"/>
  <c r="S30" i="4"/>
  <c r="Q45" i="9"/>
  <c r="Q49" i="9"/>
  <c r="M49" i="9"/>
  <c r="M45" i="9"/>
  <c r="E62" i="4"/>
  <c r="E96" i="4" s="1"/>
  <c r="E104" i="4" s="1"/>
  <c r="B62" i="4"/>
  <c r="C63" i="15"/>
  <c r="C96" i="4"/>
  <c r="B63" i="15"/>
  <c r="D63" i="15"/>
  <c r="B61" i="18"/>
  <c r="D61" i="18"/>
  <c r="D95" i="18" s="1"/>
  <c r="D103" i="18" s="1"/>
  <c r="U49" i="9"/>
  <c r="U45" i="9"/>
  <c r="AA49" i="9"/>
  <c r="AA45" i="9"/>
  <c r="E77" i="15" l="1"/>
  <c r="S79" i="4"/>
  <c r="R62" i="4"/>
  <c r="R96" i="4" s="1"/>
  <c r="R104" i="4" s="1"/>
  <c r="M48" i="9"/>
  <c r="M47" i="9"/>
  <c r="M60" i="9"/>
  <c r="G60" i="9"/>
  <c r="G47" i="9"/>
  <c r="G48" i="9"/>
  <c r="Y60" i="9"/>
  <c r="Y48" i="9"/>
  <c r="Y47" i="9"/>
  <c r="I60" i="9"/>
  <c r="I48" i="9"/>
  <c r="I47" i="9"/>
  <c r="K60" i="9"/>
  <c r="K48" i="9"/>
  <c r="K47" i="9"/>
  <c r="E97" i="18"/>
  <c r="F97" i="18" s="1"/>
  <c r="F102" i="18" s="1"/>
  <c r="S103" i="4"/>
  <c r="E102" i="18" s="1"/>
  <c r="O60" i="9"/>
  <c r="O48" i="9"/>
  <c r="O47" i="9"/>
  <c r="AG47" i="9"/>
  <c r="AG60" i="9"/>
  <c r="AG48" i="9"/>
  <c r="AA60" i="9"/>
  <c r="AA48" i="9"/>
  <c r="AA47" i="9"/>
  <c r="E29" i="18"/>
  <c r="F29" i="18" s="1"/>
  <c r="F37" i="18" s="1"/>
  <c r="F61" i="18" s="1"/>
  <c r="S38" i="4"/>
  <c r="W60" i="9"/>
  <c r="W48" i="9"/>
  <c r="W47" i="9"/>
  <c r="E78" i="18"/>
  <c r="F78" i="18" s="1"/>
  <c r="F79" i="18" s="1"/>
  <c r="S80" i="4"/>
  <c r="E79" i="18" s="1"/>
  <c r="S48" i="9"/>
  <c r="S47" i="9"/>
  <c r="S60" i="9"/>
  <c r="Q47" i="9"/>
  <c r="Q60" i="9"/>
  <c r="Q48" i="9"/>
  <c r="C97" i="15"/>
  <c r="B96" i="4"/>
  <c r="D97" i="15"/>
  <c r="B95" i="18"/>
  <c r="C104" i="4"/>
  <c r="B97" i="15"/>
  <c r="E63" i="15"/>
  <c r="U48" i="9"/>
  <c r="U47" i="9"/>
  <c r="U60" i="9"/>
  <c r="AC60" i="9"/>
  <c r="AC48" i="9"/>
  <c r="AC47" i="9"/>
  <c r="E48" i="9"/>
  <c r="E47" i="9"/>
  <c r="E60" i="9"/>
  <c r="AE60" i="9"/>
  <c r="AE48" i="9"/>
  <c r="AE47" i="9"/>
  <c r="E97" i="15" l="1"/>
  <c r="Y69" i="9"/>
  <c r="Y68" i="9"/>
  <c r="Y67" i="9"/>
  <c r="Y66" i="9"/>
  <c r="Y62" i="9"/>
  <c r="AG67" i="9"/>
  <c r="AG66" i="9"/>
  <c r="AG69" i="9"/>
  <c r="AG68" i="9"/>
  <c r="AG62" i="9"/>
  <c r="AE67" i="9"/>
  <c r="AE66" i="9"/>
  <c r="AE62" i="9"/>
  <c r="AE69" i="9"/>
  <c r="AE68" i="9"/>
  <c r="W69" i="9"/>
  <c r="W68" i="9"/>
  <c r="W67" i="9"/>
  <c r="W66" i="9"/>
  <c r="W62" i="9"/>
  <c r="K62" i="9"/>
  <c r="K69" i="9"/>
  <c r="K68" i="9"/>
  <c r="K67" i="9"/>
  <c r="K66" i="9"/>
  <c r="S68" i="9"/>
  <c r="S66" i="9"/>
  <c r="S67" i="9"/>
  <c r="S62" i="9"/>
  <c r="S69" i="9"/>
  <c r="S62" i="4"/>
  <c r="E37" i="18"/>
  <c r="G69" i="9"/>
  <c r="G68" i="9"/>
  <c r="G67" i="9"/>
  <c r="G66" i="9"/>
  <c r="G62" i="9"/>
  <c r="AA62" i="9"/>
  <c r="AA69" i="9"/>
  <c r="AA68" i="9"/>
  <c r="AA67" i="9"/>
  <c r="AA66" i="9"/>
  <c r="F95" i="18"/>
  <c r="F103" i="18" s="1"/>
  <c r="F105" i="18" s="1"/>
  <c r="M66" i="9"/>
  <c r="M62" i="9"/>
  <c r="M69" i="9"/>
  <c r="M68" i="9"/>
  <c r="M67" i="9"/>
  <c r="Q67" i="9"/>
  <c r="Q66" i="9"/>
  <c r="Q62" i="9"/>
  <c r="Q69" i="9"/>
  <c r="Q68" i="9"/>
  <c r="AC448" i="3"/>
  <c r="C105" i="15"/>
  <c r="E105" i="15" s="1"/>
  <c r="B105" i="15"/>
  <c r="D105" i="15"/>
  <c r="B103" i="18"/>
  <c r="B104" i="4"/>
  <c r="AC66" i="9"/>
  <c r="AC62" i="9"/>
  <c r="AC68" i="9"/>
  <c r="AC67" i="9"/>
  <c r="AC69" i="9"/>
  <c r="O67" i="9"/>
  <c r="O66" i="9"/>
  <c r="O62" i="9"/>
  <c r="O69" i="9"/>
  <c r="O68" i="9"/>
  <c r="I69" i="9"/>
  <c r="I67" i="9"/>
  <c r="I66" i="9"/>
  <c r="I68" i="9"/>
  <c r="I62" i="9"/>
  <c r="E66" i="9"/>
  <c r="E67" i="9"/>
  <c r="U68" i="9"/>
  <c r="U67" i="9"/>
  <c r="U66" i="9"/>
  <c r="U62" i="9"/>
  <c r="U69" i="9"/>
  <c r="W70" i="9" l="1"/>
  <c r="W72" i="9" s="1"/>
  <c r="E70" i="9"/>
  <c r="E72" i="9" s="1"/>
  <c r="AC70" i="9"/>
  <c r="AC72" i="9" s="1"/>
  <c r="K70" i="9"/>
  <c r="K72" i="9" s="1"/>
  <c r="S70" i="9"/>
  <c r="S72" i="9" s="1"/>
  <c r="AG70" i="9"/>
  <c r="AG72" i="9" s="1"/>
  <c r="U70" i="9"/>
  <c r="U72" i="9" s="1"/>
  <c r="AE70" i="9"/>
  <c r="AE72" i="9" s="1"/>
  <c r="O70" i="9"/>
  <c r="O72" i="9" s="1"/>
  <c r="I70" i="9"/>
  <c r="I72" i="9" s="1"/>
  <c r="E61" i="18"/>
  <c r="S96" i="4"/>
  <c r="Q70" i="9"/>
  <c r="Q72" i="9" s="1"/>
  <c r="M70" i="9"/>
  <c r="M72" i="9" s="1"/>
  <c r="Y70" i="9"/>
  <c r="Y72" i="9" s="1"/>
  <c r="AC447" i="3"/>
  <c r="AB46" i="5"/>
  <c r="AB48" i="5" s="1"/>
  <c r="AB46" i="26"/>
  <c r="AB48" i="26" s="1"/>
  <c r="J58" i="25"/>
  <c r="AB46" i="27"/>
  <c r="AB48" i="27" s="1"/>
  <c r="T11" i="5"/>
  <c r="T11" i="27"/>
  <c r="T11" i="26"/>
  <c r="T23" i="26" s="1"/>
  <c r="AA70" i="9"/>
  <c r="AA72" i="9" s="1"/>
  <c r="G70" i="9"/>
  <c r="G72" i="9" s="1"/>
  <c r="BE16" i="28" l="1"/>
  <c r="T21" i="5"/>
  <c r="AB53" i="27"/>
  <c r="AB54" i="27" s="1"/>
  <c r="S104" i="4"/>
  <c r="E95" i="18"/>
  <c r="G71" i="25"/>
  <c r="G72" i="25" s="1"/>
  <c r="B75" i="25" s="1"/>
  <c r="B76" i="25"/>
  <c r="O76" i="25" s="1"/>
  <c r="T26" i="26"/>
  <c r="T28" i="26" s="1"/>
  <c r="AB53" i="26"/>
  <c r="AB54" i="26" s="1"/>
  <c r="AB53" i="5"/>
  <c r="AB54" i="5" s="1"/>
  <c r="E103" i="18" l="1"/>
  <c r="S106" i="4"/>
  <c r="T21" i="27"/>
  <c r="T22" i="27" s="1"/>
  <c r="T23" i="27" s="1"/>
  <c r="AI21" i="26"/>
  <c r="AI22" i="26" s="1"/>
  <c r="AI23" i="26" s="1"/>
  <c r="AI26" i="26" s="1"/>
  <c r="AI28" i="26" s="1"/>
  <c r="AD63" i="26" s="1"/>
  <c r="T22" i="5"/>
  <c r="T23" i="5" s="1"/>
  <c r="T26" i="5" l="1"/>
  <c r="T28" i="5" s="1"/>
  <c r="T26" i="27"/>
  <c r="T28" i="27" s="1"/>
  <c r="E105" i="18"/>
  <c r="X992" i="3"/>
  <c r="X993" i="3" s="1"/>
  <c r="D994" i="3" s="1"/>
  <c r="AC449" i="3"/>
  <c r="Y11" i="5" l="1"/>
  <c r="Y23" i="5" s="1"/>
  <c r="Y11" i="27"/>
  <c r="Y23" i="27" s="1"/>
  <c r="Y11" i="26"/>
  <c r="Y23" i="26" s="1"/>
  <c r="Y26" i="26" l="1"/>
  <c r="Y28" i="26" s="1"/>
  <c r="Y38" i="26"/>
  <c r="Y40" i="26" s="1"/>
  <c r="AD38" i="26"/>
  <c r="AD40" i="26" s="1"/>
  <c r="Y26" i="27"/>
  <c r="Y28" i="27" s="1"/>
  <c r="Y38" i="27"/>
  <c r="Y40" i="27" s="1"/>
  <c r="AD38" i="27"/>
  <c r="AD40" i="27" s="1"/>
  <c r="Y26" i="5"/>
  <c r="Y28" i="5" s="1"/>
  <c r="Q71" i="25"/>
  <c r="O75" i="25" s="1"/>
  <c r="R75" i="25" s="1"/>
  <c r="AD38" i="5"/>
  <c r="AD40" i="5" s="1"/>
  <c r="Y63" i="5" l="1"/>
  <c r="Y67" i="5" s="1"/>
  <c r="T29" i="5"/>
  <c r="Y41" i="26"/>
  <c r="AB55" i="26" s="1"/>
  <c r="AB56" i="26" s="1"/>
  <c r="Y41" i="27"/>
  <c r="AB55" i="27" s="1"/>
  <c r="AB56" i="27" s="1"/>
  <c r="Y63" i="27"/>
  <c r="Y67" i="27" s="1"/>
  <c r="T29" i="27"/>
  <c r="Y38" i="5"/>
  <c r="Y40" i="5" s="1"/>
  <c r="Y63" i="26"/>
  <c r="Y67" i="26" s="1"/>
  <c r="T29" i="26"/>
  <c r="AB58" i="27" l="1"/>
  <c r="AR42" i="5"/>
  <c r="Y41" i="5" s="1"/>
  <c r="AB55" i="5" s="1"/>
  <c r="AR43" i="5"/>
  <c r="AB58" i="26"/>
  <c r="F59" i="26" l="1"/>
  <c r="AB75" i="26"/>
  <c r="AB76" i="26" s="1"/>
  <c r="AB77" i="26" s="1"/>
  <c r="AB79" i="26" s="1"/>
  <c r="J80" i="26" s="1"/>
  <c r="AB56" i="5"/>
  <c r="BE15" i="28"/>
  <c r="M25" i="3"/>
  <c r="Q22" i="28"/>
  <c r="V33" i="28" s="1"/>
  <c r="V35" i="28" s="1"/>
  <c r="AB75" i="27"/>
  <c r="AB76" i="27" s="1"/>
  <c r="AB77" i="27" s="1"/>
  <c r="AB79" i="27" s="1"/>
  <c r="J80" i="27" s="1"/>
  <c r="F59" i="27"/>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tc={4B02A82D-F7B0-4DA1-9ABE-692D61302F0B}</author>
    <author>tc={380B5E3E-2914-44D2-8CE6-E71C0B066689}</author>
    <author>tc={FC471AE2-248F-491F-9395-8E5BE9282686}</author>
    <author>tc={DD8B77F4-0514-4F7A-9089-BCA873061507}</author>
    <author>tc={BB66AE59-3A59-43F6-A303-EFD3B1718E2F}</author>
    <author>tc={F3E0B098-7633-400C-A3DF-E72007475067}</author>
    <author>tc={63877E65-8429-48D9-951D-F3035BA7984D}</author>
    <author>tc={521A3FBE-324A-4D3A-A55F-6BAF7D06D583}</author>
    <author>tc={7D3BF1C6-33F4-4505-8916-0526BF88FAD0}</author>
    <author>tc={0A7537C9-7B13-460D-9C47-C4063AB06F1B}</author>
    <author>tc={5AA27A1F-7900-45CD-9257-AEED05964A00}</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V807" authorId="1" shapeId="0" xr:uid="{00000000-0006-0000-0300-000002000000}">
      <text>
        <t>[Threaded comment]
Your version of Excel allows you to read this threaded comment; however, any edits to it will get removed if the file is opened in a newer version of Excel. Learn more: https://go.microsoft.com/fwlink/?linkid=870924
Comment:
    Included: Legal Expense</t>
      </text>
    </comment>
    <comment ref="V808" authorId="2" shapeId="0" xr:uid="{00000000-0006-0000-0300-000003000000}">
      <text>
        <t>[Threaded comment]
Your version of Excel allows you to read this threaded comment; however, any edits to it will get removed if the file is opened in a newer version of Excel. Learn more: https://go.microsoft.com/fwlink/?linkid=870924
Comment:
    Included: Audit/Tax Preparation, Accounting Services</t>
      </text>
    </comment>
    <comment ref="V809" authorId="3" shapeId="0" xr:uid="{00000000-0006-0000-0300-000004000000}">
      <text>
        <t>[Threaded comment]
Your version of Excel allows you to read this threaded comment; however, any edits to it will get removed if the file is opened in a newer version of Excel. Learn more: https://go.microsoft.com/fwlink/?linkid=870924
Comment:
    Included: Security Contract/Safety Monitoring</t>
      </text>
    </comment>
    <comment ref="J813" authorId="4" shapeId="0" xr:uid="{00000000-0006-0000-0300-000005000000}">
      <text>
        <t>[Threaded comment]
Your version of Excel allows you to read this threaded comment; however, any edits to it will get removed if the file is opened in a newer version of Excel. Learn more: https://go.microsoft.com/fwlink/?linkid=870924
Comment:
    Included: Management Fee</t>
      </text>
    </comment>
    <comment ref="V817" authorId="5" shapeId="0" xr:uid="{00000000-0006-0000-0300-000006000000}">
      <text>
        <t>[Threaded comment]
Your version of Excel allows you to read this threaded comment; however, any edits to it will get removed if the file is opened in a newer version of Excel. Learn more: https://go.microsoft.com/fwlink/?linkid=870924
Comment:
    Included: Electricity</t>
      </text>
    </comment>
    <comment ref="V818" authorId="6" shapeId="0" xr:uid="{00000000-0006-0000-0300-000007000000}">
      <text>
        <t>[Threaded comment]
Your version of Excel allows you to read this threaded comment; however, any edits to it will get removed if the file is opened in a newer version of Excel. Learn more: https://go.microsoft.com/fwlink/?linkid=870924
Comment:
    Included: Water, Sewer</t>
      </text>
    </comment>
    <comment ref="V827" authorId="7" shapeId="0" xr:uid="{00000000-0006-0000-0300-000008000000}">
      <text>
        <t>[Threaded comment]
Your version of Excel allows you to read this threaded comment; however, any edits to it will get removed if the file is opened in a newer version of Excel. Learn more: https://go.microsoft.com/fwlink/?linkid=870924
Comment:
    Property and Liability Insurance</t>
      </text>
    </comment>
    <comment ref="V830" authorId="8" shapeId="0" xr:uid="{00000000-0006-0000-0300-000009000000}">
      <text>
        <t>[Threaded comment]
Your version of Excel allows you to read this threaded comment; however, any edits to it will get removed if the file is opened in a newer version of Excel. Learn more: https://go.microsoft.com/fwlink/?linkid=870924
Comment:
    Included: Repair Contract</t>
      </text>
    </comment>
    <comment ref="V831" authorId="9" shapeId="0" xr:uid="{00000000-0006-0000-0300-00000A000000}">
      <text>
        <t>[Threaded comment]
Your version of Excel allows you to read this threaded comment; however, any edits to it will get removed if the file is opened in a newer version of Excel. Learn more: https://go.microsoft.com/fwlink/?linkid=870924
Comment:
    Included: Rubbish Removal</t>
      </text>
    </comment>
    <comment ref="V832" authorId="10" shapeId="0" xr:uid="{00000000-0006-0000-0300-00000B000000}">
      <text>
        <t>[Threaded comment]
Your version of Excel allows you to read this threaded comment; however, any edits to it will get removed if the file is opened in a newer version of Excel. Learn more: https://go.microsoft.com/fwlink/?linkid=870924
Comment:
    Included: Exterminating Contract</t>
      </text>
    </comment>
    <comment ref="V833" authorId="11" shapeId="0" xr:uid="{00000000-0006-0000-0300-00000C000000}">
      <text>
        <t>[Threaded comment]
Your version of Excel allows you to read this threaded comment; however, any edits to it will get removed if the file is opened in a newer version of Excel. Learn more: https://go.microsoft.com/fwlink/?linkid=870924
Comment:
    Included: Grounds Contract</t>
      </text>
    </comment>
    <comment ref="R933" authorId="12" shapeId="0" xr:uid="{00000000-0006-0000-0300-00000D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<sst xmlns="http://schemas.openxmlformats.org/spreadsheetml/2006/main" count="4764" uniqueCount="2551">
  <si>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</si>
  <si>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</si>
  <si>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</si>
  <si>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</si>
  <si>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</si>
  <si>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</si>
  <si>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</si>
  <si>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</si>
  <si>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</si>
  <si>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</si>
  <si>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</si>
  <si>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</si>
  <si>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</si>
  <si>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</si>
  <si>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</si>
  <si>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</si>
  <si>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</si>
  <si>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</si>
  <si>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</si>
  <si>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</si>
  <si>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</si>
  <si>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</si>
  <si>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</si>
  <si>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</si>
  <si>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</si>
  <si>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</si>
  <si>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</si>
  <si>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</si>
  <si>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</si>
  <si>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</si>
  <si>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</si>
  <si>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</si>
  <si>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</si>
  <si>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</si>
  <si>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</si>
  <si>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</si>
  <si>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</si>
  <si>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</si>
  <si>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</si>
  <si>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</si>
  <si>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</si>
  <si>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</si>
  <si>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</si>
  <si>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</si>
  <si>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</si>
  <si>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</si>
  <si>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</si>
  <si>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</si>
  <si>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</si>
  <si>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</si>
  <si>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</si>
  <si>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</si>
  <si>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</si>
  <si>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</si>
  <si>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</si>
  <si>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</si>
  <si>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</si>
  <si>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</si>
  <si>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</si>
  <si>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</si>
  <si>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</si>
  <si>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</si>
  <si>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</si>
  <si>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</si>
  <si>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</si>
  <si>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</si>
  <si>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</si>
  <si>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</si>
  <si>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</si>
  <si>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</si>
  <si>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</si>
  <si>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</si>
  <si>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</si>
  <si>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</si>
  <si>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</si>
  <si>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</si>
  <si>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</si>
  <si>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</si>
  <si>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</si>
  <si>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</si>
  <si>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</si>
  <si>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</si>
  <si>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</si>
  <si>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</si>
  <si>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</si>
  <si>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</si>
  <si>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</si>
  <si>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</si>
  <si>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</si>
  <si>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</si>
  <si>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</si>
  <si>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</si>
  <si>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</si>
  <si>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</si>
  <si>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</si>
  <si>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</si>
  <si>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</si>
  <si>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</si>
  <si>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</si>
  <si>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</si>
  <si>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</si>
  <si>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</si>
  <si>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</si>
  <si>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</si>
  <si>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</si>
  <si>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</si>
  <si>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</si>
  <si>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</si>
  <si>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</si>
  <si>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</si>
  <si>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</si>
  <si>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</si>
  <si>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</si>
  <si>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</si>
  <si>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</si>
  <si>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</si>
  <si>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</si>
  <si>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</si>
  <si>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</si>
  <si>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</si>
  <si>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</si>
  <si>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</si>
  <si>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</si>
  <si>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</si>
  <si>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</si>
  <si>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</si>
  <si>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</si>
  <si>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</si>
  <si>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</si>
  <si>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</si>
  <si>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</si>
  <si>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</si>
  <si>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</si>
  <si>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</si>
  <si>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</si>
  <si>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</si>
  <si>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</si>
  <si>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</si>
  <si>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</si>
  <si>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</si>
  <si>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</si>
  <si>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</si>
  <si>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</si>
  <si>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</si>
  <si>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</si>
  <si>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</si>
  <si>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</si>
  <si>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</si>
  <si>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</si>
  <si>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</si>
  <si>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</si>
  <si>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</si>
  <si>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</si>
  <si>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</si>
  <si>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</si>
  <si>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</si>
  <si>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</si>
  <si>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</si>
  <si>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</si>
  <si>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</si>
  <si>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</si>
  <si>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</si>
  <si>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</si>
  <si>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</si>
  <si>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</si>
  <si>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</si>
  <si>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</si>
  <si>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</si>
  <si>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</si>
  <si>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</si>
  <si>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</si>
  <si>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</si>
  <si>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</si>
  <si>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</si>
  <si>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</si>
  <si>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</si>
  <si>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</si>
  <si>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</si>
  <si>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</si>
  <si>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</si>
  <si>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</si>
  <si>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</si>
  <si>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</si>
  <si>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</si>
  <si>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</si>
  <si>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</si>
  <si>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</si>
  <si>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</si>
  <si>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</si>
  <si>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</si>
  <si>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</si>
  <si>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</si>
  <si>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</si>
  <si>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</si>
  <si>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</si>
  <si>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</si>
  <si>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</si>
  <si>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</si>
  <si>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</si>
  <si>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</si>
  <si>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</si>
  <si>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</si>
  <si>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</si>
  <si>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</si>
  <si>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</si>
  <si>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</si>
  <si>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</si>
  <si>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</si>
  <si>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</si>
  <si>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</si>
  <si>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</si>
  <si>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</si>
  <si>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</si>
  <si>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</si>
  <si>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</si>
  <si>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</si>
  <si>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</si>
  <si>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</si>
  <si>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</si>
  <si>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</si>
  <si>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</si>
  <si>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</si>
  <si>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</si>
  <si>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</si>
  <si>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</si>
  <si>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</si>
  <si>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</si>
  <si>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</si>
  <si>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</si>
  <si>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</si>
  <si>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</si>
  <si>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</si>
  <si>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</si>
  <si>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</si>
  <si>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</si>
  <si>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</si>
  <si>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</si>
  <si>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</si>
  <si>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</si>
  <si>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</si>
  <si>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</si>
  <si>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</si>
  <si>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</si>
  <si>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</si>
  <si>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</si>
  <si>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</si>
  <si>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</si>
  <si>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</si>
  <si>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</si>
  <si>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</si>
  <si>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</si>
  <si>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</si>
  <si>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</si>
  <si>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</si>
  <si>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</si>
  <si>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</si>
  <si>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</si>
  <si>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</si>
  <si>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</si>
  <si>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</si>
  <si>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</si>
  <si>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</si>
  <si>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</si>
  <si>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</si>
  <si>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</si>
  <si>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</si>
  <si>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</si>
  <si>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</si>
  <si>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</si>
  <si>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</si>
  <si>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</si>
  <si>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</si>
  <si>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</si>
  <si>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</si>
  <si>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</si>
  <si>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</si>
  <si>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</si>
  <si>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</si>
  <si>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</si>
  <si>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</si>
  <si>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</si>
  <si>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</si>
  <si>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</si>
  <si>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</si>
  <si>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</si>
  <si>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</si>
  <si>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</si>
  <si>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</si>
  <si>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</si>
  <si>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</si>
  <si>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</si>
  <si>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</si>
  <si>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</si>
  <si>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</si>
  <si>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</si>
  <si>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</si>
  <si>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</si>
  <si>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</si>
  <si>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</si>
  <si>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</si>
  <si>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</si>
  <si>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</si>
  <si>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</si>
  <si>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</si>
  <si>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</si>
  <si>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</si>
  <si>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</si>
  <si>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</si>
  <si>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</si>
  <si>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</si>
  <si>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</si>
  <si>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</si>
  <si>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</si>
  <si>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</si>
  <si>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</si>
  <si>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</si>
  <si>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</si>
  <si>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</si>
  <si>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</si>
  <si>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</si>
  <si>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</si>
  <si>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</si>
  <si>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</si>
  <si>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</si>
  <si>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</si>
  <si>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</si>
  <si>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</si>
  <si>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</si>
  <si>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</si>
  <si>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</si>
  <si>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</si>
  <si>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</si>
  <si>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</si>
  <si>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</si>
  <si>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</si>
  <si>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</si>
  <si>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</si>
  <si>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</si>
  <si>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</si>
  <si>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</si>
  <si>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</si>
  <si>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</si>
  <si>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</si>
  <si>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</si>
  <si>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</si>
  <si>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</si>
  <si>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</si>
  <si>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</si>
  <si>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</si>
  <si>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</si>
  <si>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</si>
  <si>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</si>
  <si>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</si>
  <si>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</si>
  <si>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</si>
  <si>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</si>
  <si>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</si>
  <si>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</si>
  <si>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</si>
  <si>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</si>
  <si>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</si>
  <si>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</si>
  <si>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</si>
  <si>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</si>
  <si>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</si>
  <si>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</si>
  <si>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</si>
  <si>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</si>
  <si>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</si>
  <si>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</si>
  <si>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</si>
  <si>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</si>
  <si>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</si>
  <si>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</si>
  <si>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</si>
  <si>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</si>
  <si>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</si>
  <si>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</si>
  <si>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</si>
  <si>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</si>
  <si>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</si>
  <si>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</si>
  <si>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</si>
  <si>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</si>
  <si>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</si>
  <si>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</si>
  <si>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</si>
  <si>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</si>
  <si>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</si>
  <si>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</si>
  <si>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</si>
  <si>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</si>
  <si>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</si>
  <si>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</si>
  <si>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</si>
  <si>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</si>
  <si>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</si>
  <si>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</si>
  <si>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</si>
  <si>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</si>
  <si>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</si>
  <si>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</si>
  <si>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</si>
  <si>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</si>
  <si>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</si>
  <si>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</si>
  <si>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</si>
  <si>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</si>
  <si>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</si>
  <si>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</si>
  <si>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</si>
  <si>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</si>
  <si>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</si>
  <si>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</si>
  <si>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</si>
  <si>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</si>
  <si>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</si>
  <si>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</si>
  <si>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</si>
  <si>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</si>
  <si>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</si>
  <si>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</si>
  <si>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</si>
  <si>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</si>
  <si>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</si>
  <si>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</si>
  <si>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</si>
  <si>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</si>
  <si>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</si>
  <si>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</si>
  <si>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</si>
  <si>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</si>
  <si>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</si>
  <si>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</si>
  <si>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</si>
  <si>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</si>
  <si>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</si>
  <si>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</si>
  <si>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</si>
  <si>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</si>
  <si>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</si>
  <si>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</si>
  <si>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</si>
  <si>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</si>
  <si>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</si>
  <si>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</si>
  <si>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</si>
  <si>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</si>
  <si>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</si>
  <si>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</si>
  <si>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</si>
  <si>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</si>
  <si>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</si>
  <si>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</si>
  <si>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</si>
  <si>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</si>
  <si>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</si>
  <si>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</si>
  <si>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</si>
  <si>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</si>
  <si>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</si>
  <si>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</si>
  <si>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</si>
  <si>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</si>
  <si>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</si>
  <si>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</si>
  <si>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</si>
  <si>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</si>
  <si>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</si>
  <si>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</si>
  <si>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</si>
  <si>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</si>
  <si>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</si>
  <si>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</si>
  <si>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</si>
  <si>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</si>
  <si>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</si>
  <si>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</si>
  <si>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</si>
  <si>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</si>
  <si>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</si>
  <si>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</si>
  <si>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</si>
  <si>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</si>
  <si>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</si>
  <si>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</si>
  <si>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</si>
  <si>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</si>
  <si>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</si>
  <si>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</si>
  <si>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</si>
  <si>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</si>
  <si>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</si>
  <si>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</si>
  <si>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</si>
  <si>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</si>
  <si>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</si>
  <si>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</si>
  <si>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</si>
  <si>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</si>
  <si>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</si>
  <si>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</si>
  <si>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</si>
  <si>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</si>
  <si>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</si>
  <si>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</si>
  <si>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</si>
  <si>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</si>
  <si>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</si>
  <si>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</si>
  <si>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</si>
  <si>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</si>
  <si>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</si>
  <si>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</si>
  <si>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</si>
  <si>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</si>
  <si>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</si>
  <si>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</si>
  <si>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</si>
  <si>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</si>
  <si>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</si>
  <si>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</si>
  <si>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</si>
  <si>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</si>
  <si>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</si>
  <si>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</si>
  <si>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</si>
  <si>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</si>
  <si>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</si>
  <si>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</si>
  <si>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</si>
  <si>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</si>
  <si>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</si>
  <si>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</si>
  <si>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</si>
  <si>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</si>
  <si>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</si>
  <si>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</si>
  <si>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</si>
  <si>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</si>
  <si>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</si>
  <si>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</si>
  <si>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</si>
  <si>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</si>
  <si>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</si>
  <si>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</si>
  <si>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</si>
  <si>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</si>
  <si>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</si>
  <si>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</si>
  <si>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</si>
  <si>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</si>
  <si>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</si>
  <si>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</si>
  <si>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</si>
  <si>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</si>
  <si>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</si>
  <si>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</si>
  <si>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</si>
  <si>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</si>
  <si>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</si>
  <si>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</si>
  <si>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</si>
  <si>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</si>
  <si>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</si>
  <si>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</si>
  <si>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</si>
  <si>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</si>
  <si>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</si>
  <si>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</si>
  <si>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</si>
  <si>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</si>
  <si>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</si>
  <si>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</si>
  <si>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</si>
  <si>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</si>
  <si>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</si>
  <si>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</si>
  <si>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</si>
  <si>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</si>
  <si>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</si>
  <si>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</si>
  <si>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</si>
  <si>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</si>
  <si>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</si>
  <si>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</si>
  <si>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</si>
  <si>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</si>
  <si>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</si>
  <si>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</si>
  <si>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</si>
  <si>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</si>
  <si>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</si>
  <si>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</si>
  <si>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</si>
  <si>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</si>
  <si>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</si>
  <si>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</si>
  <si>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</si>
  <si>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</si>
  <si>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</si>
  <si>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</si>
  <si>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</si>
  <si>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</si>
  <si>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</si>
  <si>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</si>
  <si>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</si>
  <si>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</si>
  <si>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</si>
  <si>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</si>
  <si>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</si>
  <si>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</si>
  <si>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</si>
  <si>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</si>
  <si>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</si>
  <si>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</si>
  <si>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</si>
  <si>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</si>
  <si>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</si>
  <si>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</si>
  <si>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</si>
  <si>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</si>
  <si>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</si>
  <si>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</si>
  <si>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</si>
  <si>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</si>
  <si>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</si>
  <si>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</si>
  <si>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</si>
  <si>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</si>
  <si>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</si>
  <si>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</si>
  <si>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</si>
  <si>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</si>
  <si>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</si>
  <si>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</si>
  <si>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</si>
  <si>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</si>
  <si>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</si>
  <si>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</si>
  <si>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</si>
  <si>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</si>
  <si>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</si>
  <si>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</si>
  <si>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</si>
  <si>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</si>
  <si>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</si>
  <si>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</si>
  <si>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</si>
  <si>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</si>
  <si>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</si>
  <si>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</si>
  <si>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</si>
  <si>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</si>
  <si>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</si>
  <si>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</si>
  <si>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</si>
  <si>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</si>
  <si>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</si>
  <si>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</si>
  <si>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</si>
  <si>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</si>
  <si>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</si>
  <si>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</si>
  <si>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</si>
  <si>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</si>
  <si>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</si>
  <si>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</si>
  <si>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</si>
  <si>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</si>
  <si>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</si>
  <si>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</si>
  <si>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</si>
  <si>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</si>
  <si>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</si>
  <si>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</si>
  <si>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</si>
  <si>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</si>
  <si>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</si>
  <si>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</si>
  <si>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</si>
  <si>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</si>
  <si>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</si>
  <si>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</si>
  <si>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</si>
  <si>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</si>
  <si>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</si>
  <si>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</si>
  <si>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</si>
  <si>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</si>
  <si>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</si>
  <si>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</si>
  <si>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</si>
  <si>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</si>
  <si>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</si>
  <si>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</si>
  <si>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</si>
  <si>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</si>
  <si>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</si>
  <si>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 xml:space="preserve">Eden Housing, Inc. &amp; Community Housing Development Corporation of North Richmond </t>
  </si>
  <si>
    <t>PROJECT NAME:</t>
  </si>
  <si>
    <t xml:space="preserve">Legacy Court </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</si>
  <si>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</si>
  <si>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</si>
  <si>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</si>
  <si>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</si>
  <si>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</si>
  <si>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</si>
  <si>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</si>
  <si>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</si>
  <si>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</si>
  <si>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</si>
  <si>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Yes</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</si>
  <si>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</si>
  <si>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</si>
  <si>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</si>
  <si>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</si>
  <si>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</si>
  <si>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</si>
  <si>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</si>
  <si>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</si>
  <si>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</si>
  <si>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</si>
  <si>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</si>
  <si>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</si>
  <si>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</si>
  <si>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</si>
  <si>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</si>
  <si>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</si>
  <si>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</si>
  <si>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</si>
  <si>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</si>
  <si>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</si>
  <si>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</si>
  <si>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</si>
  <si>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</si>
  <si>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</si>
  <si>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</si>
  <si>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</si>
  <si>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</si>
  <si>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</si>
  <si>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</si>
  <si>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</si>
  <si>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</si>
  <si>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</si>
  <si>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</si>
  <si>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</si>
  <si>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</si>
  <si>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</si>
  <si>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</si>
  <si>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</si>
  <si>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</si>
  <si>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</si>
  <si>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</si>
  <si>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</si>
  <si>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</si>
  <si>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</si>
  <si>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</si>
  <si>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</si>
  <si>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</si>
  <si>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</si>
  <si>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</si>
  <si>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</si>
  <si>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</si>
  <si>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</si>
  <si>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</si>
  <si>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</si>
  <si>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</si>
  <si>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</si>
  <si>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</si>
  <si>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</si>
  <si>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</si>
  <si>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</si>
  <si>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</si>
  <si>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</si>
  <si>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</si>
  <si>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</si>
  <si>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</si>
  <si>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</si>
  <si>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</si>
  <si>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</si>
  <si>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</si>
  <si>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</si>
  <si>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</si>
  <si>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</si>
  <si>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</si>
  <si>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</si>
  <si>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</si>
  <si>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</si>
  <si>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</si>
  <si>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</si>
  <si>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August</t>
  </si>
  <si>
    <t>, 2023 at</t>
  </si>
  <si>
    <t xml:space="preserve">By: </t>
  </si>
  <si>
    <t>(Original Signature)</t>
  </si>
  <si>
    <t>Hayward</t>
  </si>
  <si>
    <t>, California.</t>
  </si>
  <si>
    <t>Andrea Osgood</t>
  </si>
  <si>
    <t>(Typed or printed name)</t>
  </si>
  <si>
    <t>Chief of Real Estate Development</t>
  </si>
  <si>
    <t>(Title)</t>
  </si>
  <si>
    <t>Local Jurisdiction:</t>
  </si>
  <si>
    <t xml:space="preserve">City of Richmond </t>
  </si>
  <si>
    <t>City Manager:</t>
  </si>
  <si>
    <t xml:space="preserve">Shasa Curl </t>
  </si>
  <si>
    <t>*</t>
  </si>
  <si>
    <t>ALAMEDA</t>
  </si>
  <si>
    <t>Alameda</t>
  </si>
  <si>
    <t>Title:</t>
  </si>
  <si>
    <t>City Manager</t>
  </si>
  <si>
    <t>ALPINE</t>
  </si>
  <si>
    <t>Alpine</t>
  </si>
  <si>
    <t xml:space="preserve">Mailing Address: </t>
  </si>
  <si>
    <t xml:space="preserve">450 Civic Center Plaza, Suite 300, Richmond, CA 94804																			</t>
  </si>
  <si>
    <t>AMADOR</t>
  </si>
  <si>
    <t>Amador</t>
  </si>
  <si>
    <t xml:space="preserve">City: </t>
  </si>
  <si>
    <t>Richmond</t>
  </si>
  <si>
    <t>BUTTE</t>
  </si>
  <si>
    <t>Butte</t>
  </si>
  <si>
    <t xml:space="preserve">Zip Code: </t>
  </si>
  <si>
    <t>No</t>
  </si>
  <si>
    <t>CALAVERAS</t>
  </si>
  <si>
    <t>Calaveras</t>
  </si>
  <si>
    <t>Phone Number:</t>
  </si>
  <si>
    <t>510-620-6512</t>
  </si>
  <si>
    <t>Ext.</t>
  </si>
  <si>
    <t>COLUSA</t>
  </si>
  <si>
    <t>Colusa</t>
  </si>
  <si>
    <t xml:space="preserve">FAX Number: </t>
  </si>
  <si>
    <t>510-620-6542</t>
  </si>
  <si>
    <t>CONTRA COSTA</t>
  </si>
  <si>
    <t>Contra Costa</t>
  </si>
  <si>
    <t xml:space="preserve">E-mail: </t>
  </si>
  <si>
    <t>shasa_curl@ci.richmond.ca.us</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</si>
  <si>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</si>
  <si>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</si>
  <si>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</si>
  <si>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</si>
  <si>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</si>
  <si>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</si>
  <si>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</si>
  <si>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</si>
  <si>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</si>
  <si>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</si>
  <si>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</si>
  <si>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</si>
  <si>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</si>
  <si>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</si>
  <si>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</si>
  <si>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</si>
  <si>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</si>
  <si>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</si>
  <si>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</si>
  <si>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</si>
  <si>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</si>
  <si>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</si>
  <si>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</si>
  <si>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</si>
  <si>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</si>
  <si>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</si>
  <si>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</si>
  <si>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</si>
  <si>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</si>
  <si>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</si>
  <si>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</si>
  <si>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</si>
  <si>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</si>
  <si>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</si>
  <si>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</si>
  <si>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</si>
  <si>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</si>
  <si>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</si>
  <si>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</si>
  <si>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</si>
  <si>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</si>
  <si>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</si>
  <si>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</si>
  <si>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</si>
  <si>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</si>
  <si>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</si>
  <si>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</si>
  <si>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</si>
  <si>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</si>
  <si>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</si>
  <si>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</si>
  <si>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</si>
  <si>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</si>
  <si>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</si>
  <si>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</si>
  <si>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</si>
  <si>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</si>
  <si>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</si>
  <si>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</si>
  <si>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</si>
  <si>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</si>
  <si>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</si>
  <si>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1243-1267, 1300-1324, 1329 Fred Jackson Way 																						</t>
  </si>
  <si>
    <t>Federal and State:</t>
  </si>
  <si>
    <t>NEVADA</t>
  </si>
  <si>
    <t>Nevada</t>
  </si>
  <si>
    <t>If address is not established, enter detailed description (i.e. NW corner of 26th and Elm)</t>
  </si>
  <si>
    <t>ORANGE</t>
  </si>
  <si>
    <t>Orange</t>
  </si>
  <si>
    <t>PLACER</t>
  </si>
  <si>
    <t>Placer</t>
  </si>
  <si>
    <t>PLUMAS</t>
  </si>
  <si>
    <t>Plumas</t>
  </si>
  <si>
    <t>City:</t>
  </si>
  <si>
    <t xml:space="preserve">Richmond							</t>
  </si>
  <si>
    <t>County:</t>
  </si>
  <si>
    <t>RIVERSIDE</t>
  </si>
  <si>
    <t>Riverside</t>
  </si>
  <si>
    <t>Zip Code:</t>
  </si>
  <si>
    <t xml:space="preserve">94801					</t>
  </si>
  <si>
    <t>Census Tract:</t>
  </si>
  <si>
    <t>Large Family</t>
  </si>
  <si>
    <t>SACRAMENTO</t>
  </si>
  <si>
    <t>Sacramento</t>
  </si>
  <si>
    <t>Assessor's Parcel Number(s):</t>
  </si>
  <si>
    <t xml:space="preserve">561192029, 561192030, 561192031, 561151007, 561151008, 561151009, 561151011, 561162031, 561162032, 561162033, 561162034																	
																	</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</si>
  <si>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</si>
  <si>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</si>
  <si>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</si>
  <si>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</si>
  <si>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</si>
  <si>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</si>
  <si>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</si>
  <si>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</si>
  <si>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</si>
  <si>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</si>
  <si>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</si>
  <si>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</si>
  <si>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</si>
  <si>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</si>
  <si>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</si>
  <si>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</si>
  <si>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</si>
  <si>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</si>
  <si>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</si>
  <si>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</si>
  <si>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</si>
  <si>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</si>
  <si>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</si>
  <si>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</si>
  <si>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</si>
  <si>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</si>
  <si>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</si>
  <si>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</si>
  <si>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</si>
  <si>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</si>
  <si>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</si>
  <si>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</si>
  <si>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</si>
  <si>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</si>
  <si>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</si>
  <si>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</si>
  <si>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</si>
  <si>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Low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</si>
  <si>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</si>
  <si>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</si>
  <si>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</si>
  <si>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</si>
  <si>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</si>
  <si>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</si>
  <si>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</si>
  <si>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</si>
  <si>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</si>
  <si>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</si>
  <si>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</si>
  <si>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</si>
  <si>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</si>
  <si>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</si>
  <si>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</si>
  <si>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</si>
  <si>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</si>
  <si>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</si>
  <si>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</si>
  <si>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</si>
  <si>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</si>
  <si>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</si>
  <si>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</si>
  <si>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</si>
  <si>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</si>
  <si>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</si>
  <si>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</si>
  <si>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</si>
  <si>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</si>
  <si>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</si>
  <si>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</si>
  <si>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</si>
  <si>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</si>
  <si>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</si>
  <si>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</si>
  <si>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</si>
  <si>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</si>
  <si>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Highest Resource</t>
  </si>
  <si>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</si>
  <si>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</si>
  <si>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</si>
  <si>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</si>
  <si>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</si>
  <si>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</si>
  <si>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</si>
  <si>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</si>
  <si>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</si>
  <si>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</si>
  <si>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</si>
  <si>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</si>
  <si>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</si>
  <si>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</si>
  <si>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</si>
  <si>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</si>
  <si>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</si>
  <si>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</si>
  <si>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</si>
  <si>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</si>
  <si>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</si>
  <si>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</si>
  <si>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</si>
  <si>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</si>
  <si>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</si>
  <si>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</si>
  <si>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</si>
  <si>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</si>
  <si>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</si>
  <si>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</si>
  <si>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</si>
  <si>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</si>
  <si>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</si>
  <si>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</si>
  <si>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</si>
  <si>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</si>
  <si>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</si>
  <si>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</si>
  <si>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</si>
  <si>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</si>
  <si>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</si>
  <si>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</si>
  <si>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</si>
  <si>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</si>
  <si>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</si>
  <si>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</si>
  <si>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</si>
  <si>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</si>
  <si>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</si>
  <si>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</si>
  <si>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</si>
  <si>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</si>
  <si>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 xml:space="preserve">22645 Grand Street																		</t>
  </si>
  <si>
    <t>both nonprofits</t>
  </si>
  <si>
    <t xml:space="preserve">Hayward							</t>
  </si>
  <si>
    <t>State:</t>
  </si>
  <si>
    <t>Ca</t>
  </si>
  <si>
    <t>Contact Person:</t>
  </si>
  <si>
    <t xml:space="preserve">Andrea Osgood </t>
  </si>
  <si>
    <t>Phone:</t>
  </si>
  <si>
    <t xml:space="preserve">510-247-8103					</t>
  </si>
  <si>
    <t>Ext.:</t>
  </si>
  <si>
    <t>Fax:</t>
  </si>
  <si>
    <t>both for-profit</t>
  </si>
  <si>
    <t xml:space="preserve">Email: </t>
  </si>
  <si>
    <t xml:space="preserve">aosgood@edenhousing.org																		</t>
  </si>
  <si>
    <t>Legal Status of Applicant:</t>
  </si>
  <si>
    <t>Parent Company:</t>
  </si>
  <si>
    <t>If Other, Specify:</t>
  </si>
  <si>
    <t>Nonprofit</t>
  </si>
  <si>
    <t>C(1)</t>
  </si>
  <si>
    <t>General Partner Name:</t>
  </si>
  <si>
    <t>Legacy Court LLC</t>
  </si>
  <si>
    <t>Managing GP</t>
  </si>
  <si>
    <t>currently exists</t>
  </si>
  <si>
    <t>22645 Grand Street</t>
  </si>
  <si>
    <t>to be formed</t>
  </si>
  <si>
    <t>For Profit</t>
  </si>
  <si>
    <t xml:space="preserve">Hayward 							</t>
  </si>
  <si>
    <t xml:space="preserve">Andrea Osgood																		</t>
  </si>
  <si>
    <t>Nonprofit/For Profit:</t>
  </si>
  <si>
    <t xml:space="preserve">Eden Investments, Inc. and Community Housing Development Corporation of North Richmond </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</si>
  <si>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</si>
  <si>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</si>
  <si>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</si>
  <si>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</si>
  <si>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</si>
  <si>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</si>
  <si>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</si>
  <si>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</si>
  <si>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</si>
  <si>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</si>
  <si>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 xml:space="preserve">Eden Housing, Inc. </t>
  </si>
  <si>
    <t xml:space="preserve">Hayward </t>
  </si>
  <si>
    <t>CA</t>
  </si>
  <si>
    <t xml:space="preserve">Max Heninger </t>
  </si>
  <si>
    <t>510-331-6329</t>
  </si>
  <si>
    <t>Max.Heninger@edenhousing.org</t>
  </si>
  <si>
    <t>Participatory Role:</t>
  </si>
  <si>
    <t xml:space="preserve">Senior Project Developer </t>
  </si>
  <si>
    <t>(e.g., General Partner, Consultant, etc.)</t>
  </si>
  <si>
    <t>II. APPLICATION - SECTION 4: DEVELOPMENT TEAM INFORMATION</t>
  </si>
  <si>
    <t>Indicate and List All Development Team Members</t>
  </si>
  <si>
    <t>Developer:</t>
  </si>
  <si>
    <t xml:space="preserve">Eden Housing Inc. &amp; Community Housing Development Corporation of North Richmond										</t>
  </si>
  <si>
    <t>Architect:</t>
  </si>
  <si>
    <t xml:space="preserve">Kodama Diseno Architects										</t>
  </si>
  <si>
    <t>Address:</t>
  </si>
  <si>
    <t xml:space="preserve">22645 Grand Street										</t>
  </si>
  <si>
    <t xml:space="preserve">3160 College Ave. Suite 201										</t>
  </si>
  <si>
    <t>City, State, Zip</t>
  </si>
  <si>
    <t xml:space="preserve">Hayward, CA 94541										</t>
  </si>
  <si>
    <t>City, State, Zip:</t>
  </si>
  <si>
    <t xml:space="preserve">Berkeley, CA 94705										</t>
  </si>
  <si>
    <t xml:space="preserve">Andrea Osgood 										</t>
  </si>
  <si>
    <t xml:space="preserve">Steven Kodama										</t>
  </si>
  <si>
    <t xml:space="preserve">(510)986-0696					</t>
  </si>
  <si>
    <t>Email:</t>
  </si>
  <si>
    <t xml:space="preserve">aosgood@edenhousing.org										</t>
  </si>
  <si>
    <t xml:space="preserve">skodama@kodamadiseno.com </t>
  </si>
  <si>
    <t>Attorney:</t>
  </si>
  <si>
    <t>Gubb &amp; Barshay, LLP</t>
  </si>
  <si>
    <t>General Contractor:</t>
  </si>
  <si>
    <t>Contract Pending</t>
  </si>
  <si>
    <t>235 Montgomery Street</t>
  </si>
  <si>
    <t>San Francisco, CA 94104</t>
  </si>
  <si>
    <t>Evan Gross</t>
  </si>
  <si>
    <t xml:space="preserve">(415) 781-6600					</t>
  </si>
  <si>
    <t xml:space="preserve">egross@gubbandbarshay.com										</t>
  </si>
  <si>
    <t>Tax Professional:</t>
  </si>
  <si>
    <t>Energy Consultant:</t>
  </si>
  <si>
    <t>CPA:</t>
  </si>
  <si>
    <t>Cohn Reznick</t>
  </si>
  <si>
    <t>Investor:</t>
  </si>
  <si>
    <t>TBD</t>
  </si>
  <si>
    <t>621 Capital Mall, Suite 2150</t>
  </si>
  <si>
    <t>Sacramento, CA 95814</t>
  </si>
  <si>
    <t xml:space="preserve">Laura Wilder										</t>
  </si>
  <si>
    <t xml:space="preserve">916-930-5732					</t>
  </si>
  <si>
    <t xml:space="preserve">916-442-9103					</t>
  </si>
  <si>
    <t>Laura.Wilder@CohnReznick.com</t>
  </si>
  <si>
    <t>Consultant:</t>
  </si>
  <si>
    <t xml:space="preserve">Community Economics, Inc. </t>
  </si>
  <si>
    <t>Market Analyst:</t>
  </si>
  <si>
    <t>Novogradac</t>
  </si>
  <si>
    <t>538 9th Street, Suite 200</t>
  </si>
  <si>
    <t>4849 Greenville Avenue, First Floor, Building 2</t>
  </si>
  <si>
    <t>Oakland, CA 94607</t>
  </si>
  <si>
    <t>Dallas, Texas 75206</t>
  </si>
  <si>
    <t xml:space="preserve">Diana Downton </t>
  </si>
  <si>
    <t xml:space="preserve">Rebecca Arthur 										</t>
  </si>
  <si>
    <t>(510) 832-8300</t>
  </si>
  <si>
    <t xml:space="preserve">5		</t>
  </si>
  <si>
    <t>(913)312-4615</t>
  </si>
  <si>
    <t xml:space="preserve">diana@communityeconomics.org										</t>
  </si>
  <si>
    <t>rebecca.arthur@novoco.com</t>
  </si>
  <si>
    <t>Appraiser:</t>
  </si>
  <si>
    <t>Prop. Mgmt. Co.:</t>
  </si>
  <si>
    <t xml:space="preserve">Eden Housing Management, Inc. 										</t>
  </si>
  <si>
    <t>4849 Greenville Avenue First Floor, Building 2</t>
  </si>
  <si>
    <t>Rebecca Arthur</t>
  </si>
  <si>
    <t xml:space="preserve">Janet Acevedo 										</t>
  </si>
  <si>
    <t>(913) 312-4615</t>
  </si>
  <si>
    <t>510-247-8110</t>
  </si>
  <si>
    <t xml:space="preserve">8169		</t>
  </si>
  <si>
    <t xml:space="preserve">Janet.Acevedo@edenhousing.org										</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</si>
  <si>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</si>
  <si>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</si>
  <si>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</si>
  <si>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</si>
  <si>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</si>
  <si>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</si>
  <si>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</si>
  <si>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</si>
  <si>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</si>
  <si>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</si>
  <si>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</si>
  <si>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</si>
  <si>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</si>
  <si>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</si>
  <si>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</si>
  <si>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</si>
  <si>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</si>
  <si>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</si>
  <si>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</si>
  <si>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</si>
  <si>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</si>
  <si>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</si>
  <si>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</si>
  <si>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</si>
  <si>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</si>
  <si>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</si>
  <si>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</si>
  <si>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</si>
  <si>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</si>
  <si>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</si>
  <si>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</si>
  <si>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</si>
  <si>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</si>
  <si>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</si>
  <si>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Multiple Sellers (Griselda Ledesma, Mollie L Higgs, Ron Ikebe, George Edward Thompson and Cubie Laverne Thompson, Metro United Bank) 											</t>
  </si>
  <si>
    <t>Signatory of Seller:</t>
  </si>
  <si>
    <t xml:space="preserve">Multiple Sellers (Griselda Ledesma, Mollie L Higgs, Ron Ikebe, George Edward Thompson and Cubie Laverne Thompson, Henry Lee and Lily Young) 							</t>
  </si>
  <si>
    <t>Seller Principal:</t>
  </si>
  <si>
    <t>Seller Address:</t>
  </si>
  <si>
    <t xml:space="preserve">Date of Purchase Contract or Option:  </t>
  </si>
  <si>
    <t>04/29/02; 05/31/02; 12/30/05; 04/13/07; 07/08/09; 03/29/11</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</si>
  <si>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</si>
  <si>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</si>
  <si>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</si>
  <si>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</si>
  <si>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</si>
  <si>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</si>
  <si>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</si>
  <si>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</si>
  <si>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</si>
  <si>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</si>
  <si>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</si>
  <si>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</si>
  <si>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</si>
  <si>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</si>
  <si>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</si>
  <si>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</si>
  <si>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</si>
  <si>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</si>
  <si>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</si>
  <si>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</si>
  <si>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</si>
  <si>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</si>
  <si>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</si>
  <si>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</si>
  <si>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Townhouse or Row House</t>
  </si>
  <si>
    <t>Two or More Story With an Elevator:</t>
  </si>
  <si>
    <t xml:space="preserve"> if yes, enter number of stories:</t>
  </si>
  <si>
    <t>Two or More Story Without an Elevator:</t>
  </si>
  <si>
    <t>One or More Levels of Subterranean Parking:</t>
  </si>
  <si>
    <t>Other:</t>
  </si>
  <si>
    <t xml:space="preserve">The project design concept consists of seven (7) individual, 2 and 3 story buildings, with townhouse apartments over flats. </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</si>
  <si>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</si>
  <si>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</si>
  <si>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</si>
  <si>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</si>
  <si>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</si>
  <si>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</si>
  <si>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</si>
  <si>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</si>
  <si>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</si>
  <si>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</si>
  <si>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</si>
  <si>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</si>
  <si>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</si>
  <si>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</si>
  <si>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</si>
  <si>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</si>
  <si>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</si>
  <si>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</si>
  <si>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</si>
  <si>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</si>
  <si>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</si>
  <si>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</si>
  <si>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</si>
  <si>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</si>
  <si>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</si>
  <si>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</si>
  <si>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</si>
  <si>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</si>
  <si>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</si>
  <si>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</si>
  <si>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</si>
  <si>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</si>
  <si>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</si>
  <si>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</si>
  <si>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</si>
  <si>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</si>
  <si>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</si>
  <si>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</si>
  <si>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</si>
  <si>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</si>
  <si>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</si>
  <si>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</si>
  <si>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</si>
  <si>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</si>
  <si>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</si>
  <si>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</si>
  <si>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</si>
  <si>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</si>
  <si>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</si>
  <si>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</si>
  <si>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</si>
  <si>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</si>
  <si>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</si>
  <si>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</si>
  <si>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</si>
  <si>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 xml:space="preserve">RM-1 Medium Density Multi-Family Residential </t>
  </si>
  <si>
    <t>Current Zoning and Maximum Density</t>
  </si>
  <si>
    <t>RM-1 Medium Density Multi-Family Residential; 27 units/net acre</t>
  </si>
  <si>
    <t>Proposed Zoning and Maximum Density</t>
  </si>
  <si>
    <t>Occupancy restrictions that run with the land due to CUP’s or density bonuses?</t>
  </si>
  <si>
    <t>(if yes, explain here)</t>
  </si>
  <si>
    <t>Subject to any affordable housing ordinances?</t>
  </si>
  <si>
    <t>Building Height Requirements</t>
  </si>
  <si>
    <t xml:space="preserve">Main building maximum height (35 ft), Accessory building maximum height (12 ft), Maximum stories (3 stories). </t>
  </si>
  <si>
    <t>Required Parking Ratio</t>
  </si>
  <si>
    <t xml:space="preserve">1 bedroom (1 spaces/DU), 2 bedroom (1.5 spaces/DU), 3 bedroom (2 spaces/DU), supportive housing (0.24/bed).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</si>
  <si>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</si>
  <si>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</si>
  <si>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</si>
  <si>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</si>
  <si>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</si>
  <si>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</si>
  <si>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</si>
  <si>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</si>
  <si>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</si>
  <si>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</si>
  <si>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</si>
  <si>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</si>
  <si>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</si>
  <si>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</si>
  <si>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</si>
  <si>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</si>
  <si>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</si>
  <si>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</si>
  <si>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</si>
  <si>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</si>
  <si>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</si>
  <si>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</si>
  <si>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</si>
  <si>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</si>
  <si>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</si>
  <si>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</si>
  <si>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</si>
  <si>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</si>
  <si>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Contra Costa County- PLHA Funds (Loan)</t>
  </si>
  <si>
    <t>Closing or Award</t>
  </si>
  <si>
    <t xml:space="preserve">Type and Source: </t>
  </si>
  <si>
    <t>Contra Costa Counta- HOME Funds (Loan)</t>
  </si>
  <si>
    <t>Accrued Interest</t>
  </si>
  <si>
    <t>Cost Deferral</t>
  </si>
  <si>
    <t>Developer Fee, Deferral</t>
  </si>
  <si>
    <t>City of Richmond- Loan</t>
  </si>
  <si>
    <t>Developer Fee, Contribution</t>
  </si>
  <si>
    <t>Equity, Conventional</t>
  </si>
  <si>
    <t>Equity, General Partner</t>
  </si>
  <si>
    <t xml:space="preserve">City of Richmond- Grant </t>
  </si>
  <si>
    <t>Equity, LIHTC Investor</t>
  </si>
  <si>
    <t>Equity, Other Investor</t>
  </si>
  <si>
    <t>Grant</t>
  </si>
  <si>
    <t>HCD- No Place Like Home (NPLH)</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</si>
  <si>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</si>
  <si>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</si>
  <si>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</si>
  <si>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</si>
  <si>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</si>
  <si>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</si>
  <si>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</si>
  <si>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</si>
  <si>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</si>
  <si>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</si>
  <si>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</si>
  <si>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</si>
  <si>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</si>
  <si>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</si>
  <si>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</si>
  <si>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</si>
  <si>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</si>
  <si>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</si>
  <si>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</si>
  <si>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</si>
  <si>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</si>
  <si>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</si>
  <si>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</si>
  <si>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</si>
  <si>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</si>
  <si>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</si>
  <si>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</si>
  <si>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</si>
  <si>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</si>
  <si>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</si>
  <si>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</si>
  <si>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</si>
  <si>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t>
  </si>
  <si>
    <t>Variable</t>
  </si>
  <si>
    <t>Contra Costa County HOME</t>
  </si>
  <si>
    <t>Fixed</t>
  </si>
  <si>
    <t>Contra Costa County HOME ARP</t>
  </si>
  <si>
    <t>Contra Costa County PLHA</t>
  </si>
  <si>
    <t>Contra Costa County Measure X</t>
  </si>
  <si>
    <t>6)</t>
  </si>
  <si>
    <t>City of Richmond</t>
  </si>
  <si>
    <t>7)</t>
  </si>
  <si>
    <t>City of Richmond Grant</t>
  </si>
  <si>
    <t>8)</t>
  </si>
  <si>
    <t>DTSC</t>
  </si>
  <si>
    <t>9)</t>
  </si>
  <si>
    <t>GP Equity</t>
  </si>
  <si>
    <t>10)</t>
  </si>
  <si>
    <t xml:space="preserve">Investor Equity during Construction </t>
  </si>
  <si>
    <t>11)</t>
  </si>
  <si>
    <t>12)</t>
  </si>
  <si>
    <t>Total Funds For Construction:</t>
  </si>
  <si>
    <t>Lender/Source:</t>
  </si>
  <si>
    <t>4250 Executive Square, Ste 825</t>
  </si>
  <si>
    <t>30 Muir Road</t>
  </si>
  <si>
    <t>La Jolla, CA 92037</t>
  </si>
  <si>
    <t>Martinez, CA 94553</t>
  </si>
  <si>
    <t>Contact Name:</t>
  </si>
  <si>
    <t>Rosalind Ross</t>
  </si>
  <si>
    <t>Kathy Remick</t>
  </si>
  <si>
    <t>858-284-5812</t>
  </si>
  <si>
    <t>925-655-2887</t>
  </si>
  <si>
    <t>Type of Financing:</t>
  </si>
  <si>
    <t>Taxable Loan</t>
  </si>
  <si>
    <t>Residual Receipts Loan</t>
  </si>
  <si>
    <t>Is the Lender/Source Committed?</t>
  </si>
  <si>
    <t>450 Civic Center Plaza</t>
  </si>
  <si>
    <t>Richmond, CA 94804</t>
  </si>
  <si>
    <t>Lina Velasco</t>
  </si>
  <si>
    <t>510-620-6706</t>
  </si>
  <si>
    <t>Deferred Loan</t>
  </si>
  <si>
    <t>5796 Corporate Avenue</t>
  </si>
  <si>
    <t xml:space="preserve">Cypress, California 90630 </t>
  </si>
  <si>
    <t>low income</t>
  </si>
  <si>
    <t>Triss M. Chesney</t>
  </si>
  <si>
    <t>SRO/STUDIO</t>
  </si>
  <si>
    <t>1 Bedroom</t>
  </si>
  <si>
    <t>2 Bedrooms</t>
  </si>
  <si>
    <t>3 Bedrooms</t>
  </si>
  <si>
    <t>4+ Bedrooms</t>
  </si>
  <si>
    <t>5 Bedrooms</t>
  </si>
  <si>
    <t>lowest income</t>
  </si>
  <si>
    <t>714-484-5419</t>
  </si>
  <si>
    <t>SRO/Studio</t>
  </si>
  <si>
    <t>50-36</t>
  </si>
  <si>
    <t>&lt;=35</t>
  </si>
  <si>
    <t>4 Bedrooms</t>
  </si>
  <si>
    <t>22635 Grand Street</t>
  </si>
  <si>
    <t>Hayward, CA 94541</t>
  </si>
  <si>
    <t>510-247-8103</t>
  </si>
  <si>
    <t>Investor Equity</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</si>
  <si>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</si>
  <si>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</si>
  <si>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</si>
  <si>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</si>
  <si>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</si>
  <si>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</si>
  <si>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</si>
  <si>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</si>
  <si>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</si>
  <si>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Permanent Loan</t>
  </si>
  <si>
    <t>Required</t>
  </si>
  <si>
    <t>Residual</t>
  </si>
  <si>
    <t>Deferred</t>
  </si>
  <si>
    <t>TOTAL Manager BRs</t>
  </si>
  <si>
    <t>market rate</t>
  </si>
  <si>
    <t>No Place Like Home</t>
  </si>
  <si>
    <t>Total Permanent Financing:</t>
  </si>
  <si>
    <t>Total Tax Credit Equity:</t>
  </si>
  <si>
    <t>Total Sources of Project Funds:</t>
  </si>
  <si>
    <t>TOTAL Market BEDROOMS</t>
  </si>
  <si>
    <t>TOTAL Market BRs</t>
  </si>
  <si>
    <t>TOTAL LI &amp; Market BRs</t>
  </si>
  <si>
    <t xml:space="preserve">Kathy Remick </t>
  </si>
  <si>
    <t>total sum for threshold basis limit</t>
  </si>
  <si>
    <t>2020 W. El Camino Ave. Suite 670</t>
  </si>
  <si>
    <t>Sacramento, CA 94252</t>
  </si>
  <si>
    <t xml:space="preserve">Tanya Danna </t>
  </si>
  <si>
    <t>916-776-7709</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</si>
  <si>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</si>
  <si>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</si>
  <si>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</si>
  <si>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</si>
  <si>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</si>
  <si>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</si>
  <si>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</si>
  <si>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</si>
  <si>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</si>
  <si>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</si>
  <si>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</si>
  <si>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</si>
  <si>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</si>
  <si>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</si>
  <si>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</si>
  <si>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</si>
  <si>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</si>
  <si>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</si>
  <si>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</si>
  <si>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</si>
  <si>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</si>
  <si>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</si>
  <si>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</si>
  <si>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</si>
  <si>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</si>
  <si>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</si>
  <si>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</si>
  <si>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</si>
  <si>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</si>
  <si>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</si>
  <si>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</si>
  <si>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</si>
  <si>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</si>
  <si>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</si>
  <si>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</si>
  <si>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</si>
  <si>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</si>
  <si>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</si>
  <si>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20 yrs from Ops Start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</si>
  <si>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</si>
  <si>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</si>
  <si>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</si>
  <si>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</si>
  <si>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</si>
  <si>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</si>
  <si>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</si>
  <si>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</si>
  <si>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</si>
  <si>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</si>
  <si>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</si>
  <si>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</si>
  <si>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</si>
  <si>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</si>
  <si>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</si>
  <si>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</si>
  <si>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</si>
  <si>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</si>
  <si>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</si>
  <si>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</si>
  <si>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</si>
  <si>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 xml:space="preserve">Air Conditioning </t>
  </si>
  <si>
    <t>*PROJECTS PROPOSING UNITS WITH INDIVIDUAL WATER METERS MUST INCLUDE A WATER</t>
  </si>
  <si>
    <t>ALLOWANCE.</t>
  </si>
  <si>
    <t>Name of PHA or California Energy Commission Providing Utility Allowances:</t>
  </si>
  <si>
    <t>Housing Authority of Contra Costa County</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</si>
  <si>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</si>
  <si>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</si>
  <si>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</si>
  <si>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</si>
  <si>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</si>
  <si>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</si>
  <si>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</si>
  <si>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</si>
  <si>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</si>
  <si>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</si>
  <si>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</si>
  <si>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</si>
  <si>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</si>
  <si>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 xml:space="preserve">Other Renting Expenses, Office Salaries-Occupancy Compliance, Office Supplies, Equipment Leases, Postage/Delivery, Dues/Memberships/Subscriptions, Telephone/Answering Service, Uncollectable  Receivable, Bank Charges, Special Events &amp; Retreats, Computer Support &amp; Equipment, Training, Travel &amp; Lodging, Mileage, Payroll Costs									</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</si>
  <si>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</si>
  <si>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</si>
  <si>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</si>
  <si>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</si>
  <si>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</si>
  <si>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</si>
  <si>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</si>
  <si>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</si>
  <si>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</si>
  <si>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</si>
  <si>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</si>
  <si>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</si>
  <si>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</si>
  <si>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 xml:space="preserve">Payroll Taxes, Workmen's Compensation, Health Insurance, Pension Benefits									</t>
  </si>
  <si>
    <t>Total Payroll / Payroll Taxes:</t>
  </si>
  <si>
    <t>Total Insurance:</t>
  </si>
  <si>
    <t>Painting:</t>
  </si>
  <si>
    <t>Repairs:</t>
  </si>
  <si>
    <t>Trash Removal:</t>
  </si>
  <si>
    <t>Exterminating:</t>
  </si>
  <si>
    <t>Grounds:</t>
  </si>
  <si>
    <t>Elevator:</t>
  </si>
  <si>
    <t xml:space="preserve">Janitor &amp; Cleaning Contract, Janitor &amp; Cleaning Supplies, Maintence Supplies, Service Contract-Elevator, Service Contract-Plumbing, Service Contract-Electrical, Service Contract-HVAC/Mechanical, Decorating Contract, Decorating Supplies									</t>
  </si>
  <si>
    <t>Total Maintenance:</t>
  </si>
  <si>
    <t>Other Operating</t>
  </si>
  <si>
    <t>State Taxes</t>
  </si>
  <si>
    <t>Expenses</t>
  </si>
  <si>
    <t>Misc. Taxes, Licences, and Permit</t>
  </si>
  <si>
    <t>Property and Liability Insurance</t>
  </si>
  <si>
    <t xml:space="preserve">Real Estate Taxes </t>
  </si>
  <si>
    <t>(Misc 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</si>
  <si>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</si>
  <si>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</si>
  <si>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</si>
  <si>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</si>
  <si>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</si>
  <si>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</si>
  <si>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</si>
  <si>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</si>
  <si>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</si>
  <si>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</si>
  <si>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</si>
  <si>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</si>
  <si>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</si>
  <si>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</si>
  <si>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</si>
  <si>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</si>
  <si>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</si>
  <si>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</si>
  <si>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</si>
  <si>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</si>
  <si>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</si>
  <si>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</si>
  <si>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</si>
  <si>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</si>
  <si>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</si>
  <si>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</si>
  <si>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</si>
  <si>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</si>
  <si>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</si>
  <si>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</si>
  <si>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</si>
  <si>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</si>
  <si>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</si>
  <si>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</si>
  <si>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</si>
  <si>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</si>
  <si>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</si>
  <si>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</si>
  <si>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</si>
  <si>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</si>
  <si>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</si>
  <si>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</si>
  <si>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NPLH</t>
  </si>
  <si>
    <t>Local:</t>
  </si>
  <si>
    <t>Contra Costa County</t>
  </si>
  <si>
    <t>Indicate By Percent Of Units Affected, Any Rental Subsidy Expected To Be Available To The Project.</t>
  </si>
  <si>
    <t>Approval Date:</t>
  </si>
  <si>
    <t>Source:</t>
  </si>
  <si>
    <t>Section 8</t>
  </si>
  <si>
    <t>If Section 8:</t>
  </si>
  <si>
    <t>Project-based vouchers (PBVs)</t>
  </si>
  <si>
    <t>a</t>
  </si>
  <si>
    <t>Percentage:</t>
  </si>
  <si>
    <t>Units Subsidized:</t>
  </si>
  <si>
    <t>b</t>
  </si>
  <si>
    <t>Amount Per Year:</t>
  </si>
  <si>
    <t>c</t>
  </si>
  <si>
    <t>Total Subsidy:</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</si>
  <si>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</si>
  <si>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</si>
  <si>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</si>
  <si>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</si>
  <si>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</si>
  <si>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</si>
  <si>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</si>
  <si>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</si>
  <si>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</si>
  <si>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</si>
  <si>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</si>
  <si>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</si>
  <si>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</si>
  <si>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</si>
  <si>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</si>
  <si>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</si>
  <si>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</si>
  <si>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</si>
  <si>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</si>
  <si>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</si>
  <si>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</si>
  <si>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</si>
  <si>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</si>
  <si>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</si>
  <si>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</si>
  <si>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</si>
  <si>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</si>
  <si>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</si>
  <si>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</si>
  <si>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</si>
  <si>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</si>
  <si>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</si>
  <si>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</si>
  <si>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</si>
  <si>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</si>
  <si>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</si>
  <si>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</si>
  <si>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</si>
  <si>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</si>
  <si>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</si>
  <si>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</si>
  <si>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</si>
  <si>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</si>
  <si>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</si>
  <si>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</si>
  <si>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</si>
  <si>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</si>
  <si>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</si>
  <si>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</si>
  <si>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</si>
  <si>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</si>
  <si>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</si>
  <si>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</si>
  <si>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</si>
  <si>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</si>
  <si>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</si>
  <si>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</si>
  <si>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</si>
  <si>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</si>
  <si>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</si>
  <si>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</si>
  <si>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</si>
  <si>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</si>
  <si>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</si>
  <si>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</si>
  <si>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</si>
  <si>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</si>
  <si>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</si>
  <si>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</si>
  <si>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</si>
  <si>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</si>
  <si>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</si>
  <si>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</si>
  <si>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</si>
  <si>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</si>
  <si>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</si>
  <si>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</si>
  <si>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</si>
  <si>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</si>
  <si>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</si>
  <si>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</si>
  <si>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</si>
  <si>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</si>
  <si>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</si>
  <si>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</si>
  <si>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</si>
  <si>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</si>
  <si>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</si>
  <si>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</si>
  <si>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</si>
  <si>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</si>
  <si>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</si>
  <si>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</si>
  <si>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</si>
  <si>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</si>
  <si>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</si>
  <si>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</si>
  <si>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</si>
  <si>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</si>
  <si>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</si>
  <si>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</si>
  <si>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</si>
  <si>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</si>
  <si>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</si>
  <si>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</si>
  <si>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</si>
  <si>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</si>
  <si>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</si>
  <si>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</si>
  <si>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</si>
  <si>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</si>
  <si>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</si>
  <si>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</si>
  <si>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</si>
  <si>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</si>
  <si>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</si>
  <si>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 xml:space="preserve">Other:  (Environmental Remediation) </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</si>
  <si>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</si>
  <si>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</si>
  <si>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</si>
  <si>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</si>
  <si>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</si>
  <si>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</si>
  <si>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</si>
  <si>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</si>
  <si>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</si>
  <si>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</si>
  <si>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</si>
  <si>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</si>
  <si>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</si>
  <si>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</si>
  <si>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(Lender Fees - Local)</t>
  </si>
  <si>
    <t>Total Construction Interest &amp; Fees</t>
  </si>
  <si>
    <t>Loan Origination Fee</t>
  </si>
  <si>
    <t>Other: (Perm Legal)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</si>
  <si>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</si>
  <si>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</si>
  <si>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</si>
  <si>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</si>
  <si>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</si>
  <si>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</si>
  <si>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</si>
  <si>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</si>
  <si>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</si>
  <si>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</si>
  <si>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</si>
  <si>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</si>
  <si>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</si>
  <si>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</si>
  <si>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</si>
  <si>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</si>
  <si>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</si>
  <si>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</si>
  <si>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</si>
  <si>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</si>
  <si>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</si>
  <si>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</si>
  <si>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</si>
  <si>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</si>
  <si>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</si>
  <si>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</si>
  <si>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</si>
  <si>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</si>
  <si>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</si>
  <si>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</si>
  <si>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(Solar)</t>
  </si>
  <si>
    <t>Other: (Security)</t>
  </si>
  <si>
    <t>Predev Loan interest &amp;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</si>
  <si>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</si>
  <si>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</si>
  <si>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</si>
  <si>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</si>
  <si>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</si>
  <si>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</si>
  <si>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</si>
  <si>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</si>
  <si>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</si>
  <si>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</si>
  <si>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</si>
  <si>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</si>
  <si>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</si>
  <si>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</si>
  <si>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</si>
  <si>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</si>
  <si>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</si>
  <si>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</si>
  <si>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</si>
  <si>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</si>
  <si>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</si>
  <si>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</si>
  <si>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</si>
  <si>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</si>
  <si>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</si>
  <si>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</si>
  <si>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</si>
  <si>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</si>
  <si>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</si>
  <si>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</si>
  <si>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</si>
  <si>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</si>
  <si>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</si>
  <si>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</si>
  <si>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</si>
  <si>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</si>
  <si>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</si>
  <si>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</si>
  <si>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</si>
  <si>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</si>
  <si>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</si>
  <si>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</si>
  <si>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</si>
  <si>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</si>
  <si>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</si>
  <si>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</si>
  <si>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</si>
  <si>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</si>
  <si>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</si>
  <si>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</si>
  <si>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</si>
  <si>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</si>
  <si>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</si>
  <si>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</si>
  <si>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</si>
  <si>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</si>
  <si>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</si>
  <si>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</si>
  <si>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</si>
  <si>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</si>
  <si>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</si>
  <si>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</si>
  <si>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</si>
  <si>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</si>
  <si>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</si>
  <si>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</si>
  <si>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</si>
  <si>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</si>
  <si>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</si>
  <si>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</si>
  <si>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</si>
  <si>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</si>
  <si>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</si>
  <si>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</si>
  <si>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</si>
  <si>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</si>
  <si>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</si>
  <si>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</si>
  <si>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</si>
  <si>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</si>
  <si>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</si>
  <si>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</si>
  <si>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</si>
  <si>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</si>
  <si>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</si>
  <si>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</si>
  <si>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</si>
  <si>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</si>
  <si>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</si>
  <si>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</si>
  <si>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</si>
  <si>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</si>
  <si>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</si>
  <si>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</si>
  <si>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</si>
  <si>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</si>
  <si>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</si>
  <si>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</si>
  <si>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</si>
  <si>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</si>
  <si>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</si>
  <si>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</si>
  <si>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</si>
  <si>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</si>
  <si>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</si>
  <si>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</si>
  <si>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</si>
  <si>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</si>
  <si>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</si>
  <si>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</si>
  <si>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 xml:space="preserve">Legacy Court LLC (an affiliate of Eden Housing, Inc. and Community Housing Development Corporation of North Richmond) </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</si>
  <si>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</si>
  <si>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</si>
  <si>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</si>
  <si>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</si>
  <si>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</si>
  <si>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</si>
  <si>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</si>
  <si>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</si>
  <si>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</si>
  <si>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</si>
  <si>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</si>
  <si>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</si>
  <si>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</si>
  <si>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</si>
  <si>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</si>
  <si>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</si>
  <si>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</si>
  <si>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</si>
  <si>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</si>
  <si>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</si>
  <si>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</si>
  <si>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</si>
  <si>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 xml:space="preserve">Eden Housing Management, Inc. </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</si>
  <si>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</si>
  <si>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</si>
  <si>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</si>
  <si>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</si>
  <si>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</si>
  <si>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</si>
  <si>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</si>
  <si>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</si>
  <si>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</si>
  <si>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</si>
  <si>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</si>
  <si>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</si>
  <si>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</si>
  <si>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</si>
  <si>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</si>
  <si>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</si>
  <si>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</si>
  <si>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</si>
  <si>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</si>
  <si>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</si>
  <si>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</si>
  <si>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</si>
  <si>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</si>
  <si>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</si>
  <si>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</si>
  <si>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</si>
  <si>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</si>
  <si>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</si>
  <si>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</si>
  <si>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</si>
  <si>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</si>
  <si>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</si>
  <si>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</si>
  <si>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</si>
  <si>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</si>
  <si>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</si>
  <si>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</si>
  <si>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</si>
  <si>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</si>
  <si>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</si>
  <si>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</si>
  <si>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</si>
  <si>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</si>
  <si>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</si>
  <si>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</si>
  <si>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</si>
  <si>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</si>
  <si>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</si>
  <si>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</si>
  <si>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</si>
  <si>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</si>
  <si>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</si>
  <si>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</si>
  <si>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</si>
  <si>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</si>
  <si>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</si>
  <si>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</si>
  <si>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</si>
  <si>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</si>
  <si>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</si>
  <si>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</si>
  <si>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</si>
  <si>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</si>
  <si>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</si>
  <si>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</si>
  <si>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</si>
  <si>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</si>
  <si>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</si>
  <si>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</si>
  <si>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</si>
  <si>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</si>
  <si>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</si>
  <si>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</si>
  <si>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</si>
  <si>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</si>
  <si>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</si>
  <si>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</si>
  <si>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</si>
  <si>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</si>
  <si>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</si>
  <si>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</si>
  <si>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</si>
  <si>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</si>
  <si>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</si>
  <si>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</si>
  <si>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</si>
  <si>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</si>
  <si>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</si>
  <si>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</si>
  <si>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</si>
  <si>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</si>
  <si>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</si>
  <si>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</si>
  <si>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</si>
  <si>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</si>
  <si>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</si>
  <si>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</si>
  <si>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</si>
  <si>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</si>
  <si>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</si>
  <si>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</si>
  <si>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</si>
  <si>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</si>
  <si>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</si>
  <si>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</si>
  <si>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</si>
  <si>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</si>
  <si>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</si>
  <si>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</si>
  <si>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</si>
  <si>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</si>
  <si>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</si>
  <si>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</si>
  <si>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</si>
  <si>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</si>
  <si>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</si>
  <si>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AC Transit </t>
  </si>
  <si>
    <t xml:space="preserve">Shields-Reid Park </t>
  </si>
  <si>
    <t xml:space="preserve">1600 Franlkin Street </t>
  </si>
  <si>
    <t>1410 Kelsey Street</t>
  </si>
  <si>
    <t>City, Zip</t>
  </si>
  <si>
    <t>Oakland, CA  94612</t>
  </si>
  <si>
    <t>Richmond, CA 94801</t>
  </si>
  <si>
    <t xml:space="preserve">Salvador Llamas </t>
  </si>
  <si>
    <t>Troy Porter</t>
  </si>
  <si>
    <t>(510) 891-4777</t>
  </si>
  <si>
    <t>(510) 620-6822</t>
  </si>
  <si>
    <t>Amenity Type:</t>
  </si>
  <si>
    <t>Website:</t>
  </si>
  <si>
    <t>https://www.actransit.org/</t>
  </si>
  <si>
    <t>https://www.ci.richmond.ca.us/1663/Shields-Reid-Park</t>
  </si>
  <si>
    <t>Distance in miles:</t>
  </si>
  <si>
    <t xml:space="preserve">Foods Co. </t>
  </si>
  <si>
    <t xml:space="preserve">Richmond High School </t>
  </si>
  <si>
    <t>1250 Macdonald Ave</t>
  </si>
  <si>
    <t>1250 23rd Street</t>
  </si>
  <si>
    <t xml:space="preserve">Richmond, CA 94804										</t>
  </si>
  <si>
    <t>510–412–4444</t>
  </si>
  <si>
    <t>510-231-1450</t>
  </si>
  <si>
    <t>https://www.foodsco.net/stores/grocery/ca/richmond/richmond-city-center/704/00352</t>
  </si>
  <si>
    <t>https://www.wccusd.net/richmond</t>
  </si>
  <si>
    <t xml:space="preserve">North Richmond Center for Health </t>
  </si>
  <si>
    <t>1501 Fred Jackson Way</t>
  </si>
  <si>
    <t>1-877-905-4545</t>
  </si>
  <si>
    <t>https://cchealth.org/centers/north-richmond.php</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</si>
  <si>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</si>
  <si>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</si>
  <si>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</si>
  <si>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</si>
  <si>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</si>
  <si>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</si>
  <si>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</si>
  <si>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</si>
  <si>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</si>
  <si>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</si>
  <si>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</si>
  <si>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</si>
  <si>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</si>
  <si>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</si>
  <si>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</si>
  <si>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</si>
  <si>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</si>
  <si>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</si>
  <si>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</si>
  <si>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</si>
  <si>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</si>
  <si>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</si>
  <si>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</si>
  <si>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</si>
  <si>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</si>
  <si>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</si>
  <si>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</si>
  <si>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</si>
  <si>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</si>
  <si>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</si>
  <si>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</si>
  <si>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</si>
  <si>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</si>
  <si>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</si>
  <si>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</si>
  <si>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</si>
  <si>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</si>
  <si>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</si>
  <si>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</si>
  <si>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</si>
  <si>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</si>
  <si>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</si>
  <si>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</si>
  <si>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</si>
  <si>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</si>
  <si>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</si>
  <si>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</si>
  <si>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</si>
  <si>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</si>
  <si>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</si>
  <si>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</si>
  <si>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</si>
  <si>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</si>
  <si>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</si>
  <si>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</si>
  <si>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</si>
  <si>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</si>
  <si>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</si>
  <si>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</si>
  <si>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</si>
  <si>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</si>
  <si>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</si>
  <si>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</si>
  <si>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</si>
  <si>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</si>
  <si>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</si>
  <si>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</si>
  <si>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</si>
  <si>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</si>
  <si>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</si>
  <si>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</si>
  <si>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</si>
  <si>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</si>
  <si>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</si>
  <si>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</si>
  <si>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</si>
  <si>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</si>
  <si>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</si>
  <si>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</si>
  <si>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</si>
  <si>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</si>
  <si>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</si>
  <si>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</si>
  <si>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</si>
  <si>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</si>
  <si>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</si>
  <si>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</si>
  <si>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</si>
  <si>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</si>
  <si>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</si>
  <si>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</si>
  <si>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</si>
  <si>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</si>
  <si>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</si>
  <si>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</si>
  <si>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</si>
  <si>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</si>
  <si>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</si>
  <si>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</si>
  <si>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</si>
  <si>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</si>
  <si>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</si>
  <si>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</si>
  <si>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</si>
  <si>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</si>
  <si>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</si>
  <si>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</si>
  <si>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</si>
  <si>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</si>
  <si>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</si>
  <si>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</si>
  <si>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</si>
  <si>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</si>
  <si>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</si>
  <si>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</si>
  <si>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</si>
  <si>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</si>
  <si>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</si>
  <si>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</si>
  <si>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</si>
  <si>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</si>
  <si>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</si>
  <si>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</si>
  <si>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</si>
  <si>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</si>
  <si>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</si>
  <si>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</si>
  <si>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</si>
  <si>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</si>
  <si>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</si>
  <si>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</si>
  <si>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</si>
  <si>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</si>
  <si>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</si>
  <si>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</si>
  <si>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</si>
  <si>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</si>
  <si>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</si>
  <si>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</si>
  <si>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</si>
  <si>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</si>
  <si>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</si>
  <si>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</si>
  <si>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</si>
  <si>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</si>
  <si>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</si>
  <si>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</si>
  <si>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</si>
  <si>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</si>
  <si>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</si>
  <si>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</si>
  <si>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</si>
  <si>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</si>
  <si>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</si>
  <si>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</si>
  <si>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</si>
  <si>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</si>
  <si>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</si>
  <si>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</si>
  <si>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</si>
  <si>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</si>
  <si>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</si>
  <si>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</si>
  <si>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</si>
  <si>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</si>
  <si>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</si>
  <si>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</si>
  <si>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</si>
  <si>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</si>
  <si>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</si>
  <si>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</si>
  <si>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</si>
  <si>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</si>
  <si>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</si>
  <si>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</si>
  <si>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</si>
  <si>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</si>
  <si>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</si>
  <si>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</si>
  <si>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</si>
  <si>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</si>
  <si>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</si>
  <si>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</si>
  <si>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</si>
  <si>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</si>
  <si>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</si>
  <si>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</si>
  <si>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</si>
  <si>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</si>
  <si>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</si>
  <si>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</si>
  <si>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</si>
  <si>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</si>
  <si>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</si>
  <si>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</si>
  <si>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</si>
  <si>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</si>
  <si>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</si>
  <si>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</si>
  <si>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</si>
  <si>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</si>
  <si>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</si>
  <si>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</si>
  <si>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</si>
  <si>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</si>
  <si>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</si>
  <si>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</si>
  <si>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</si>
  <si>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</si>
  <si>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</si>
  <si>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</si>
  <si>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</si>
  <si>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</si>
  <si>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</si>
  <si>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</si>
  <si>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</si>
  <si>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</si>
  <si>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</si>
  <si>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</si>
  <si>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</si>
  <si>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</si>
  <si>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</si>
  <si>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</si>
  <si>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</si>
  <si>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</si>
  <si>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</si>
  <si>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</si>
  <si>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</si>
  <si>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</si>
  <si>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</si>
  <si>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</si>
  <si>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</si>
  <si>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</si>
  <si>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</si>
  <si>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</si>
  <si>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</si>
  <si>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</si>
  <si>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</si>
  <si>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</si>
  <si>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</si>
  <si>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</si>
  <si>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</si>
  <si>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</si>
  <si>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</si>
  <si>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</si>
  <si>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</si>
  <si>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</si>
  <si>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</si>
  <si>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</si>
  <si>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</si>
  <si>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</si>
  <si>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</si>
  <si>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</si>
  <si>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</si>
  <si>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</si>
  <si>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</si>
  <si>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</si>
  <si>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</si>
  <si>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</si>
  <si>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</si>
  <si>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</si>
  <si>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</si>
  <si>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</si>
  <si>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</si>
  <si>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</si>
  <si>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</si>
  <si>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</si>
  <si>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</si>
  <si>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</si>
  <si>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</si>
  <si>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</si>
  <si>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</si>
  <si>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</si>
  <si>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</si>
  <si>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</si>
  <si>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</si>
  <si>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</si>
  <si>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</si>
  <si>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</si>
  <si>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</si>
  <si>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</si>
  <si>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</si>
  <si>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</si>
  <si>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</si>
  <si>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</si>
  <si>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</si>
  <si>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</si>
  <si>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</si>
  <si>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</si>
  <si>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</si>
  <si>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</si>
  <si>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</si>
  <si>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</si>
  <si>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</si>
  <si>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</si>
  <si>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</si>
  <si>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</si>
  <si>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</si>
  <si>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</si>
  <si>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</si>
  <si>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</si>
  <si>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</si>
  <si>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</si>
  <si>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</si>
  <si>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</si>
  <si>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</si>
  <si>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</si>
  <si>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</si>
  <si>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</si>
  <si>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</si>
  <si>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</si>
  <si>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</si>
  <si>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</si>
  <si>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</si>
  <si>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</si>
  <si>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</si>
  <si>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</si>
  <si>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</si>
  <si>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</si>
  <si>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</si>
  <si>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</si>
  <si>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</si>
  <si>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</si>
  <si>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</si>
  <si>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</si>
  <si>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</si>
  <si>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</si>
  <si>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</si>
  <si>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</si>
  <si>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</si>
  <si>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</si>
  <si>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</si>
  <si>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</si>
  <si>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</si>
  <si>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</si>
  <si>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</si>
  <si>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</si>
  <si>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</si>
  <si>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</si>
  <si>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</si>
  <si>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</si>
  <si>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</si>
  <si>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</si>
  <si>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</si>
  <si>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</si>
  <si>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</si>
  <si>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</si>
  <si>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</si>
  <si>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</si>
  <si>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</si>
  <si>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</si>
  <si>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</si>
  <si>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</si>
  <si>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</si>
  <si>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</si>
  <si>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</si>
  <si>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</si>
  <si>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</si>
  <si>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3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</si>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</sst>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67">
    <xf numFmtId="0" fontId="0" fillId="0" borderId="0" xfId="0"/>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8" xfId="0" applyBorder="1"/>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0" fillId="0" borderId="6" xfId="0" applyBorder="1"/>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21" fillId="0" borderId="0" xfId="575" applyFont="1"/>
    <xf numFmtId="0" fontId="122" fillId="0" borderId="0" xfId="575" applyFont="1"/>
    <xf numFmtId="0" fontId="116" fillId="0" borderId="0" xfId="575" applyFont="1" applyAlignment="1">
      <alignment horizontal="left"/>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0" applyFont="1" applyAlignment="1">
      <alignment horizontal="left" vertical="top" wrapText="1"/>
    </xf>
    <xf numFmtId="0" fontId="4" fillId="0" borderId="0" xfId="245" applyBorder="1" applyAlignment="1" applyProtection="1">
      <alignment horizontal="left"/>
    </xf>
    <xf numFmtId="0" fontId="3" fillId="0" borderId="0" xfId="0" applyFont="1" applyAlignment="1">
      <alignment horizontal="left" wrapText="1"/>
    </xf>
    <xf numFmtId="0" fontId="10" fillId="0" borderId="0" xfId="0" applyFont="1" applyAlignment="1">
      <alignment horizontal="left" vertical="top" wrapText="1"/>
    </xf>
    <xf numFmtId="0" fontId="3" fillId="0" borderId="0" xfId="0" applyFont="1" applyAlignment="1">
      <alignment wrapText="1"/>
    </xf>
    <xf numFmtId="0" fontId="3" fillId="0" borderId="0" xfId="0" applyFont="1" applyAlignment="1">
      <alignment vertical="top" wrapText="1"/>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12" fillId="0" borderId="0" xfId="273" applyAlignment="1">
      <alignment horizontal="left"/>
    </xf>
    <xf numFmtId="0" fontId="12" fillId="0" borderId="0" xfId="259" applyAlignment="1">
      <alignment horizontal="left" vertical="top" wrapText="1"/>
    </xf>
    <xf numFmtId="0" fontId="3" fillId="0" borderId="0" xfId="259" applyFont="1" applyAlignment="1">
      <alignment horizontal="left" vertical="top" wrapText="1"/>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4" fillId="0" borderId="0" xfId="245" applyNumberFormat="1" applyFill="1" applyAlignment="1" applyProtection="1">
      <alignment horizontal="left"/>
      <protection locked="0"/>
    </xf>
    <xf numFmtId="0" fontId="3" fillId="0" borderId="0" xfId="0" applyFont="1" applyAlignment="1">
      <alignment horizontal="left" vertical="top"/>
    </xf>
    <xf numFmtId="0" fontId="10" fillId="0" borderId="4" xfId="0" applyFont="1" applyBorder="1" applyAlignment="1">
      <alignment horizontal="left"/>
    </xf>
    <xf numFmtId="0" fontId="12" fillId="0" borderId="0" xfId="273" applyAlignment="1">
      <alignment horizontal="left" vertical="top" wrapText="1"/>
    </xf>
    <xf numFmtId="0" fontId="34"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12" fillId="0" borderId="0" xfId="273" applyAlignment="1">
      <alignment horizontal="left"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12" fillId="0" borderId="0" xfId="259" applyAlignment="1">
      <alignment vertical="top" wrapText="1"/>
    </xf>
    <xf numFmtId="0" fontId="10" fillId="0" borderId="0" xfId="0" applyFont="1" applyAlignment="1">
      <alignment vertical="top" wrapText="1"/>
    </xf>
    <xf numFmtId="0" fontId="10" fillId="0" borderId="11" xfId="546" applyFont="1" applyBorder="1" applyAlignment="1">
      <alignment horizontal="right"/>
    </xf>
    <xf numFmtId="169" fontId="0" fillId="0" borderId="0" xfId="0" applyNumberFormat="1" applyAlignment="1">
      <alignment horizontal="right"/>
    </xf>
    <xf numFmtId="0" fontId="10" fillId="0" borderId="2" xfId="0" applyFont="1" applyBorder="1" applyAlignment="1">
      <alignment horizontal="center"/>
    </xf>
    <xf numFmtId="0" fontId="10" fillId="0" borderId="4" xfId="0" applyFont="1" applyBorder="1" applyAlignment="1">
      <alignment horizontal="right"/>
    </xf>
    <xf numFmtId="0" fontId="10" fillId="0" borderId="8" xfId="0" applyFont="1" applyBorder="1" applyAlignment="1">
      <alignment horizontal="right"/>
    </xf>
    <xf numFmtId="0" fontId="10" fillId="0" borderId="5"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10" fillId="0" borderId="4" xfId="0" applyFont="1" applyBorder="1" applyAlignment="1">
      <alignment horizontal="center"/>
    </xf>
    <xf numFmtId="0" fontId="0" fillId="7" borderId="5" xfId="0" applyFill="1" applyBorder="1" applyProtection="1">
      <protection locked="0"/>
    </xf>
    <xf numFmtId="0" fontId="0" fillId="0" borderId="8" xfId="0" applyBorder="1" applyAlignment="1">
      <alignment horizontal="left"/>
    </xf>
    <xf numFmtId="0" fontId="0" fillId="0" borderId="5" xfId="0" applyBorder="1" applyAlignment="1">
      <alignment horizontal="left" wrapText="1"/>
    </xf>
    <xf numFmtId="169" fontId="11" fillId="0" borderId="0" xfId="0" applyNumberFormat="1" applyFont="1" applyAlignment="1">
      <alignment horizontal="left" vertical="top" wrapText="1"/>
    </xf>
    <xf numFmtId="0" fontId="3" fillId="0" borderId="0" xfId="0" applyFont="1" applyAlignment="1">
      <alignment horizontal="center"/>
    </xf>
    <xf numFmtId="0" fontId="11" fillId="0" borderId="0" xfId="0" applyFont="1" applyAlignment="1">
      <alignment horizontal="center"/>
    </xf>
    <xf numFmtId="0" fontId="10" fillId="0" borderId="5" xfId="0" applyFont="1" applyBorder="1" applyAlignment="1">
      <alignment horizontal="right"/>
    </xf>
    <xf numFmtId="0" fontId="10" fillId="0" borderId="10" xfId="0" applyFont="1" applyBorder="1" applyAlignment="1">
      <alignment horizontal="right"/>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1" xfId="0" applyFont="1" applyBorder="1" applyAlignment="1">
      <alignment horizontal="center" wrapText="1"/>
    </xf>
    <xf numFmtId="0" fontId="0" fillId="0" borderId="0" xfId="0" applyAlignment="1">
      <alignment vertical="top" wrapText="1"/>
    </xf>
    <xf numFmtId="0" fontId="11" fillId="0" borderId="4" xfId="0" applyFont="1" applyBorder="1" applyAlignment="1">
      <alignment horizontal="right"/>
    </xf>
    <xf numFmtId="0" fontId="11" fillId="0" borderId="0" xfId="0" applyFont="1" applyAlignment="1">
      <alignment horizontal="left"/>
    </xf>
    <xf numFmtId="0" fontId="10" fillId="0" borderId="0" xfId="0" applyFont="1" applyAlignment="1">
      <alignment horizontal="center"/>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164" fontId="11" fillId="0" borderId="0" xfId="0" applyNumberFormat="1" applyFont="1" applyAlignment="1">
      <alignment horizontal="left" vertical="top" wrapText="1"/>
    </xf>
    <xf numFmtId="0" fontId="10" fillId="0" borderId="50" xfId="0" applyFont="1" applyBorder="1" applyAlignment="1">
      <alignment horizontal="center"/>
    </xf>
    <xf numFmtId="0" fontId="11" fillId="0" borderId="53" xfId="0" applyFont="1" applyBorder="1" applyAlignment="1">
      <alignment horizontal="left" vertical="top" wrapText="1"/>
    </xf>
    <xf numFmtId="0" fontId="0" fillId="0" borderId="49" xfId="0" applyBorder="1" applyAlignment="1">
      <alignment horizontal="center"/>
    </xf>
    <xf numFmtId="0" fontId="11" fillId="0" borderId="47" xfId="0" applyFont="1" applyBorder="1" applyAlignment="1">
      <alignment horizontal="left" vertical="top"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0" fillId="0" borderId="4" xfId="0" applyFont="1" applyBorder="1"/>
    <xf numFmtId="0" fontId="10" fillId="0" borderId="8" xfId="0" applyFont="1" applyBorder="1"/>
    <xf numFmtId="0" fontId="11" fillId="0" borderId="0" xfId="0" applyFont="1" applyAlignment="1">
      <alignment horizontal="left" vertical="top" wrapText="1" shrinkToFit="1"/>
    </xf>
    <xf numFmtId="0" fontId="10" fillId="0" borderId="0" xfId="0" applyFont="1" applyAlignment="1">
      <alignment horizontal="right"/>
    </xf>
    <xf numFmtId="0" fontId="40" fillId="0" borderId="3" xfId="0" applyFont="1" applyBorder="1" applyAlignment="1">
      <alignment horizontal="left"/>
    </xf>
    <xf numFmtId="44" fontId="11" fillId="0" borderId="0" xfId="164" applyFont="1" applyFill="1" applyBorder="1" applyAlignment="1" applyProtection="1">
      <alignment horizontal="left" vertical="top" wrapText="1"/>
    </xf>
    <xf numFmtId="0" fontId="116" fillId="0" borderId="0" xfId="575" applyFont="1" applyAlignment="1">
      <alignment horizontal="center"/>
    </xf>
    <xf numFmtId="2" fontId="116" fillId="0" borderId="0" xfId="575" applyNumberFormat="1" applyFont="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48" fillId="0" borderId="0" xfId="273" applyFont="1" applyAlignment="1">
      <alignment horizontal="left"/>
    </xf>
    <xf numFmtId="0" fontId="8" fillId="0" borderId="5" xfId="273" applyFont="1" applyBorder="1" applyAlignment="1">
      <alignment horizontal="left"/>
    </xf>
    <xf numFmtId="0" fontId="8" fillId="0" borderId="0" xfId="273" applyFont="1" applyAlignment="1">
      <alignment horizontal="left"/>
    </xf>
    <xf numFmtId="0" fontId="48" fillId="0" borderId="0" xfId="273" applyFont="1" applyAlignment="1">
      <alignment vertical="center" wrapText="1"/>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3" fontId="3" fillId="0" borderId="0" xfId="273" applyNumberFormat="1" applyFont="1"/>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5" fontId="3" fillId="0" borderId="0" xfId="545" applyNumberFormat="1" applyFont="1"/>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0" fontId="3" fillId="0" borderId="11" xfId="0" applyFont="1" applyBorder="1"/>
    <xf numFmtId="0" fontId="3" fillId="0" borderId="13" xfId="0" applyFont="1" applyBorder="1"/>
    <xf numFmtId="0" fontId="13" fillId="0" borderId="0" xfId="546" applyFont="1"/>
    <xf numFmtId="2" fontId="3" fillId="0" borderId="12" xfId="0" applyNumberFormat="1" applyFont="1" applyBorder="1"/>
    <xf numFmtId="0" fontId="3" fillId="0" borderId="1" xfId="0"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vertical="center"/>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9" fillId="5" borderId="0" xfId="0" applyFont="1" applyFill="1" applyAlignment="1">
      <alignment horizontal="center" vertic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0" borderId="9" xfId="0" applyBorder="1" applyAlignment="1">
      <alignment horizontal="left"/>
    </xf>
    <xf numFmtId="0" fontId="0" fillId="0" borderId="5" xfId="0" applyBorder="1" applyAlignment="1">
      <alignment horizontal="left"/>
    </xf>
    <xf numFmtId="0" fontId="0" fillId="0" borderId="3" xfId="0" applyBorder="1" applyAlignment="1">
      <alignment horizontal="left"/>
    </xf>
    <xf numFmtId="0" fontId="0" fillId="0" borderId="4" xfId="0" applyBorder="1" applyAlignment="1">
      <alignment horizontal="left"/>
    </xf>
    <xf numFmtId="169" fontId="0" fillId="7" borderId="12" xfId="0" applyNumberFormat="1" applyFill="1" applyBorder="1" applyAlignment="1" applyProtection="1">
      <alignment horizontal="center"/>
      <protection locked="0"/>
    </xf>
    <xf numFmtId="0" fontId="3" fillId="0" borderId="3" xfId="0" applyFont="1" applyBorder="1" applyAlignment="1">
      <alignment horizontal="left"/>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9" fontId="0" fillId="53" borderId="3" xfId="0" applyNumberFormat="1" applyFill="1" applyBorder="1" applyAlignment="1" applyProtection="1">
      <alignment horizontal="right"/>
      <protection locked="0"/>
    </xf>
    <xf numFmtId="169" fontId="0" fillId="53" borderId="4" xfId="0" applyNumberFormat="1" applyFill="1" applyBorder="1" applyAlignment="1" applyProtection="1">
      <alignment horizontal="right"/>
      <protection locked="0"/>
    </xf>
    <xf numFmtId="169" fontId="0" fillId="53" borderId="8" xfId="0" applyNumberFormat="1" applyFill="1" applyBorder="1" applyAlignment="1" applyProtection="1">
      <alignment horizontal="right"/>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3" borderId="3" xfId="0" applyNumberFormat="1" applyFill="1" applyBorder="1" applyAlignment="1" applyProtection="1">
      <alignment horizontal="center"/>
      <protection locked="0"/>
    </xf>
    <xf numFmtId="3" fontId="0" fillId="53" borderId="4" xfId="0" applyNumberFormat="1" applyFill="1" applyBorder="1" applyAlignment="1" applyProtection="1">
      <alignment horizontal="center"/>
      <protection locked="0"/>
    </xf>
    <xf numFmtId="3" fontId="0" fillId="53" borderId="8" xfId="0" applyNumberFormat="1" applyFill="1" applyBorder="1" applyAlignment="1" applyProtection="1">
      <alignment horizontal="center"/>
      <protection locked="0"/>
    </xf>
    <xf numFmtId="3" fontId="3" fillId="53" borderId="3" xfId="0" applyNumberFormat="1" applyFont="1" applyFill="1" applyBorder="1" applyAlignment="1" applyProtection="1">
      <alignment horizontal="center"/>
      <protection locked="0"/>
    </xf>
    <xf numFmtId="3" fontId="3" fillId="53" borderId="4" xfId="0" applyNumberFormat="1" applyFont="1" applyFill="1" applyBorder="1" applyAlignment="1" applyProtection="1">
      <alignment horizontal="center"/>
      <protection locked="0"/>
    </xf>
    <xf numFmtId="3" fontId="3" fillId="53" borderId="8" xfId="0" applyNumberFormat="1" applyFont="1" applyFill="1" applyBorder="1" applyAlignment="1" applyProtection="1">
      <alignment horizontal="center"/>
      <protection locked="0"/>
    </xf>
    <xf numFmtId="169" fontId="3" fillId="53" borderId="3" xfId="0" applyNumberFormat="1" applyFont="1" applyFill="1" applyBorder="1" applyAlignment="1" applyProtection="1">
      <alignment horizontal="center"/>
      <protection locked="0"/>
    </xf>
    <xf numFmtId="169" fontId="3" fillId="53" borderId="4" xfId="0" applyNumberFormat="1" applyFont="1" applyFill="1" applyBorder="1" applyAlignment="1" applyProtection="1">
      <alignment horizontal="center"/>
      <protection locked="0"/>
    </xf>
    <xf numFmtId="169" fontId="3" fillId="53"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9" fontId="3" fillId="0" borderId="12" xfId="0" applyNumberFormat="1" applyFont="1" applyBorder="1" applyAlignment="1">
      <alignment horizontal="center"/>
    </xf>
    <xf numFmtId="169" fontId="11" fillId="0" borderId="0" xfId="0" applyNumberFormat="1" applyFont="1" applyAlignment="1">
      <alignment horizontal="left" vertical="top" wrapText="1"/>
    </xf>
    <xf numFmtId="169" fontId="3" fillId="0" borderId="12" xfId="0" applyNumberFormat="1" applyFont="1" applyBorder="1" applyAlignment="1">
      <alignment horizontal="center"/>
    </xf>
    <xf numFmtId="1" fontId="3" fillId="7" borderId="5" xfId="0" applyNumberFormat="1" applyFont="1" applyFill="1" applyBorder="1" applyAlignment="1" applyProtection="1">
      <alignment horizontal="righ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3" fontId="3" fillId="7" borderId="12" xfId="0" applyNumberFormat="1"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0" fontId="0" fillId="0" borderId="8" xfId="0" applyBorder="1" applyAlignment="1">
      <alignment horizontal="left"/>
    </xf>
    <xf numFmtId="1" fontId="3" fillId="7" borderId="12" xfId="0" quotePrefix="1" applyNumberFormat="1" applyFont="1" applyFill="1" applyBorder="1" applyAlignment="1" applyProtection="1">
      <alignment horizontal="center"/>
      <protection locked="0"/>
    </xf>
    <xf numFmtId="1" fontId="3"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14" fontId="3" fillId="7" borderId="4" xfId="0" applyNumberFormat="1" applyFont="1" applyFill="1" applyBorder="1" applyAlignment="1" applyProtection="1">
      <alignment horizontal="right"/>
      <protection locked="0"/>
    </xf>
    <xf numFmtId="0" fontId="11" fillId="51" borderId="5" xfId="0" applyFont="1" applyFill="1" applyBorder="1" applyAlignment="1" applyProtection="1">
      <alignment horizontal="lef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3" fillId="0" borderId="0" xfId="0" applyNumberFormat="1" applyFont="1" applyAlignment="1">
      <alignment horizontal="center"/>
    </xf>
    <xf numFmtId="0" fontId="11" fillId="7" borderId="5" xfId="0" applyFont="1" applyFill="1" applyBorder="1" applyAlignment="1" applyProtection="1">
      <alignment horizontal="left"/>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3" fillId="53" borderId="5" xfId="0" applyFont="1" applyFill="1" applyBorder="1" applyAlignment="1" applyProtection="1">
      <alignment horizontal="left"/>
      <protection locked="0"/>
    </xf>
    <xf numFmtId="0" fontId="3"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10" fillId="0" borderId="5" xfId="0" applyFont="1" applyBorder="1" applyAlignment="1">
      <alignment horizontal="right"/>
    </xf>
    <xf numFmtId="0" fontId="10" fillId="0" borderId="12" xfId="0" applyFont="1" applyBorder="1" applyAlignment="1">
      <alignment horizontal="center" vertical="center" wrapText="1"/>
    </xf>
    <xf numFmtId="0" fontId="10" fillId="0" borderId="9" xfId="0" applyFont="1" applyBorder="1" applyAlignment="1">
      <alignment horizontal="right"/>
    </xf>
    <xf numFmtId="0" fontId="10" fillId="0" borderId="10" xfId="0" applyFont="1" applyBorder="1" applyAlignment="1">
      <alignment horizontal="right"/>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4" fontId="0" fillId="7" borderId="4" xfId="0" applyNumberFormat="1" applyFill="1" applyBorder="1" applyAlignment="1" applyProtection="1">
      <alignment horizontal="right"/>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0" borderId="0" xfId="0" applyFont="1" applyAlignment="1">
      <alignment horizontal="center" vertical="center"/>
    </xf>
    <xf numFmtId="169" fontId="3" fillId="53" borderId="3" xfId="0" applyNumberFormat="1" applyFont="1" applyFill="1" applyBorder="1" applyAlignment="1" applyProtection="1">
      <alignment horizontal="right"/>
      <protection locked="0"/>
    </xf>
    <xf numFmtId="169" fontId="3" fillId="53" borderId="4" xfId="0" applyNumberFormat="1" applyFont="1" applyFill="1" applyBorder="1" applyAlignment="1" applyProtection="1">
      <alignment horizontal="right"/>
      <protection locked="0"/>
    </xf>
    <xf numFmtId="169" fontId="3" fillId="53" borderId="8" xfId="0" applyNumberFormat="1" applyFont="1" applyFill="1" applyBorder="1" applyAlignment="1" applyProtection="1">
      <alignment horizontal="right"/>
      <protection locked="0"/>
    </xf>
    <xf numFmtId="0" fontId="3" fillId="0" borderId="12" xfId="0" applyFont="1" applyBorder="1" applyAlignment="1">
      <alignment horizontal="center" vertical="top" wrapText="1"/>
    </xf>
    <xf numFmtId="14" fontId="0" fillId="7" borderId="3" xfId="0" quotePrefix="1"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10" fillId="7" borderId="12"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3" fillId="0" borderId="12" xfId="0" applyFont="1" applyBorder="1" applyAlignment="1">
      <alignment horizontal="center"/>
    </xf>
    <xf numFmtId="169" fontId="3" fillId="7" borderId="10" xfId="0" applyNumberFormat="1" applyFont="1" applyFill="1" applyBorder="1" applyAlignment="1" applyProtection="1">
      <alignment horizontal="right"/>
      <protection locked="0"/>
    </xf>
    <xf numFmtId="2" fontId="3" fillId="0" borderId="12" xfId="546" applyNumberFormat="1" applyBorder="1" applyAlignment="1">
      <alignment horizontal="center"/>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10" fillId="0" borderId="1" xfId="0" applyFont="1" applyBorder="1" applyAlignment="1">
      <alignment horizontal="center" wrapText="1"/>
    </xf>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7" fontId="3" fillId="53" borderId="4" xfId="0" applyNumberFormat="1" applyFont="1" applyFill="1" applyBorder="1" applyAlignment="1" applyProtection="1">
      <alignment horizontal="left"/>
      <protection locked="0"/>
    </xf>
    <xf numFmtId="0" fontId="3" fillId="53" borderId="4" xfId="0" applyFont="1" applyFill="1" applyBorder="1" applyAlignment="1" applyProtection="1">
      <alignment horizontal="left"/>
      <protection locked="0"/>
    </xf>
    <xf numFmtId="169" fontId="3" fillId="0" borderId="0" xfId="546" applyNumberFormat="1" applyAlignment="1">
      <alignment horizontal="right" vertical="center" wrapText="1"/>
    </xf>
    <xf numFmtId="0" fontId="0" fillId="7" borderId="3" xfId="0" applyFill="1" applyBorder="1" applyAlignment="1" applyProtection="1">
      <alignment horizontal="right"/>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0" fontId="3" fillId="7" borderId="4" xfId="0" applyNumberFormat="1" applyFont="1" applyFill="1" applyBorder="1" applyAlignment="1" applyProtection="1">
      <alignment horizontal="right"/>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0" fillId="0" borderId="0" xfId="0"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53" borderId="4" xfId="0" applyFont="1" applyFill="1" applyBorder="1" applyAlignment="1" applyProtection="1">
      <alignment horizontal="left" wrapText="1"/>
      <protection locked="0"/>
    </xf>
    <xf numFmtId="0" fontId="0" fillId="53" borderId="4" xfId="0"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45"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12"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0" fontId="0" fillId="0" borderId="0" xfId="0" applyAlignment="1"/>
    <xf numFmtId="0" fontId="3" fillId="0" borderId="0" xfId="0" applyFont="1" applyAlignment="1"/>
    <xf numFmtId="0" fontId="12" fillId="0" borderId="0" xfId="273" applyAlignment="1"/>
    <xf numFmtId="0" fontId="0" fillId="7" borderId="5" xfId="0" applyFill="1" applyBorder="1" applyAlignment="1" applyProtection="1">
      <protection locked="0"/>
    </xf>
    <xf numFmtId="0" fontId="0" fillId="0" borderId="5" xfId="0" applyBorder="1" applyAlignment="1" applyProtection="1">
      <protection locked="0"/>
    </xf>
    <xf numFmtId="0" fontId="3" fillId="7" borderId="12" xfId="0"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0" fontId="12" fillId="7" borderId="5" xfId="273" applyFill="1" applyBorder="1" applyAlignment="1" applyProtection="1">
      <protection locked="0"/>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7" borderId="12" xfId="0" applyNumberFormat="1" applyFill="1" applyBorder="1" applyAlignment="1" applyProtection="1">
      <protection locked="0"/>
    </xf>
    <xf numFmtId="169" fontId="0" fillId="53" borderId="3" xfId="0" applyNumberFormat="1" applyFill="1" applyBorder="1" applyAlignment="1" applyProtection="1">
      <protection locked="0"/>
    </xf>
    <xf numFmtId="169" fontId="0" fillId="53" borderId="4" xfId="0" applyNumberFormat="1" applyFill="1" applyBorder="1" applyAlignment="1" applyProtection="1">
      <protection locked="0"/>
    </xf>
    <xf numFmtId="169" fontId="0" fillId="53" borderId="8" xfId="0" applyNumberFormat="1" applyFill="1" applyBorder="1" applyAlignment="1" applyProtection="1">
      <protection locked="0"/>
    </xf>
    <xf numFmtId="169" fontId="0" fillId="0" borderId="12" xfId="0" applyNumberFormat="1" applyBorder="1" applyAlignment="1"/>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0" fillId="0" borderId="10" xfId="0" applyBorder="1" applyAlignment="1" applyProtection="1">
      <protection locked="0"/>
    </xf>
    <xf numFmtId="0" fontId="10" fillId="0" borderId="4" xfId="0" applyFont="1" applyBorder="1" applyAlignment="1"/>
    <xf numFmtId="0" fontId="10" fillId="0" borderId="8" xfId="0" applyFont="1" applyBorder="1" applyAlignment="1"/>
    <xf numFmtId="3" fontId="3" fillId="0" borderId="5" xfId="273" applyNumberFormat="1" applyFont="1" applyBorder="1" applyAlignment="1"/>
    <xf numFmtId="3" fontId="3" fillId="0" borderId="0" xfId="273" applyNumberFormat="1" applyFont="1" applyAlignment="1"/>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99">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141605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Legacy%209%25%20TCAC%20App%207-31-23.xls?0E6C14CE" TargetMode="External"/><Relationship Id="rId1" Type="http://schemas.openxmlformats.org/officeDocument/2006/relationships/externalLinkPath" Target="file:///\\0E6C14CE\Legacy%209%25%20TCAC%20App%207-31-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E%20BOX/Box/Veronica%20Lira/Projects/Eden%20-%20Legacy%20Court/Legacy%209%25%20TCAC%20App%207-31-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ERYTHING"/>
      <sheetName val="Sheet1"/>
    </sheetNames>
    <sheetDataSet>
      <sheetData sheetId="0" refreshError="1">
        <row r="5">
          <cell r="C5">
            <v>4528000</v>
          </cell>
          <cell r="E5">
            <v>0.08</v>
          </cell>
        </row>
        <row r="7">
          <cell r="C7">
            <v>2650000</v>
          </cell>
        </row>
        <row r="8">
          <cell r="C8">
            <v>4382047</v>
          </cell>
          <cell r="D8">
            <v>4382047</v>
          </cell>
        </row>
        <row r="9">
          <cell r="C9">
            <v>1000000</v>
          </cell>
          <cell r="Q9">
            <v>765</v>
          </cell>
          <cell r="R9">
            <v>67</v>
          </cell>
        </row>
        <row r="10">
          <cell r="C10">
            <v>1421000</v>
          </cell>
        </row>
        <row r="11">
          <cell r="C11">
            <v>1144947</v>
          </cell>
          <cell r="Q11">
            <v>1320</v>
          </cell>
        </row>
        <row r="12">
          <cell r="C12">
            <v>349072</v>
          </cell>
        </row>
        <row r="13">
          <cell r="C13">
            <v>464940</v>
          </cell>
        </row>
        <row r="15">
          <cell r="C15">
            <v>3068780</v>
          </cell>
          <cell r="Q15">
            <v>908</v>
          </cell>
        </row>
        <row r="18">
          <cell r="Q18">
            <v>1885</v>
          </cell>
        </row>
        <row r="19">
          <cell r="D19">
            <v>100</v>
          </cell>
        </row>
        <row r="20">
          <cell r="C20">
            <v>22099879.945813179</v>
          </cell>
          <cell r="D20">
            <v>2209987.994581318</v>
          </cell>
          <cell r="Q20">
            <v>1004</v>
          </cell>
          <cell r="R20">
            <v>149</v>
          </cell>
        </row>
        <row r="21">
          <cell r="Q21">
            <v>1774</v>
          </cell>
          <cell r="R21">
            <v>149</v>
          </cell>
        </row>
        <row r="22">
          <cell r="Q22">
            <v>2158</v>
          </cell>
          <cell r="R22">
            <v>149</v>
          </cell>
        </row>
        <row r="24">
          <cell r="C24">
            <v>25577996.337637469</v>
          </cell>
          <cell r="D24">
            <v>7.4999999999999997E-2</v>
          </cell>
        </row>
        <row r="31">
          <cell r="C31">
            <v>1954994</v>
          </cell>
        </row>
        <row r="32">
          <cell r="C32">
            <v>106455</v>
          </cell>
        </row>
        <row r="33">
          <cell r="C33">
            <v>120000</v>
          </cell>
        </row>
        <row r="34">
          <cell r="C34">
            <v>13348</v>
          </cell>
        </row>
        <row r="35">
          <cell r="C35">
            <v>16500</v>
          </cell>
          <cell r="Q35">
            <v>2054</v>
          </cell>
        </row>
        <row r="45">
          <cell r="Q45">
            <v>3264</v>
          </cell>
        </row>
        <row r="46">
          <cell r="Q46">
            <v>3264</v>
          </cell>
        </row>
        <row r="47">
          <cell r="Q47">
            <v>3264</v>
          </cell>
        </row>
        <row r="48">
          <cell r="C48">
            <v>514163</v>
          </cell>
        </row>
        <row r="49">
          <cell r="C49">
            <v>19612564.698876727</v>
          </cell>
        </row>
        <row r="51">
          <cell r="C51">
            <v>303505</v>
          </cell>
        </row>
        <row r="53">
          <cell r="C53">
            <v>1282815.6000000001</v>
          </cell>
        </row>
        <row r="54">
          <cell r="C54">
            <v>433312.18919359823</v>
          </cell>
        </row>
        <row r="55">
          <cell r="C55">
            <v>970106.7696430498</v>
          </cell>
        </row>
        <row r="58">
          <cell r="C58">
            <v>1058087.8</v>
          </cell>
          <cell r="S58">
            <v>486036</v>
          </cell>
        </row>
        <row r="59">
          <cell r="S59">
            <v>55749</v>
          </cell>
        </row>
        <row r="61">
          <cell r="C61">
            <v>335000</v>
          </cell>
        </row>
        <row r="63">
          <cell r="C63">
            <v>2397937.1566535127</v>
          </cell>
          <cell r="D63">
            <v>1278899.8168818734</v>
          </cell>
        </row>
        <row r="64">
          <cell r="C64">
            <v>400000</v>
          </cell>
          <cell r="S64">
            <v>385927.35118877701</v>
          </cell>
        </row>
        <row r="66">
          <cell r="C66">
            <v>191834.97253228101</v>
          </cell>
          <cell r="S66">
            <v>12888.875999999998</v>
          </cell>
        </row>
        <row r="69">
          <cell r="C69">
            <v>35000</v>
          </cell>
          <cell r="S69">
            <v>5250</v>
          </cell>
        </row>
        <row r="70">
          <cell r="C70">
            <v>300000</v>
          </cell>
        </row>
        <row r="71">
          <cell r="C71">
            <v>950000</v>
          </cell>
          <cell r="S71">
            <v>21500</v>
          </cell>
        </row>
        <row r="72">
          <cell r="C72">
            <v>80000</v>
          </cell>
        </row>
        <row r="75">
          <cell r="C75">
            <v>45280</v>
          </cell>
        </row>
        <row r="76">
          <cell r="C76">
            <v>25000</v>
          </cell>
        </row>
        <row r="77">
          <cell r="C77">
            <v>25000</v>
          </cell>
        </row>
        <row r="81">
          <cell r="C81">
            <v>70000</v>
          </cell>
        </row>
        <row r="82">
          <cell r="C82">
            <v>95000</v>
          </cell>
        </row>
        <row r="85">
          <cell r="C85">
            <v>483675.61359438853</v>
          </cell>
        </row>
        <row r="90">
          <cell r="C90">
            <v>12800</v>
          </cell>
        </row>
        <row r="91">
          <cell r="C91">
            <v>1227202.0810299523</v>
          </cell>
        </row>
        <row r="93">
          <cell r="C93">
            <v>116273.24764</v>
          </cell>
        </row>
        <row r="94">
          <cell r="C94">
            <v>525000</v>
          </cell>
        </row>
        <row r="95">
          <cell r="C95">
            <v>125000</v>
          </cell>
        </row>
        <row r="96">
          <cell r="C96">
            <v>1164320</v>
          </cell>
        </row>
        <row r="98">
          <cell r="C98">
            <v>739377.19</v>
          </cell>
        </row>
        <row r="99">
          <cell r="C99">
            <v>36800</v>
          </cell>
        </row>
        <row r="100">
          <cell r="C100">
            <v>95000</v>
          </cell>
        </row>
        <row r="101">
          <cell r="C101">
            <v>33070</v>
          </cell>
        </row>
        <row r="102">
          <cell r="C102">
            <v>60000</v>
          </cell>
        </row>
        <row r="103">
          <cell r="C103">
            <v>80000</v>
          </cell>
        </row>
        <row r="104">
          <cell r="C104">
            <v>677231.1237639999</v>
          </cell>
        </row>
        <row r="108">
          <cell r="C108">
            <v>2200000</v>
          </cell>
        </row>
        <row r="122">
          <cell r="C122">
            <v>145000</v>
          </cell>
        </row>
        <row r="131">
          <cell r="C131">
            <v>20310523</v>
          </cell>
        </row>
        <row r="183">
          <cell r="D183">
            <v>1110</v>
          </cell>
          <cell r="E183">
            <v>2054</v>
          </cell>
        </row>
        <row r="185">
          <cell r="D185">
            <v>1538</v>
          </cell>
          <cell r="E185">
            <v>3264</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ERYTHING"/>
      <sheetName val="Sheet1"/>
    </sheetNames>
    <sheetDataSet>
      <sheetData sheetId="0">
        <row r="12">
          <cell r="C12">
            <v>349072</v>
          </cell>
        </row>
        <row r="13">
          <cell r="C13">
            <v>464940</v>
          </cell>
          <cell r="D13">
            <v>464940</v>
          </cell>
        </row>
        <row r="36">
          <cell r="C36">
            <v>624538.14</v>
          </cell>
        </row>
        <row r="38">
          <cell r="C38">
            <v>288901</v>
          </cell>
        </row>
        <row r="48">
          <cell r="C48">
            <v>497013</v>
          </cell>
        </row>
        <row r="50">
          <cell r="C50">
            <v>1155823.3628856689</v>
          </cell>
        </row>
      </sheetData>
      <sheetData sheetId="1"/>
    </sheetDataSet>
  </externalBook>
</externalLink>
</file>

<file path=xl/persons/person.xml><?xml version="1.0" encoding="utf-8"?>
<personList xmlns="http://schemas.microsoft.com/office/spreadsheetml/2018/threadedcomments" xmlns:x="http://schemas.openxmlformats.org/spreadsheetml/2006/main">
  <person displayName="Oscar Camacho" id="{BD92EF03-6482-49D2-818A-DF682660E1E7}" userId="S::Oscar.Camacho@edenhousing.org::4ff27eae-6929-4868-91e6-960bc106a9c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V807" dT="2023-07-18T23:28:56.20" personId="{BD92EF03-6482-49D2-818A-DF682660E1E7}" id="{4B02A82D-F7B0-4DA1-9ABE-692D61302F0B}">
    <text>Included: Legal Expense</text>
  </threadedComment>
  <threadedComment ref="V808" dT="2023-07-18T23:29:12.00" personId="{BD92EF03-6482-49D2-818A-DF682660E1E7}" id="{380B5E3E-2914-44D2-8CE6-E71C0B066689}">
    <text>Included: Audit/Tax Preparation, Accounting Services</text>
  </threadedComment>
  <threadedComment ref="V809" dT="2023-07-18T23:29:38.61" personId="{BD92EF03-6482-49D2-818A-DF682660E1E7}" id="{FC471AE2-248F-491F-9395-8E5BE9282686}">
    <text>Included: Security Contract/Safety Monitoring</text>
  </threadedComment>
  <threadedComment ref="J813" dT="2023-07-18T23:30:01.26" personId="{BD92EF03-6482-49D2-818A-DF682660E1E7}" id="{DD8B77F4-0514-4F7A-9089-BCA873061507}">
    <text>Included: Management Fee</text>
  </threadedComment>
  <threadedComment ref="V817" dT="2023-07-18T23:30:29.66" personId="{BD92EF03-6482-49D2-818A-DF682660E1E7}" id="{BB66AE59-3A59-43F6-A303-EFD3B1718E2F}">
    <text>Included: Electricity</text>
  </threadedComment>
  <threadedComment ref="V818" dT="2023-07-18T23:30:45.75" personId="{BD92EF03-6482-49D2-818A-DF682660E1E7}" id="{F3E0B098-7633-400C-A3DF-E72007475067}">
    <text>Included: Water, Sewer</text>
  </threadedComment>
  <threadedComment ref="V827" dT="2023-07-22T00:22:01.65" personId="{BD92EF03-6482-49D2-818A-DF682660E1E7}" id="{63877E65-8429-48D9-951D-F3035BA7984D}">
    <text>Property and Liability Insurance</text>
  </threadedComment>
  <threadedComment ref="V830" dT="2023-07-18T23:34:25.72" personId="{BD92EF03-6482-49D2-818A-DF682660E1E7}" id="{521A3FBE-324A-4D3A-A55F-6BAF7D06D583}">
    <text>Included: Repair Contract</text>
  </threadedComment>
  <threadedComment ref="V831" dT="2023-07-18T23:34:48.08" personId="{BD92EF03-6482-49D2-818A-DF682660E1E7}" id="{7D3BF1C6-33F4-4505-8916-0526BF88FAD0}">
    <text>Included: Rubbish Removal</text>
  </threadedComment>
  <threadedComment ref="V832" dT="2023-07-18T23:35:16.66" personId="{BD92EF03-6482-49D2-818A-DF682660E1E7}" id="{0A7537C9-7B13-460D-9C47-C4063AB06F1B}">
    <text>Included: Exterminating Contract</text>
  </threadedComment>
  <threadedComment ref="V833" dT="2023-07-18T23:35:46.78" personId="{BD92EF03-6482-49D2-818A-DF682660E1E7}" id="{5AA27A1F-7900-45CD-9257-AEED05964A00}">
    <text>Included: Grounds Contract</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1.xm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2" zoomScale="105" workbookViewId="0">
      <selection activeCell="D19" sqref="D19:AK25"/>
    </sheetView>
  </sheetViews>
  <sheetFormatPr defaultColWidth="0" defaultRowHeight="12.75" zeroHeight="1"/>
  <cols>
    <col min="1" max="38" width="2.42578125" customWidth="1"/>
    <col min="39" max="16384" width="8.85546875" hidden="1"/>
  </cols>
  <sheetData>
    <row r="1" spans="1:38">
      <c r="A1" s="936" t="s">
        <v>0</v>
      </c>
      <c r="B1" s="936"/>
      <c r="C1" s="936"/>
      <c r="D1" s="936"/>
      <c r="E1" s="936"/>
      <c r="F1" s="936"/>
      <c r="G1" s="936"/>
      <c r="H1" s="936"/>
      <c r="I1" s="936"/>
      <c r="J1" s="936"/>
      <c r="K1" s="936"/>
      <c r="L1" s="936"/>
      <c r="M1" s="936"/>
      <c r="N1" s="936"/>
      <c r="O1" s="936"/>
      <c r="P1" s="936"/>
      <c r="Q1" s="936"/>
      <c r="R1" s="936"/>
      <c r="S1" s="936"/>
      <c r="T1" s="936"/>
      <c r="U1" s="936"/>
      <c r="V1" s="936"/>
      <c r="W1" s="936"/>
      <c r="X1" s="936"/>
      <c r="Y1" s="936"/>
      <c r="Z1" s="936"/>
      <c r="AA1" s="936"/>
      <c r="AB1" s="936"/>
      <c r="AC1" s="936"/>
      <c r="AD1" s="936"/>
      <c r="AE1" s="936"/>
      <c r="AF1" s="936"/>
      <c r="AG1" s="936"/>
      <c r="AH1" s="936"/>
      <c r="AI1" s="936"/>
      <c r="AJ1" s="936"/>
      <c r="AK1" s="936"/>
      <c r="AL1" s="937"/>
    </row>
    <row r="2" spans="1:38" ht="13.5" thickBot="1">
      <c r="A2" s="938"/>
      <c r="B2" s="938"/>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938"/>
      <c r="AF2" s="938"/>
      <c r="AG2" s="938"/>
      <c r="AH2" s="938"/>
      <c r="AI2" s="938"/>
      <c r="AJ2" s="938"/>
      <c r="AK2" s="938"/>
      <c r="AL2" s="939"/>
    </row>
    <row r="3" spans="1:38" ht="13.5" thickTop="1"/>
    <row r="4" spans="1:38">
      <c r="A4" s="8"/>
      <c r="B4" s="833" t="s">
        <v>1</v>
      </c>
      <c r="C4" s="833" t="s">
        <v>2</v>
      </c>
      <c r="D4" s="302"/>
      <c r="E4" s="302"/>
      <c r="F4" s="302"/>
      <c r="G4" s="302"/>
      <c r="H4" s="302"/>
      <c r="I4" s="302"/>
      <c r="J4" s="302"/>
      <c r="K4" s="302"/>
      <c r="L4" s="302"/>
      <c r="M4" s="302"/>
      <c r="N4" s="302"/>
      <c r="O4" s="302"/>
      <c r="P4" s="302"/>
      <c r="Q4" s="302"/>
      <c r="R4" s="302"/>
      <c r="S4" s="302"/>
      <c r="T4" s="302"/>
      <c r="U4" s="302"/>
      <c r="V4" s="302"/>
      <c r="W4" s="302"/>
      <c r="X4" s="302"/>
      <c r="Y4" s="302"/>
      <c r="Z4" s="302"/>
      <c r="AA4" s="302"/>
      <c r="AB4" s="302"/>
      <c r="AC4" s="8"/>
      <c r="AD4" s="8"/>
      <c r="AE4" s="8"/>
      <c r="AF4" s="8"/>
      <c r="AG4" s="8"/>
      <c r="AH4" s="8"/>
      <c r="AI4" s="8"/>
      <c r="AJ4" s="8"/>
      <c r="AK4" s="8"/>
      <c r="AL4" s="8"/>
    </row>
    <row r="5" spans="1:38">
      <c r="B5" s="2"/>
      <c r="C5" s="2"/>
      <c r="D5" s="33"/>
      <c r="E5" s="33"/>
      <c r="F5" s="33"/>
      <c r="G5" s="33"/>
      <c r="H5" s="33"/>
      <c r="I5" s="33"/>
      <c r="J5" s="33"/>
      <c r="K5" s="33"/>
      <c r="L5" s="33"/>
      <c r="M5" s="33"/>
      <c r="N5" s="33"/>
      <c r="O5" s="33"/>
      <c r="P5" s="33"/>
      <c r="Q5" s="33"/>
      <c r="R5" s="33"/>
      <c r="S5" s="33"/>
      <c r="T5" s="33"/>
      <c r="U5" s="33"/>
      <c r="V5" s="33"/>
      <c r="W5" s="33"/>
      <c r="X5" s="33"/>
      <c r="Y5" s="33"/>
      <c r="Z5" s="33"/>
      <c r="AA5" s="33"/>
      <c r="AB5" s="33"/>
    </row>
    <row r="6" spans="1:38">
      <c r="A6" s="33"/>
      <c r="C6" s="2" t="s">
        <v>3</v>
      </c>
      <c r="D6" s="2" t="s">
        <v>4</v>
      </c>
      <c r="F6" s="33"/>
      <c r="G6" s="33"/>
      <c r="H6" s="33"/>
      <c r="I6" s="33"/>
      <c r="J6" s="33"/>
      <c r="K6" s="33"/>
      <c r="L6" s="33"/>
      <c r="M6" s="33"/>
      <c r="N6" s="33"/>
      <c r="O6" s="33"/>
      <c r="P6" s="33"/>
      <c r="Q6" s="33"/>
      <c r="R6" s="33"/>
      <c r="S6" s="33"/>
      <c r="T6" s="33"/>
      <c r="U6" s="33"/>
      <c r="V6" s="33"/>
      <c r="W6" s="33"/>
      <c r="X6" s="33"/>
      <c r="Y6" s="33"/>
      <c r="Z6" s="33"/>
      <c r="AA6" s="33"/>
      <c r="AB6" s="33"/>
    </row>
    <row r="7" spans="1:38" ht="13.7" customHeight="1">
      <c r="A7" s="33"/>
      <c r="C7" s="2"/>
      <c r="D7" s="928" t="s">
        <v>5</v>
      </c>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row>
    <row r="8" spans="1:38">
      <c r="A8" s="33"/>
      <c r="C8" s="2"/>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row>
    <row r="9" spans="1:38">
      <c r="A9" s="33"/>
      <c r="C9" s="2"/>
      <c r="D9" s="928"/>
      <c r="E9" s="928"/>
      <c r="F9" s="928"/>
      <c r="G9" s="928"/>
      <c r="H9" s="928"/>
      <c r="I9" s="928"/>
      <c r="J9" s="928"/>
      <c r="K9" s="928"/>
      <c r="L9" s="928"/>
      <c r="M9" s="928"/>
      <c r="N9" s="928"/>
      <c r="O9" s="928"/>
      <c r="P9" s="928"/>
      <c r="Q9" s="928"/>
      <c r="R9" s="928"/>
      <c r="S9" s="928"/>
      <c r="T9" s="928"/>
      <c r="U9" s="928"/>
      <c r="V9" s="928"/>
      <c r="W9" s="928"/>
      <c r="X9" s="928"/>
      <c r="Y9" s="928"/>
      <c r="Z9" s="928"/>
      <c r="AA9" s="928"/>
      <c r="AB9" s="928"/>
      <c r="AC9" s="928"/>
      <c r="AD9" s="928"/>
      <c r="AE9" s="928"/>
      <c r="AF9" s="928"/>
      <c r="AG9" s="928"/>
      <c r="AH9" s="928"/>
      <c r="AI9" s="928"/>
      <c r="AJ9" s="928"/>
      <c r="AK9" s="928"/>
    </row>
    <row r="10" spans="1:38">
      <c r="A10" s="33"/>
      <c r="C10" s="2"/>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8"/>
      <c r="AC10" s="928"/>
      <c r="AD10" s="928"/>
      <c r="AE10" s="928"/>
      <c r="AF10" s="928"/>
      <c r="AG10" s="928"/>
      <c r="AH10" s="928"/>
      <c r="AI10" s="928"/>
      <c r="AJ10" s="928"/>
      <c r="AK10" s="928"/>
    </row>
    <row r="11" spans="1:38">
      <c r="A11" s="33"/>
      <c r="C11" s="2"/>
      <c r="D11" s="928"/>
      <c r="E11" s="928"/>
      <c r="F11" s="928"/>
      <c r="G11" s="928"/>
      <c r="H11" s="928"/>
      <c r="I11" s="928"/>
      <c r="J11" s="928"/>
      <c r="K11" s="928"/>
      <c r="L11" s="928"/>
      <c r="M11" s="928"/>
      <c r="N11" s="928"/>
      <c r="O11" s="928"/>
      <c r="P11" s="928"/>
      <c r="Q11" s="928"/>
      <c r="R11" s="928"/>
      <c r="S11" s="928"/>
      <c r="T11" s="928"/>
      <c r="U11" s="928"/>
      <c r="V11" s="928"/>
      <c r="W11" s="928"/>
      <c r="X11" s="928"/>
      <c r="Y11" s="928"/>
      <c r="Z11" s="928"/>
      <c r="AA11" s="928"/>
      <c r="AB11" s="928"/>
      <c r="AC11" s="928"/>
      <c r="AD11" s="928"/>
      <c r="AE11" s="928"/>
      <c r="AF11" s="928"/>
      <c r="AG11" s="928"/>
      <c r="AH11" s="928"/>
      <c r="AI11" s="928"/>
      <c r="AJ11" s="928"/>
      <c r="AK11" s="928"/>
    </row>
    <row r="12" spans="1:38">
      <c r="A12" s="33"/>
      <c r="C12" s="2"/>
      <c r="D12" s="928"/>
      <c r="E12" s="928"/>
      <c r="F12" s="928"/>
      <c r="G12" s="928"/>
      <c r="H12" s="928"/>
      <c r="I12" s="928"/>
      <c r="J12" s="928"/>
      <c r="K12" s="928"/>
      <c r="L12" s="928"/>
      <c r="M12" s="928"/>
      <c r="N12" s="928"/>
      <c r="O12" s="928"/>
      <c r="P12" s="928"/>
      <c r="Q12" s="928"/>
      <c r="R12" s="928"/>
      <c r="S12" s="928"/>
      <c r="T12" s="928"/>
      <c r="U12" s="928"/>
      <c r="V12" s="928"/>
      <c r="W12" s="928"/>
      <c r="X12" s="928"/>
      <c r="Y12" s="928"/>
      <c r="Z12" s="928"/>
      <c r="AA12" s="928"/>
      <c r="AB12" s="928"/>
      <c r="AC12" s="928"/>
      <c r="AD12" s="928"/>
      <c r="AE12" s="928"/>
      <c r="AF12" s="928"/>
      <c r="AG12" s="928"/>
      <c r="AH12" s="928"/>
      <c r="AI12" s="928"/>
      <c r="AJ12" s="928"/>
      <c r="AK12" s="928"/>
    </row>
    <row r="13" spans="1:38">
      <c r="A13" s="33"/>
      <c r="C13" s="2"/>
      <c r="D13" s="928"/>
      <c r="E13" s="928"/>
      <c r="F13" s="928"/>
      <c r="G13" s="928"/>
      <c r="H13" s="928"/>
      <c r="I13" s="928"/>
      <c r="J13" s="928"/>
      <c r="K13" s="928"/>
      <c r="L13" s="928"/>
      <c r="M13" s="928"/>
      <c r="N13" s="928"/>
      <c r="O13" s="928"/>
      <c r="P13" s="928"/>
      <c r="Q13" s="928"/>
      <c r="R13" s="928"/>
      <c r="S13" s="928"/>
      <c r="T13" s="928"/>
      <c r="U13" s="928"/>
      <c r="V13" s="928"/>
      <c r="W13" s="928"/>
      <c r="X13" s="928"/>
      <c r="Y13" s="928"/>
      <c r="Z13" s="928"/>
      <c r="AA13" s="928"/>
      <c r="AB13" s="928"/>
      <c r="AC13" s="928"/>
      <c r="AD13" s="928"/>
      <c r="AE13" s="928"/>
      <c r="AF13" s="928"/>
      <c r="AG13" s="928"/>
      <c r="AH13" s="928"/>
      <c r="AI13" s="928"/>
      <c r="AJ13" s="928"/>
      <c r="AK13" s="928"/>
    </row>
    <row r="14" spans="1:38">
      <c r="A14" s="33"/>
      <c r="C14" s="2"/>
      <c r="D14" s="928"/>
      <c r="E14" s="928"/>
      <c r="F14" s="928"/>
      <c r="G14" s="928"/>
      <c r="H14" s="928"/>
      <c r="I14" s="928"/>
      <c r="J14" s="928"/>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8"/>
      <c r="AH14" s="928"/>
      <c r="AI14" s="928"/>
      <c r="AJ14" s="928"/>
      <c r="AK14" s="928"/>
    </row>
    <row r="15" spans="1:38">
      <c r="A15" s="33"/>
      <c r="C15" s="2"/>
      <c r="D15" s="928"/>
      <c r="E15" s="928"/>
      <c r="F15" s="928"/>
      <c r="G15" s="928"/>
      <c r="H15" s="928"/>
      <c r="I15" s="928"/>
      <c r="J15" s="928"/>
      <c r="K15" s="928"/>
      <c r="L15" s="928"/>
      <c r="M15" s="928"/>
      <c r="N15" s="928"/>
      <c r="O15" s="928"/>
      <c r="P15" s="928"/>
      <c r="Q15" s="928"/>
      <c r="R15" s="928"/>
      <c r="S15" s="928"/>
      <c r="T15" s="928"/>
      <c r="U15" s="928"/>
      <c r="V15" s="928"/>
      <c r="W15" s="928"/>
      <c r="X15" s="928"/>
      <c r="Y15" s="928"/>
      <c r="Z15" s="928"/>
      <c r="AA15" s="928"/>
      <c r="AB15" s="928"/>
      <c r="AC15" s="928"/>
      <c r="AD15" s="928"/>
      <c r="AE15" s="928"/>
      <c r="AF15" s="928"/>
      <c r="AG15" s="928"/>
      <c r="AH15" s="928"/>
      <c r="AI15" s="928"/>
      <c r="AJ15" s="928"/>
      <c r="AK15" s="928"/>
    </row>
    <row r="16" spans="1:38">
      <c r="A16" s="33"/>
      <c r="C16" s="2"/>
      <c r="D16" s="928"/>
      <c r="E16" s="928"/>
      <c r="F16" s="928"/>
      <c r="G16" s="928"/>
      <c r="H16" s="928"/>
      <c r="I16" s="928"/>
      <c r="J16" s="928"/>
      <c r="K16" s="928"/>
      <c r="L16" s="928"/>
      <c r="M16" s="928"/>
      <c r="N16" s="928"/>
      <c r="O16" s="928"/>
      <c r="P16" s="928"/>
      <c r="Q16" s="928"/>
      <c r="R16" s="928"/>
      <c r="S16" s="928"/>
      <c r="T16" s="928"/>
      <c r="U16" s="928"/>
      <c r="V16" s="928"/>
      <c r="W16" s="928"/>
      <c r="X16" s="928"/>
      <c r="Y16" s="928"/>
      <c r="Z16" s="928"/>
      <c r="AA16" s="928"/>
      <c r="AB16" s="928"/>
      <c r="AC16" s="928"/>
      <c r="AD16" s="928"/>
      <c r="AE16" s="928"/>
      <c r="AF16" s="928"/>
      <c r="AG16" s="928"/>
      <c r="AH16" s="928"/>
      <c r="AI16" s="928"/>
      <c r="AJ16" s="928"/>
      <c r="AK16" s="928"/>
    </row>
    <row r="17" spans="1:38">
      <c r="A17" s="33"/>
      <c r="C17" s="2"/>
      <c r="D17" s="928"/>
      <c r="E17" s="928"/>
      <c r="F17" s="928"/>
      <c r="G17" s="928"/>
      <c r="H17" s="928"/>
      <c r="I17" s="928"/>
      <c r="J17" s="928"/>
      <c r="K17" s="928"/>
      <c r="L17" s="928"/>
      <c r="M17" s="928"/>
      <c r="N17" s="928"/>
      <c r="O17" s="928"/>
      <c r="P17" s="928"/>
      <c r="Q17" s="928"/>
      <c r="R17" s="928"/>
      <c r="S17" s="928"/>
      <c r="T17" s="928"/>
      <c r="U17" s="928"/>
      <c r="V17" s="928"/>
      <c r="W17" s="928"/>
      <c r="X17" s="928"/>
      <c r="Y17" s="928"/>
      <c r="Z17" s="928"/>
      <c r="AA17" s="928"/>
      <c r="AB17" s="928"/>
      <c r="AC17" s="928"/>
      <c r="AD17" s="928"/>
      <c r="AE17" s="928"/>
      <c r="AF17" s="928"/>
      <c r="AG17" s="928"/>
      <c r="AH17" s="928"/>
      <c r="AI17" s="928"/>
      <c r="AJ17" s="928"/>
      <c r="AK17" s="928"/>
    </row>
    <row r="18" spans="1:38" ht="11.1" customHeight="1">
      <c r="A18" s="33"/>
      <c r="C18" s="2"/>
      <c r="D18" s="928"/>
      <c r="E18" s="928"/>
      <c r="F18" s="928"/>
      <c r="G18" s="928"/>
      <c r="H18" s="928"/>
      <c r="I18" s="928"/>
      <c r="J18" s="928"/>
      <c r="K18" s="928"/>
      <c r="L18" s="928"/>
      <c r="M18" s="928"/>
      <c r="N18" s="928"/>
      <c r="O18" s="928"/>
      <c r="P18" s="928"/>
      <c r="Q18" s="928"/>
      <c r="R18" s="928"/>
      <c r="S18" s="928"/>
      <c r="T18" s="928"/>
      <c r="U18" s="928"/>
      <c r="V18" s="928"/>
      <c r="W18" s="928"/>
      <c r="X18" s="928"/>
      <c r="Y18" s="928"/>
      <c r="Z18" s="928"/>
      <c r="AA18" s="928"/>
      <c r="AB18" s="928"/>
      <c r="AC18" s="928"/>
      <c r="AD18" s="928"/>
      <c r="AE18" s="928"/>
      <c r="AF18" s="928"/>
      <c r="AG18" s="928"/>
      <c r="AH18" s="928"/>
      <c r="AI18" s="928"/>
      <c r="AJ18" s="928"/>
      <c r="AK18" s="928"/>
    </row>
    <row r="19" spans="1:38" ht="13.7" customHeight="1">
      <c r="A19" s="33"/>
      <c r="C19" s="2"/>
      <c r="D19" s="928" t="s">
        <v>6</v>
      </c>
      <c r="E19" s="928"/>
      <c r="F19" s="928"/>
      <c r="G19" s="928"/>
      <c r="H19" s="928"/>
      <c r="I19" s="928"/>
      <c r="J19" s="928"/>
      <c r="K19" s="928"/>
      <c r="L19" s="928"/>
      <c r="M19" s="928"/>
      <c r="N19" s="928"/>
      <c r="O19" s="928"/>
      <c r="P19" s="928"/>
      <c r="Q19" s="928"/>
      <c r="R19" s="928"/>
      <c r="S19" s="928"/>
      <c r="T19" s="928"/>
      <c r="U19" s="928"/>
      <c r="V19" s="928"/>
      <c r="W19" s="928"/>
      <c r="X19" s="928"/>
      <c r="Y19" s="928"/>
      <c r="Z19" s="928"/>
      <c r="AA19" s="928"/>
      <c r="AB19" s="928"/>
      <c r="AC19" s="928"/>
      <c r="AD19" s="928"/>
      <c r="AE19" s="928"/>
      <c r="AF19" s="928"/>
      <c r="AG19" s="928"/>
      <c r="AH19" s="928"/>
      <c r="AI19" s="928"/>
      <c r="AJ19" s="928"/>
      <c r="AK19" s="928"/>
    </row>
    <row r="20" spans="1:38">
      <c r="A20" s="33"/>
      <c r="C20" s="2"/>
      <c r="D20" s="928"/>
      <c r="E20" s="928"/>
      <c r="F20" s="928"/>
      <c r="G20" s="928"/>
      <c r="H20" s="928"/>
      <c r="I20" s="928"/>
      <c r="J20" s="928"/>
      <c r="K20" s="928"/>
      <c r="L20" s="928"/>
      <c r="M20" s="928"/>
      <c r="N20" s="928"/>
      <c r="O20" s="928"/>
      <c r="P20" s="928"/>
      <c r="Q20" s="928"/>
      <c r="R20" s="928"/>
      <c r="S20" s="928"/>
      <c r="T20" s="928"/>
      <c r="U20" s="928"/>
      <c r="V20" s="928"/>
      <c r="W20" s="928"/>
      <c r="X20" s="928"/>
      <c r="Y20" s="928"/>
      <c r="Z20" s="928"/>
      <c r="AA20" s="928"/>
      <c r="AB20" s="928"/>
      <c r="AC20" s="928"/>
      <c r="AD20" s="928"/>
      <c r="AE20" s="928"/>
      <c r="AF20" s="928"/>
      <c r="AG20" s="928"/>
      <c r="AH20" s="928"/>
      <c r="AI20" s="928"/>
      <c r="AJ20" s="928"/>
      <c r="AK20" s="928"/>
    </row>
    <row r="21" spans="1:38">
      <c r="A21" s="33"/>
      <c r="C21" s="2"/>
      <c r="D21" s="928"/>
      <c r="E21" s="928"/>
      <c r="F21" s="928"/>
      <c r="G21" s="928"/>
      <c r="H21" s="928"/>
      <c r="I21" s="928"/>
      <c r="J21" s="928"/>
      <c r="K21" s="928"/>
      <c r="L21" s="928"/>
      <c r="M21" s="928"/>
      <c r="N21" s="928"/>
      <c r="O21" s="928"/>
      <c r="P21" s="928"/>
      <c r="Q21" s="928"/>
      <c r="R21" s="928"/>
      <c r="S21" s="928"/>
      <c r="T21" s="928"/>
      <c r="U21" s="928"/>
      <c r="V21" s="928"/>
      <c r="W21" s="928"/>
      <c r="X21" s="928"/>
      <c r="Y21" s="928"/>
      <c r="Z21" s="928"/>
      <c r="AA21" s="928"/>
      <c r="AB21" s="928"/>
      <c r="AC21" s="928"/>
      <c r="AD21" s="928"/>
      <c r="AE21" s="928"/>
      <c r="AF21" s="928"/>
      <c r="AG21" s="928"/>
      <c r="AH21" s="928"/>
      <c r="AI21" s="928"/>
      <c r="AJ21" s="928"/>
      <c r="AK21" s="928"/>
    </row>
    <row r="22" spans="1:38">
      <c r="A22" s="33"/>
      <c r="C22" s="2"/>
      <c r="D22" s="928"/>
      <c r="E22" s="928"/>
      <c r="F22" s="928"/>
      <c r="G22" s="928"/>
      <c r="H22" s="928"/>
      <c r="I22" s="928"/>
      <c r="J22" s="928"/>
      <c r="K22" s="928"/>
      <c r="L22" s="928"/>
      <c r="M22" s="928"/>
      <c r="N22" s="928"/>
      <c r="O22" s="928"/>
      <c r="P22" s="928"/>
      <c r="Q22" s="928"/>
      <c r="R22" s="928"/>
      <c r="S22" s="928"/>
      <c r="T22" s="928"/>
      <c r="U22" s="928"/>
      <c r="V22" s="928"/>
      <c r="W22" s="928"/>
      <c r="X22" s="928"/>
      <c r="Y22" s="928"/>
      <c r="Z22" s="928"/>
      <c r="AA22" s="928"/>
      <c r="AB22" s="928"/>
      <c r="AC22" s="928"/>
      <c r="AD22" s="928"/>
      <c r="AE22" s="928"/>
      <c r="AF22" s="928"/>
      <c r="AG22" s="928"/>
      <c r="AH22" s="928"/>
      <c r="AI22" s="928"/>
      <c r="AJ22" s="928"/>
      <c r="AK22" s="928"/>
    </row>
    <row r="23" spans="1:38">
      <c r="A23" s="33"/>
      <c r="C23" s="2"/>
      <c r="D23" s="928"/>
      <c r="E23" s="928"/>
      <c r="F23" s="928"/>
      <c r="G23" s="928"/>
      <c r="H23" s="928"/>
      <c r="I23" s="928"/>
      <c r="J23" s="928"/>
      <c r="K23" s="928"/>
      <c r="L23" s="928"/>
      <c r="M23" s="928"/>
      <c r="N23" s="928"/>
      <c r="O23" s="928"/>
      <c r="P23" s="928"/>
      <c r="Q23" s="928"/>
      <c r="R23" s="928"/>
      <c r="S23" s="928"/>
      <c r="T23" s="928"/>
      <c r="U23" s="928"/>
      <c r="V23" s="928"/>
      <c r="W23" s="928"/>
      <c r="X23" s="928"/>
      <c r="Y23" s="928"/>
      <c r="Z23" s="928"/>
      <c r="AA23" s="928"/>
      <c r="AB23" s="928"/>
      <c r="AC23" s="928"/>
      <c r="AD23" s="928"/>
      <c r="AE23" s="928"/>
      <c r="AF23" s="928"/>
      <c r="AG23" s="928"/>
      <c r="AH23" s="928"/>
      <c r="AI23" s="928"/>
      <c r="AJ23" s="928"/>
      <c r="AK23" s="928"/>
    </row>
    <row r="24" spans="1:38">
      <c r="A24" s="33"/>
      <c r="C24" s="2"/>
      <c r="D24" s="928"/>
      <c r="E24" s="928"/>
      <c r="F24" s="928"/>
      <c r="G24" s="928"/>
      <c r="H24" s="928"/>
      <c r="I24" s="928"/>
      <c r="J24" s="928"/>
      <c r="K24" s="928"/>
      <c r="L24" s="928"/>
      <c r="M24" s="928"/>
      <c r="N24" s="928"/>
      <c r="O24" s="928"/>
      <c r="P24" s="928"/>
      <c r="Q24" s="928"/>
      <c r="R24" s="928"/>
      <c r="S24" s="928"/>
      <c r="T24" s="928"/>
      <c r="U24" s="928"/>
      <c r="V24" s="928"/>
      <c r="W24" s="928"/>
      <c r="X24" s="928"/>
      <c r="Y24" s="928"/>
      <c r="Z24" s="928"/>
      <c r="AA24" s="928"/>
      <c r="AB24" s="928"/>
      <c r="AC24" s="928"/>
      <c r="AD24" s="928"/>
      <c r="AE24" s="928"/>
      <c r="AF24" s="928"/>
      <c r="AG24" s="928"/>
      <c r="AH24" s="928"/>
      <c r="AI24" s="928"/>
      <c r="AJ24" s="928"/>
      <c r="AK24" s="928"/>
    </row>
    <row r="25" spans="1:38">
      <c r="A25" s="33"/>
      <c r="C25" s="2"/>
      <c r="D25" s="928"/>
      <c r="E25" s="928"/>
      <c r="F25" s="928"/>
      <c r="G25" s="928"/>
      <c r="H25" s="928"/>
      <c r="I25" s="928"/>
      <c r="J25" s="928"/>
      <c r="K25" s="928"/>
      <c r="L25" s="928"/>
      <c r="M25" s="928"/>
      <c r="N25" s="928"/>
      <c r="O25" s="928"/>
      <c r="P25" s="928"/>
      <c r="Q25" s="928"/>
      <c r="R25" s="928"/>
      <c r="S25" s="928"/>
      <c r="T25" s="928"/>
      <c r="U25" s="928"/>
      <c r="V25" s="928"/>
      <c r="W25" s="928"/>
      <c r="X25" s="928"/>
      <c r="Y25" s="928"/>
      <c r="Z25" s="928"/>
      <c r="AA25" s="928"/>
      <c r="AB25" s="928"/>
      <c r="AC25" s="928"/>
      <c r="AD25" s="928"/>
      <c r="AE25" s="928"/>
      <c r="AF25" s="928"/>
      <c r="AG25" s="928"/>
      <c r="AH25" s="928"/>
      <c r="AI25" s="928"/>
      <c r="AJ25" s="928"/>
      <c r="AK25" s="928"/>
    </row>
    <row r="26" spans="1:38">
      <c r="A26" s="33"/>
      <c r="C26" s="2"/>
      <c r="D26" s="33"/>
      <c r="E26" s="930" t="s">
        <v>7</v>
      </c>
      <c r="F26" s="930"/>
      <c r="G26" s="930"/>
      <c r="H26" s="930"/>
      <c r="I26" s="930"/>
      <c r="J26" s="930"/>
      <c r="K26" s="930"/>
      <c r="L26" s="930"/>
      <c r="M26" s="930"/>
      <c r="N26" s="930"/>
      <c r="O26" s="930"/>
      <c r="P26" s="930"/>
      <c r="Q26" s="930"/>
      <c r="R26" s="930"/>
      <c r="S26" s="930"/>
      <c r="T26" s="930"/>
      <c r="U26" s="930"/>
      <c r="V26" s="930"/>
      <c r="W26" s="930"/>
      <c r="X26" s="930"/>
      <c r="Y26" s="930"/>
      <c r="Z26" s="930"/>
      <c r="AA26" s="930"/>
      <c r="AB26" s="930"/>
      <c r="AC26" s="930"/>
      <c r="AD26" s="930"/>
      <c r="AE26" s="930"/>
      <c r="AF26" s="930"/>
      <c r="AG26" s="930"/>
      <c r="AH26" s="930"/>
      <c r="AI26" s="930"/>
      <c r="AJ26" s="930"/>
      <c r="AK26" s="930"/>
    </row>
    <row r="27" spans="1:38">
      <c r="A27" s="33"/>
      <c r="C27" s="2"/>
      <c r="E27" s="930" t="s">
        <v>8</v>
      </c>
      <c r="F27" s="930"/>
      <c r="G27" s="930"/>
      <c r="H27" s="930"/>
      <c r="I27" s="930"/>
      <c r="J27" s="930"/>
      <c r="K27" s="930"/>
      <c r="L27" s="930"/>
      <c r="M27" s="930"/>
      <c r="N27" s="930"/>
      <c r="O27" s="930"/>
      <c r="P27" s="930"/>
      <c r="Q27" s="930"/>
      <c r="R27" s="930"/>
      <c r="S27" s="930"/>
      <c r="T27" s="930"/>
      <c r="U27" s="930"/>
      <c r="V27" s="930"/>
      <c r="W27" s="930"/>
      <c r="X27" s="930"/>
      <c r="Y27" s="930"/>
      <c r="Z27" s="930"/>
      <c r="AA27" s="930"/>
      <c r="AB27" s="930"/>
      <c r="AC27" s="930"/>
      <c r="AD27" s="930"/>
      <c r="AE27" s="930"/>
      <c r="AF27" s="930"/>
      <c r="AG27" s="930"/>
      <c r="AH27" s="930"/>
      <c r="AI27" s="930"/>
      <c r="AJ27" s="930"/>
      <c r="AK27" s="930"/>
    </row>
    <row r="28" spans="1:38">
      <c r="A28" s="33"/>
      <c r="C28" s="2"/>
      <c r="E28" s="33"/>
      <c r="F28" s="33"/>
      <c r="G28" s="33"/>
      <c r="H28" s="33"/>
      <c r="I28" s="33"/>
      <c r="J28" s="33"/>
      <c r="K28" s="33"/>
      <c r="L28" s="33"/>
      <c r="M28" s="33"/>
      <c r="N28" s="33"/>
      <c r="O28" s="33"/>
      <c r="P28" s="33"/>
      <c r="Q28" s="33"/>
      <c r="R28" s="33"/>
      <c r="S28" s="33"/>
      <c r="T28" s="33"/>
      <c r="U28" s="33"/>
      <c r="V28" s="33"/>
      <c r="W28" s="33"/>
      <c r="X28" s="33"/>
      <c r="Y28" s="33"/>
      <c r="Z28" s="33"/>
      <c r="AA28" s="33"/>
      <c r="AB28" s="33"/>
    </row>
    <row r="29" spans="1:38" s="4" customFormat="1">
      <c r="A29" s="33"/>
      <c r="B29"/>
      <c r="C29"/>
      <c r="D29" s="929" t="s">
        <v>9</v>
      </c>
      <c r="E29" s="929"/>
      <c r="F29" s="929"/>
      <c r="G29" s="929"/>
      <c r="H29" s="929"/>
      <c r="I29" s="929"/>
      <c r="J29" s="929"/>
      <c r="K29" s="929"/>
      <c r="L29" s="929"/>
      <c r="M29" s="929"/>
      <c r="N29" s="929"/>
      <c r="O29" s="929"/>
      <c r="P29" s="929"/>
      <c r="Q29" s="929"/>
      <c r="R29" s="929"/>
      <c r="S29" s="929"/>
      <c r="T29" s="929"/>
      <c r="U29" s="929"/>
      <c r="V29" s="929"/>
      <c r="W29" s="929"/>
      <c r="X29" s="929"/>
      <c r="Y29" s="929"/>
      <c r="Z29" s="929"/>
      <c r="AA29" s="929"/>
      <c r="AB29" s="929"/>
      <c r="AC29" s="929"/>
      <c r="AD29" s="929"/>
      <c r="AE29" s="929"/>
      <c r="AF29" s="929"/>
      <c r="AG29" s="929"/>
      <c r="AH29" s="929"/>
      <c r="AI29" s="929"/>
      <c r="AJ29" s="929"/>
      <c r="AK29" s="929"/>
      <c r="AL29"/>
    </row>
    <row r="30" spans="1:38">
      <c r="A30" s="33"/>
      <c r="D30" s="929"/>
      <c r="E30" s="929"/>
      <c r="F30" s="929"/>
      <c r="G30" s="929"/>
      <c r="H30" s="929"/>
      <c r="I30" s="929"/>
      <c r="J30" s="929"/>
      <c r="K30" s="929"/>
      <c r="L30" s="929"/>
      <c r="M30" s="929"/>
      <c r="N30" s="929"/>
      <c r="O30" s="929"/>
      <c r="P30" s="929"/>
      <c r="Q30" s="929"/>
      <c r="R30" s="929"/>
      <c r="S30" s="929"/>
      <c r="T30" s="929"/>
      <c r="U30" s="929"/>
      <c r="V30" s="929"/>
      <c r="W30" s="929"/>
      <c r="X30" s="929"/>
      <c r="Y30" s="929"/>
      <c r="Z30" s="929"/>
      <c r="AA30" s="929"/>
      <c r="AB30" s="929"/>
      <c r="AC30" s="929"/>
      <c r="AD30" s="929"/>
      <c r="AE30" s="929"/>
      <c r="AF30" s="929"/>
      <c r="AG30" s="929"/>
      <c r="AH30" s="929"/>
      <c r="AI30" s="929"/>
      <c r="AJ30" s="929"/>
      <c r="AK30" s="929"/>
    </row>
    <row r="31" spans="1:38">
      <c r="A31" s="33"/>
      <c r="D31" s="112"/>
      <c r="E31" s="931" t="s">
        <v>10</v>
      </c>
      <c r="F31" s="931"/>
      <c r="G31" s="931"/>
      <c r="H31" s="931"/>
      <c r="I31" s="931"/>
      <c r="J31" s="931"/>
      <c r="K31" s="931"/>
      <c r="L31" s="931"/>
      <c r="M31" s="931"/>
      <c r="N31" s="931"/>
      <c r="O31" s="931"/>
      <c r="P31" s="931"/>
      <c r="Q31" s="931"/>
      <c r="R31" s="931"/>
      <c r="S31" s="931"/>
      <c r="T31" s="931"/>
      <c r="U31" s="931"/>
      <c r="V31" s="931"/>
      <c r="W31" s="931"/>
      <c r="X31" s="931"/>
      <c r="Y31" s="931"/>
      <c r="Z31" s="931"/>
      <c r="AA31" s="931"/>
      <c r="AB31" s="931"/>
      <c r="AC31" s="931"/>
      <c r="AD31" s="931"/>
      <c r="AE31" s="931"/>
      <c r="AF31" s="931"/>
      <c r="AG31" s="931"/>
      <c r="AH31" s="931"/>
      <c r="AI31" s="931"/>
      <c r="AJ31" s="931"/>
      <c r="AK31" s="931"/>
    </row>
    <row r="32" spans="1:38">
      <c r="A32" s="33"/>
      <c r="D32" s="112"/>
      <c r="E32" s="931" t="s">
        <v>11</v>
      </c>
      <c r="F32" s="931"/>
      <c r="G32" s="931"/>
      <c r="H32" s="931"/>
      <c r="I32" s="931"/>
      <c r="J32" s="931"/>
      <c r="K32" s="931"/>
      <c r="L32" s="931"/>
      <c r="M32" s="931"/>
      <c r="N32" s="931"/>
      <c r="O32" s="931"/>
      <c r="P32" s="931"/>
      <c r="Q32" s="931"/>
      <c r="R32" s="931"/>
      <c r="S32" s="931"/>
      <c r="T32" s="931"/>
      <c r="U32" s="931"/>
      <c r="V32" s="931"/>
      <c r="W32" s="931"/>
      <c r="X32" s="931"/>
      <c r="Y32" s="931"/>
      <c r="Z32" s="931"/>
      <c r="AA32" s="931"/>
      <c r="AB32" s="931"/>
      <c r="AC32" s="931"/>
      <c r="AD32" s="931"/>
      <c r="AE32" s="931"/>
      <c r="AF32" s="931"/>
      <c r="AG32" s="931"/>
      <c r="AH32" s="931"/>
      <c r="AI32" s="931"/>
      <c r="AJ32" s="931"/>
      <c r="AK32" s="931"/>
    </row>
    <row r="33" spans="1:38">
      <c r="A33" s="33"/>
      <c r="C33" s="2"/>
      <c r="D33" s="2"/>
      <c r="E33" s="33"/>
      <c r="F33" s="33"/>
      <c r="G33" s="33"/>
      <c r="H33" s="33"/>
      <c r="I33" s="33"/>
      <c r="J33" s="33"/>
      <c r="K33" s="33"/>
      <c r="L33" s="33"/>
      <c r="M33" s="33"/>
      <c r="N33" s="33"/>
      <c r="O33" s="33"/>
      <c r="P33" s="33"/>
      <c r="Q33" s="33"/>
      <c r="R33" s="33"/>
      <c r="S33" s="33"/>
      <c r="T33" s="33"/>
      <c r="U33" s="33"/>
      <c r="V33" s="33"/>
      <c r="W33" s="33"/>
      <c r="X33" s="33"/>
      <c r="Y33" s="33"/>
      <c r="Z33" s="33"/>
      <c r="AA33" s="33"/>
      <c r="AB33" s="33"/>
    </row>
    <row r="34" spans="1:38">
      <c r="A34" s="33"/>
      <c r="C34" s="2" t="s">
        <v>12</v>
      </c>
      <c r="D34" s="2" t="s">
        <v>13</v>
      </c>
      <c r="F34" s="33"/>
      <c r="G34" s="33"/>
      <c r="H34" s="33"/>
      <c r="I34" s="33"/>
      <c r="J34" s="33"/>
      <c r="K34" s="33"/>
      <c r="L34" s="33"/>
      <c r="M34" s="33"/>
      <c r="N34" s="33"/>
      <c r="O34" s="33"/>
      <c r="P34" s="33"/>
      <c r="Q34" s="33"/>
      <c r="R34" s="33"/>
      <c r="S34" s="33"/>
      <c r="T34" s="33"/>
      <c r="U34" s="33"/>
      <c r="V34" s="33"/>
      <c r="W34" s="33"/>
      <c r="X34" s="33"/>
      <c r="Y34" s="33"/>
      <c r="Z34" s="33"/>
      <c r="AA34" s="33"/>
      <c r="AB34" s="33"/>
    </row>
    <row r="35" spans="1:38">
      <c r="A35" s="33"/>
      <c r="B35" s="33"/>
      <c r="C35" s="33"/>
      <c r="D35" s="801" t="s">
        <v>14</v>
      </c>
      <c r="E35" s="33" t="s">
        <v>15</v>
      </c>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row>
    <row r="36" spans="1:38">
      <c r="A36" s="33"/>
      <c r="C36" s="2"/>
      <c r="D36" s="33"/>
      <c r="E36" s="33" t="s">
        <v>16</v>
      </c>
      <c r="F36" s="928" t="s">
        <v>17</v>
      </c>
      <c r="G36" s="928"/>
      <c r="H36" s="928"/>
      <c r="I36" s="928"/>
      <c r="J36" s="928"/>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8"/>
      <c r="AI36" s="928"/>
      <c r="AJ36" s="928"/>
      <c r="AK36" s="928"/>
    </row>
    <row r="37" spans="1:38">
      <c r="A37" s="33"/>
      <c r="C37" s="2"/>
      <c r="D37" s="33"/>
      <c r="E37" s="33"/>
      <c r="F37" s="928"/>
      <c r="G37" s="928"/>
      <c r="H37" s="928"/>
      <c r="I37" s="928"/>
      <c r="J37" s="928"/>
      <c r="K37" s="928"/>
      <c r="L37" s="928"/>
      <c r="M37" s="928"/>
      <c r="N37" s="928"/>
      <c r="O37" s="928"/>
      <c r="P37" s="928"/>
      <c r="Q37" s="928"/>
      <c r="R37" s="928"/>
      <c r="S37" s="928"/>
      <c r="T37" s="928"/>
      <c r="U37" s="928"/>
      <c r="V37" s="928"/>
      <c r="W37" s="928"/>
      <c r="X37" s="928"/>
      <c r="Y37" s="928"/>
      <c r="Z37" s="928"/>
      <c r="AA37" s="928"/>
      <c r="AB37" s="928"/>
      <c r="AC37" s="928"/>
      <c r="AD37" s="928"/>
      <c r="AE37" s="928"/>
      <c r="AF37" s="928"/>
      <c r="AG37" s="928"/>
      <c r="AH37" s="928"/>
      <c r="AI37" s="928"/>
      <c r="AJ37" s="928"/>
      <c r="AK37" s="928"/>
    </row>
    <row r="38" spans="1:38">
      <c r="A38" s="33"/>
      <c r="C38" s="2"/>
      <c r="D38" s="33"/>
      <c r="E38" s="33"/>
      <c r="F38" s="760" t="s">
        <v>18</v>
      </c>
      <c r="G38" s="33" t="s">
        <v>19</v>
      </c>
      <c r="I38" s="33"/>
      <c r="J38" s="33"/>
      <c r="K38" s="33"/>
      <c r="L38" s="33"/>
      <c r="O38" s="33"/>
      <c r="P38" s="33"/>
      <c r="Q38" s="33"/>
      <c r="R38" s="33"/>
      <c r="S38" s="33"/>
      <c r="T38" s="33"/>
      <c r="U38" s="33"/>
      <c r="V38" s="33"/>
      <c r="W38" s="33"/>
      <c r="X38" s="33"/>
      <c r="Y38" s="33"/>
      <c r="Z38" s="33"/>
      <c r="AA38" s="33"/>
      <c r="AB38" s="33"/>
    </row>
    <row r="39" spans="1:38">
      <c r="A39" s="33"/>
      <c r="C39" s="2"/>
      <c r="D39" s="33"/>
      <c r="E39" s="33" t="s">
        <v>20</v>
      </c>
      <c r="F39" s="33" t="s">
        <v>21</v>
      </c>
      <c r="G39" s="33"/>
      <c r="H39" s="33"/>
      <c r="I39" s="33"/>
      <c r="J39" s="33"/>
      <c r="K39" s="33"/>
      <c r="L39" s="33"/>
      <c r="O39" s="33"/>
      <c r="P39" s="33"/>
      <c r="Q39" s="33"/>
      <c r="R39" s="33"/>
      <c r="S39" s="33"/>
      <c r="T39" s="33"/>
      <c r="U39" s="33"/>
      <c r="V39" s="33"/>
      <c r="W39" s="33"/>
      <c r="X39" s="33"/>
      <c r="Y39" s="33"/>
      <c r="Z39" s="33"/>
      <c r="AA39" s="33"/>
      <c r="AB39" s="33"/>
    </row>
    <row r="40" spans="1:38">
      <c r="A40" s="33"/>
      <c r="C40" s="2"/>
      <c r="D40" s="33"/>
      <c r="E40" s="33"/>
      <c r="F40" s="760" t="s">
        <v>18</v>
      </c>
      <c r="G40" s="2" t="s">
        <v>22</v>
      </c>
      <c r="I40" s="33"/>
      <c r="J40" s="33"/>
      <c r="K40" s="33"/>
      <c r="L40" s="33"/>
      <c r="O40" s="33"/>
      <c r="P40" s="33"/>
      <c r="Q40" s="33"/>
      <c r="R40" s="33"/>
      <c r="S40" s="33"/>
      <c r="T40" s="33"/>
      <c r="U40" s="33"/>
      <c r="V40" s="33"/>
      <c r="W40" s="33"/>
      <c r="X40" s="33"/>
      <c r="Y40" s="33"/>
      <c r="Z40" s="33"/>
      <c r="AA40" s="33"/>
      <c r="AB40" s="33"/>
    </row>
    <row r="41" spans="1:38">
      <c r="A41" s="33"/>
      <c r="C41" s="2"/>
      <c r="D41" s="33"/>
      <c r="E41" s="33"/>
      <c r="F41" s="760" t="s">
        <v>23</v>
      </c>
      <c r="G41" s="33" t="s">
        <v>24</v>
      </c>
      <c r="I41" s="33"/>
      <c r="J41" s="33"/>
      <c r="K41" s="33"/>
      <c r="L41" s="33"/>
      <c r="O41" s="33"/>
      <c r="P41" s="33"/>
      <c r="Q41" s="33"/>
      <c r="R41" s="33"/>
      <c r="S41" s="33"/>
      <c r="T41" s="33"/>
      <c r="U41" s="33"/>
      <c r="V41" s="33"/>
      <c r="W41" s="33"/>
      <c r="X41" s="33"/>
      <c r="Y41" s="33"/>
      <c r="Z41" s="33"/>
      <c r="AA41" s="33"/>
      <c r="AB41" s="33"/>
    </row>
    <row r="42" spans="1:38" ht="13.7" customHeight="1">
      <c r="A42" s="33"/>
      <c r="C42" s="2"/>
      <c r="D42" s="33"/>
      <c r="E42" s="33" t="s">
        <v>25</v>
      </c>
      <c r="F42" s="928" t="s">
        <v>26</v>
      </c>
      <c r="G42" s="928"/>
      <c r="H42" s="928"/>
      <c r="I42" s="928"/>
      <c r="J42" s="928"/>
      <c r="K42" s="928"/>
      <c r="L42" s="928"/>
      <c r="M42" s="928"/>
      <c r="N42" s="928"/>
      <c r="O42" s="928"/>
      <c r="P42" s="928"/>
      <c r="Q42" s="928"/>
      <c r="R42" s="928"/>
      <c r="S42" s="928"/>
      <c r="T42" s="928"/>
      <c r="U42" s="928"/>
      <c r="V42" s="928"/>
      <c r="W42" s="928"/>
      <c r="X42" s="928"/>
      <c r="Y42" s="928"/>
      <c r="Z42" s="928"/>
      <c r="AA42" s="928"/>
      <c r="AB42" s="928"/>
      <c r="AC42" s="928"/>
      <c r="AD42" s="928"/>
      <c r="AE42" s="928"/>
      <c r="AF42" s="928"/>
      <c r="AG42" s="928"/>
      <c r="AH42" s="928"/>
      <c r="AI42" s="928"/>
      <c r="AJ42" s="928"/>
      <c r="AK42" s="928"/>
    </row>
    <row r="43" spans="1:38">
      <c r="A43" s="33"/>
      <c r="C43" s="2"/>
      <c r="D43" s="33"/>
      <c r="E43" s="33"/>
      <c r="F43" s="928"/>
      <c r="G43" s="928"/>
      <c r="H43" s="928"/>
      <c r="I43" s="928"/>
      <c r="J43" s="928"/>
      <c r="K43" s="928"/>
      <c r="L43" s="928"/>
      <c r="M43" s="928"/>
      <c r="N43" s="928"/>
      <c r="O43" s="928"/>
      <c r="P43" s="928"/>
      <c r="Q43" s="928"/>
      <c r="R43" s="928"/>
      <c r="S43" s="928"/>
      <c r="T43" s="928"/>
      <c r="U43" s="928"/>
      <c r="V43" s="928"/>
      <c r="W43" s="928"/>
      <c r="X43" s="928"/>
      <c r="Y43" s="928"/>
      <c r="Z43" s="928"/>
      <c r="AA43" s="928"/>
      <c r="AB43" s="928"/>
      <c r="AC43" s="928"/>
      <c r="AD43" s="928"/>
      <c r="AE43" s="928"/>
      <c r="AF43" s="928"/>
      <c r="AG43" s="928"/>
      <c r="AH43" s="928"/>
      <c r="AI43" s="928"/>
      <c r="AJ43" s="928"/>
      <c r="AK43" s="928"/>
    </row>
    <row r="44" spans="1:38">
      <c r="A44" s="33"/>
      <c r="C44" s="2"/>
      <c r="D44" s="33"/>
      <c r="E44" s="33"/>
      <c r="F44" s="928"/>
      <c r="G44" s="928"/>
      <c r="H44" s="928"/>
      <c r="I44" s="928"/>
      <c r="J44" s="928"/>
      <c r="K44" s="928"/>
      <c r="L44" s="928"/>
      <c r="M44" s="928"/>
      <c r="N44" s="928"/>
      <c r="O44" s="928"/>
      <c r="P44" s="928"/>
      <c r="Q44" s="928"/>
      <c r="R44" s="928"/>
      <c r="S44" s="928"/>
      <c r="T44" s="928"/>
      <c r="U44" s="928"/>
      <c r="V44" s="928"/>
      <c r="W44" s="928"/>
      <c r="X44" s="928"/>
      <c r="Y44" s="928"/>
      <c r="Z44" s="928"/>
      <c r="AA44" s="928"/>
      <c r="AB44" s="928"/>
      <c r="AC44" s="928"/>
      <c r="AD44" s="928"/>
      <c r="AE44" s="928"/>
      <c r="AF44" s="928"/>
      <c r="AG44" s="928"/>
      <c r="AH44" s="928"/>
      <c r="AI44" s="928"/>
      <c r="AJ44" s="928"/>
      <c r="AK44" s="928"/>
    </row>
    <row r="45" spans="1:38">
      <c r="A45" s="33"/>
      <c r="C45" s="2"/>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E45" s="33"/>
    </row>
    <row r="46" spans="1:38">
      <c r="A46" s="33"/>
      <c r="C46" s="2"/>
      <c r="D46" s="33" t="s">
        <v>27</v>
      </c>
      <c r="E46" s="33" t="s">
        <v>28</v>
      </c>
      <c r="F46" s="33"/>
      <c r="G46" s="33"/>
      <c r="H46" s="33"/>
      <c r="I46" s="33"/>
      <c r="J46" s="856"/>
      <c r="K46" s="856"/>
      <c r="L46" s="856"/>
      <c r="M46" s="856"/>
      <c r="N46" s="856"/>
      <c r="O46" s="112"/>
      <c r="P46" s="112"/>
      <c r="Q46" s="112"/>
      <c r="R46" s="112"/>
      <c r="S46" s="112"/>
      <c r="T46" s="112"/>
      <c r="U46" s="112"/>
      <c r="V46" s="112"/>
      <c r="W46" s="112"/>
      <c r="X46" s="112"/>
      <c r="Y46" s="112"/>
      <c r="Z46" s="112"/>
      <c r="AA46" s="112"/>
      <c r="AB46" s="112"/>
      <c r="AC46" s="112"/>
      <c r="AD46" s="112"/>
      <c r="AE46" s="112"/>
      <c r="AF46" s="112"/>
      <c r="AG46" s="2"/>
    </row>
    <row r="47" spans="1:38">
      <c r="A47" s="33"/>
      <c r="C47" s="2"/>
      <c r="D47" s="2"/>
      <c r="E47" s="33" t="s">
        <v>29</v>
      </c>
      <c r="F47" t="s">
        <v>30</v>
      </c>
      <c r="G47" s="2"/>
      <c r="H47" s="112"/>
      <c r="I47" s="112"/>
      <c r="L47" s="112"/>
      <c r="M47" s="112"/>
      <c r="N47" s="112"/>
      <c r="O47" s="112"/>
      <c r="P47" s="112"/>
      <c r="Q47" s="112"/>
      <c r="R47" s="112"/>
      <c r="S47" s="112"/>
      <c r="T47" s="112"/>
      <c r="U47" s="112"/>
      <c r="V47" s="112"/>
      <c r="W47" s="112"/>
      <c r="X47" s="112"/>
      <c r="Y47" s="112"/>
      <c r="Z47" s="112"/>
      <c r="AA47" s="112"/>
      <c r="AB47" s="112"/>
      <c r="AC47" s="112"/>
      <c r="AD47" s="112"/>
      <c r="AE47" s="112"/>
      <c r="AF47" s="112"/>
      <c r="AG47" s="2"/>
    </row>
    <row r="48" spans="1:38">
      <c r="A48" s="33"/>
      <c r="C48" s="2"/>
      <c r="D48" s="2"/>
      <c r="E48" s="33"/>
      <c r="F48" s="11" t="s">
        <v>18</v>
      </c>
      <c r="G48" s="935" t="s">
        <v>31</v>
      </c>
      <c r="H48" s="935"/>
      <c r="I48" s="935"/>
      <c r="J48" s="935"/>
      <c r="K48" s="935"/>
      <c r="L48" s="935"/>
      <c r="M48" s="935"/>
      <c r="N48" s="935"/>
      <c r="O48" s="935"/>
      <c r="P48" s="935"/>
      <c r="Q48" s="935"/>
      <c r="R48" s="935"/>
      <c r="S48" s="935"/>
      <c r="T48" s="935"/>
      <c r="U48" s="935"/>
      <c r="V48" s="935"/>
      <c r="W48" s="935"/>
      <c r="X48" s="935"/>
      <c r="Y48" s="935"/>
      <c r="Z48" s="935"/>
      <c r="AA48" s="935"/>
      <c r="AB48" s="935"/>
      <c r="AC48" s="935"/>
      <c r="AD48" s="935"/>
      <c r="AE48" s="935"/>
      <c r="AF48" s="935"/>
      <c r="AG48" s="935"/>
      <c r="AH48" s="935"/>
      <c r="AI48" s="935"/>
      <c r="AJ48" s="935"/>
      <c r="AK48" s="935"/>
    </row>
    <row r="49" spans="1:38">
      <c r="A49" s="33"/>
      <c r="C49" s="2"/>
      <c r="D49" s="2"/>
      <c r="E49" s="33"/>
      <c r="F49" s="11"/>
      <c r="G49" s="935"/>
      <c r="H49" s="935"/>
      <c r="I49" s="935"/>
      <c r="J49" s="935"/>
      <c r="K49" s="935"/>
      <c r="L49" s="935"/>
      <c r="M49" s="935"/>
      <c r="N49" s="935"/>
      <c r="O49" s="935"/>
      <c r="P49" s="935"/>
      <c r="Q49" s="935"/>
      <c r="R49" s="935"/>
      <c r="S49" s="935"/>
      <c r="T49" s="935"/>
      <c r="U49" s="935"/>
      <c r="V49" s="935"/>
      <c r="W49" s="935"/>
      <c r="X49" s="935"/>
      <c r="Y49" s="935"/>
      <c r="Z49" s="935"/>
      <c r="AA49" s="935"/>
      <c r="AB49" s="935"/>
      <c r="AC49" s="935"/>
      <c r="AD49" s="935"/>
      <c r="AE49" s="935"/>
      <c r="AF49" s="935"/>
      <c r="AG49" s="935"/>
      <c r="AH49" s="935"/>
      <c r="AI49" s="935"/>
      <c r="AJ49" s="935"/>
      <c r="AK49" s="935"/>
    </row>
    <row r="50" spans="1:38">
      <c r="A50" s="33"/>
      <c r="C50" s="2"/>
      <c r="D50" s="2"/>
      <c r="E50" s="33"/>
      <c r="F50" s="11"/>
      <c r="G50" s="935"/>
      <c r="H50" s="935"/>
      <c r="I50" s="935"/>
      <c r="J50" s="935"/>
      <c r="K50" s="935"/>
      <c r="L50" s="935"/>
      <c r="M50" s="935"/>
      <c r="N50" s="935"/>
      <c r="O50" s="935"/>
      <c r="P50" s="935"/>
      <c r="Q50" s="935"/>
      <c r="R50" s="935"/>
      <c r="S50" s="935"/>
      <c r="T50" s="935"/>
      <c r="U50" s="935"/>
      <c r="V50" s="935"/>
      <c r="W50" s="935"/>
      <c r="X50" s="935"/>
      <c r="Y50" s="935"/>
      <c r="Z50" s="935"/>
      <c r="AA50" s="935"/>
      <c r="AB50" s="935"/>
      <c r="AC50" s="935"/>
      <c r="AD50" s="935"/>
      <c r="AE50" s="935"/>
      <c r="AF50" s="935"/>
      <c r="AG50" s="935"/>
      <c r="AH50" s="935"/>
      <c r="AI50" s="935"/>
      <c r="AJ50" s="935"/>
      <c r="AK50" s="935"/>
    </row>
    <row r="51" spans="1:38">
      <c r="A51" s="33"/>
      <c r="B51" s="2"/>
      <c r="C51" s="2"/>
      <c r="D51" s="2"/>
      <c r="E51" s="33"/>
      <c r="F51" s="11" t="s">
        <v>23</v>
      </c>
      <c r="G51" s="935" t="s">
        <v>32</v>
      </c>
      <c r="H51" s="935"/>
      <c r="I51" s="935"/>
      <c r="J51" s="935"/>
      <c r="K51" s="935"/>
      <c r="L51" s="935"/>
      <c r="M51" s="935"/>
      <c r="N51" s="935"/>
      <c r="O51" s="935"/>
      <c r="P51" s="935"/>
      <c r="Q51" s="935"/>
      <c r="R51" s="935"/>
      <c r="S51" s="935"/>
      <c r="T51" s="935"/>
      <c r="U51" s="935"/>
      <c r="V51" s="935"/>
      <c r="W51" s="935"/>
      <c r="X51" s="935"/>
      <c r="Y51" s="935"/>
      <c r="Z51" s="935"/>
      <c r="AA51" s="935"/>
      <c r="AB51" s="935"/>
      <c r="AC51" s="935"/>
      <c r="AD51" s="935"/>
      <c r="AE51" s="935"/>
      <c r="AF51" s="935"/>
      <c r="AG51" s="935"/>
      <c r="AH51" s="935"/>
      <c r="AI51" s="935"/>
      <c r="AJ51" s="935"/>
      <c r="AK51" s="935"/>
    </row>
    <row r="52" spans="1:38" s="4" customFormat="1">
      <c r="A52" s="33"/>
      <c r="B52"/>
      <c r="C52" s="2"/>
      <c r="D52" s="2"/>
      <c r="E52" s="33"/>
      <c r="F52" s="11"/>
      <c r="G52" s="935"/>
      <c r="H52" s="935"/>
      <c r="I52" s="935"/>
      <c r="J52" s="935"/>
      <c r="K52" s="935"/>
      <c r="L52" s="935"/>
      <c r="M52" s="935"/>
      <c r="N52" s="935"/>
      <c r="O52" s="935"/>
      <c r="P52" s="935"/>
      <c r="Q52" s="935"/>
      <c r="R52" s="935"/>
      <c r="S52" s="935"/>
      <c r="T52" s="935"/>
      <c r="U52" s="935"/>
      <c r="V52" s="935"/>
      <c r="W52" s="935"/>
      <c r="X52" s="935"/>
      <c r="Y52" s="935"/>
      <c r="Z52" s="935"/>
      <c r="AA52" s="935"/>
      <c r="AB52" s="935"/>
      <c r="AC52" s="935"/>
      <c r="AD52" s="935"/>
      <c r="AE52" s="935"/>
      <c r="AF52" s="935"/>
      <c r="AG52" s="935"/>
      <c r="AH52" s="935"/>
      <c r="AI52" s="935"/>
      <c r="AJ52" s="935"/>
      <c r="AK52" s="935"/>
      <c r="AL52"/>
    </row>
    <row r="53" spans="1:38">
      <c r="A53" s="33"/>
      <c r="C53" s="2"/>
      <c r="D53" s="2"/>
      <c r="E53" s="33"/>
      <c r="F53" s="11"/>
      <c r="G53" s="935"/>
      <c r="H53" s="935"/>
      <c r="I53" s="935"/>
      <c r="J53" s="935"/>
      <c r="K53" s="935"/>
      <c r="L53" s="935"/>
      <c r="M53" s="935"/>
      <c r="N53" s="935"/>
      <c r="O53" s="935"/>
      <c r="P53" s="935"/>
      <c r="Q53" s="935"/>
      <c r="R53" s="935"/>
      <c r="S53" s="935"/>
      <c r="T53" s="935"/>
      <c r="U53" s="935"/>
      <c r="V53" s="935"/>
      <c r="W53" s="935"/>
      <c r="X53" s="935"/>
      <c r="Y53" s="935"/>
      <c r="Z53" s="935"/>
      <c r="AA53" s="935"/>
      <c r="AB53" s="935"/>
      <c r="AC53" s="935"/>
      <c r="AD53" s="935"/>
      <c r="AE53" s="935"/>
      <c r="AF53" s="935"/>
      <c r="AG53" s="935"/>
      <c r="AH53" s="935"/>
      <c r="AI53" s="935"/>
      <c r="AJ53" s="935"/>
      <c r="AK53" s="935"/>
    </row>
    <row r="54" spans="1:38">
      <c r="A54" s="33"/>
      <c r="C54" s="2"/>
      <c r="D54" s="2"/>
      <c r="E54" s="33"/>
      <c r="F54" s="2"/>
      <c r="G54" s="2"/>
      <c r="I54" s="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2"/>
    </row>
    <row r="55" spans="1:38">
      <c r="A55" s="33"/>
      <c r="B55" s="33"/>
      <c r="C55" s="33"/>
      <c r="D55" s="33" t="s">
        <v>33</v>
      </c>
      <c r="E55" s="33" t="s">
        <v>34</v>
      </c>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row>
    <row r="56" spans="1:38">
      <c r="A56" s="33"/>
      <c r="C56" s="2"/>
      <c r="E56" s="33" t="s">
        <v>35</v>
      </c>
      <c r="G56" s="33"/>
      <c r="H56" s="33"/>
      <c r="I56" s="33"/>
      <c r="J56" s="33"/>
      <c r="K56" s="33"/>
      <c r="L56" s="33"/>
      <c r="M56" s="33"/>
      <c r="N56" s="33"/>
      <c r="O56" s="33"/>
      <c r="P56" s="33"/>
      <c r="Q56" s="33"/>
      <c r="R56" s="33"/>
      <c r="S56" s="33"/>
      <c r="T56" s="33"/>
      <c r="U56" s="33"/>
      <c r="V56" s="33"/>
      <c r="W56" s="33"/>
      <c r="X56" s="33"/>
      <c r="Y56" s="33"/>
      <c r="Z56" s="33"/>
      <c r="AA56" s="33"/>
      <c r="AB56" s="33"/>
    </row>
    <row r="57" spans="1:38">
      <c r="A57" s="33"/>
      <c r="C57" s="2"/>
      <c r="D57" s="33"/>
      <c r="E57" s="33" t="s">
        <v>29</v>
      </c>
      <c r="F57" s="33" t="s">
        <v>2</v>
      </c>
      <c r="G57" s="33"/>
      <c r="H57" s="33"/>
      <c r="I57" s="33"/>
      <c r="J57" s="33"/>
      <c r="K57" s="33"/>
      <c r="L57" s="33"/>
      <c r="M57" s="33"/>
      <c r="P57" s="33"/>
      <c r="Q57" s="33"/>
      <c r="R57" s="33"/>
      <c r="S57" s="33"/>
      <c r="T57" s="33"/>
      <c r="U57" s="33"/>
      <c r="V57" s="33"/>
      <c r="W57" s="33"/>
      <c r="X57" s="33"/>
      <c r="Y57" s="33"/>
      <c r="Z57" s="33"/>
      <c r="AA57" s="33"/>
      <c r="AB57" s="33"/>
    </row>
    <row r="58" spans="1:38">
      <c r="A58" s="33"/>
      <c r="C58" s="2"/>
      <c r="D58" s="33"/>
      <c r="E58" s="33"/>
      <c r="F58" t="s">
        <v>18</v>
      </c>
      <c r="G58" s="928" t="s">
        <v>36</v>
      </c>
      <c r="H58" s="928"/>
      <c r="I58" s="928"/>
      <c r="J58" s="928"/>
      <c r="K58" s="928"/>
      <c r="L58" s="928"/>
      <c r="M58" s="928"/>
      <c r="N58" s="928"/>
      <c r="O58" s="928"/>
      <c r="P58" s="928"/>
      <c r="Q58" s="928"/>
      <c r="R58" s="928"/>
      <c r="S58" s="928"/>
      <c r="T58" s="928"/>
      <c r="U58" s="928"/>
      <c r="V58" s="928"/>
      <c r="W58" s="928"/>
      <c r="X58" s="928"/>
      <c r="Y58" s="928"/>
      <c r="Z58" s="928"/>
      <c r="AA58" s="928"/>
      <c r="AB58" s="928"/>
      <c r="AC58" s="928"/>
      <c r="AD58" s="928"/>
      <c r="AE58" s="928"/>
      <c r="AF58" s="928"/>
      <c r="AG58" s="928"/>
      <c r="AH58" s="928"/>
      <c r="AI58" s="928"/>
      <c r="AJ58" s="928"/>
      <c r="AK58" s="928"/>
    </row>
    <row r="59" spans="1:38">
      <c r="A59" s="33"/>
      <c r="C59" s="2"/>
      <c r="D59" s="33"/>
      <c r="E59" s="33"/>
      <c r="G59" s="928"/>
      <c r="H59" s="928"/>
      <c r="I59" s="928"/>
      <c r="J59" s="928"/>
      <c r="K59" s="928"/>
      <c r="L59" s="928"/>
      <c r="M59" s="928"/>
      <c r="N59" s="928"/>
      <c r="O59" s="928"/>
      <c r="P59" s="928"/>
      <c r="Q59" s="928"/>
      <c r="R59" s="928"/>
      <c r="S59" s="928"/>
      <c r="T59" s="928"/>
      <c r="U59" s="928"/>
      <c r="V59" s="928"/>
      <c r="W59" s="928"/>
      <c r="X59" s="928"/>
      <c r="Y59" s="928"/>
      <c r="Z59" s="928"/>
      <c r="AA59" s="928"/>
      <c r="AB59" s="928"/>
      <c r="AC59" s="928"/>
      <c r="AD59" s="928"/>
      <c r="AE59" s="928"/>
      <c r="AF59" s="928"/>
      <c r="AG59" s="928"/>
      <c r="AH59" s="928"/>
      <c r="AI59" s="928"/>
      <c r="AJ59" s="928"/>
      <c r="AK59" s="928"/>
    </row>
    <row r="60" spans="1:38">
      <c r="A60" s="33"/>
      <c r="C60" s="2"/>
      <c r="D60" s="33"/>
      <c r="E60" s="33"/>
      <c r="G60" s="928"/>
      <c r="H60" s="928"/>
      <c r="I60" s="928"/>
      <c r="J60" s="928"/>
      <c r="K60" s="928"/>
      <c r="L60" s="928"/>
      <c r="M60" s="928"/>
      <c r="N60" s="928"/>
      <c r="O60" s="928"/>
      <c r="P60" s="928"/>
      <c r="Q60" s="928"/>
      <c r="R60" s="928"/>
      <c r="S60" s="928"/>
      <c r="T60" s="928"/>
      <c r="U60" s="928"/>
      <c r="V60" s="928"/>
      <c r="W60" s="928"/>
      <c r="X60" s="928"/>
      <c r="Y60" s="928"/>
      <c r="Z60" s="928"/>
      <c r="AA60" s="928"/>
      <c r="AB60" s="928"/>
      <c r="AC60" s="928"/>
      <c r="AD60" s="928"/>
      <c r="AE60" s="928"/>
      <c r="AF60" s="928"/>
      <c r="AG60" s="928"/>
      <c r="AH60" s="928"/>
      <c r="AI60" s="928"/>
      <c r="AJ60" s="928"/>
      <c r="AK60" s="928"/>
    </row>
    <row r="61" spans="1:38">
      <c r="A61" s="33"/>
      <c r="C61" s="2"/>
      <c r="D61" s="33"/>
      <c r="E61" s="33"/>
      <c r="F61" t="s">
        <v>23</v>
      </c>
      <c r="G61" s="928" t="s">
        <v>37</v>
      </c>
      <c r="H61" s="928"/>
      <c r="I61" s="928"/>
      <c r="J61" s="928"/>
      <c r="K61" s="928"/>
      <c r="L61" s="928"/>
      <c r="M61" s="928"/>
      <c r="N61" s="928"/>
      <c r="O61" s="928"/>
      <c r="P61" s="928"/>
      <c r="Q61" s="928"/>
      <c r="R61" s="928"/>
      <c r="S61" s="928"/>
      <c r="T61" s="928"/>
      <c r="U61" s="928"/>
      <c r="V61" s="928"/>
      <c r="W61" s="928"/>
      <c r="X61" s="928"/>
      <c r="Y61" s="928"/>
      <c r="Z61" s="928"/>
      <c r="AA61" s="928"/>
      <c r="AB61" s="928"/>
      <c r="AC61" s="928"/>
      <c r="AD61" s="928"/>
      <c r="AE61" s="928"/>
      <c r="AF61" s="928"/>
      <c r="AG61" s="928"/>
      <c r="AH61" s="928"/>
      <c r="AI61" s="928"/>
      <c r="AJ61" s="928"/>
      <c r="AK61" s="928"/>
    </row>
    <row r="62" spans="1:38">
      <c r="A62" s="33"/>
      <c r="C62" s="2"/>
      <c r="D62" s="33"/>
      <c r="E62" s="33"/>
      <c r="G62" s="928"/>
      <c r="H62" s="928"/>
      <c r="I62" s="928"/>
      <c r="J62" s="928"/>
      <c r="K62" s="928"/>
      <c r="L62" s="928"/>
      <c r="M62" s="928"/>
      <c r="N62" s="928"/>
      <c r="O62" s="928"/>
      <c r="P62" s="928"/>
      <c r="Q62" s="928"/>
      <c r="R62" s="928"/>
      <c r="S62" s="928"/>
      <c r="T62" s="928"/>
      <c r="U62" s="928"/>
      <c r="V62" s="928"/>
      <c r="W62" s="928"/>
      <c r="X62" s="928"/>
      <c r="Y62" s="928"/>
      <c r="Z62" s="928"/>
      <c r="AA62" s="928"/>
      <c r="AB62" s="928"/>
      <c r="AC62" s="928"/>
      <c r="AD62" s="928"/>
      <c r="AE62" s="928"/>
      <c r="AF62" s="928"/>
      <c r="AG62" s="928"/>
      <c r="AH62" s="928"/>
      <c r="AI62" s="928"/>
      <c r="AJ62" s="928"/>
      <c r="AK62" s="928"/>
    </row>
    <row r="63" spans="1:38">
      <c r="A63" s="33"/>
      <c r="C63" s="2"/>
      <c r="D63" s="33"/>
      <c r="E63" s="33"/>
      <c r="F63" s="27"/>
      <c r="G63" s="928"/>
      <c r="H63" s="928"/>
      <c r="I63" s="928"/>
      <c r="J63" s="928"/>
      <c r="K63" s="928"/>
      <c r="L63" s="928"/>
      <c r="M63" s="928"/>
      <c r="N63" s="928"/>
      <c r="O63" s="928"/>
      <c r="P63" s="928"/>
      <c r="Q63" s="928"/>
      <c r="R63" s="928"/>
      <c r="S63" s="928"/>
      <c r="T63" s="928"/>
      <c r="U63" s="928"/>
      <c r="V63" s="928"/>
      <c r="W63" s="928"/>
      <c r="X63" s="928"/>
      <c r="Y63" s="928"/>
      <c r="Z63" s="928"/>
      <c r="AA63" s="928"/>
      <c r="AB63" s="928"/>
      <c r="AC63" s="928"/>
      <c r="AD63" s="928"/>
      <c r="AE63" s="928"/>
      <c r="AF63" s="928"/>
      <c r="AG63" s="928"/>
      <c r="AH63" s="928"/>
      <c r="AI63" s="928"/>
      <c r="AJ63" s="928"/>
      <c r="AK63" s="928"/>
    </row>
    <row r="64" spans="1:38">
      <c r="A64" s="33"/>
      <c r="C64" s="2"/>
      <c r="D64" s="33"/>
      <c r="E64" s="33" t="s">
        <v>20</v>
      </c>
      <c r="F64" s="33" t="s">
        <v>38</v>
      </c>
      <c r="G64" s="33"/>
      <c r="H64" s="33"/>
      <c r="I64" s="33"/>
      <c r="J64" s="33"/>
      <c r="K64" s="33"/>
      <c r="L64" s="33"/>
      <c r="M64" s="33"/>
      <c r="P64" s="33"/>
      <c r="Q64" s="33"/>
      <c r="R64" s="33"/>
      <c r="S64" s="33"/>
      <c r="T64" s="33"/>
      <c r="U64" s="33"/>
      <c r="V64" s="33"/>
      <c r="W64" s="33"/>
      <c r="X64" s="33"/>
      <c r="Y64" s="33"/>
      <c r="Z64" s="33"/>
      <c r="AA64" s="33"/>
      <c r="AB64" s="33"/>
    </row>
    <row r="65" spans="1:37">
      <c r="A65" s="33"/>
      <c r="C65" s="2"/>
      <c r="D65" s="33"/>
      <c r="E65" s="33"/>
      <c r="F65" s="11" t="s">
        <v>18</v>
      </c>
      <c r="G65" s="928" t="s">
        <v>39</v>
      </c>
      <c r="H65" s="928"/>
      <c r="I65" s="928"/>
      <c r="J65" s="928"/>
      <c r="K65" s="928"/>
      <c r="L65" s="928"/>
      <c r="M65" s="928"/>
      <c r="N65" s="928"/>
      <c r="O65" s="928"/>
      <c r="P65" s="928"/>
      <c r="Q65" s="928"/>
      <c r="R65" s="928"/>
      <c r="S65" s="928"/>
      <c r="T65" s="928"/>
      <c r="U65" s="928"/>
      <c r="V65" s="928"/>
      <c r="W65" s="928"/>
      <c r="X65" s="928"/>
      <c r="Y65" s="928"/>
      <c r="Z65" s="928"/>
      <c r="AA65" s="928"/>
      <c r="AB65" s="928"/>
      <c r="AC65" s="928"/>
      <c r="AD65" s="928"/>
      <c r="AE65" s="928"/>
      <c r="AF65" s="928"/>
      <c r="AG65" s="928"/>
      <c r="AH65" s="928"/>
      <c r="AI65" s="928"/>
      <c r="AJ65" s="928"/>
      <c r="AK65" s="928"/>
    </row>
    <row r="66" spans="1:37">
      <c r="A66" s="33"/>
      <c r="C66" s="2"/>
      <c r="D66" s="33"/>
      <c r="E66" s="33"/>
      <c r="F66" s="11"/>
      <c r="G66" s="928"/>
      <c r="H66" s="928"/>
      <c r="I66" s="928"/>
      <c r="J66" s="928"/>
      <c r="K66" s="928"/>
      <c r="L66" s="928"/>
      <c r="M66" s="928"/>
      <c r="N66" s="928"/>
      <c r="O66" s="928"/>
      <c r="P66" s="928"/>
      <c r="Q66" s="928"/>
      <c r="R66" s="928"/>
      <c r="S66" s="928"/>
      <c r="T66" s="928"/>
      <c r="U66" s="928"/>
      <c r="V66" s="928"/>
      <c r="W66" s="928"/>
      <c r="X66" s="928"/>
      <c r="Y66" s="928"/>
      <c r="Z66" s="928"/>
      <c r="AA66" s="928"/>
      <c r="AB66" s="928"/>
      <c r="AC66" s="928"/>
      <c r="AD66" s="928"/>
      <c r="AE66" s="928"/>
      <c r="AF66" s="928"/>
      <c r="AG66" s="928"/>
      <c r="AH66" s="928"/>
      <c r="AI66" s="928"/>
      <c r="AJ66" s="928"/>
      <c r="AK66" s="928"/>
    </row>
    <row r="67" spans="1:37">
      <c r="A67" s="33"/>
      <c r="C67" s="2"/>
      <c r="D67" s="33"/>
      <c r="E67" s="33"/>
      <c r="F67" s="11" t="s">
        <v>23</v>
      </c>
      <c r="G67" s="928" t="s">
        <v>40</v>
      </c>
      <c r="H67" s="928"/>
      <c r="I67" s="928"/>
      <c r="J67" s="928"/>
      <c r="K67" s="928"/>
      <c r="L67" s="928"/>
      <c r="M67" s="928"/>
      <c r="N67" s="928"/>
      <c r="O67" s="928"/>
      <c r="P67" s="928"/>
      <c r="Q67" s="928"/>
      <c r="R67" s="928"/>
      <c r="S67" s="928"/>
      <c r="T67" s="928"/>
      <c r="U67" s="928"/>
      <c r="V67" s="928"/>
      <c r="W67" s="928"/>
      <c r="X67" s="928"/>
      <c r="Y67" s="928"/>
      <c r="Z67" s="928"/>
      <c r="AA67" s="928"/>
      <c r="AB67" s="928"/>
      <c r="AC67" s="928"/>
      <c r="AD67" s="928"/>
      <c r="AE67" s="928"/>
      <c r="AF67" s="928"/>
      <c r="AG67" s="928"/>
      <c r="AH67" s="928"/>
      <c r="AI67" s="928"/>
      <c r="AJ67" s="928"/>
      <c r="AK67" s="928"/>
    </row>
    <row r="68" spans="1:37">
      <c r="A68" s="33"/>
      <c r="C68" s="2"/>
      <c r="D68" s="33"/>
      <c r="E68" s="33"/>
      <c r="F68" s="11"/>
      <c r="G68" s="928"/>
      <c r="H68" s="928"/>
      <c r="I68" s="928"/>
      <c r="J68" s="928"/>
      <c r="K68" s="928"/>
      <c r="L68" s="928"/>
      <c r="M68" s="928"/>
      <c r="N68" s="928"/>
      <c r="O68" s="928"/>
      <c r="P68" s="928"/>
      <c r="Q68" s="928"/>
      <c r="R68" s="928"/>
      <c r="S68" s="928"/>
      <c r="T68" s="928"/>
      <c r="U68" s="928"/>
      <c r="V68" s="928"/>
      <c r="W68" s="928"/>
      <c r="X68" s="928"/>
      <c r="Y68" s="928"/>
      <c r="Z68" s="928"/>
      <c r="AA68" s="928"/>
      <c r="AB68" s="928"/>
      <c r="AC68" s="928"/>
      <c r="AD68" s="928"/>
      <c r="AE68" s="928"/>
      <c r="AF68" s="928"/>
      <c r="AG68" s="928"/>
      <c r="AH68" s="928"/>
      <c r="AI68" s="928"/>
      <c r="AJ68" s="928"/>
      <c r="AK68" s="928"/>
    </row>
    <row r="69" spans="1:37">
      <c r="A69" s="33"/>
      <c r="C69" s="2"/>
      <c r="D69" s="33"/>
      <c r="E69" s="33"/>
      <c r="F69" s="11"/>
      <c r="G69" s="112" t="s">
        <v>41</v>
      </c>
      <c r="H69" s="33"/>
      <c r="J69" s="112"/>
      <c r="K69" s="112"/>
      <c r="L69" s="112"/>
      <c r="P69" s="33"/>
      <c r="Q69" s="33"/>
      <c r="R69" s="33"/>
      <c r="S69" s="33"/>
      <c r="T69" s="33"/>
      <c r="U69" s="33"/>
      <c r="V69" s="33"/>
      <c r="W69" s="33"/>
      <c r="X69" s="33"/>
      <c r="Y69" s="33"/>
      <c r="Z69" s="33"/>
      <c r="AA69" s="33"/>
      <c r="AB69" s="33"/>
    </row>
    <row r="70" spans="1:37">
      <c r="A70" s="33"/>
      <c r="C70" s="2"/>
      <c r="D70" s="33"/>
      <c r="E70" s="33"/>
      <c r="F70" s="11"/>
      <c r="G70" s="112" t="s">
        <v>42</v>
      </c>
      <c r="J70" s="112"/>
      <c r="K70" s="112"/>
      <c r="L70" s="112"/>
      <c r="P70" s="33"/>
      <c r="Q70" s="33"/>
      <c r="R70" s="33"/>
      <c r="S70" s="33"/>
      <c r="T70" s="33"/>
      <c r="U70" s="33"/>
      <c r="V70" s="33"/>
      <c r="W70" s="33"/>
      <c r="X70" s="33"/>
      <c r="Y70" s="33"/>
      <c r="Z70" s="33"/>
      <c r="AA70" s="33"/>
      <c r="AB70" s="33"/>
    </row>
    <row r="71" spans="1:37">
      <c r="A71" s="33"/>
      <c r="C71" s="2"/>
      <c r="D71" s="33"/>
      <c r="E71" s="33"/>
      <c r="F71" s="11" t="s">
        <v>43</v>
      </c>
      <c r="G71" s="33" t="s">
        <v>44</v>
      </c>
      <c r="H71" s="33"/>
      <c r="I71" s="33"/>
      <c r="K71" s="33"/>
      <c r="L71" s="33"/>
      <c r="M71" s="33"/>
      <c r="P71" s="33"/>
      <c r="Q71" s="33"/>
      <c r="R71" s="33"/>
      <c r="S71" s="33"/>
      <c r="T71" s="33"/>
      <c r="U71" s="33"/>
      <c r="V71" s="33"/>
      <c r="W71" s="33"/>
      <c r="X71" s="33"/>
      <c r="Y71" s="33"/>
      <c r="Z71" s="33"/>
      <c r="AA71" s="33"/>
      <c r="AB71" s="33"/>
    </row>
    <row r="72" spans="1:37">
      <c r="A72" s="33"/>
      <c r="C72" s="2"/>
      <c r="D72" s="33"/>
      <c r="E72" s="33"/>
      <c r="F72" s="33"/>
      <c r="G72" s="33" t="s">
        <v>45</v>
      </c>
      <c r="H72" s="33" t="s">
        <v>46</v>
      </c>
      <c r="K72" s="33"/>
      <c r="L72" s="33"/>
      <c r="M72" s="33"/>
      <c r="P72" s="33"/>
      <c r="Q72" s="33"/>
      <c r="R72" s="33"/>
      <c r="S72" s="33"/>
      <c r="T72" s="33"/>
      <c r="U72" s="33"/>
      <c r="V72" s="33"/>
      <c r="W72" s="33"/>
      <c r="X72" s="33"/>
      <c r="Y72" s="33"/>
      <c r="Z72" s="33"/>
      <c r="AA72" s="33"/>
      <c r="AB72" s="33"/>
    </row>
    <row r="73" spans="1:37">
      <c r="A73" s="33"/>
      <c r="C73" s="2"/>
      <c r="D73" s="33"/>
      <c r="E73" s="33"/>
      <c r="F73" s="33"/>
      <c r="G73" s="33" t="s">
        <v>47</v>
      </c>
      <c r="H73" s="33" t="s">
        <v>48</v>
      </c>
      <c r="K73" s="33"/>
      <c r="L73" s="33"/>
      <c r="M73" s="33"/>
      <c r="P73" s="33"/>
      <c r="Q73" s="33"/>
      <c r="R73" s="33"/>
      <c r="S73" s="33"/>
      <c r="T73" s="33"/>
      <c r="U73" s="33"/>
      <c r="V73" s="33"/>
      <c r="W73" s="33"/>
      <c r="X73" s="33"/>
      <c r="Y73" s="33"/>
      <c r="Z73" s="33"/>
      <c r="AA73" s="33"/>
      <c r="AB73" s="33"/>
    </row>
    <row r="74" spans="1:37">
      <c r="A74" s="33"/>
      <c r="C74" s="2"/>
      <c r="D74" s="33"/>
      <c r="E74" s="33" t="s">
        <v>25</v>
      </c>
      <c r="F74" s="33" t="s">
        <v>49</v>
      </c>
      <c r="G74" s="33"/>
      <c r="H74" s="33"/>
      <c r="I74" s="33"/>
      <c r="J74" s="33"/>
      <c r="K74" s="33"/>
      <c r="L74" s="33"/>
      <c r="M74" s="33"/>
      <c r="P74" s="33"/>
      <c r="Q74" s="33"/>
      <c r="R74" s="33"/>
      <c r="S74" s="33"/>
      <c r="T74" s="33"/>
      <c r="U74" s="33"/>
      <c r="V74" s="33"/>
      <c r="W74" s="33"/>
      <c r="X74" s="33"/>
      <c r="Y74" s="33"/>
      <c r="Z74" s="33"/>
      <c r="AA74" s="33"/>
      <c r="AB74" s="33"/>
    </row>
    <row r="75" spans="1:37">
      <c r="A75" s="33"/>
      <c r="C75" s="2"/>
      <c r="D75" s="33"/>
      <c r="E75" s="33"/>
      <c r="F75" s="11"/>
      <c r="G75" s="928" t="s">
        <v>50</v>
      </c>
      <c r="H75" s="928"/>
      <c r="I75" s="928"/>
      <c r="J75" s="928"/>
      <c r="K75" s="928"/>
      <c r="L75" s="928"/>
      <c r="M75" s="928"/>
      <c r="N75" s="928"/>
      <c r="O75" s="928"/>
      <c r="P75" s="928"/>
      <c r="Q75" s="928"/>
      <c r="R75" s="928"/>
      <c r="S75" s="928"/>
      <c r="T75" s="928"/>
      <c r="U75" s="928"/>
      <c r="V75" s="928"/>
      <c r="W75" s="928"/>
      <c r="X75" s="928"/>
      <c r="Y75" s="928"/>
      <c r="Z75" s="928"/>
      <c r="AA75" s="928"/>
      <c r="AB75" s="928"/>
      <c r="AC75" s="928"/>
      <c r="AD75" s="928"/>
      <c r="AE75" s="928"/>
      <c r="AF75" s="928"/>
      <c r="AG75" s="928"/>
      <c r="AH75" s="928"/>
      <c r="AI75" s="928"/>
      <c r="AJ75" s="928"/>
      <c r="AK75" s="928"/>
    </row>
    <row r="76" spans="1:37">
      <c r="A76" s="33"/>
      <c r="C76" s="2"/>
      <c r="D76" s="33"/>
      <c r="E76" s="33"/>
      <c r="F76" s="33"/>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8"/>
      <c r="AK76" s="928"/>
    </row>
    <row r="77" spans="1:37">
      <c r="A77" s="33"/>
      <c r="C77" s="2"/>
      <c r="D77" s="33"/>
      <c r="E77" s="33"/>
      <c r="F77" s="33"/>
      <c r="G77" s="928"/>
      <c r="H77" s="928"/>
      <c r="I77" s="928"/>
      <c r="J77" s="928"/>
      <c r="K77" s="928"/>
      <c r="L77" s="928"/>
      <c r="M77" s="928"/>
      <c r="N77" s="928"/>
      <c r="O77" s="928"/>
      <c r="P77" s="928"/>
      <c r="Q77" s="928"/>
      <c r="R77" s="928"/>
      <c r="S77" s="928"/>
      <c r="T77" s="928"/>
      <c r="U77" s="928"/>
      <c r="V77" s="928"/>
      <c r="W77" s="928"/>
      <c r="X77" s="928"/>
      <c r="Y77" s="928"/>
      <c r="Z77" s="928"/>
      <c r="AA77" s="928"/>
      <c r="AB77" s="928"/>
      <c r="AC77" s="928"/>
      <c r="AD77" s="928"/>
      <c r="AE77" s="928"/>
      <c r="AF77" s="928"/>
      <c r="AG77" s="928"/>
      <c r="AH77" s="928"/>
      <c r="AI77" s="928"/>
      <c r="AJ77" s="928"/>
      <c r="AK77" s="928"/>
    </row>
    <row r="78" spans="1:37">
      <c r="A78" s="33"/>
      <c r="C78" s="2"/>
      <c r="D78" s="33"/>
      <c r="E78" s="33" t="s">
        <v>51</v>
      </c>
      <c r="F78" s="33" t="s">
        <v>52</v>
      </c>
      <c r="G78" s="33"/>
      <c r="H78" s="33"/>
      <c r="I78" s="33"/>
      <c r="J78" s="33"/>
      <c r="K78" s="33"/>
      <c r="L78" s="33"/>
      <c r="M78" s="33"/>
      <c r="P78" s="33"/>
      <c r="Q78" s="33"/>
      <c r="R78" s="33"/>
      <c r="S78" s="33"/>
      <c r="T78" s="33"/>
      <c r="U78" s="33"/>
      <c r="V78" s="33"/>
      <c r="W78" s="33"/>
      <c r="X78" s="33"/>
      <c r="Y78" s="33"/>
      <c r="Z78" s="33"/>
      <c r="AA78" s="33"/>
      <c r="AB78" s="33"/>
    </row>
    <row r="79" spans="1:37">
      <c r="A79" s="33"/>
      <c r="C79" s="2"/>
      <c r="D79" s="33"/>
      <c r="E79" s="33"/>
      <c r="F79" s="11"/>
      <c r="G79" s="928" t="s">
        <v>53</v>
      </c>
      <c r="H79" s="928"/>
      <c r="I79" s="928"/>
      <c r="J79" s="928"/>
      <c r="K79" s="928"/>
      <c r="L79" s="928"/>
      <c r="M79" s="928"/>
      <c r="N79" s="928"/>
      <c r="O79" s="928"/>
      <c r="P79" s="928"/>
      <c r="Q79" s="928"/>
      <c r="R79" s="928"/>
      <c r="S79" s="928"/>
      <c r="T79" s="928"/>
      <c r="U79" s="928"/>
      <c r="V79" s="928"/>
      <c r="W79" s="928"/>
      <c r="X79" s="928"/>
      <c r="Y79" s="928"/>
      <c r="Z79" s="928"/>
      <c r="AA79" s="928"/>
      <c r="AB79" s="928"/>
      <c r="AC79" s="928"/>
      <c r="AD79" s="928"/>
      <c r="AE79" s="928"/>
      <c r="AF79" s="928"/>
      <c r="AG79" s="928"/>
      <c r="AH79" s="928"/>
      <c r="AI79" s="928"/>
      <c r="AJ79" s="928"/>
      <c r="AK79" s="928"/>
    </row>
    <row r="80" spans="1:37">
      <c r="A80" s="33"/>
      <c r="C80" s="2"/>
      <c r="D80" s="33"/>
      <c r="E80" s="33"/>
      <c r="F80" s="33"/>
      <c r="G80" s="928"/>
      <c r="H80" s="928"/>
      <c r="I80" s="928"/>
      <c r="J80" s="928"/>
      <c r="K80" s="928"/>
      <c r="L80" s="928"/>
      <c r="M80" s="928"/>
      <c r="N80" s="928"/>
      <c r="O80" s="928"/>
      <c r="P80" s="928"/>
      <c r="Q80" s="928"/>
      <c r="R80" s="928"/>
      <c r="S80" s="928"/>
      <c r="T80" s="928"/>
      <c r="U80" s="928"/>
      <c r="V80" s="928"/>
      <c r="W80" s="928"/>
      <c r="X80" s="928"/>
      <c r="Y80" s="928"/>
      <c r="Z80" s="928"/>
      <c r="AA80" s="928"/>
      <c r="AB80" s="928"/>
      <c r="AC80" s="928"/>
      <c r="AD80" s="928"/>
      <c r="AE80" s="928"/>
      <c r="AF80" s="928"/>
      <c r="AG80" s="928"/>
      <c r="AH80" s="928"/>
      <c r="AI80" s="928"/>
      <c r="AJ80" s="928"/>
      <c r="AK80" s="928"/>
    </row>
    <row r="81" spans="1:38">
      <c r="A81" s="33"/>
      <c r="C81" s="2"/>
      <c r="D81" s="33"/>
      <c r="E81" s="33"/>
      <c r="G81" s="928"/>
      <c r="H81" s="928"/>
      <c r="I81" s="928"/>
      <c r="J81" s="928"/>
      <c r="K81" s="928"/>
      <c r="L81" s="928"/>
      <c r="M81" s="928"/>
      <c r="N81" s="928"/>
      <c r="O81" s="928"/>
      <c r="P81" s="928"/>
      <c r="Q81" s="928"/>
      <c r="R81" s="928"/>
      <c r="S81" s="928"/>
      <c r="T81" s="928"/>
      <c r="U81" s="928"/>
      <c r="V81" s="928"/>
      <c r="W81" s="928"/>
      <c r="X81" s="928"/>
      <c r="Y81" s="928"/>
      <c r="Z81" s="928"/>
      <c r="AA81" s="928"/>
      <c r="AB81" s="928"/>
      <c r="AC81" s="928"/>
      <c r="AD81" s="928"/>
      <c r="AE81" s="928"/>
      <c r="AF81" s="928"/>
      <c r="AG81" s="928"/>
      <c r="AH81" s="928"/>
      <c r="AI81" s="928"/>
      <c r="AJ81" s="928"/>
      <c r="AK81" s="928"/>
    </row>
    <row r="82" spans="1:38">
      <c r="A82" s="33"/>
      <c r="C82" s="2"/>
      <c r="D82" s="33"/>
      <c r="E82" s="33" t="s">
        <v>54</v>
      </c>
      <c r="F82" s="33" t="s">
        <v>55</v>
      </c>
      <c r="G82" s="33"/>
      <c r="H82" s="33"/>
      <c r="I82" s="33"/>
      <c r="J82" s="33"/>
      <c r="L82" s="33"/>
      <c r="M82" s="33"/>
      <c r="P82" s="33"/>
      <c r="Q82" s="33"/>
      <c r="R82" s="33"/>
      <c r="S82" s="33"/>
      <c r="T82" s="33"/>
      <c r="U82" s="33"/>
      <c r="V82" s="33"/>
      <c r="W82" s="33"/>
      <c r="X82" s="33"/>
      <c r="Y82" s="33"/>
      <c r="Z82" s="33"/>
      <c r="AA82" s="33"/>
      <c r="AB82" s="33"/>
    </row>
    <row r="83" spans="1:38">
      <c r="A83" s="33"/>
      <c r="C83" s="2"/>
      <c r="D83" s="33"/>
      <c r="E83" s="33"/>
      <c r="G83" s="928" t="s">
        <v>56</v>
      </c>
      <c r="H83" s="928"/>
      <c r="I83" s="928"/>
      <c r="J83" s="928"/>
      <c r="K83" s="928"/>
      <c r="L83" s="928"/>
      <c r="M83" s="928"/>
      <c r="N83" s="928"/>
      <c r="O83" s="928"/>
      <c r="P83" s="928"/>
      <c r="Q83" s="928"/>
      <c r="R83" s="928"/>
      <c r="S83" s="928"/>
      <c r="T83" s="928"/>
      <c r="U83" s="928"/>
      <c r="V83" s="928"/>
      <c r="W83" s="928"/>
      <c r="X83" s="928"/>
      <c r="Y83" s="928"/>
      <c r="Z83" s="928"/>
      <c r="AA83" s="928"/>
      <c r="AB83" s="928"/>
      <c r="AC83" s="928"/>
      <c r="AD83" s="928"/>
      <c r="AE83" s="928"/>
      <c r="AF83" s="928"/>
      <c r="AG83" s="928"/>
      <c r="AH83" s="928"/>
      <c r="AI83" s="928"/>
      <c r="AJ83" s="928"/>
      <c r="AK83" s="928"/>
    </row>
    <row r="84" spans="1:38">
      <c r="A84" s="33"/>
      <c r="C84" s="2"/>
      <c r="D84" s="33"/>
      <c r="E84" s="33"/>
      <c r="G84" s="928"/>
      <c r="H84" s="928"/>
      <c r="I84" s="928"/>
      <c r="J84" s="928"/>
      <c r="K84" s="928"/>
      <c r="L84" s="928"/>
      <c r="M84" s="928"/>
      <c r="N84" s="928"/>
      <c r="O84" s="928"/>
      <c r="P84" s="928"/>
      <c r="Q84" s="928"/>
      <c r="R84" s="928"/>
      <c r="S84" s="928"/>
      <c r="T84" s="928"/>
      <c r="U84" s="928"/>
      <c r="V84" s="928"/>
      <c r="W84" s="928"/>
      <c r="X84" s="928"/>
      <c r="Y84" s="928"/>
      <c r="Z84" s="928"/>
      <c r="AA84" s="928"/>
      <c r="AB84" s="928"/>
      <c r="AC84" s="928"/>
      <c r="AD84" s="928"/>
      <c r="AE84" s="928"/>
      <c r="AF84" s="928"/>
      <c r="AG84" s="928"/>
      <c r="AH84" s="928"/>
      <c r="AI84" s="928"/>
      <c r="AJ84" s="928"/>
      <c r="AK84" s="928"/>
    </row>
    <row r="85" spans="1:38">
      <c r="A85" s="33"/>
      <c r="C85" s="2"/>
      <c r="D85" s="33"/>
      <c r="E85" s="33" t="s">
        <v>57</v>
      </c>
      <c r="F85" s="33" t="s">
        <v>58</v>
      </c>
      <c r="G85" s="33"/>
      <c r="H85" s="33"/>
      <c r="I85" s="33"/>
      <c r="J85" s="33"/>
      <c r="K85" s="33"/>
      <c r="L85" s="33"/>
      <c r="M85" s="33"/>
      <c r="P85" s="33"/>
      <c r="Q85" s="33"/>
      <c r="R85" s="33"/>
      <c r="S85" s="33"/>
      <c r="T85" s="33"/>
      <c r="U85" s="33"/>
      <c r="V85" s="33"/>
      <c r="W85" s="33"/>
      <c r="X85" s="33"/>
      <c r="Y85" s="33"/>
      <c r="Z85" s="33"/>
      <c r="AA85" s="33"/>
      <c r="AB85" s="33"/>
    </row>
    <row r="86" spans="1:38">
      <c r="A86" s="33"/>
      <c r="C86" s="2"/>
      <c r="D86" s="33"/>
      <c r="E86" s="33"/>
      <c r="F86" s="11"/>
      <c r="G86" s="928" t="s">
        <v>59</v>
      </c>
      <c r="H86" s="928"/>
      <c r="I86" s="928"/>
      <c r="J86" s="928"/>
      <c r="K86" s="928"/>
      <c r="L86" s="928"/>
      <c r="M86" s="928"/>
      <c r="N86" s="928"/>
      <c r="O86" s="928"/>
      <c r="P86" s="928"/>
      <c r="Q86" s="928"/>
      <c r="R86" s="928"/>
      <c r="S86" s="928"/>
      <c r="T86" s="928"/>
      <c r="U86" s="928"/>
      <c r="V86" s="928"/>
      <c r="W86" s="928"/>
      <c r="X86" s="928"/>
      <c r="Y86" s="928"/>
      <c r="Z86" s="928"/>
      <c r="AA86" s="928"/>
      <c r="AB86" s="928"/>
      <c r="AC86" s="928"/>
      <c r="AD86" s="928"/>
      <c r="AE86" s="928"/>
      <c r="AF86" s="928"/>
      <c r="AG86" s="928"/>
      <c r="AH86" s="928"/>
      <c r="AI86" s="928"/>
      <c r="AJ86" s="928"/>
      <c r="AK86" s="928"/>
    </row>
    <row r="87" spans="1:38">
      <c r="A87" s="33"/>
      <c r="C87" s="2"/>
      <c r="D87" s="33"/>
      <c r="E87" s="33"/>
      <c r="G87" s="928"/>
      <c r="H87" s="928"/>
      <c r="I87" s="928"/>
      <c r="J87" s="928"/>
      <c r="K87" s="928"/>
      <c r="L87" s="928"/>
      <c r="M87" s="928"/>
      <c r="N87" s="928"/>
      <c r="O87" s="928"/>
      <c r="P87" s="928"/>
      <c r="Q87" s="928"/>
      <c r="R87" s="928"/>
      <c r="S87" s="928"/>
      <c r="T87" s="928"/>
      <c r="U87" s="928"/>
      <c r="V87" s="928"/>
      <c r="W87" s="928"/>
      <c r="X87" s="928"/>
      <c r="Y87" s="928"/>
      <c r="Z87" s="928"/>
      <c r="AA87" s="928"/>
      <c r="AB87" s="928"/>
      <c r="AC87" s="928"/>
      <c r="AD87" s="928"/>
      <c r="AE87" s="928"/>
      <c r="AF87" s="928"/>
      <c r="AG87" s="928"/>
      <c r="AH87" s="928"/>
      <c r="AI87" s="928"/>
      <c r="AJ87" s="928"/>
      <c r="AK87" s="928"/>
    </row>
    <row r="88" spans="1:38">
      <c r="A88" s="33"/>
      <c r="C88" s="2"/>
      <c r="D88" s="33"/>
      <c r="E88" s="33" t="s">
        <v>60</v>
      </c>
      <c r="F88" s="33" t="s">
        <v>61</v>
      </c>
      <c r="G88" s="33"/>
      <c r="L88" s="33"/>
      <c r="M88" s="33"/>
      <c r="P88" s="33"/>
      <c r="Q88" s="33"/>
      <c r="R88" s="33"/>
      <c r="S88" s="33"/>
      <c r="T88" s="33"/>
      <c r="U88" s="33"/>
      <c r="V88" s="33"/>
      <c r="W88" s="33"/>
      <c r="X88" s="33"/>
      <c r="Y88" s="33"/>
      <c r="Z88" s="33"/>
      <c r="AA88" s="33"/>
      <c r="AB88" s="33"/>
    </row>
    <row r="89" spans="1:38">
      <c r="A89" s="33"/>
      <c r="C89" s="2"/>
      <c r="D89" s="33"/>
      <c r="E89" s="33"/>
      <c r="F89" s="11"/>
      <c r="G89" s="928" t="s">
        <v>62</v>
      </c>
      <c r="H89" s="928"/>
      <c r="I89" s="928"/>
      <c r="J89" s="928"/>
      <c r="K89" s="928"/>
      <c r="L89" s="928"/>
      <c r="M89" s="928"/>
      <c r="N89" s="928"/>
      <c r="O89" s="928"/>
      <c r="P89" s="928"/>
      <c r="Q89" s="928"/>
      <c r="R89" s="928"/>
      <c r="S89" s="928"/>
      <c r="T89" s="928"/>
      <c r="U89" s="928"/>
      <c r="V89" s="928"/>
      <c r="W89" s="928"/>
      <c r="X89" s="928"/>
      <c r="Y89" s="928"/>
      <c r="Z89" s="928"/>
      <c r="AA89" s="928"/>
      <c r="AB89" s="928"/>
      <c r="AC89" s="928"/>
      <c r="AD89" s="928"/>
      <c r="AE89" s="928"/>
      <c r="AF89" s="928"/>
      <c r="AG89" s="928"/>
      <c r="AH89" s="928"/>
      <c r="AI89" s="928"/>
      <c r="AJ89" s="928"/>
      <c r="AK89" s="928"/>
    </row>
    <row r="90" spans="1:38">
      <c r="A90" s="33"/>
      <c r="C90" s="2"/>
      <c r="D90" s="33"/>
      <c r="E90" s="33"/>
      <c r="F90" s="33"/>
      <c r="G90" s="928"/>
      <c r="H90" s="928"/>
      <c r="I90" s="928"/>
      <c r="J90" s="928"/>
      <c r="K90" s="928"/>
      <c r="L90" s="928"/>
      <c r="M90" s="928"/>
      <c r="N90" s="928"/>
      <c r="O90" s="928"/>
      <c r="P90" s="928"/>
      <c r="Q90" s="928"/>
      <c r="R90" s="928"/>
      <c r="S90" s="928"/>
      <c r="T90" s="928"/>
      <c r="U90" s="928"/>
      <c r="V90" s="928"/>
      <c r="W90" s="928"/>
      <c r="X90" s="928"/>
      <c r="Y90" s="928"/>
      <c r="Z90" s="928"/>
      <c r="AA90" s="928"/>
      <c r="AB90" s="928"/>
      <c r="AC90" s="928"/>
      <c r="AD90" s="928"/>
      <c r="AE90" s="928"/>
      <c r="AF90" s="928"/>
      <c r="AG90" s="928"/>
      <c r="AH90" s="928"/>
      <c r="AI90" s="928"/>
      <c r="AJ90" s="928"/>
      <c r="AK90" s="928"/>
    </row>
    <row r="91" spans="1:38">
      <c r="A91" s="33"/>
      <c r="C91" s="2"/>
      <c r="D91" s="33"/>
      <c r="E91" s="33"/>
      <c r="F91" s="33"/>
      <c r="G91" s="928"/>
      <c r="H91" s="928"/>
      <c r="I91" s="928"/>
      <c r="J91" s="928"/>
      <c r="K91" s="928"/>
      <c r="L91" s="928"/>
      <c r="M91" s="928"/>
      <c r="N91" s="928"/>
      <c r="O91" s="928"/>
      <c r="P91" s="928"/>
      <c r="Q91" s="928"/>
      <c r="R91" s="928"/>
      <c r="S91" s="928"/>
      <c r="T91" s="928"/>
      <c r="U91" s="928"/>
      <c r="V91" s="928"/>
      <c r="W91" s="928"/>
      <c r="X91" s="928"/>
      <c r="Y91" s="928"/>
      <c r="Z91" s="928"/>
      <c r="AA91" s="928"/>
      <c r="AB91" s="928"/>
      <c r="AC91" s="928"/>
      <c r="AD91" s="928"/>
      <c r="AE91" s="928"/>
      <c r="AF91" s="928"/>
      <c r="AG91" s="928"/>
      <c r="AH91" s="928"/>
      <c r="AI91" s="928"/>
      <c r="AJ91" s="928"/>
      <c r="AK91" s="928"/>
    </row>
    <row r="92" spans="1:38">
      <c r="A92" s="33"/>
      <c r="C92" s="2"/>
      <c r="D92" s="33"/>
      <c r="E92" s="33"/>
      <c r="F92" s="33"/>
      <c r="G92" s="928"/>
      <c r="H92" s="928"/>
      <c r="I92" s="928"/>
      <c r="J92" s="928"/>
      <c r="K92" s="928"/>
      <c r="L92" s="928"/>
      <c r="M92" s="928"/>
      <c r="N92" s="928"/>
      <c r="O92" s="928"/>
      <c r="P92" s="928"/>
      <c r="Q92" s="928"/>
      <c r="R92" s="928"/>
      <c r="S92" s="928"/>
      <c r="T92" s="928"/>
      <c r="U92" s="928"/>
      <c r="V92" s="928"/>
      <c r="W92" s="928"/>
      <c r="X92" s="928"/>
      <c r="Y92" s="928"/>
      <c r="Z92" s="928"/>
      <c r="AA92" s="928"/>
      <c r="AB92" s="928"/>
      <c r="AC92" s="928"/>
      <c r="AD92" s="928"/>
      <c r="AE92" s="928"/>
      <c r="AF92" s="928"/>
      <c r="AG92" s="928"/>
      <c r="AH92" s="928"/>
      <c r="AI92" s="928"/>
      <c r="AJ92" s="928"/>
      <c r="AK92" s="928"/>
    </row>
    <row r="93" spans="1:38">
      <c r="A93" s="780"/>
      <c r="B93" s="780"/>
      <c r="C93" s="266"/>
      <c r="D93" s="780"/>
      <c r="E93" s="780" t="s">
        <v>63</v>
      </c>
      <c r="F93" s="780" t="s">
        <v>64</v>
      </c>
      <c r="G93" s="780"/>
      <c r="H93" s="780"/>
      <c r="I93" s="780"/>
      <c r="J93" s="780"/>
      <c r="K93" s="780"/>
      <c r="L93" s="780"/>
      <c r="M93" s="780"/>
      <c r="N93" s="780"/>
      <c r="O93" s="780"/>
      <c r="P93" s="780"/>
      <c r="Q93" s="780"/>
      <c r="R93" s="780"/>
      <c r="S93" s="780"/>
      <c r="T93" s="780"/>
      <c r="U93" s="780"/>
      <c r="V93" s="780"/>
      <c r="W93" s="780"/>
      <c r="X93" s="780"/>
      <c r="Y93" s="780"/>
      <c r="Z93" s="780"/>
      <c r="AA93" s="780"/>
      <c r="AB93" s="780"/>
      <c r="AC93" s="780"/>
      <c r="AD93" s="780"/>
      <c r="AE93" s="780"/>
      <c r="AF93" s="780"/>
      <c r="AG93" s="780"/>
      <c r="AH93" s="780"/>
      <c r="AI93" s="780"/>
      <c r="AJ93" s="780"/>
      <c r="AK93" s="780"/>
      <c r="AL93" s="780"/>
    </row>
    <row r="94" spans="1:38">
      <c r="A94" s="780"/>
      <c r="B94" s="780"/>
      <c r="C94" s="266"/>
      <c r="D94" s="780"/>
      <c r="E94" s="780"/>
      <c r="F94" s="780"/>
      <c r="G94" s="940" t="s">
        <v>65</v>
      </c>
      <c r="H94" s="940"/>
      <c r="I94" s="940"/>
      <c r="J94" s="940"/>
      <c r="K94" s="940"/>
      <c r="L94" s="940"/>
      <c r="M94" s="940"/>
      <c r="N94" s="940"/>
      <c r="O94" s="940"/>
      <c r="P94" s="940"/>
      <c r="Q94" s="940"/>
      <c r="R94" s="940"/>
      <c r="S94" s="940"/>
      <c r="T94" s="940"/>
      <c r="U94" s="940"/>
      <c r="V94" s="940"/>
      <c r="W94" s="940"/>
      <c r="X94" s="940"/>
      <c r="Y94" s="940"/>
      <c r="Z94" s="940"/>
      <c r="AA94" s="940"/>
      <c r="AB94" s="940"/>
      <c r="AC94" s="940"/>
      <c r="AD94" s="940"/>
      <c r="AE94" s="940"/>
      <c r="AF94" s="940"/>
      <c r="AG94" s="940"/>
      <c r="AH94" s="940"/>
      <c r="AI94" s="940"/>
      <c r="AJ94" s="940"/>
      <c r="AK94" s="940"/>
      <c r="AL94" s="780"/>
    </row>
    <row r="95" spans="1:38">
      <c r="A95" s="780"/>
      <c r="B95" s="780"/>
      <c r="C95" s="266"/>
      <c r="D95" s="780"/>
      <c r="E95" s="780"/>
      <c r="F95" s="780"/>
      <c r="G95" s="940"/>
      <c r="H95" s="940"/>
      <c r="I95" s="940"/>
      <c r="J95" s="940"/>
      <c r="K95" s="940"/>
      <c r="L95" s="940"/>
      <c r="M95" s="940"/>
      <c r="N95" s="940"/>
      <c r="O95" s="940"/>
      <c r="P95" s="940"/>
      <c r="Q95" s="940"/>
      <c r="R95" s="940"/>
      <c r="S95" s="940"/>
      <c r="T95" s="940"/>
      <c r="U95" s="940"/>
      <c r="V95" s="940"/>
      <c r="W95" s="940"/>
      <c r="X95" s="940"/>
      <c r="Y95" s="940"/>
      <c r="Z95" s="940"/>
      <c r="AA95" s="940"/>
      <c r="AB95" s="940"/>
      <c r="AC95" s="940"/>
      <c r="AD95" s="940"/>
      <c r="AE95" s="940"/>
      <c r="AF95" s="940"/>
      <c r="AG95" s="940"/>
      <c r="AH95" s="940"/>
      <c r="AI95" s="940"/>
      <c r="AJ95" s="940"/>
      <c r="AK95" s="940"/>
      <c r="AL95" s="780"/>
    </row>
    <row r="96" spans="1:38">
      <c r="A96" s="780"/>
      <c r="B96" s="780"/>
      <c r="C96" s="266"/>
      <c r="D96" s="780"/>
      <c r="E96" s="780"/>
      <c r="F96" s="780"/>
      <c r="G96" s="940"/>
      <c r="H96" s="940"/>
      <c r="I96" s="940"/>
      <c r="J96" s="940"/>
      <c r="K96" s="940"/>
      <c r="L96" s="940"/>
      <c r="M96" s="940"/>
      <c r="N96" s="940"/>
      <c r="O96" s="940"/>
      <c r="P96" s="940"/>
      <c r="Q96" s="940"/>
      <c r="R96" s="940"/>
      <c r="S96" s="940"/>
      <c r="T96" s="940"/>
      <c r="U96" s="940"/>
      <c r="V96" s="940"/>
      <c r="W96" s="940"/>
      <c r="X96" s="940"/>
      <c r="Y96" s="940"/>
      <c r="Z96" s="940"/>
      <c r="AA96" s="940"/>
      <c r="AB96" s="940"/>
      <c r="AC96" s="940"/>
      <c r="AD96" s="940"/>
      <c r="AE96" s="940"/>
      <c r="AF96" s="940"/>
      <c r="AG96" s="940"/>
      <c r="AH96" s="940"/>
      <c r="AI96" s="940"/>
      <c r="AJ96" s="940"/>
      <c r="AK96" s="940"/>
      <c r="AL96" s="780"/>
    </row>
    <row r="97" spans="1:38">
      <c r="A97" s="780"/>
      <c r="B97" s="780"/>
      <c r="C97" s="266"/>
      <c r="D97" s="780"/>
      <c r="E97" s="780"/>
      <c r="F97" s="780"/>
      <c r="G97" s="940"/>
      <c r="H97" s="940"/>
      <c r="I97" s="940"/>
      <c r="J97" s="940"/>
      <c r="K97" s="940"/>
      <c r="L97" s="940"/>
      <c r="M97" s="940"/>
      <c r="N97" s="940"/>
      <c r="O97" s="940"/>
      <c r="P97" s="940"/>
      <c r="Q97" s="940"/>
      <c r="R97" s="940"/>
      <c r="S97" s="940"/>
      <c r="T97" s="940"/>
      <c r="U97" s="940"/>
      <c r="V97" s="940"/>
      <c r="W97" s="940"/>
      <c r="X97" s="940"/>
      <c r="Y97" s="940"/>
      <c r="Z97" s="940"/>
      <c r="AA97" s="940"/>
      <c r="AB97" s="940"/>
      <c r="AC97" s="940"/>
      <c r="AD97" s="940"/>
      <c r="AE97" s="940"/>
      <c r="AF97" s="940"/>
      <c r="AG97" s="940"/>
      <c r="AH97" s="940"/>
      <c r="AI97" s="940"/>
      <c r="AJ97" s="940"/>
      <c r="AK97" s="940"/>
      <c r="AL97" s="780"/>
    </row>
    <row r="98" spans="1:38">
      <c r="A98" s="33"/>
      <c r="C98" s="2"/>
      <c r="D98" s="33"/>
      <c r="E98" s="33" t="s">
        <v>66</v>
      </c>
      <c r="F98" s="33" t="s">
        <v>67</v>
      </c>
      <c r="G98" s="33"/>
      <c r="H98" s="33"/>
      <c r="I98" s="33"/>
      <c r="J98" s="33"/>
      <c r="K98" s="33"/>
      <c r="L98" s="33"/>
      <c r="M98" s="33"/>
      <c r="P98" s="33"/>
      <c r="Q98" s="33"/>
      <c r="R98" s="33"/>
      <c r="S98" s="33"/>
      <c r="T98" s="33"/>
      <c r="U98" s="33"/>
      <c r="V98" s="33"/>
      <c r="W98" s="33"/>
      <c r="X98" s="33"/>
      <c r="Y98" s="33"/>
      <c r="Z98" s="33"/>
      <c r="AA98" s="33"/>
      <c r="AB98" s="33"/>
    </row>
    <row r="99" spans="1:38">
      <c r="A99" s="33"/>
      <c r="C99" s="2"/>
      <c r="D99" s="33"/>
      <c r="E99" s="33"/>
      <c r="F99" s="33"/>
      <c r="G99" s="928" t="s">
        <v>68</v>
      </c>
      <c r="H99" s="928"/>
      <c r="I99" s="928"/>
      <c r="J99" s="928"/>
      <c r="K99" s="928"/>
      <c r="L99" s="928"/>
      <c r="M99" s="928"/>
      <c r="N99" s="928"/>
      <c r="O99" s="928"/>
      <c r="P99" s="928"/>
      <c r="Q99" s="928"/>
      <c r="R99" s="928"/>
      <c r="S99" s="928"/>
      <c r="T99" s="928"/>
      <c r="U99" s="928"/>
      <c r="V99" s="928"/>
      <c r="W99" s="928"/>
      <c r="X99" s="928"/>
      <c r="Y99" s="928"/>
      <c r="Z99" s="928"/>
      <c r="AA99" s="928"/>
      <c r="AB99" s="928"/>
      <c r="AC99" s="928"/>
      <c r="AD99" s="928"/>
      <c r="AE99" s="928"/>
      <c r="AF99" s="928"/>
      <c r="AG99" s="928"/>
      <c r="AH99" s="928"/>
      <c r="AI99" s="928"/>
      <c r="AJ99" s="928"/>
      <c r="AK99" s="928"/>
    </row>
    <row r="100" spans="1:38">
      <c r="A100" s="33"/>
      <c r="C100" s="2"/>
      <c r="D100" s="33"/>
      <c r="E100" s="33"/>
      <c r="G100" s="928"/>
      <c r="H100" s="928"/>
      <c r="I100" s="928"/>
      <c r="J100" s="928"/>
      <c r="K100" s="928"/>
      <c r="L100" s="928"/>
      <c r="M100" s="928"/>
      <c r="N100" s="928"/>
      <c r="O100" s="928"/>
      <c r="P100" s="928"/>
      <c r="Q100" s="928"/>
      <c r="R100" s="928"/>
      <c r="S100" s="928"/>
      <c r="T100" s="928"/>
      <c r="U100" s="928"/>
      <c r="V100" s="928"/>
      <c r="W100" s="928"/>
      <c r="X100" s="928"/>
      <c r="Y100" s="928"/>
      <c r="Z100" s="928"/>
      <c r="AA100" s="928"/>
      <c r="AB100" s="928"/>
      <c r="AC100" s="928"/>
      <c r="AD100" s="928"/>
      <c r="AE100" s="928"/>
      <c r="AF100" s="928"/>
      <c r="AG100" s="928"/>
      <c r="AH100" s="928"/>
      <c r="AI100" s="928"/>
      <c r="AJ100" s="928"/>
      <c r="AK100" s="928"/>
    </row>
    <row r="101" spans="1:38">
      <c r="A101" s="33"/>
      <c r="C101" s="2"/>
      <c r="D101" s="33"/>
      <c r="E101" s="33" t="s">
        <v>69</v>
      </c>
      <c r="F101" s="33" t="s">
        <v>70</v>
      </c>
      <c r="G101" s="33"/>
      <c r="H101" s="33"/>
      <c r="I101" s="33"/>
      <c r="J101" s="33"/>
      <c r="K101" s="33"/>
      <c r="L101" s="33"/>
      <c r="M101" s="33"/>
      <c r="P101" s="33"/>
      <c r="Q101" s="33"/>
      <c r="R101" s="33"/>
      <c r="S101" s="33"/>
      <c r="T101" s="33"/>
      <c r="U101" s="33"/>
      <c r="V101" s="33"/>
      <c r="W101" s="33"/>
      <c r="X101" s="33"/>
      <c r="Y101" s="33"/>
      <c r="Z101" s="33"/>
      <c r="AA101" s="33"/>
      <c r="AB101" s="33"/>
    </row>
    <row r="102" spans="1:38">
      <c r="A102" s="33"/>
      <c r="C102" s="2"/>
      <c r="D102" s="33"/>
      <c r="E102" s="33"/>
      <c r="F102" s="33"/>
      <c r="G102" s="928" t="s">
        <v>71</v>
      </c>
      <c r="H102" s="928"/>
      <c r="I102" s="928"/>
      <c r="J102" s="928"/>
      <c r="K102" s="928"/>
      <c r="L102" s="928"/>
      <c r="M102" s="928"/>
      <c r="N102" s="928"/>
      <c r="O102" s="928"/>
      <c r="P102" s="928"/>
      <c r="Q102" s="928"/>
      <c r="R102" s="928"/>
      <c r="S102" s="928"/>
      <c r="T102" s="928"/>
      <c r="U102" s="928"/>
      <c r="V102" s="928"/>
      <c r="W102" s="928"/>
      <c r="X102" s="928"/>
      <c r="Y102" s="928"/>
      <c r="Z102" s="928"/>
      <c r="AA102" s="928"/>
      <c r="AB102" s="928"/>
      <c r="AC102" s="928"/>
      <c r="AD102" s="928"/>
      <c r="AE102" s="928"/>
      <c r="AF102" s="928"/>
      <c r="AG102" s="928"/>
      <c r="AH102" s="928"/>
      <c r="AI102" s="928"/>
      <c r="AJ102" s="928"/>
      <c r="AK102" s="928"/>
    </row>
    <row r="103" spans="1:38">
      <c r="A103" s="33"/>
      <c r="C103" s="2"/>
      <c r="D103" s="33"/>
      <c r="E103" s="33"/>
      <c r="G103" s="928"/>
      <c r="H103" s="928"/>
      <c r="I103" s="928"/>
      <c r="J103" s="928"/>
      <c r="K103" s="928"/>
      <c r="L103" s="928"/>
      <c r="M103" s="928"/>
      <c r="N103" s="928"/>
      <c r="O103" s="928"/>
      <c r="P103" s="928"/>
      <c r="Q103" s="928"/>
      <c r="R103" s="928"/>
      <c r="S103" s="928"/>
      <c r="T103" s="928"/>
      <c r="U103" s="928"/>
      <c r="V103" s="928"/>
      <c r="W103" s="928"/>
      <c r="X103" s="928"/>
      <c r="Y103" s="928"/>
      <c r="Z103" s="928"/>
      <c r="AA103" s="928"/>
      <c r="AB103" s="928"/>
      <c r="AC103" s="928"/>
      <c r="AD103" s="928"/>
      <c r="AE103" s="928"/>
      <c r="AF103" s="928"/>
      <c r="AG103" s="928"/>
      <c r="AH103" s="928"/>
      <c r="AI103" s="928"/>
      <c r="AJ103" s="928"/>
      <c r="AK103" s="928"/>
    </row>
    <row r="104" spans="1:38">
      <c r="A104" s="33"/>
      <c r="C104" s="2"/>
      <c r="D104" s="33"/>
      <c r="E104" s="33" t="s">
        <v>72</v>
      </c>
      <c r="F104" s="33" t="s">
        <v>73</v>
      </c>
      <c r="G104" s="33"/>
      <c r="L104" s="33"/>
      <c r="M104" s="33"/>
      <c r="P104" s="33"/>
      <c r="Q104" s="33"/>
      <c r="R104" s="33"/>
      <c r="S104" s="33"/>
      <c r="T104" s="33"/>
      <c r="U104" s="33"/>
      <c r="V104" s="33"/>
      <c r="W104" s="33"/>
      <c r="X104" s="33"/>
      <c r="Y104" s="33"/>
      <c r="Z104" s="33"/>
      <c r="AA104" s="33"/>
      <c r="AB104" s="33"/>
    </row>
    <row r="105" spans="1:38">
      <c r="A105" s="33"/>
      <c r="C105" s="2"/>
      <c r="D105" s="33"/>
      <c r="E105" s="33"/>
      <c r="F105" s="33"/>
      <c r="G105" s="928" t="s">
        <v>74</v>
      </c>
      <c r="H105" s="928"/>
      <c r="I105" s="928"/>
      <c r="J105" s="928"/>
      <c r="K105" s="928"/>
      <c r="L105" s="928"/>
      <c r="M105" s="928"/>
      <c r="N105" s="928"/>
      <c r="O105" s="928"/>
      <c r="P105" s="928"/>
      <c r="Q105" s="928"/>
      <c r="R105" s="928"/>
      <c r="S105" s="928"/>
      <c r="T105" s="928"/>
      <c r="U105" s="928"/>
      <c r="V105" s="928"/>
      <c r="W105" s="928"/>
      <c r="X105" s="928"/>
      <c r="Y105" s="928"/>
      <c r="Z105" s="928"/>
      <c r="AA105" s="928"/>
      <c r="AB105" s="928"/>
      <c r="AC105" s="928"/>
      <c r="AD105" s="928"/>
      <c r="AE105" s="928"/>
      <c r="AF105" s="928"/>
      <c r="AG105" s="928"/>
      <c r="AH105" s="928"/>
      <c r="AI105" s="928"/>
      <c r="AJ105" s="928"/>
      <c r="AK105" s="928"/>
    </row>
    <row r="106" spans="1:38">
      <c r="A106" s="33"/>
      <c r="C106" s="2"/>
      <c r="D106" s="33"/>
      <c r="E106" s="33"/>
      <c r="F106" s="33"/>
      <c r="G106" s="928"/>
      <c r="H106" s="928"/>
      <c r="I106" s="928"/>
      <c r="J106" s="928"/>
      <c r="K106" s="928"/>
      <c r="L106" s="928"/>
      <c r="M106" s="928"/>
      <c r="N106" s="928"/>
      <c r="O106" s="928"/>
      <c r="P106" s="928"/>
      <c r="Q106" s="928"/>
      <c r="R106" s="928"/>
      <c r="S106" s="928"/>
      <c r="T106" s="928"/>
      <c r="U106" s="928"/>
      <c r="V106" s="928"/>
      <c r="W106" s="928"/>
      <c r="X106" s="928"/>
      <c r="Y106" s="928"/>
      <c r="Z106" s="928"/>
      <c r="AA106" s="928"/>
      <c r="AB106" s="928"/>
      <c r="AC106" s="928"/>
      <c r="AD106" s="928"/>
      <c r="AE106" s="928"/>
      <c r="AF106" s="928"/>
      <c r="AG106" s="928"/>
      <c r="AH106" s="928"/>
      <c r="AI106" s="928"/>
      <c r="AJ106" s="928"/>
      <c r="AK106" s="928"/>
    </row>
    <row r="107" spans="1:38">
      <c r="A107" s="33"/>
      <c r="C107" s="2"/>
      <c r="D107" s="2"/>
      <c r="E107" s="33"/>
      <c r="F107" s="33"/>
      <c r="G107" s="928"/>
      <c r="H107" s="928"/>
      <c r="I107" s="928"/>
      <c r="J107" s="928"/>
      <c r="K107" s="928"/>
      <c r="L107" s="928"/>
      <c r="M107" s="928"/>
      <c r="N107" s="928"/>
      <c r="O107" s="928"/>
      <c r="P107" s="928"/>
      <c r="Q107" s="928"/>
      <c r="R107" s="928"/>
      <c r="S107" s="928"/>
      <c r="T107" s="928"/>
      <c r="U107" s="928"/>
      <c r="V107" s="928"/>
      <c r="W107" s="928"/>
      <c r="X107" s="928"/>
      <c r="Y107" s="928"/>
      <c r="Z107" s="928"/>
      <c r="AA107" s="928"/>
      <c r="AB107" s="928"/>
      <c r="AC107" s="928"/>
      <c r="AD107" s="928"/>
      <c r="AE107" s="928"/>
      <c r="AF107" s="928"/>
      <c r="AG107" s="928"/>
      <c r="AH107" s="928"/>
      <c r="AI107" s="928"/>
      <c r="AJ107" s="928"/>
      <c r="AK107" s="928"/>
    </row>
    <row r="108" spans="1:38">
      <c r="A108" s="33"/>
      <c r="C108" s="2"/>
      <c r="D108" s="2"/>
      <c r="E108" s="33" t="s">
        <v>75</v>
      </c>
      <c r="F108" s="33" t="s">
        <v>76</v>
      </c>
      <c r="G108" s="33"/>
      <c r="P108" s="33"/>
      <c r="Q108" s="33"/>
      <c r="R108" s="33"/>
      <c r="S108" s="33"/>
      <c r="T108" s="33"/>
      <c r="U108" s="33"/>
      <c r="V108" s="33"/>
      <c r="W108" s="33"/>
      <c r="X108" s="33"/>
      <c r="Y108" s="33"/>
      <c r="Z108" s="33"/>
      <c r="AA108" s="33"/>
      <c r="AB108" s="33"/>
    </row>
    <row r="109" spans="1:38">
      <c r="A109" s="33"/>
      <c r="C109" s="2"/>
      <c r="D109" s="2"/>
      <c r="E109" s="33"/>
      <c r="F109" s="33"/>
      <c r="G109" s="928" t="s">
        <v>77</v>
      </c>
      <c r="H109" s="928"/>
      <c r="I109" s="928"/>
      <c r="J109" s="928"/>
      <c r="K109" s="928"/>
      <c r="L109" s="928"/>
      <c r="M109" s="928"/>
      <c r="N109" s="928"/>
      <c r="O109" s="928"/>
      <c r="P109" s="928"/>
      <c r="Q109" s="928"/>
      <c r="R109" s="928"/>
      <c r="S109" s="928"/>
      <c r="T109" s="928"/>
      <c r="U109" s="928"/>
      <c r="V109" s="928"/>
      <c r="W109" s="928"/>
      <c r="X109" s="928"/>
      <c r="Y109" s="928"/>
      <c r="Z109" s="928"/>
      <c r="AA109" s="928"/>
      <c r="AB109" s="928"/>
      <c r="AC109" s="928"/>
      <c r="AD109" s="928"/>
      <c r="AE109" s="928"/>
      <c r="AF109" s="928"/>
      <c r="AG109" s="928"/>
      <c r="AH109" s="928"/>
      <c r="AI109" s="928"/>
      <c r="AJ109" s="928"/>
      <c r="AK109" s="928"/>
    </row>
    <row r="110" spans="1:38">
      <c r="A110" s="33"/>
      <c r="C110" s="2"/>
      <c r="D110" s="2"/>
      <c r="E110" s="33"/>
      <c r="F110" s="33"/>
      <c r="G110" s="928"/>
      <c r="H110" s="928"/>
      <c r="I110" s="928"/>
      <c r="J110" s="928"/>
      <c r="K110" s="928"/>
      <c r="L110" s="928"/>
      <c r="M110" s="928"/>
      <c r="N110" s="928"/>
      <c r="O110" s="928"/>
      <c r="P110" s="928"/>
      <c r="Q110" s="928"/>
      <c r="R110" s="928"/>
      <c r="S110" s="928"/>
      <c r="T110" s="928"/>
      <c r="U110" s="928"/>
      <c r="V110" s="928"/>
      <c r="W110" s="928"/>
      <c r="X110" s="928"/>
      <c r="Y110" s="928"/>
      <c r="Z110" s="928"/>
      <c r="AA110" s="928"/>
      <c r="AB110" s="928"/>
      <c r="AC110" s="928"/>
      <c r="AD110" s="928"/>
      <c r="AE110" s="928"/>
      <c r="AF110" s="928"/>
      <c r="AG110" s="928"/>
      <c r="AH110" s="928"/>
      <c r="AI110" s="928"/>
      <c r="AJ110" s="928"/>
      <c r="AK110" s="928"/>
    </row>
    <row r="111" spans="1:38">
      <c r="A111" s="33"/>
      <c r="C111" s="2"/>
      <c r="D111" s="2"/>
      <c r="E111" s="33"/>
      <c r="F111" s="33"/>
      <c r="G111" s="33" t="s">
        <v>78</v>
      </c>
      <c r="P111" s="33"/>
      <c r="Q111" s="33"/>
      <c r="R111" s="33"/>
      <c r="S111" s="33"/>
      <c r="T111" s="33"/>
      <c r="U111" s="33"/>
      <c r="V111" s="33"/>
      <c r="W111" s="33"/>
      <c r="X111" s="33"/>
      <c r="Y111" s="33"/>
      <c r="Z111" s="33"/>
      <c r="AA111" s="33"/>
      <c r="AB111" s="33"/>
    </row>
    <row r="112" spans="1:38">
      <c r="A112" s="33"/>
      <c r="D112" s="499"/>
      <c r="E112" s="934" t="s">
        <v>79</v>
      </c>
      <c r="F112" s="934"/>
      <c r="G112" s="934"/>
      <c r="H112" s="934"/>
      <c r="I112" s="934"/>
      <c r="J112" s="934"/>
      <c r="K112" s="934"/>
      <c r="L112" s="934"/>
      <c r="M112" s="934"/>
      <c r="N112" s="934"/>
      <c r="O112" s="934"/>
      <c r="P112" s="934"/>
      <c r="Q112" s="934"/>
      <c r="R112" s="934"/>
      <c r="S112" s="934"/>
      <c r="T112" s="934"/>
      <c r="U112" s="934"/>
      <c r="V112" s="934"/>
      <c r="W112" s="934"/>
      <c r="X112" s="934"/>
      <c r="Y112" s="934"/>
      <c r="Z112" s="934"/>
      <c r="AA112" s="934"/>
      <c r="AB112" s="934"/>
      <c r="AC112" s="934"/>
      <c r="AD112" s="934"/>
      <c r="AE112" s="934"/>
      <c r="AF112" s="934"/>
      <c r="AG112" s="934"/>
      <c r="AH112" s="934"/>
      <c r="AI112" s="934"/>
      <c r="AJ112" s="934"/>
      <c r="AK112" s="934"/>
    </row>
    <row r="113" spans="1:38">
      <c r="A113" s="33"/>
      <c r="D113" s="499"/>
      <c r="E113" s="934"/>
      <c r="F113" s="934"/>
      <c r="G113" s="934"/>
      <c r="H113" s="934"/>
      <c r="I113" s="934"/>
      <c r="J113" s="934"/>
      <c r="K113" s="934"/>
      <c r="L113" s="934"/>
      <c r="M113" s="934"/>
      <c r="N113" s="934"/>
      <c r="O113" s="934"/>
      <c r="P113" s="934"/>
      <c r="Q113" s="934"/>
      <c r="R113" s="934"/>
      <c r="S113" s="934"/>
      <c r="T113" s="934"/>
      <c r="U113" s="934"/>
      <c r="V113" s="934"/>
      <c r="W113" s="934"/>
      <c r="X113" s="934"/>
      <c r="Y113" s="934"/>
      <c r="Z113" s="934"/>
      <c r="AA113" s="934"/>
      <c r="AB113" s="934"/>
      <c r="AC113" s="934"/>
      <c r="AD113" s="934"/>
      <c r="AE113" s="934"/>
      <c r="AF113" s="934"/>
      <c r="AG113" s="934"/>
      <c r="AH113" s="934"/>
      <c r="AI113" s="934"/>
      <c r="AJ113" s="934"/>
      <c r="AK113" s="934"/>
    </row>
    <row r="114" spans="1:38" ht="12.75" customHeight="1">
      <c r="A114" s="33"/>
      <c r="B114" s="500"/>
      <c r="C114" s="499"/>
      <c r="D114" s="499"/>
      <c r="E114" s="500"/>
      <c r="F114" s="499"/>
      <c r="G114" s="499"/>
      <c r="H114" s="499"/>
      <c r="I114" s="2"/>
      <c r="J114" s="2"/>
      <c r="K114" s="2"/>
      <c r="L114" s="2"/>
      <c r="M114" s="2"/>
      <c r="N114" s="2"/>
      <c r="P114" s="33"/>
      <c r="Q114" s="33"/>
      <c r="R114" s="33"/>
      <c r="S114" s="33"/>
      <c r="T114" s="33"/>
      <c r="U114" s="33"/>
      <c r="V114" s="33"/>
      <c r="W114" s="33"/>
      <c r="X114" s="33"/>
      <c r="Y114" s="33"/>
      <c r="Z114" s="33"/>
      <c r="AA114" s="33"/>
      <c r="AB114" s="33"/>
    </row>
    <row r="115" spans="1:38">
      <c r="A115" s="8"/>
      <c r="B115" s="833" t="s">
        <v>80</v>
      </c>
      <c r="C115" s="833" t="s">
        <v>38</v>
      </c>
      <c r="D115" s="833"/>
      <c r="E115" s="833"/>
      <c r="F115" s="833"/>
      <c r="G115" s="833"/>
      <c r="H115" s="833"/>
      <c r="I115" s="833"/>
      <c r="J115" s="833"/>
      <c r="K115" s="833"/>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row>
    <row r="116" spans="1:38">
      <c r="B116" s="2"/>
      <c r="C116" s="2"/>
      <c r="D116" s="2"/>
      <c r="E116" s="2"/>
      <c r="F116" s="2"/>
      <c r="G116" s="2"/>
      <c r="H116" s="2"/>
      <c r="I116" s="2"/>
      <c r="J116" s="2"/>
      <c r="K116" s="2"/>
    </row>
    <row r="117" spans="1:38">
      <c r="B117" s="2"/>
      <c r="C117" s="2" t="s">
        <v>81</v>
      </c>
      <c r="E117" s="2"/>
      <c r="F117" s="2"/>
      <c r="G117" s="2" t="s">
        <v>82</v>
      </c>
      <c r="H117" s="2"/>
      <c r="I117" s="2"/>
      <c r="K117" s="2"/>
    </row>
    <row r="118" spans="1:38">
      <c r="B118" s="2"/>
      <c r="C118" s="2"/>
      <c r="D118" s="2" t="s">
        <v>3</v>
      </c>
      <c r="E118" s="2" t="s">
        <v>82</v>
      </c>
      <c r="F118" s="2"/>
      <c r="G118" s="2"/>
      <c r="H118" s="2"/>
      <c r="I118" s="2"/>
      <c r="J118" s="2"/>
      <c r="K118" s="2"/>
      <c r="L118" s="2"/>
      <c r="M118" s="2"/>
    </row>
    <row r="119" spans="1:38">
      <c r="B119" s="2"/>
      <c r="C119" s="2"/>
      <c r="E119" s="33" t="s">
        <v>14</v>
      </c>
      <c r="F119" s="200" t="s">
        <v>83</v>
      </c>
      <c r="G119" s="2"/>
      <c r="H119" s="2"/>
      <c r="I119" s="2"/>
      <c r="J119" s="2"/>
      <c r="K119" s="2"/>
    </row>
    <row r="120" spans="1:38">
      <c r="E120" s="33"/>
      <c r="F120" t="s">
        <v>84</v>
      </c>
    </row>
    <row r="121" spans="1:38" s="112" customFormat="1">
      <c r="A121"/>
      <c r="B121"/>
      <c r="C121"/>
      <c r="D121"/>
      <c r="E121" s="33"/>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12" customFormat="1">
      <c r="A122"/>
      <c r="B122"/>
      <c r="C122"/>
      <c r="D122"/>
      <c r="E122" s="33"/>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3" t="s">
        <v>27</v>
      </c>
      <c r="F123" s="200" t="s">
        <v>86</v>
      </c>
      <c r="G123" s="2"/>
      <c r="H123" s="2"/>
      <c r="I123" s="2"/>
      <c r="J123" s="2"/>
    </row>
    <row r="124" spans="1:38">
      <c r="E124" s="33"/>
      <c r="F124" t="s">
        <v>87</v>
      </c>
    </row>
    <row r="125" spans="1:38">
      <c r="E125" s="33"/>
    </row>
    <row r="126" spans="1:38">
      <c r="E126" s="33" t="s">
        <v>33</v>
      </c>
      <c r="F126" s="200" t="s">
        <v>88</v>
      </c>
      <c r="G126" s="2"/>
      <c r="H126" s="2"/>
      <c r="I126" s="2"/>
      <c r="J126" s="2"/>
      <c r="K126" s="2"/>
      <c r="L126" s="2"/>
      <c r="M126" s="2"/>
      <c r="N126" s="2"/>
      <c r="O126" s="2"/>
      <c r="P126" s="2"/>
    </row>
    <row r="127" spans="1:38">
      <c r="E127" s="33"/>
      <c r="F127" s="33" t="s">
        <v>89</v>
      </c>
    </row>
    <row r="128" spans="1:38">
      <c r="E128" s="33"/>
      <c r="F128" s="33" t="s">
        <v>90</v>
      </c>
    </row>
    <row r="129" spans="2:14"/>
    <row r="130" spans="2:14">
      <c r="E130" t="s">
        <v>91</v>
      </c>
      <c r="F130" s="200" t="s">
        <v>92</v>
      </c>
    </row>
    <row r="131" spans="2:14">
      <c r="F131" s="33" t="s">
        <v>93</v>
      </c>
      <c r="G131" s="33"/>
    </row>
    <row r="132" spans="2:14">
      <c r="F132" s="499" t="s">
        <v>94</v>
      </c>
      <c r="G132" s="499"/>
    </row>
    <row r="133" spans="2:14">
      <c r="G133" s="499"/>
    </row>
    <row r="134" spans="2:14">
      <c r="E134" s="33" t="s">
        <v>95</v>
      </c>
      <c r="F134" s="200" t="s">
        <v>96</v>
      </c>
    </row>
    <row r="135" spans="2:14">
      <c r="E135" s="33"/>
      <c r="F135" s="33" t="s">
        <v>97</v>
      </c>
    </row>
    <row r="136" spans="2:14" ht="12.75" customHeight="1">
      <c r="B136" s="2"/>
      <c r="C136" s="2"/>
      <c r="F136" s="2"/>
    </row>
    <row r="137" spans="2:14">
      <c r="B137" s="2"/>
      <c r="C137" s="2" t="s">
        <v>98</v>
      </c>
      <c r="G137" s="2" t="s">
        <v>99</v>
      </c>
    </row>
    <row r="138" spans="2:14">
      <c r="B138" s="2"/>
      <c r="C138" s="2"/>
      <c r="D138" s="2" t="s">
        <v>3</v>
      </c>
      <c r="E138" s="2" t="s">
        <v>100</v>
      </c>
      <c r="F138" s="2"/>
      <c r="G138" s="2"/>
      <c r="H138" s="2"/>
      <c r="I138" s="2"/>
      <c r="J138" s="2"/>
    </row>
    <row r="139" spans="2:14">
      <c r="B139" s="2"/>
      <c r="C139" s="2"/>
      <c r="E139" s="33" t="s">
        <v>101</v>
      </c>
      <c r="F139" s="33"/>
    </row>
    <row r="140" spans="2:14"/>
    <row r="141" spans="2:14">
      <c r="D141" s="2" t="s">
        <v>12</v>
      </c>
      <c r="E141" s="2" t="s">
        <v>102</v>
      </c>
    </row>
    <row r="142" spans="2:14">
      <c r="E142" s="33" t="s">
        <v>101</v>
      </c>
      <c r="F142" s="33"/>
    </row>
    <row r="143" spans="2:14"/>
    <row r="144" spans="2:14">
      <c r="D144" s="2" t="s">
        <v>103</v>
      </c>
      <c r="E144" s="2" t="s">
        <v>104</v>
      </c>
      <c r="G144" s="2"/>
      <c r="H144" s="2"/>
      <c r="I144" s="2"/>
      <c r="J144" s="2"/>
      <c r="K144" s="2"/>
      <c r="L144" s="2"/>
      <c r="M144" s="2"/>
      <c r="N144" s="2"/>
    </row>
    <row r="145" spans="4:37">
      <c r="E145" s="928" t="s">
        <v>105</v>
      </c>
      <c r="F145" s="928"/>
      <c r="G145" s="928"/>
      <c r="H145" s="928"/>
      <c r="I145" s="928"/>
      <c r="J145" s="928"/>
      <c r="K145" s="928"/>
      <c r="L145" s="928"/>
      <c r="M145" s="928"/>
      <c r="N145" s="928"/>
      <c r="O145" s="928"/>
      <c r="P145" s="928"/>
      <c r="Q145" s="928"/>
      <c r="R145" s="928"/>
      <c r="S145" s="928"/>
      <c r="T145" s="928"/>
      <c r="U145" s="928"/>
      <c r="V145" s="928"/>
      <c r="W145" s="928"/>
      <c r="X145" s="928"/>
      <c r="Y145" s="928"/>
      <c r="Z145" s="928"/>
      <c r="AA145" s="928"/>
      <c r="AB145" s="928"/>
      <c r="AC145" s="928"/>
      <c r="AD145" s="928"/>
      <c r="AE145" s="928"/>
      <c r="AF145" s="928"/>
      <c r="AG145" s="928"/>
      <c r="AH145" s="928"/>
      <c r="AI145" s="928"/>
      <c r="AJ145" s="928"/>
      <c r="AK145" s="928"/>
    </row>
    <row r="146" spans="4:37">
      <c r="E146" s="928"/>
      <c r="F146" s="928"/>
      <c r="G146" s="928"/>
      <c r="H146" s="928"/>
      <c r="I146" s="928"/>
      <c r="J146" s="928"/>
      <c r="K146" s="928"/>
      <c r="L146" s="928"/>
      <c r="M146" s="928"/>
      <c r="N146" s="928"/>
      <c r="O146" s="928"/>
      <c r="P146" s="928"/>
      <c r="Q146" s="928"/>
      <c r="R146" s="928"/>
      <c r="S146" s="928"/>
      <c r="T146" s="928"/>
      <c r="U146" s="928"/>
      <c r="V146" s="928"/>
      <c r="W146" s="928"/>
      <c r="X146" s="928"/>
      <c r="Y146" s="928"/>
      <c r="Z146" s="928"/>
      <c r="AA146" s="928"/>
      <c r="AB146" s="928"/>
      <c r="AC146" s="928"/>
      <c r="AD146" s="928"/>
      <c r="AE146" s="928"/>
      <c r="AF146" s="928"/>
      <c r="AG146" s="928"/>
      <c r="AH146" s="928"/>
      <c r="AI146" s="928"/>
      <c r="AJ146" s="928"/>
      <c r="AK146" s="928"/>
    </row>
    <row r="147" spans="4:37"/>
    <row r="148" spans="4:37">
      <c r="D148" s="2" t="s">
        <v>106</v>
      </c>
      <c r="E148" s="2" t="s">
        <v>107</v>
      </c>
      <c r="G148" s="2"/>
      <c r="H148" s="2"/>
      <c r="I148" s="2"/>
      <c r="J148" s="2"/>
      <c r="K148" s="2"/>
      <c r="L148" s="2"/>
      <c r="M148" s="2"/>
      <c r="N148" s="2"/>
      <c r="O148" s="2"/>
      <c r="P148" s="2"/>
      <c r="Q148" s="2"/>
      <c r="R148" s="2"/>
      <c r="S148" s="2"/>
      <c r="T148" s="2"/>
      <c r="U148" s="2"/>
      <c r="V148" s="2"/>
      <c r="W148" s="2"/>
      <c r="X148" s="2"/>
      <c r="Y148" s="2"/>
    </row>
    <row r="149" spans="4:37">
      <c r="E149" s="33" t="s">
        <v>108</v>
      </c>
      <c r="F149" s="33"/>
    </row>
    <row r="150" spans="4:37"/>
    <row r="151" spans="4:37">
      <c r="D151" s="2" t="s">
        <v>109</v>
      </c>
      <c r="E151" s="2" t="s">
        <v>110</v>
      </c>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4:37">
      <c r="E152" t="s">
        <v>111</v>
      </c>
    </row>
    <row r="153" spans="4:37"/>
    <row r="154" spans="4:37">
      <c r="D154" s="2" t="s">
        <v>112</v>
      </c>
      <c r="E154" s="2" t="s">
        <v>113</v>
      </c>
    </row>
    <row r="155" spans="4:37">
      <c r="E155" t="s">
        <v>14</v>
      </c>
      <c r="F155" t="s">
        <v>114</v>
      </c>
    </row>
    <row r="156" spans="4:37">
      <c r="E156" t="s">
        <v>27</v>
      </c>
      <c r="F156" t="s">
        <v>115</v>
      </c>
    </row>
    <row r="157" spans="4:37">
      <c r="F157" t="s">
        <v>29</v>
      </c>
      <c r="G157" s="33" t="s">
        <v>116</v>
      </c>
    </row>
    <row r="158" spans="4:37">
      <c r="F158" t="s">
        <v>20</v>
      </c>
      <c r="G158" s="928" t="s">
        <v>117</v>
      </c>
      <c r="H158" s="928"/>
      <c r="I158" s="928"/>
      <c r="J158" s="928"/>
      <c r="K158" s="928"/>
      <c r="L158" s="928"/>
      <c r="M158" s="928"/>
      <c r="N158" s="928"/>
      <c r="O158" s="928"/>
      <c r="P158" s="928"/>
      <c r="Q158" s="928"/>
      <c r="R158" s="928"/>
      <c r="S158" s="928"/>
      <c r="T158" s="928"/>
      <c r="U158" s="928"/>
      <c r="V158" s="928"/>
      <c r="W158" s="928"/>
      <c r="X158" s="928"/>
      <c r="Y158" s="928"/>
      <c r="Z158" s="928"/>
      <c r="AA158" s="928"/>
      <c r="AB158" s="928"/>
      <c r="AC158" s="928"/>
      <c r="AD158" s="928"/>
      <c r="AE158" s="928"/>
      <c r="AF158" s="928"/>
      <c r="AG158" s="928"/>
      <c r="AH158" s="928"/>
      <c r="AI158" s="928"/>
      <c r="AJ158" s="928"/>
      <c r="AK158" s="928"/>
    </row>
    <row r="159" spans="4:37">
      <c r="G159" s="928"/>
      <c r="H159" s="928"/>
      <c r="I159" s="928"/>
      <c r="J159" s="928"/>
      <c r="K159" s="928"/>
      <c r="L159" s="928"/>
      <c r="M159" s="928"/>
      <c r="N159" s="928"/>
      <c r="O159" s="928"/>
      <c r="P159" s="928"/>
      <c r="Q159" s="928"/>
      <c r="R159" s="928"/>
      <c r="S159" s="928"/>
      <c r="T159" s="928"/>
      <c r="U159" s="928"/>
      <c r="V159" s="928"/>
      <c r="W159" s="928"/>
      <c r="X159" s="928"/>
      <c r="Y159" s="928"/>
      <c r="Z159" s="928"/>
      <c r="AA159" s="928"/>
      <c r="AB159" s="928"/>
      <c r="AC159" s="928"/>
      <c r="AD159" s="928"/>
      <c r="AE159" s="928"/>
      <c r="AF159" s="928"/>
      <c r="AG159" s="928"/>
      <c r="AH159" s="928"/>
      <c r="AI159" s="928"/>
      <c r="AJ159" s="928"/>
      <c r="AK159" s="928"/>
    </row>
    <row r="160" spans="4:37"/>
    <row r="161" spans="3:9">
      <c r="D161" s="2" t="s">
        <v>118</v>
      </c>
      <c r="E161" s="2" t="s">
        <v>119</v>
      </c>
    </row>
    <row r="162" spans="3:9">
      <c r="E162" s="581" t="s">
        <v>120</v>
      </c>
      <c r="F162" s="780"/>
    </row>
    <row r="163" spans="3:9">
      <c r="D163" s="2"/>
      <c r="E163" s="2"/>
    </row>
    <row r="164" spans="3:9">
      <c r="C164" s="2" t="s">
        <v>121</v>
      </c>
      <c r="G164" s="2" t="s">
        <v>122</v>
      </c>
    </row>
    <row r="165" spans="3:9">
      <c r="C165" s="2"/>
      <c r="D165" s="2" t="s">
        <v>3</v>
      </c>
      <c r="E165" s="2" t="s">
        <v>123</v>
      </c>
      <c r="F165" s="2"/>
      <c r="G165" s="2"/>
      <c r="H165" s="2"/>
    </row>
    <row r="166" spans="3:9">
      <c r="E166" t="s">
        <v>124</v>
      </c>
    </row>
    <row r="167" spans="3:9"/>
    <row r="168" spans="3:9">
      <c r="D168" s="2" t="s">
        <v>12</v>
      </c>
      <c r="E168" s="2" t="s">
        <v>125</v>
      </c>
      <c r="F168" s="2"/>
      <c r="G168" s="2"/>
      <c r="H168" s="2"/>
      <c r="I168" s="2"/>
    </row>
    <row r="169" spans="3:9">
      <c r="E169" s="33" t="s">
        <v>126</v>
      </c>
    </row>
    <row r="170" spans="3:9">
      <c r="E170" s="33" t="s">
        <v>127</v>
      </c>
      <c r="G170" s="33"/>
    </row>
    <row r="171" spans="3:9"/>
    <row r="172" spans="3:9">
      <c r="D172" s="2" t="s">
        <v>103</v>
      </c>
      <c r="E172" s="2" t="s">
        <v>128</v>
      </c>
    </row>
    <row r="173" spans="3:9">
      <c r="E173" t="s">
        <v>14</v>
      </c>
      <c r="F173" s="33" t="s">
        <v>129</v>
      </c>
    </row>
    <row r="174" spans="3:9">
      <c r="E174" s="33" t="s">
        <v>27</v>
      </c>
      <c r="F174" s="33" t="s">
        <v>130</v>
      </c>
    </row>
    <row r="175" spans="3:9">
      <c r="E175" s="33" t="s">
        <v>33</v>
      </c>
      <c r="F175" t="s">
        <v>131</v>
      </c>
    </row>
    <row r="176" spans="3:9"/>
    <row r="177" spans="3:20">
      <c r="D177" s="2" t="s">
        <v>106</v>
      </c>
      <c r="E177" s="2" t="s">
        <v>132</v>
      </c>
    </row>
    <row r="178" spans="3:20">
      <c r="E178" s="33" t="s">
        <v>133</v>
      </c>
    </row>
    <row r="179" spans="3:20"/>
    <row r="180" spans="3:20">
      <c r="D180" s="2" t="s">
        <v>109</v>
      </c>
      <c r="E180" s="2" t="s">
        <v>134</v>
      </c>
    </row>
    <row r="181" spans="3:20">
      <c r="E181" s="33" t="s">
        <v>135</v>
      </c>
    </row>
    <row r="182" spans="3:20">
      <c r="E182" s="33" t="s">
        <v>136</v>
      </c>
    </row>
    <row r="183" spans="3:20">
      <c r="F183" s="112" t="s">
        <v>137</v>
      </c>
    </row>
    <row r="184" spans="3:20">
      <c r="F184" s="112"/>
      <c r="I184" s="112"/>
    </row>
    <row r="185" spans="3:20">
      <c r="D185" s="2" t="s">
        <v>112</v>
      </c>
      <c r="E185" s="2" t="s">
        <v>138</v>
      </c>
    </row>
    <row r="186" spans="3:20">
      <c r="E186" t="s">
        <v>14</v>
      </c>
      <c r="F186" t="s">
        <v>139</v>
      </c>
    </row>
    <row r="187" spans="3:20">
      <c r="E187" t="s">
        <v>27</v>
      </c>
      <c r="F187" t="s">
        <v>140</v>
      </c>
    </row>
    <row r="188" spans="3:20">
      <c r="F188" s="33"/>
    </row>
    <row r="189" spans="3:20">
      <c r="C189" s="2" t="s">
        <v>141</v>
      </c>
      <c r="E189" s="33"/>
      <c r="G189" s="2" t="s">
        <v>142</v>
      </c>
    </row>
    <row r="190" spans="3:20">
      <c r="E190" s="780" t="s">
        <v>143</v>
      </c>
      <c r="F190" s="780"/>
      <c r="I190" s="33"/>
      <c r="J190" s="33"/>
      <c r="K190" s="33"/>
      <c r="L190" s="33"/>
      <c r="M190" s="33"/>
      <c r="N190" s="33"/>
      <c r="O190" s="33"/>
      <c r="P190" s="33"/>
      <c r="Q190" s="33"/>
      <c r="R190" s="33"/>
      <c r="S190" s="33"/>
      <c r="T190" s="33"/>
    </row>
    <row r="191" spans="3:20">
      <c r="F191" s="33"/>
      <c r="H191" s="33"/>
      <c r="I191" s="33"/>
      <c r="J191" s="33"/>
      <c r="K191" s="33"/>
      <c r="L191" s="33"/>
      <c r="M191" s="33"/>
      <c r="N191" s="33"/>
      <c r="O191" s="33"/>
      <c r="P191" s="33"/>
      <c r="Q191" s="33"/>
      <c r="R191" s="33"/>
      <c r="S191" s="33"/>
      <c r="T191" s="33"/>
    </row>
    <row r="192" spans="3:20">
      <c r="C192" s="2" t="s">
        <v>144</v>
      </c>
      <c r="D192" s="2"/>
      <c r="F192" s="33"/>
      <c r="G192" s="2" t="s">
        <v>102</v>
      </c>
    </row>
    <row r="193" spans="2:14">
      <c r="D193" s="2" t="s">
        <v>3</v>
      </c>
      <c r="E193" s="2" t="s">
        <v>145</v>
      </c>
      <c r="G193" s="33"/>
      <c r="H193" s="33"/>
      <c r="I193" s="33"/>
      <c r="J193" s="33"/>
      <c r="K193" s="33"/>
      <c r="L193" s="33"/>
      <c r="M193" s="33"/>
      <c r="N193" s="33"/>
    </row>
    <row r="194" spans="2:14">
      <c r="E194" t="s">
        <v>14</v>
      </c>
      <c r="F194" s="780" t="s">
        <v>146</v>
      </c>
    </row>
    <row r="195" spans="2:14">
      <c r="F195" s="112" t="s">
        <v>147</v>
      </c>
      <c r="I195" s="112"/>
    </row>
    <row r="196" spans="2:14">
      <c r="I196" s="112"/>
    </row>
    <row r="197" spans="2:14">
      <c r="B197" s="33"/>
      <c r="C197" s="33"/>
      <c r="E197" t="s">
        <v>27</v>
      </c>
      <c r="F197" s="780" t="s">
        <v>148</v>
      </c>
      <c r="H197" s="33"/>
    </row>
    <row r="198" spans="2:14">
      <c r="B198" s="33"/>
      <c r="C198" s="33"/>
      <c r="F198" t="s">
        <v>29</v>
      </c>
      <c r="G198" t="s">
        <v>149</v>
      </c>
      <c r="H198" s="33"/>
    </row>
    <row r="199" spans="2:14">
      <c r="B199" s="33"/>
      <c r="C199" s="33"/>
      <c r="H199" s="33"/>
    </row>
    <row r="200" spans="2:14">
      <c r="D200" s="2" t="s">
        <v>12</v>
      </c>
      <c r="E200" s="2" t="s">
        <v>150</v>
      </c>
    </row>
    <row r="201" spans="2:14">
      <c r="B201" s="33"/>
      <c r="C201" s="33"/>
      <c r="E201" s="33" t="s">
        <v>151</v>
      </c>
      <c r="F201" s="33"/>
      <c r="I201" s="33"/>
    </row>
    <row r="202" spans="2:14">
      <c r="B202" s="33"/>
      <c r="C202" s="33"/>
      <c r="E202" s="33" t="s">
        <v>152</v>
      </c>
      <c r="F202" s="112"/>
      <c r="G202" s="33"/>
      <c r="I202" s="112"/>
    </row>
    <row r="203" spans="2:14">
      <c r="B203" s="33"/>
      <c r="C203" s="33"/>
      <c r="F203" s="112"/>
      <c r="G203" s="33"/>
      <c r="I203" s="112"/>
    </row>
    <row r="204" spans="2:14">
      <c r="B204" s="33"/>
      <c r="C204" s="33"/>
      <c r="D204" s="2" t="s">
        <v>103</v>
      </c>
      <c r="E204" s="2" t="s">
        <v>153</v>
      </c>
      <c r="F204" s="112"/>
      <c r="G204" s="33"/>
      <c r="I204" s="112"/>
    </row>
    <row r="205" spans="2:14">
      <c r="B205" s="33"/>
      <c r="C205" s="33"/>
      <c r="D205" s="2"/>
      <c r="E205" s="33" t="s">
        <v>154</v>
      </c>
      <c r="F205" s="33"/>
      <c r="G205" s="33"/>
      <c r="I205" s="112"/>
    </row>
    <row r="206" spans="2:14">
      <c r="B206" s="33"/>
      <c r="C206" s="33"/>
      <c r="F206" s="112"/>
      <c r="G206" s="33"/>
      <c r="I206" s="112"/>
    </row>
    <row r="207" spans="2:14">
      <c r="D207" s="2" t="s">
        <v>106</v>
      </c>
      <c r="E207" s="2" t="s">
        <v>155</v>
      </c>
    </row>
    <row r="208" spans="2:14">
      <c r="B208" s="33"/>
      <c r="C208" s="2"/>
      <c r="E208" t="s">
        <v>14</v>
      </c>
      <c r="F208" s="33" t="s">
        <v>156</v>
      </c>
      <c r="G208" s="33"/>
      <c r="H208" s="33"/>
      <c r="I208" s="33"/>
    </row>
    <row r="209" spans="2:37">
      <c r="B209" s="33"/>
      <c r="C209" s="2"/>
      <c r="F209" s="33" t="s">
        <v>29</v>
      </c>
      <c r="G209" s="33" t="s">
        <v>157</v>
      </c>
    </row>
    <row r="210" spans="2:37">
      <c r="B210" s="33"/>
      <c r="C210" s="33"/>
      <c r="F210" s="33" t="s">
        <v>20</v>
      </c>
      <c r="G210" s="33" t="s">
        <v>158</v>
      </c>
      <c r="I210" s="33"/>
      <c r="J210" s="33"/>
      <c r="M210" s="33"/>
      <c r="N210" s="33"/>
      <c r="O210" s="33"/>
      <c r="P210" s="33"/>
      <c r="Q210" s="33"/>
      <c r="R210" s="33"/>
      <c r="S210" s="33"/>
    </row>
    <row r="211" spans="2:37">
      <c r="B211" s="33"/>
      <c r="C211" s="33"/>
      <c r="F211" s="33" t="s">
        <v>25</v>
      </c>
      <c r="G211" s="33" t="s">
        <v>159</v>
      </c>
      <c r="I211" s="33"/>
      <c r="J211" s="33"/>
      <c r="M211" s="33"/>
      <c r="N211" s="33"/>
      <c r="O211" s="33"/>
      <c r="P211" s="33"/>
      <c r="Q211" s="33"/>
      <c r="R211" s="33"/>
      <c r="S211" s="33"/>
    </row>
    <row r="212" spans="2:37">
      <c r="B212" s="33"/>
      <c r="C212" s="33"/>
      <c r="F212" s="33"/>
      <c r="G212" s="33"/>
      <c r="I212" s="33"/>
      <c r="J212" s="33"/>
      <c r="M212" s="33"/>
      <c r="N212" s="33"/>
      <c r="O212" s="33"/>
      <c r="P212" s="33"/>
      <c r="Q212" s="33"/>
      <c r="R212" s="33"/>
      <c r="S212" s="33"/>
    </row>
    <row r="213" spans="2:37">
      <c r="B213" s="33"/>
      <c r="C213" s="33"/>
      <c r="D213" s="2" t="s">
        <v>109</v>
      </c>
      <c r="E213" s="2" t="s">
        <v>160</v>
      </c>
      <c r="G213" s="33"/>
      <c r="H213" s="33"/>
      <c r="I213" s="33"/>
      <c r="J213" s="33"/>
      <c r="M213" s="33"/>
      <c r="N213" s="33"/>
      <c r="O213" s="33"/>
      <c r="P213" s="33"/>
      <c r="Q213" s="33"/>
      <c r="R213" s="33"/>
      <c r="S213" s="33"/>
    </row>
    <row r="214" spans="2:37">
      <c r="B214" s="33"/>
      <c r="C214" s="33"/>
      <c r="D214" s="33"/>
      <c r="E214" s="33" t="s">
        <v>161</v>
      </c>
      <c r="F214" s="33"/>
      <c r="G214" s="33"/>
      <c r="H214" s="33"/>
      <c r="I214" s="33"/>
      <c r="J214" s="33"/>
      <c r="M214" s="33"/>
      <c r="N214" s="33"/>
      <c r="O214" s="33"/>
      <c r="P214" s="33"/>
      <c r="Q214" s="33"/>
      <c r="R214" s="33"/>
      <c r="S214" s="33"/>
    </row>
    <row r="215" spans="2:37">
      <c r="B215" s="33"/>
      <c r="C215" s="33"/>
      <c r="D215" s="33"/>
      <c r="F215" s="33"/>
      <c r="G215" s="33"/>
      <c r="H215" s="33"/>
      <c r="I215" s="33"/>
      <c r="J215" s="33"/>
      <c r="M215" s="33"/>
      <c r="N215" s="33"/>
      <c r="O215" s="33"/>
      <c r="P215" s="33"/>
      <c r="Q215" s="33"/>
      <c r="R215" s="33"/>
      <c r="S215" s="33"/>
    </row>
    <row r="216" spans="2:37">
      <c r="B216" s="33"/>
      <c r="C216" s="33"/>
      <c r="D216" s="2" t="s">
        <v>112</v>
      </c>
      <c r="E216" s="2" t="s">
        <v>162</v>
      </c>
      <c r="G216" s="33"/>
      <c r="H216" s="33"/>
      <c r="I216" s="33"/>
      <c r="J216" s="33"/>
      <c r="M216" s="33"/>
      <c r="N216" s="33"/>
      <c r="O216" s="33"/>
      <c r="P216" s="33"/>
      <c r="Q216" s="33"/>
      <c r="R216" s="33"/>
      <c r="S216" s="33"/>
    </row>
    <row r="217" spans="2:37">
      <c r="B217" s="33"/>
      <c r="C217" s="33"/>
      <c r="D217" s="2"/>
      <c r="E217" s="33" t="s">
        <v>14</v>
      </c>
      <c r="F217" s="33" t="s">
        <v>163</v>
      </c>
      <c r="M217" s="33"/>
      <c r="N217" s="33"/>
      <c r="O217" s="33"/>
      <c r="P217" s="33"/>
      <c r="Q217" s="33"/>
      <c r="R217" s="33"/>
      <c r="S217" s="33"/>
    </row>
    <row r="218" spans="2:37">
      <c r="B218" s="33"/>
      <c r="C218" s="33"/>
      <c r="D218" s="2"/>
      <c r="E218" s="33" t="s">
        <v>27</v>
      </c>
      <c r="F218" s="33" t="s">
        <v>164</v>
      </c>
      <c r="I218" s="33"/>
      <c r="J218" s="33"/>
      <c r="M218" s="33"/>
      <c r="N218" s="33"/>
      <c r="O218" s="33"/>
      <c r="P218" s="33"/>
      <c r="Q218" s="33"/>
      <c r="R218" s="33"/>
      <c r="S218" s="33"/>
      <c r="T218" s="33"/>
      <c r="U218" s="33"/>
      <c r="V218" s="33"/>
      <c r="W218" s="33"/>
      <c r="X218" s="33"/>
      <c r="Y218" s="33"/>
      <c r="Z218" s="33"/>
      <c r="AA218" s="33"/>
      <c r="AB218" s="33"/>
      <c r="AC218" s="33"/>
      <c r="AD218" s="33"/>
      <c r="AE218" s="33"/>
      <c r="AF218" s="33"/>
      <c r="AG218" s="33"/>
    </row>
    <row r="219" spans="2:37">
      <c r="B219" s="33"/>
      <c r="C219" s="33"/>
      <c r="D219" s="2"/>
      <c r="E219" s="33" t="s">
        <v>33</v>
      </c>
      <c r="F219" s="33" t="s">
        <v>165</v>
      </c>
      <c r="I219" s="33"/>
      <c r="J219" s="33"/>
      <c r="M219" s="33"/>
      <c r="N219" s="33"/>
      <c r="O219" s="33"/>
      <c r="P219" s="33"/>
      <c r="Q219" s="33"/>
      <c r="R219" s="33"/>
      <c r="S219" s="33"/>
      <c r="T219" s="33"/>
      <c r="U219" s="33"/>
      <c r="V219" s="33"/>
      <c r="W219" s="33"/>
      <c r="X219" s="33"/>
      <c r="Y219" s="33"/>
      <c r="Z219" s="33"/>
      <c r="AA219" s="33"/>
      <c r="AB219" s="33"/>
      <c r="AC219" s="33"/>
      <c r="AD219" s="33"/>
      <c r="AE219" s="33"/>
      <c r="AF219" s="33"/>
      <c r="AG219" s="33"/>
    </row>
    <row r="220" spans="2:37">
      <c r="B220" s="33"/>
      <c r="C220" s="33"/>
      <c r="F220" s="33" t="s">
        <v>29</v>
      </c>
      <c r="G220" s="33" t="s">
        <v>166</v>
      </c>
      <c r="I220" s="33"/>
      <c r="J220" s="33"/>
      <c r="M220" s="33"/>
      <c r="N220" s="33"/>
      <c r="O220" s="33"/>
      <c r="P220" s="33"/>
      <c r="Q220" s="33"/>
      <c r="R220" s="33"/>
      <c r="S220" s="33"/>
      <c r="T220" s="33"/>
      <c r="U220" s="33"/>
      <c r="V220" s="33"/>
      <c r="W220" s="33"/>
      <c r="X220" s="33"/>
      <c r="Y220" s="33"/>
    </row>
    <row r="221" spans="2:37">
      <c r="B221" s="33"/>
      <c r="C221" s="33"/>
      <c r="D221" s="2"/>
      <c r="E221" s="33" t="s">
        <v>91</v>
      </c>
      <c r="F221" s="33" t="s">
        <v>167</v>
      </c>
      <c r="M221" s="33"/>
      <c r="N221" s="33"/>
      <c r="O221" s="33"/>
      <c r="P221" s="33"/>
      <c r="Q221" s="33"/>
      <c r="R221" s="33"/>
      <c r="S221" s="33"/>
    </row>
    <row r="222" spans="2:37">
      <c r="B222" s="33"/>
      <c r="C222" s="33"/>
      <c r="D222" s="2"/>
      <c r="F222" t="s">
        <v>29</v>
      </c>
      <c r="G222" s="928" t="s">
        <v>168</v>
      </c>
      <c r="H222" s="928"/>
      <c r="I222" s="928"/>
      <c r="J222" s="928"/>
      <c r="K222" s="928"/>
      <c r="L222" s="928"/>
      <c r="M222" s="928"/>
      <c r="N222" s="928"/>
      <c r="O222" s="928"/>
      <c r="P222" s="928"/>
      <c r="Q222" s="928"/>
      <c r="R222" s="928"/>
      <c r="S222" s="928"/>
      <c r="T222" s="928"/>
      <c r="U222" s="928"/>
      <c r="V222" s="928"/>
      <c r="W222" s="928"/>
      <c r="X222" s="928"/>
      <c r="Y222" s="928"/>
      <c r="Z222" s="928"/>
      <c r="AA222" s="928"/>
      <c r="AB222" s="928"/>
      <c r="AC222" s="928"/>
      <c r="AD222" s="928"/>
      <c r="AE222" s="928"/>
      <c r="AF222" s="928"/>
      <c r="AG222" s="928"/>
      <c r="AH222" s="928"/>
      <c r="AI222" s="928"/>
      <c r="AJ222" s="928"/>
      <c r="AK222" s="928"/>
    </row>
    <row r="223" spans="2:37">
      <c r="B223" s="33"/>
      <c r="C223" s="33"/>
      <c r="D223" s="2"/>
      <c r="G223" s="928"/>
      <c r="H223" s="928"/>
      <c r="I223" s="928"/>
      <c r="J223" s="928"/>
      <c r="K223" s="928"/>
      <c r="L223" s="928"/>
      <c r="M223" s="928"/>
      <c r="N223" s="928"/>
      <c r="O223" s="928"/>
      <c r="P223" s="928"/>
      <c r="Q223" s="928"/>
      <c r="R223" s="928"/>
      <c r="S223" s="928"/>
      <c r="T223" s="928"/>
      <c r="U223" s="928"/>
      <c r="V223" s="928"/>
      <c r="W223" s="928"/>
      <c r="X223" s="928"/>
      <c r="Y223" s="928"/>
      <c r="Z223" s="928"/>
      <c r="AA223" s="928"/>
      <c r="AB223" s="928"/>
      <c r="AC223" s="928"/>
      <c r="AD223" s="928"/>
      <c r="AE223" s="928"/>
      <c r="AF223" s="928"/>
      <c r="AG223" s="928"/>
      <c r="AH223" s="928"/>
      <c r="AI223" s="928"/>
      <c r="AJ223" s="928"/>
      <c r="AK223" s="928"/>
    </row>
    <row r="224" spans="2:37">
      <c r="B224" s="33"/>
      <c r="C224" s="33"/>
      <c r="D224" s="2"/>
      <c r="M224" s="33"/>
      <c r="N224" s="33"/>
      <c r="O224" s="33"/>
      <c r="P224" s="33"/>
      <c r="Q224" s="33"/>
      <c r="R224" s="33"/>
      <c r="S224" s="33"/>
    </row>
    <row r="225" spans="1:38">
      <c r="B225" s="33"/>
      <c r="C225" s="33"/>
      <c r="D225" s="2" t="s">
        <v>118</v>
      </c>
      <c r="E225" s="2" t="s">
        <v>169</v>
      </c>
      <c r="G225" s="33"/>
      <c r="H225" s="33"/>
      <c r="I225" s="33"/>
      <c r="J225" s="33"/>
      <c r="M225" s="33"/>
      <c r="N225" s="33"/>
      <c r="O225" s="33"/>
      <c r="P225" s="33"/>
      <c r="Q225" s="33"/>
      <c r="R225" s="33"/>
      <c r="S225" s="33"/>
      <c r="T225" s="33"/>
      <c r="U225" s="33"/>
      <c r="V225" s="33"/>
      <c r="W225" s="33"/>
    </row>
    <row r="226" spans="1:38">
      <c r="B226" s="33"/>
      <c r="C226" s="33"/>
      <c r="E226" s="33" t="s">
        <v>170</v>
      </c>
      <c r="F226" s="33"/>
      <c r="I226" s="33"/>
      <c r="J226" s="33"/>
      <c r="M226" s="33"/>
      <c r="N226" s="33"/>
      <c r="O226" s="33"/>
      <c r="P226" s="33"/>
      <c r="Q226" s="33"/>
      <c r="R226" s="33"/>
      <c r="S226" s="33"/>
      <c r="T226" s="33"/>
      <c r="U226" s="33"/>
      <c r="V226" s="33"/>
      <c r="W226" s="33"/>
    </row>
    <row r="227" spans="1:38">
      <c r="B227" s="33"/>
      <c r="C227" s="33"/>
      <c r="F227" s="33"/>
      <c r="G227" s="33"/>
      <c r="I227" s="33"/>
      <c r="J227" s="33"/>
      <c r="M227" s="33"/>
      <c r="N227" s="33"/>
      <c r="O227" s="33"/>
      <c r="P227" s="33"/>
      <c r="Q227" s="33"/>
      <c r="R227" s="33"/>
      <c r="S227" s="33"/>
      <c r="T227" s="33"/>
      <c r="U227" s="33"/>
      <c r="V227" s="33"/>
      <c r="W227" s="33"/>
    </row>
    <row r="228" spans="1:38">
      <c r="B228" s="33"/>
      <c r="C228" s="33"/>
      <c r="D228" s="2" t="s">
        <v>171</v>
      </c>
      <c r="E228" s="2" t="s">
        <v>172</v>
      </c>
      <c r="F228" s="33"/>
      <c r="G228" s="33"/>
      <c r="I228" s="33"/>
      <c r="J228" s="33"/>
      <c r="M228" s="33"/>
      <c r="N228" s="33"/>
      <c r="O228" s="33"/>
      <c r="P228" s="33"/>
      <c r="Q228" s="33"/>
      <c r="R228" s="33"/>
      <c r="S228" s="33"/>
      <c r="T228" s="33"/>
      <c r="U228" s="33"/>
      <c r="V228" s="33"/>
      <c r="W228" s="33"/>
    </row>
    <row r="229" spans="1:38">
      <c r="B229" s="33"/>
      <c r="C229" s="33"/>
      <c r="D229" s="2"/>
      <c r="E229" s="33" t="s">
        <v>154</v>
      </c>
      <c r="F229" s="33"/>
      <c r="G229" s="33"/>
      <c r="I229" s="33"/>
      <c r="J229" s="33"/>
      <c r="M229" s="33"/>
      <c r="N229" s="33"/>
      <c r="O229" s="33"/>
      <c r="P229" s="33"/>
      <c r="Q229" s="33"/>
      <c r="R229" s="33"/>
      <c r="S229" s="33"/>
      <c r="T229" s="33"/>
      <c r="U229" s="33"/>
      <c r="V229" s="33"/>
      <c r="W229" s="33"/>
    </row>
    <row r="230" spans="1:38">
      <c r="B230" s="33"/>
      <c r="C230" s="33"/>
      <c r="D230" s="2"/>
      <c r="M230" s="33"/>
      <c r="N230" s="33"/>
      <c r="O230" s="33"/>
      <c r="P230" s="33"/>
      <c r="Q230" s="33"/>
      <c r="R230" s="33"/>
      <c r="S230" s="33"/>
    </row>
    <row r="231" spans="1:38">
      <c r="C231" s="2" t="s">
        <v>173</v>
      </c>
      <c r="D231" s="2"/>
      <c r="G231" s="2" t="s">
        <v>174</v>
      </c>
      <c r="M231" s="33"/>
      <c r="N231" s="33"/>
      <c r="O231" s="33"/>
      <c r="P231" s="33"/>
      <c r="Q231" s="33"/>
      <c r="R231" s="33"/>
      <c r="S231" s="33"/>
    </row>
    <row r="232" spans="1:38">
      <c r="B232" s="33"/>
      <c r="C232" s="33"/>
      <c r="E232" t="s">
        <v>14</v>
      </c>
      <c r="F232" s="33" t="s">
        <v>175</v>
      </c>
      <c r="G232" s="33"/>
      <c r="H232" s="33"/>
      <c r="I232" s="33"/>
      <c r="L232" s="33"/>
      <c r="N232" s="33"/>
      <c r="O232" s="33"/>
      <c r="P232" s="33"/>
      <c r="Q232" s="33"/>
      <c r="R232" s="33"/>
      <c r="S232" s="33"/>
    </row>
    <row r="233" spans="1:38">
      <c r="B233" s="33"/>
      <c r="C233" s="33"/>
      <c r="F233" s="33" t="s">
        <v>29</v>
      </c>
      <c r="G233" s="928" t="s">
        <v>176</v>
      </c>
      <c r="H233" s="928"/>
      <c r="I233" s="928"/>
      <c r="J233" s="928"/>
      <c r="K233" s="928"/>
      <c r="L233" s="928"/>
      <c r="M233" s="928"/>
      <c r="N233" s="928"/>
      <c r="O233" s="928"/>
      <c r="P233" s="928"/>
      <c r="Q233" s="928"/>
      <c r="R233" s="928"/>
      <c r="S233" s="928"/>
      <c r="T233" s="928"/>
      <c r="U233" s="928"/>
      <c r="V233" s="928"/>
      <c r="W233" s="928"/>
      <c r="X233" s="928"/>
      <c r="Y233" s="928"/>
      <c r="Z233" s="928"/>
      <c r="AA233" s="928"/>
      <c r="AB233" s="928"/>
      <c r="AC233" s="928"/>
      <c r="AD233" s="928"/>
      <c r="AE233" s="928"/>
      <c r="AF233" s="928"/>
      <c r="AG233" s="928"/>
      <c r="AH233" s="928"/>
      <c r="AI233" s="928"/>
      <c r="AJ233" s="928"/>
      <c r="AK233" s="928"/>
    </row>
    <row r="234" spans="1:38">
      <c r="B234" s="33"/>
      <c r="C234" s="33"/>
      <c r="F234" s="33"/>
      <c r="G234" s="928"/>
      <c r="H234" s="928"/>
      <c r="I234" s="928"/>
      <c r="J234" s="928"/>
      <c r="K234" s="928"/>
      <c r="L234" s="928"/>
      <c r="M234" s="928"/>
      <c r="N234" s="928"/>
      <c r="O234" s="928"/>
      <c r="P234" s="928"/>
      <c r="Q234" s="928"/>
      <c r="R234" s="928"/>
      <c r="S234" s="928"/>
      <c r="T234" s="928"/>
      <c r="U234" s="928"/>
      <c r="V234" s="928"/>
      <c r="W234" s="928"/>
      <c r="X234" s="928"/>
      <c r="Y234" s="928"/>
      <c r="Z234" s="928"/>
      <c r="AA234" s="928"/>
      <c r="AB234" s="928"/>
      <c r="AC234" s="928"/>
      <c r="AD234" s="928"/>
      <c r="AE234" s="928"/>
      <c r="AF234" s="928"/>
      <c r="AG234" s="928"/>
      <c r="AH234" s="928"/>
      <c r="AI234" s="928"/>
      <c r="AJ234" s="928"/>
      <c r="AK234" s="928"/>
    </row>
    <row r="235" spans="1:38">
      <c r="B235" s="33"/>
      <c r="C235" s="33"/>
      <c r="E235" t="s">
        <v>27</v>
      </c>
      <c r="F235" s="33" t="s">
        <v>177</v>
      </c>
      <c r="G235" s="33"/>
      <c r="H235" s="33"/>
      <c r="I235" s="33"/>
      <c r="M235" s="33"/>
      <c r="N235" s="33"/>
      <c r="O235" s="33"/>
      <c r="P235" s="33"/>
      <c r="Q235" s="33"/>
      <c r="R235" s="33"/>
      <c r="S235" s="33"/>
    </row>
    <row r="236" spans="1:38">
      <c r="B236" s="33"/>
      <c r="C236" s="33"/>
      <c r="F236" s="33" t="s">
        <v>29</v>
      </c>
      <c r="G236" s="928" t="s">
        <v>178</v>
      </c>
      <c r="H236" s="928"/>
      <c r="I236" s="928"/>
      <c r="J236" s="928"/>
      <c r="K236" s="928"/>
      <c r="L236" s="928"/>
      <c r="M236" s="928"/>
      <c r="N236" s="928"/>
      <c r="O236" s="928"/>
      <c r="P236" s="928"/>
      <c r="Q236" s="928"/>
      <c r="R236" s="928"/>
      <c r="S236" s="928"/>
      <c r="T236" s="928"/>
      <c r="U236" s="928"/>
      <c r="V236" s="928"/>
      <c r="W236" s="928"/>
      <c r="X236" s="928"/>
      <c r="Y236" s="928"/>
      <c r="Z236" s="928"/>
      <c r="AA236" s="928"/>
      <c r="AB236" s="928"/>
      <c r="AC236" s="928"/>
      <c r="AD236" s="928"/>
      <c r="AE236" s="928"/>
      <c r="AF236" s="928"/>
      <c r="AG236" s="928"/>
      <c r="AH236" s="928"/>
      <c r="AI236" s="928"/>
      <c r="AJ236" s="928"/>
      <c r="AK236" s="928"/>
    </row>
    <row r="237" spans="1:38">
      <c r="B237" s="33"/>
      <c r="C237" s="33"/>
      <c r="F237" s="33"/>
      <c r="G237" s="928"/>
      <c r="H237" s="928"/>
      <c r="I237" s="928"/>
      <c r="J237" s="928"/>
      <c r="K237" s="928"/>
      <c r="L237" s="928"/>
      <c r="M237" s="928"/>
      <c r="N237" s="928"/>
      <c r="O237" s="928"/>
      <c r="P237" s="928"/>
      <c r="Q237" s="928"/>
      <c r="R237" s="928"/>
      <c r="S237" s="928"/>
      <c r="T237" s="928"/>
      <c r="U237" s="928"/>
      <c r="V237" s="928"/>
      <c r="W237" s="928"/>
      <c r="X237" s="928"/>
      <c r="Y237" s="928"/>
      <c r="Z237" s="928"/>
      <c r="AA237" s="928"/>
      <c r="AB237" s="928"/>
      <c r="AC237" s="928"/>
      <c r="AD237" s="928"/>
      <c r="AE237" s="928"/>
      <c r="AF237" s="928"/>
      <c r="AG237" s="928"/>
      <c r="AH237" s="928"/>
      <c r="AI237" s="928"/>
      <c r="AJ237" s="928"/>
      <c r="AK237" s="928"/>
    </row>
    <row r="238" spans="1:38">
      <c r="B238" s="33"/>
      <c r="C238" s="33"/>
      <c r="D238" s="2"/>
      <c r="E238" s="2"/>
      <c r="F238" s="33"/>
      <c r="G238" s="33"/>
      <c r="H238" s="33"/>
      <c r="I238" s="33"/>
      <c r="J238" s="33"/>
      <c r="K238" s="33"/>
      <c r="M238" s="33"/>
      <c r="N238" s="33"/>
      <c r="O238" s="33"/>
      <c r="P238" s="33"/>
      <c r="Q238" s="33"/>
      <c r="R238" s="33"/>
      <c r="S238" s="33"/>
    </row>
    <row r="239" spans="1:38">
      <c r="A239" s="8"/>
      <c r="B239" s="833" t="s">
        <v>179</v>
      </c>
      <c r="C239" s="833" t="s">
        <v>180</v>
      </c>
      <c r="D239" s="8"/>
      <c r="E239" s="302"/>
      <c r="F239" s="302"/>
      <c r="G239" s="302"/>
      <c r="H239" s="302"/>
      <c r="I239" s="302"/>
      <c r="J239" s="302"/>
      <c r="K239" s="8"/>
      <c r="L239" s="302"/>
      <c r="M239" s="302"/>
      <c r="N239" s="302"/>
      <c r="O239" s="302"/>
      <c r="P239" s="302"/>
      <c r="Q239" s="302"/>
      <c r="R239" s="302"/>
      <c r="S239" s="302"/>
      <c r="T239" s="8"/>
      <c r="U239" s="8"/>
      <c r="V239" s="8"/>
      <c r="W239" s="8"/>
      <c r="X239" s="8"/>
      <c r="Y239" s="8"/>
      <c r="Z239" s="8"/>
      <c r="AA239" s="8"/>
      <c r="AB239" s="8"/>
      <c r="AC239" s="8"/>
      <c r="AD239" s="8"/>
      <c r="AE239" s="8"/>
      <c r="AF239" s="8"/>
      <c r="AG239" s="8"/>
      <c r="AH239" s="8"/>
      <c r="AI239" s="8"/>
      <c r="AJ239" s="8"/>
      <c r="AK239" s="8"/>
      <c r="AL239" s="8"/>
    </row>
    <row r="240" spans="1:38">
      <c r="B240" s="2"/>
      <c r="D240" s="2"/>
      <c r="E240" s="33"/>
      <c r="F240" s="33"/>
      <c r="G240" s="33"/>
      <c r="H240" s="33"/>
      <c r="I240" s="33"/>
      <c r="J240" s="33"/>
      <c r="L240" s="33"/>
      <c r="M240" s="33"/>
      <c r="N240" s="33"/>
      <c r="O240" s="33"/>
      <c r="P240" s="33"/>
      <c r="Q240" s="33"/>
      <c r="R240" s="33"/>
      <c r="S240" s="33"/>
    </row>
    <row r="241" spans="2:21">
      <c r="B241" s="33"/>
      <c r="C241" s="2" t="s">
        <v>81</v>
      </c>
      <c r="D241" s="33"/>
      <c r="E241" s="33"/>
      <c r="F241" s="33"/>
      <c r="G241" s="2" t="s">
        <v>181</v>
      </c>
      <c r="I241" s="33"/>
      <c r="J241" s="33"/>
      <c r="K241" s="33"/>
      <c r="M241" s="33"/>
      <c r="N241" s="33"/>
      <c r="O241" s="33"/>
      <c r="P241" s="33"/>
      <c r="Q241" s="33"/>
      <c r="R241" s="33"/>
      <c r="S241" s="33"/>
    </row>
    <row r="242" spans="2:21">
      <c r="B242" s="2"/>
      <c r="E242" s="33" t="s">
        <v>14</v>
      </c>
      <c r="F242" s="33" t="s">
        <v>182</v>
      </c>
      <c r="G242" s="33"/>
      <c r="I242" s="33"/>
      <c r="J242" s="33"/>
      <c r="K242" s="33"/>
      <c r="L242" s="33"/>
      <c r="M242" s="33"/>
      <c r="N242" s="33"/>
      <c r="O242" s="33"/>
      <c r="P242" s="33"/>
      <c r="Q242" s="33"/>
      <c r="R242" s="33"/>
      <c r="S242" s="33"/>
    </row>
    <row r="243" spans="2:21">
      <c r="B243" s="2"/>
      <c r="E243" s="33" t="s">
        <v>27</v>
      </c>
      <c r="F243" s="33" t="s">
        <v>183</v>
      </c>
      <c r="G243" s="33"/>
      <c r="I243" s="33"/>
      <c r="J243" s="33"/>
      <c r="K243" s="33"/>
      <c r="L243" s="33"/>
      <c r="M243" s="33"/>
      <c r="N243" s="33"/>
      <c r="O243" s="33"/>
      <c r="P243" s="33"/>
      <c r="Q243" s="33"/>
      <c r="R243" s="33"/>
      <c r="S243" s="33"/>
    </row>
    <row r="244" spans="2:21">
      <c r="B244" s="2"/>
      <c r="E244" s="33"/>
      <c r="F244" s="33"/>
      <c r="G244" s="33"/>
      <c r="H244" s="33"/>
      <c r="I244" s="33"/>
      <c r="J244" s="33"/>
      <c r="K244" s="33"/>
      <c r="L244" s="33"/>
      <c r="M244" s="33"/>
      <c r="N244" s="33"/>
      <c r="O244" s="33"/>
      <c r="P244" s="33"/>
      <c r="Q244" s="33"/>
      <c r="R244" s="33"/>
      <c r="S244" s="33"/>
    </row>
    <row r="245" spans="2:21">
      <c r="B245" s="2"/>
      <c r="C245" s="2" t="s">
        <v>98</v>
      </c>
      <c r="D245" s="33"/>
      <c r="E245" s="33"/>
      <c r="F245" s="33"/>
      <c r="G245" s="2" t="s">
        <v>184</v>
      </c>
      <c r="I245" s="33"/>
      <c r="J245" s="33"/>
      <c r="K245" s="33"/>
      <c r="L245" s="33"/>
      <c r="M245" s="33"/>
      <c r="N245" s="33"/>
      <c r="O245" s="33"/>
      <c r="P245" s="33"/>
      <c r="Q245" s="33"/>
      <c r="R245" s="33"/>
      <c r="S245" s="33"/>
    </row>
    <row r="246" spans="2:21">
      <c r="B246" s="2"/>
      <c r="E246" s="33" t="s">
        <v>14</v>
      </c>
      <c r="F246" s="33" t="s">
        <v>185</v>
      </c>
      <c r="G246" s="33"/>
      <c r="I246" s="33"/>
      <c r="J246" s="33"/>
      <c r="K246" s="33"/>
      <c r="L246" s="33"/>
      <c r="M246" s="33"/>
      <c r="N246" s="33"/>
      <c r="O246" s="33"/>
      <c r="P246" s="33"/>
      <c r="Q246" s="33"/>
      <c r="R246" s="33"/>
      <c r="S246" s="33"/>
    </row>
    <row r="247" spans="2:21">
      <c r="B247" s="2"/>
      <c r="E247" s="33"/>
      <c r="F247" s="33" t="s">
        <v>186</v>
      </c>
      <c r="G247" s="33"/>
      <c r="H247" s="33"/>
      <c r="I247" s="33"/>
      <c r="J247" s="33"/>
      <c r="K247" s="33"/>
      <c r="L247" s="33"/>
      <c r="M247" s="33"/>
      <c r="N247" s="33"/>
      <c r="O247" s="33"/>
      <c r="P247" s="33"/>
      <c r="Q247" s="33"/>
      <c r="R247" s="33"/>
      <c r="S247" s="33"/>
    </row>
    <row r="248" spans="2:21">
      <c r="B248" s="2"/>
      <c r="D248" s="33"/>
      <c r="E248" s="33" t="s">
        <v>27</v>
      </c>
      <c r="F248" s="33" t="s">
        <v>183</v>
      </c>
      <c r="G248" s="33"/>
      <c r="I248" s="33"/>
      <c r="J248" s="33"/>
      <c r="K248" s="33"/>
      <c r="L248" s="33"/>
      <c r="M248" s="33"/>
      <c r="N248" s="33"/>
      <c r="O248" s="33"/>
      <c r="P248" s="33"/>
      <c r="Q248" s="33"/>
      <c r="R248" s="33"/>
      <c r="S248" s="33"/>
    </row>
    <row r="249" spans="2:21">
      <c r="B249" s="2"/>
      <c r="E249" s="33" t="s">
        <v>33</v>
      </c>
      <c r="F249" s="200" t="s">
        <v>187</v>
      </c>
      <c r="G249" s="33"/>
      <c r="I249" s="33"/>
      <c r="J249" s="33"/>
      <c r="K249" s="33"/>
      <c r="L249" s="33"/>
      <c r="M249" s="33"/>
      <c r="N249" s="33"/>
      <c r="O249" s="33"/>
      <c r="P249" s="33"/>
      <c r="Q249" s="33"/>
      <c r="R249" s="33"/>
      <c r="S249" s="33"/>
    </row>
    <row r="250" spans="2:21">
      <c r="B250" s="2"/>
      <c r="D250" s="33"/>
      <c r="E250" s="33"/>
      <c r="F250" s="33"/>
      <c r="G250" s="33"/>
      <c r="H250" s="33"/>
      <c r="I250" s="33"/>
      <c r="J250" s="33"/>
      <c r="K250" s="33"/>
      <c r="L250" s="33"/>
      <c r="M250" s="33"/>
      <c r="N250" s="33"/>
      <c r="O250" s="33"/>
      <c r="P250" s="33"/>
      <c r="Q250" s="33"/>
      <c r="R250" s="33"/>
      <c r="S250" s="33"/>
    </row>
    <row r="251" spans="2:21">
      <c r="B251" s="2"/>
      <c r="C251" s="2" t="s">
        <v>121</v>
      </c>
      <c r="E251" s="33"/>
      <c r="F251" s="33"/>
      <c r="G251" s="2" t="s">
        <v>188</v>
      </c>
      <c r="I251" s="33"/>
      <c r="J251" s="33"/>
      <c r="K251" s="33"/>
      <c r="L251" s="33"/>
      <c r="M251" s="33"/>
      <c r="N251" s="33"/>
      <c r="O251" s="33"/>
      <c r="P251" s="33"/>
      <c r="Q251" s="33"/>
      <c r="R251" s="33"/>
      <c r="S251" s="33"/>
    </row>
    <row r="252" spans="2:21">
      <c r="B252" s="2"/>
      <c r="C252" s="2"/>
      <c r="E252" s="33" t="s">
        <v>14</v>
      </c>
      <c r="F252" s="33" t="s">
        <v>189</v>
      </c>
      <c r="G252" s="33"/>
      <c r="I252" s="33"/>
      <c r="J252" s="33"/>
      <c r="K252" s="33"/>
      <c r="L252" s="33"/>
      <c r="M252" s="33"/>
      <c r="N252" s="33"/>
      <c r="O252" s="33"/>
      <c r="P252" s="33"/>
      <c r="Q252" s="33"/>
      <c r="R252" s="33"/>
      <c r="S252" s="33"/>
      <c r="T252" s="33"/>
      <c r="U252" s="33"/>
    </row>
    <row r="253" spans="2:21">
      <c r="B253" s="2"/>
      <c r="C253" s="2"/>
      <c r="E253" s="33"/>
      <c r="F253" s="112" t="s">
        <v>190</v>
      </c>
      <c r="G253" s="33"/>
      <c r="J253" s="33"/>
      <c r="K253" s="33"/>
      <c r="L253" s="33"/>
      <c r="M253" s="33"/>
      <c r="N253" s="33"/>
      <c r="O253" s="33"/>
      <c r="P253" s="33"/>
      <c r="Q253" s="33"/>
      <c r="R253" s="33"/>
      <c r="S253" s="33"/>
      <c r="T253" s="33"/>
      <c r="U253" s="33"/>
    </row>
    <row r="254" spans="2:21">
      <c r="B254" s="2"/>
      <c r="C254" s="2"/>
      <c r="E254" s="33" t="s">
        <v>27</v>
      </c>
      <c r="F254" s="33" t="s">
        <v>191</v>
      </c>
      <c r="I254" s="33"/>
      <c r="J254" s="33"/>
      <c r="K254" s="33"/>
      <c r="L254" s="33"/>
      <c r="M254" s="33"/>
      <c r="N254" s="33"/>
      <c r="O254" s="33"/>
      <c r="P254" s="33"/>
      <c r="Q254" s="33"/>
      <c r="R254" s="33"/>
      <c r="S254" s="33"/>
      <c r="T254" s="33"/>
      <c r="U254" s="33"/>
    </row>
    <row r="255" spans="2:21">
      <c r="B255" s="2"/>
      <c r="C255" s="2"/>
      <c r="E255" s="33"/>
      <c r="F255" s="33" t="s">
        <v>29</v>
      </c>
      <c r="G255" s="33" t="s">
        <v>192</v>
      </c>
      <c r="I255" s="33"/>
      <c r="K255" s="33"/>
      <c r="L255" s="33"/>
      <c r="M255" s="33"/>
      <c r="N255" s="33"/>
      <c r="O255" s="33"/>
      <c r="P255" s="33"/>
    </row>
    <row r="256" spans="2:21">
      <c r="B256" s="2"/>
      <c r="C256" s="2"/>
      <c r="E256" s="33"/>
      <c r="G256" s="33" t="s">
        <v>193</v>
      </c>
      <c r="I256" s="33"/>
      <c r="K256" s="33"/>
      <c r="L256" s="33"/>
      <c r="M256" s="33"/>
      <c r="N256" s="33"/>
      <c r="O256" s="33"/>
      <c r="P256" s="33"/>
    </row>
    <row r="257" spans="2:21">
      <c r="B257" s="2"/>
      <c r="C257" s="2"/>
      <c r="E257" s="33"/>
      <c r="F257" t="s">
        <v>20</v>
      </c>
      <c r="G257" s="33" t="s">
        <v>194</v>
      </c>
      <c r="I257" s="33"/>
      <c r="K257" s="33"/>
      <c r="L257" s="33"/>
      <c r="M257" s="33"/>
      <c r="N257" s="33"/>
      <c r="O257" s="33"/>
      <c r="P257" s="33"/>
      <c r="Q257" s="33"/>
      <c r="R257" s="33"/>
      <c r="S257" s="33"/>
      <c r="T257" s="33"/>
      <c r="U257" s="33"/>
    </row>
    <row r="258" spans="2:21">
      <c r="B258" s="2"/>
      <c r="C258" s="2"/>
      <c r="E258" s="33"/>
      <c r="G258" s="33" t="s">
        <v>195</v>
      </c>
      <c r="I258" s="33"/>
      <c r="K258" s="33"/>
      <c r="L258" s="33"/>
      <c r="M258" s="33"/>
      <c r="N258" s="33"/>
      <c r="O258" s="33"/>
      <c r="P258" s="33"/>
      <c r="Q258" s="33"/>
      <c r="R258" s="33"/>
      <c r="S258" s="33"/>
      <c r="T258" s="33"/>
      <c r="U258" s="33"/>
    </row>
    <row r="259" spans="2:21">
      <c r="B259" s="2"/>
      <c r="C259" s="2"/>
      <c r="E259" s="33"/>
      <c r="G259" s="33"/>
      <c r="I259" s="33"/>
      <c r="K259" s="33"/>
      <c r="L259" s="33"/>
      <c r="M259" s="33"/>
      <c r="N259" s="33"/>
      <c r="O259" s="33"/>
      <c r="P259" s="33"/>
      <c r="Q259" s="33"/>
      <c r="R259" s="33"/>
      <c r="S259" s="33"/>
      <c r="T259" s="33"/>
      <c r="U259" s="33"/>
    </row>
    <row r="260" spans="2:21">
      <c r="B260" s="2"/>
      <c r="C260" s="2"/>
      <c r="D260" s="2" t="s">
        <v>3</v>
      </c>
      <c r="E260" s="2" t="s">
        <v>196</v>
      </c>
      <c r="G260" s="33"/>
      <c r="H260" s="33"/>
      <c r="I260" s="33"/>
      <c r="J260" s="33"/>
      <c r="K260" s="33"/>
      <c r="L260" s="33"/>
      <c r="M260" s="33"/>
      <c r="N260" s="33"/>
      <c r="O260" s="33"/>
      <c r="P260" s="33"/>
      <c r="Q260" s="33"/>
      <c r="R260" s="33"/>
      <c r="S260" s="33"/>
    </row>
    <row r="261" spans="2:21">
      <c r="B261" s="2"/>
      <c r="C261" s="2"/>
      <c r="E261" s="33" t="s">
        <v>14</v>
      </c>
      <c r="F261" s="33" t="s">
        <v>197</v>
      </c>
      <c r="G261" s="33"/>
      <c r="I261" s="33"/>
      <c r="J261" s="33"/>
      <c r="K261" s="33"/>
      <c r="L261" s="33"/>
      <c r="M261" s="33"/>
      <c r="N261" s="33"/>
      <c r="O261" s="33"/>
      <c r="P261" s="33"/>
      <c r="Q261" s="33"/>
      <c r="R261" s="33"/>
      <c r="S261" s="33"/>
    </row>
    <row r="262" spans="2:21">
      <c r="B262" s="2"/>
      <c r="C262" s="2"/>
      <c r="E262" s="33" t="s">
        <v>27</v>
      </c>
      <c r="F262" s="33" t="s">
        <v>198</v>
      </c>
      <c r="G262" s="33"/>
      <c r="I262" s="33"/>
      <c r="J262" s="33"/>
      <c r="K262" s="33"/>
      <c r="L262" s="33"/>
      <c r="M262" s="33"/>
      <c r="N262" s="33"/>
      <c r="O262" s="33"/>
      <c r="P262" s="33"/>
      <c r="Q262" s="33"/>
      <c r="R262" s="33"/>
      <c r="S262" s="33"/>
    </row>
    <row r="263" spans="2:21">
      <c r="B263" s="2"/>
      <c r="C263" s="2"/>
      <c r="E263" s="33" t="s">
        <v>33</v>
      </c>
      <c r="F263" s="33" t="s">
        <v>199</v>
      </c>
      <c r="I263" s="33"/>
      <c r="J263" s="33"/>
      <c r="K263" s="33"/>
      <c r="L263" s="33"/>
      <c r="M263" s="33"/>
      <c r="N263" s="33"/>
      <c r="O263" s="33"/>
      <c r="P263" s="33"/>
      <c r="Q263" s="33"/>
      <c r="R263" s="33"/>
      <c r="S263" s="33"/>
    </row>
    <row r="264" spans="2:21">
      <c r="B264" s="2"/>
      <c r="C264" s="2"/>
      <c r="E264" s="2"/>
      <c r="F264" s="33" t="s">
        <v>200</v>
      </c>
      <c r="I264" s="33"/>
      <c r="J264" s="33"/>
      <c r="K264" s="33"/>
      <c r="L264" s="33"/>
      <c r="M264" s="33"/>
      <c r="N264" s="33"/>
      <c r="O264" s="33"/>
      <c r="P264" s="33"/>
      <c r="Q264" s="33"/>
      <c r="R264" s="33"/>
      <c r="S264" s="33"/>
    </row>
    <row r="265" spans="2:21">
      <c r="B265" s="2"/>
      <c r="C265" s="2"/>
      <c r="E265" s="33" t="s">
        <v>91</v>
      </c>
      <c r="F265" s="33" t="s">
        <v>201</v>
      </c>
      <c r="I265" s="33"/>
      <c r="J265" s="33"/>
      <c r="K265" s="33"/>
      <c r="L265" s="33"/>
      <c r="M265" s="33"/>
      <c r="N265" s="33"/>
      <c r="O265" s="33"/>
      <c r="P265" s="33"/>
      <c r="Q265" s="33"/>
      <c r="R265" s="33"/>
      <c r="S265" s="33"/>
    </row>
    <row r="266" spans="2:21">
      <c r="B266" s="2"/>
      <c r="C266" s="2"/>
      <c r="E266" s="2"/>
      <c r="F266" s="33"/>
      <c r="H266" s="33"/>
      <c r="I266" s="33"/>
      <c r="J266" s="33"/>
      <c r="K266" s="33"/>
      <c r="L266" s="33"/>
      <c r="M266" s="33"/>
      <c r="N266" s="33"/>
      <c r="O266" s="33"/>
      <c r="P266" s="33"/>
      <c r="Q266" s="33"/>
      <c r="R266" s="33"/>
      <c r="S266" s="33"/>
    </row>
    <row r="267" spans="2:21">
      <c r="B267" s="2"/>
      <c r="C267" s="2"/>
      <c r="D267" s="2" t="s">
        <v>12</v>
      </c>
      <c r="E267" s="2" t="s">
        <v>202</v>
      </c>
      <c r="G267" s="33"/>
      <c r="H267" s="33"/>
      <c r="I267" s="33"/>
      <c r="J267" s="33"/>
      <c r="K267" s="33"/>
      <c r="L267" s="33"/>
      <c r="M267" s="33"/>
      <c r="N267" s="33"/>
      <c r="O267" s="33"/>
      <c r="P267" s="33"/>
      <c r="Q267" s="33"/>
      <c r="R267" s="33"/>
      <c r="S267" s="33"/>
    </row>
    <row r="268" spans="2:21">
      <c r="B268" s="2"/>
      <c r="C268" s="2"/>
      <c r="E268" s="33" t="s">
        <v>203</v>
      </c>
      <c r="F268" s="33"/>
      <c r="G268" s="33"/>
    </row>
    <row r="269" spans="2:21">
      <c r="B269" s="2"/>
      <c r="C269" s="2"/>
      <c r="E269" s="2"/>
      <c r="G269" s="33"/>
      <c r="H269" s="33"/>
    </row>
    <row r="270" spans="2:21">
      <c r="B270" s="2"/>
      <c r="C270" s="2"/>
      <c r="D270" s="2" t="s">
        <v>103</v>
      </c>
      <c r="E270" s="2" t="s">
        <v>204</v>
      </c>
      <c r="G270" s="33"/>
    </row>
    <row r="271" spans="2:21">
      <c r="B271" s="2"/>
      <c r="C271" s="2"/>
      <c r="E271" s="33" t="s">
        <v>205</v>
      </c>
      <c r="F271" s="33"/>
      <c r="G271" s="33"/>
      <c r="J271" s="33"/>
      <c r="K271" s="33"/>
      <c r="L271" s="33"/>
      <c r="M271" s="33"/>
      <c r="N271" s="33"/>
      <c r="O271" s="33"/>
      <c r="P271" s="33"/>
      <c r="Q271" s="33"/>
      <c r="R271" s="33"/>
      <c r="S271" s="33"/>
      <c r="T271" s="33"/>
      <c r="U271" s="33"/>
    </row>
    <row r="272" spans="2:21">
      <c r="B272" s="2"/>
      <c r="C272" s="2"/>
      <c r="E272" s="33" t="s">
        <v>206</v>
      </c>
      <c r="F272" s="33"/>
      <c r="G272" s="33"/>
      <c r="J272" s="33"/>
      <c r="K272" s="33"/>
      <c r="L272" s="33"/>
      <c r="M272" s="33"/>
      <c r="N272" s="33"/>
      <c r="O272" s="33"/>
      <c r="P272" s="33"/>
      <c r="Q272" s="33"/>
      <c r="R272" s="33"/>
      <c r="S272" s="33"/>
      <c r="T272" s="33"/>
      <c r="U272" s="33"/>
    </row>
    <row r="273" spans="2:21">
      <c r="B273" s="2"/>
      <c r="C273" s="2"/>
      <c r="E273" s="2"/>
      <c r="G273" s="33"/>
      <c r="H273" s="33"/>
      <c r="J273" s="33"/>
      <c r="K273" s="33"/>
      <c r="L273" s="33"/>
      <c r="M273" s="33"/>
      <c r="N273" s="33"/>
      <c r="O273" s="33"/>
      <c r="P273" s="33"/>
      <c r="Q273" s="33"/>
      <c r="R273" s="33"/>
      <c r="S273" s="33"/>
      <c r="T273" s="33"/>
      <c r="U273" s="33"/>
    </row>
    <row r="274" spans="2:21">
      <c r="B274" s="2"/>
      <c r="D274" s="2" t="s">
        <v>106</v>
      </c>
      <c r="E274" s="2" t="s">
        <v>207</v>
      </c>
      <c r="G274" s="33"/>
      <c r="H274" s="33"/>
      <c r="J274" s="33"/>
      <c r="K274" s="33"/>
      <c r="L274" s="33"/>
      <c r="M274" s="33"/>
      <c r="N274" s="33"/>
      <c r="O274" s="33"/>
      <c r="P274" s="33"/>
      <c r="Q274" s="33"/>
      <c r="R274" s="33"/>
      <c r="S274" s="33"/>
      <c r="T274" s="33"/>
      <c r="U274" s="33"/>
    </row>
    <row r="275" spans="2:21">
      <c r="B275" s="2"/>
      <c r="D275" s="33"/>
      <c r="E275" s="33" t="s">
        <v>208</v>
      </c>
      <c r="J275" s="33"/>
      <c r="K275" s="33"/>
      <c r="L275" s="33"/>
      <c r="M275" s="33"/>
      <c r="N275" s="33"/>
      <c r="O275" s="33"/>
      <c r="P275" s="33"/>
      <c r="Q275" s="33"/>
      <c r="R275" s="33"/>
      <c r="S275" s="33"/>
      <c r="T275" s="33"/>
      <c r="U275" s="33"/>
    </row>
    <row r="276" spans="2:21">
      <c r="B276" s="2"/>
      <c r="D276" s="33"/>
      <c r="E276" s="33" t="s">
        <v>209</v>
      </c>
      <c r="F276" s="33"/>
      <c r="J276" s="33"/>
      <c r="K276" s="33"/>
      <c r="L276" s="33"/>
      <c r="M276" s="33"/>
      <c r="N276" s="33"/>
      <c r="O276" s="33"/>
      <c r="P276" s="33"/>
      <c r="Q276" s="33"/>
      <c r="R276" s="33"/>
      <c r="S276" s="33"/>
      <c r="T276" s="33"/>
      <c r="U276" s="33"/>
    </row>
    <row r="277" spans="2:21">
      <c r="B277" s="2"/>
      <c r="D277" s="33"/>
      <c r="E277" s="33"/>
      <c r="J277" s="33"/>
      <c r="K277" s="33"/>
      <c r="L277" s="33"/>
      <c r="M277" s="33"/>
      <c r="N277" s="33"/>
      <c r="O277" s="33"/>
      <c r="P277" s="33"/>
      <c r="Q277" s="33"/>
      <c r="R277" s="33"/>
      <c r="S277" s="33"/>
      <c r="T277" s="33"/>
      <c r="U277" s="33"/>
    </row>
    <row r="278" spans="2:21">
      <c r="B278" s="2"/>
      <c r="D278" s="2" t="s">
        <v>109</v>
      </c>
      <c r="E278" s="2" t="s">
        <v>210</v>
      </c>
      <c r="K278" s="33"/>
      <c r="L278" s="33"/>
      <c r="M278" s="33"/>
      <c r="N278" s="33"/>
      <c r="O278" s="33"/>
      <c r="P278" s="33"/>
      <c r="Q278" s="33"/>
      <c r="R278" s="33"/>
      <c r="S278" s="33"/>
    </row>
    <row r="279" spans="2:21">
      <c r="B279" s="2"/>
      <c r="D279" s="2"/>
      <c r="E279" t="s">
        <v>211</v>
      </c>
      <c r="K279" s="33"/>
      <c r="L279" s="33"/>
      <c r="M279" s="33"/>
      <c r="N279" s="33"/>
      <c r="O279" s="33"/>
      <c r="P279" s="33"/>
      <c r="Q279" s="33"/>
      <c r="R279" s="33"/>
      <c r="S279" s="33"/>
    </row>
    <row r="280" spans="2:21">
      <c r="B280" s="2"/>
      <c r="D280" s="33"/>
      <c r="E280" s="33" t="s">
        <v>212</v>
      </c>
      <c r="F280" s="33"/>
      <c r="I280" s="33"/>
      <c r="J280" s="33"/>
      <c r="K280" s="33"/>
      <c r="L280" s="33"/>
      <c r="M280" s="33"/>
      <c r="N280" s="33"/>
      <c r="O280" s="33"/>
      <c r="P280" s="33"/>
      <c r="Q280" s="33"/>
      <c r="R280" s="33"/>
      <c r="S280" s="33"/>
    </row>
    <row r="281" spans="2:21">
      <c r="B281" s="2"/>
      <c r="D281" s="2"/>
      <c r="E281" s="33"/>
      <c r="I281" s="33"/>
      <c r="J281" s="33"/>
      <c r="K281" s="33"/>
      <c r="L281" s="33"/>
      <c r="M281" s="33"/>
      <c r="N281" s="33"/>
      <c r="O281" s="33"/>
      <c r="P281" s="33"/>
      <c r="Q281" s="33"/>
      <c r="R281" s="33"/>
      <c r="S281" s="33"/>
    </row>
    <row r="282" spans="2:21">
      <c r="B282" s="2"/>
      <c r="D282" s="2" t="s">
        <v>112</v>
      </c>
      <c r="E282" s="2" t="s">
        <v>213</v>
      </c>
      <c r="G282" s="33"/>
      <c r="H282" s="33"/>
      <c r="I282" s="33"/>
      <c r="J282" s="33"/>
      <c r="K282" s="33"/>
      <c r="L282" s="33"/>
      <c r="M282" s="33"/>
      <c r="P282" s="33"/>
      <c r="Q282" s="33"/>
      <c r="R282" s="33"/>
      <c r="S282" s="33"/>
    </row>
    <row r="283" spans="2:21">
      <c r="B283" s="2"/>
      <c r="D283" s="2"/>
      <c r="E283" t="s">
        <v>214</v>
      </c>
      <c r="G283" s="33"/>
      <c r="H283" s="33"/>
      <c r="I283" s="33"/>
      <c r="J283" s="33"/>
      <c r="K283" s="33"/>
      <c r="L283" s="33"/>
      <c r="M283" s="33"/>
      <c r="P283" s="33"/>
      <c r="Q283" s="33"/>
      <c r="R283" s="33"/>
      <c r="S283" s="33"/>
    </row>
    <row r="284" spans="2:21">
      <c r="B284" s="2"/>
      <c r="D284" s="2"/>
      <c r="E284" t="s">
        <v>215</v>
      </c>
      <c r="G284" s="33"/>
      <c r="H284" s="33"/>
      <c r="I284" s="33"/>
      <c r="J284" s="33"/>
      <c r="K284" s="33"/>
      <c r="L284" s="33"/>
      <c r="M284" s="33"/>
      <c r="P284" s="33"/>
      <c r="Q284" s="33"/>
      <c r="R284" s="33"/>
      <c r="S284" s="33"/>
    </row>
    <row r="285" spans="2:21">
      <c r="B285" s="2"/>
      <c r="D285" s="2"/>
      <c r="E285" s="112" t="s">
        <v>216</v>
      </c>
      <c r="F285" s="112"/>
      <c r="G285" s="33"/>
      <c r="H285" s="112"/>
      <c r="I285" s="112"/>
      <c r="J285" s="33"/>
      <c r="K285" s="33"/>
      <c r="L285" s="33"/>
      <c r="M285" s="33"/>
      <c r="P285" s="33"/>
      <c r="Q285" s="33"/>
      <c r="R285" s="33"/>
      <c r="S285" s="33"/>
    </row>
    <row r="286" spans="2:21">
      <c r="B286" s="2"/>
      <c r="D286" s="2"/>
      <c r="E286" s="501" t="s">
        <v>217</v>
      </c>
      <c r="G286" s="33"/>
      <c r="H286" s="501"/>
      <c r="I286" s="501"/>
      <c r="J286" s="33"/>
      <c r="K286" s="33"/>
      <c r="L286" s="33"/>
      <c r="M286" s="33"/>
      <c r="P286" s="33"/>
      <c r="Q286" s="33"/>
      <c r="R286" s="33"/>
      <c r="S286" s="33"/>
    </row>
    <row r="287" spans="2:21">
      <c r="B287" s="2"/>
      <c r="D287" s="2"/>
      <c r="E287" s="33"/>
      <c r="F287" s="33"/>
      <c r="G287" s="33"/>
      <c r="H287" s="33"/>
      <c r="I287" s="33"/>
      <c r="J287" s="33"/>
      <c r="K287" s="33"/>
      <c r="L287" s="33"/>
      <c r="M287" s="33"/>
      <c r="P287" s="33"/>
      <c r="Q287" s="33"/>
      <c r="R287" s="33"/>
      <c r="S287" s="33"/>
    </row>
    <row r="288" spans="2:21">
      <c r="B288" s="2"/>
      <c r="D288" s="2" t="s">
        <v>118</v>
      </c>
      <c r="E288" s="2" t="s">
        <v>218</v>
      </c>
      <c r="K288" s="33"/>
      <c r="L288" s="33"/>
      <c r="M288" s="33"/>
      <c r="N288" s="33"/>
      <c r="O288" s="33"/>
      <c r="P288" s="33"/>
      <c r="Q288" s="33"/>
      <c r="R288" s="33"/>
      <c r="S288" s="33"/>
    </row>
    <row r="289" spans="2:24">
      <c r="B289" s="2"/>
      <c r="D289" s="33"/>
      <c r="E289" s="33" t="s">
        <v>14</v>
      </c>
      <c r="F289" s="33" t="s">
        <v>219</v>
      </c>
      <c r="G289" s="33"/>
    </row>
    <row r="290" spans="2:24">
      <c r="B290" s="2"/>
      <c r="D290" s="33"/>
      <c r="E290" s="33"/>
      <c r="F290" s="112" t="s">
        <v>220</v>
      </c>
      <c r="G290" s="112"/>
      <c r="H290" s="112"/>
      <c r="I290" s="112"/>
      <c r="J290" s="112"/>
      <c r="K290" s="112"/>
      <c r="L290" s="112"/>
      <c r="M290" s="112"/>
      <c r="N290" s="112"/>
      <c r="O290" s="112"/>
      <c r="P290" s="112"/>
      <c r="Q290" s="112"/>
      <c r="R290" s="112"/>
      <c r="S290" s="112"/>
      <c r="T290" s="112"/>
      <c r="U290" s="112"/>
      <c r="V290" s="112"/>
      <c r="W290" s="112"/>
      <c r="X290" s="112"/>
    </row>
    <row r="291" spans="2:24">
      <c r="B291" s="2"/>
      <c r="D291" s="33"/>
      <c r="E291" s="33" t="s">
        <v>27</v>
      </c>
      <c r="F291" s="33" t="s">
        <v>221</v>
      </c>
      <c r="G291" s="33"/>
      <c r="L291" s="33"/>
      <c r="M291" s="33"/>
      <c r="N291" s="33"/>
      <c r="O291" s="33"/>
      <c r="P291" s="33"/>
      <c r="Q291" s="33"/>
      <c r="R291" s="33"/>
      <c r="S291" s="33"/>
      <c r="T291" s="33"/>
      <c r="U291" s="33"/>
      <c r="V291" s="33"/>
      <c r="W291" s="33"/>
    </row>
    <row r="292" spans="2:24">
      <c r="B292" s="2"/>
      <c r="D292" s="33"/>
      <c r="E292" s="33" t="s">
        <v>33</v>
      </c>
      <c r="F292" s="33" t="s">
        <v>222</v>
      </c>
      <c r="G292" s="33"/>
      <c r="H292" s="33"/>
      <c r="K292" s="33"/>
      <c r="L292" s="33"/>
      <c r="M292" s="33"/>
      <c r="N292" s="33"/>
      <c r="O292" s="33"/>
      <c r="P292" s="33"/>
      <c r="Q292" s="33"/>
      <c r="R292" s="33"/>
      <c r="S292" s="33"/>
      <c r="T292" s="33"/>
      <c r="U292" s="33"/>
      <c r="V292" s="33"/>
      <c r="W292" s="33"/>
    </row>
    <row r="293" spans="2:24">
      <c r="B293" s="2"/>
      <c r="D293" s="33"/>
      <c r="E293" s="33"/>
      <c r="F293" s="33" t="s">
        <v>29</v>
      </c>
      <c r="G293" s="33" t="s">
        <v>223</v>
      </c>
      <c r="K293" s="33"/>
      <c r="L293" s="33"/>
      <c r="M293" s="33"/>
      <c r="N293" s="33"/>
      <c r="O293" s="33"/>
      <c r="P293" s="33"/>
      <c r="Q293" s="33"/>
      <c r="R293" s="33"/>
      <c r="S293" s="33"/>
      <c r="T293" s="33"/>
      <c r="U293" s="33"/>
      <c r="V293" s="33"/>
      <c r="W293" s="33"/>
    </row>
    <row r="294" spans="2:24">
      <c r="B294" s="2"/>
      <c r="D294" s="33"/>
      <c r="E294" s="33"/>
      <c r="F294" s="33" t="s">
        <v>20</v>
      </c>
      <c r="G294" s="33" t="s">
        <v>224</v>
      </c>
      <c r="H294" s="33"/>
      <c r="K294" s="33"/>
      <c r="L294" s="33"/>
      <c r="M294" s="33"/>
      <c r="N294" s="33"/>
      <c r="O294" s="33"/>
      <c r="P294" s="33"/>
      <c r="Q294" s="33"/>
      <c r="R294" s="33"/>
      <c r="S294" s="33"/>
      <c r="T294" s="33"/>
      <c r="U294" s="33"/>
      <c r="V294" s="33"/>
      <c r="W294" s="33"/>
    </row>
    <row r="295" spans="2:24">
      <c r="B295" s="2"/>
      <c r="D295" s="33"/>
      <c r="E295" s="33"/>
      <c r="F295" s="33" t="s">
        <v>25</v>
      </c>
      <c r="G295" s="33" t="s">
        <v>225</v>
      </c>
      <c r="K295" s="33"/>
      <c r="L295" s="33"/>
      <c r="M295" s="33"/>
      <c r="N295" s="33"/>
      <c r="O295" s="33"/>
      <c r="P295" s="33"/>
      <c r="Q295" s="33"/>
      <c r="R295" s="33"/>
      <c r="S295" s="33"/>
      <c r="T295" s="33"/>
      <c r="U295" s="33"/>
      <c r="V295" s="33"/>
      <c r="W295" s="33"/>
    </row>
    <row r="296" spans="2:24">
      <c r="B296" s="2"/>
      <c r="D296" s="33"/>
      <c r="E296" s="33"/>
      <c r="F296" s="33" t="s">
        <v>51</v>
      </c>
      <c r="G296" s="33" t="s">
        <v>226</v>
      </c>
      <c r="H296" s="33"/>
      <c r="K296" s="33"/>
      <c r="L296" s="33"/>
      <c r="M296" s="33"/>
      <c r="N296" s="33"/>
      <c r="O296" s="33"/>
      <c r="P296" s="33"/>
      <c r="Q296" s="33"/>
      <c r="R296" s="33"/>
      <c r="S296" s="33"/>
      <c r="T296" s="33"/>
      <c r="U296" s="33"/>
      <c r="V296" s="33"/>
      <c r="W296" s="33"/>
    </row>
    <row r="297" spans="2:24">
      <c r="B297" s="2"/>
      <c r="D297" s="33"/>
      <c r="E297" s="33"/>
      <c r="F297" s="33" t="s">
        <v>54</v>
      </c>
      <c r="G297" s="33" t="s">
        <v>227</v>
      </c>
      <c r="K297" s="33"/>
      <c r="L297" s="33"/>
      <c r="M297" s="33"/>
      <c r="N297" s="33"/>
      <c r="O297" s="33"/>
      <c r="P297" s="33"/>
      <c r="Q297" s="33"/>
      <c r="R297" s="33"/>
      <c r="S297" s="33"/>
      <c r="T297" s="33"/>
      <c r="U297" s="33"/>
      <c r="V297" s="33"/>
      <c r="W297" s="33"/>
    </row>
    <row r="298" spans="2:24">
      <c r="B298" s="2"/>
      <c r="D298" s="33"/>
      <c r="E298" s="33"/>
      <c r="F298" s="33" t="s">
        <v>57</v>
      </c>
      <c r="G298" s="33" t="s">
        <v>228</v>
      </c>
      <c r="H298" s="33"/>
      <c r="K298" s="33"/>
      <c r="L298" s="33"/>
      <c r="M298" s="33"/>
      <c r="N298" s="33"/>
      <c r="O298" s="33"/>
      <c r="P298" s="33"/>
      <c r="Q298" s="33"/>
      <c r="R298" s="33"/>
      <c r="S298" s="33"/>
      <c r="T298" s="33"/>
      <c r="U298" s="33"/>
      <c r="V298" s="33"/>
      <c r="W298" s="33"/>
    </row>
    <row r="299" spans="2:24">
      <c r="B299" s="2"/>
      <c r="D299" s="33"/>
      <c r="E299" s="33" t="s">
        <v>91</v>
      </c>
      <c r="F299" s="33" t="s">
        <v>229</v>
      </c>
      <c r="G299" s="33"/>
      <c r="K299" s="33"/>
      <c r="L299" s="33"/>
      <c r="M299" s="33"/>
      <c r="N299" s="33"/>
      <c r="O299" s="33"/>
      <c r="P299" s="33"/>
      <c r="Q299" s="33"/>
      <c r="R299" s="33"/>
      <c r="S299" s="33"/>
      <c r="T299" s="33"/>
      <c r="U299" s="33"/>
      <c r="V299" s="33"/>
      <c r="W299" s="33"/>
    </row>
    <row r="300" spans="2:24">
      <c r="B300" s="2"/>
      <c r="D300" s="33"/>
      <c r="E300" s="33" t="s">
        <v>95</v>
      </c>
      <c r="F300" s="33" t="s">
        <v>230</v>
      </c>
      <c r="G300" s="33"/>
      <c r="K300" s="33"/>
      <c r="L300" s="33"/>
      <c r="M300" s="33"/>
      <c r="N300" s="33"/>
      <c r="O300" s="33"/>
      <c r="P300" s="33"/>
      <c r="Q300" s="33"/>
      <c r="R300" s="33"/>
      <c r="S300" s="33"/>
      <c r="T300" s="33"/>
      <c r="U300" s="33"/>
      <c r="V300" s="33"/>
      <c r="W300" s="33"/>
    </row>
    <row r="301" spans="2:24">
      <c r="B301" s="2"/>
      <c r="D301" s="33"/>
      <c r="E301" s="33"/>
      <c r="F301" s="112" t="s">
        <v>231</v>
      </c>
      <c r="G301" s="112"/>
      <c r="H301" s="112"/>
      <c r="I301" s="112"/>
      <c r="J301" s="112"/>
      <c r="K301" s="112"/>
      <c r="L301" s="112"/>
      <c r="M301" s="33"/>
      <c r="N301" s="33"/>
      <c r="O301" s="33"/>
      <c r="P301" s="33"/>
      <c r="Q301" s="33"/>
      <c r="R301" s="33"/>
      <c r="S301" s="33"/>
      <c r="T301" s="33"/>
      <c r="U301" s="33"/>
      <c r="V301" s="33"/>
      <c r="W301" s="33"/>
    </row>
    <row r="302" spans="2:24">
      <c r="B302" s="2"/>
      <c r="D302" s="33"/>
      <c r="E302" s="33"/>
      <c r="F302" s="112" t="s">
        <v>232</v>
      </c>
      <c r="G302" s="112"/>
      <c r="H302" s="112"/>
      <c r="I302" s="112"/>
      <c r="J302" s="112"/>
      <c r="K302" s="112"/>
      <c r="L302" s="112"/>
      <c r="M302" s="33"/>
      <c r="N302" s="33"/>
      <c r="O302" s="33"/>
      <c r="P302" s="33"/>
      <c r="Q302" s="33"/>
      <c r="R302" s="33"/>
      <c r="S302" s="33"/>
      <c r="T302" s="33"/>
      <c r="U302" s="33"/>
      <c r="V302" s="33"/>
      <c r="W302" s="33"/>
    </row>
    <row r="303" spans="2:24">
      <c r="B303" s="2"/>
      <c r="D303" s="33"/>
      <c r="E303" s="33"/>
      <c r="F303" s="112" t="s">
        <v>233</v>
      </c>
      <c r="G303" s="112"/>
      <c r="H303" s="112"/>
      <c r="I303" s="112"/>
      <c r="J303" s="112"/>
      <c r="K303" s="112"/>
      <c r="L303" s="112"/>
      <c r="M303" s="33"/>
      <c r="N303" s="33"/>
      <c r="O303" s="33"/>
      <c r="P303" s="33"/>
      <c r="Q303" s="33"/>
      <c r="R303" s="33"/>
      <c r="S303" s="33"/>
      <c r="T303" s="33"/>
      <c r="U303" s="33"/>
      <c r="V303" s="33"/>
      <c r="W303" s="33"/>
    </row>
    <row r="304" spans="2:24">
      <c r="B304" s="2"/>
      <c r="D304" s="33"/>
      <c r="E304" s="33"/>
      <c r="F304" s="112"/>
      <c r="G304" s="112"/>
      <c r="H304" s="112"/>
      <c r="I304" s="112"/>
      <c r="J304" s="112"/>
      <c r="K304" s="112"/>
      <c r="L304" s="112"/>
      <c r="M304" s="33"/>
      <c r="N304" s="33"/>
      <c r="O304" s="33"/>
      <c r="P304" s="33"/>
      <c r="Q304" s="33"/>
      <c r="R304" s="33"/>
      <c r="S304" s="33"/>
      <c r="T304" s="33"/>
      <c r="U304" s="33"/>
      <c r="V304" s="33"/>
      <c r="W304" s="33"/>
    </row>
    <row r="305" spans="1:38">
      <c r="B305" s="2"/>
      <c r="D305" s="2" t="s">
        <v>171</v>
      </c>
      <c r="E305" s="2" t="s">
        <v>234</v>
      </c>
      <c r="G305" s="33"/>
      <c r="H305" s="33"/>
      <c r="I305" s="112"/>
      <c r="J305" s="112"/>
      <c r="K305" s="112"/>
      <c r="L305" s="112"/>
      <c r="M305" s="33"/>
      <c r="N305" s="33"/>
      <c r="O305" s="33"/>
      <c r="P305" s="33"/>
      <c r="Q305" s="33"/>
      <c r="R305" s="33"/>
      <c r="S305" s="33"/>
      <c r="T305" s="33"/>
      <c r="U305" s="33"/>
      <c r="V305" s="33"/>
      <c r="W305" s="33"/>
    </row>
    <row r="306" spans="1:38">
      <c r="B306" s="2"/>
      <c r="D306" s="2"/>
      <c r="E306" s="33" t="s">
        <v>235</v>
      </c>
      <c r="I306" s="112"/>
      <c r="J306" s="112"/>
      <c r="K306" s="112"/>
      <c r="L306" s="112"/>
      <c r="M306" s="33"/>
      <c r="N306" s="33"/>
      <c r="O306" s="33"/>
      <c r="P306" s="33"/>
      <c r="Q306" s="33"/>
      <c r="R306" s="33"/>
      <c r="S306" s="33"/>
      <c r="T306" s="33"/>
      <c r="U306" s="33"/>
      <c r="V306" s="33"/>
      <c r="W306" s="33"/>
    </row>
    <row r="307" spans="1:38">
      <c r="B307" s="2"/>
      <c r="D307" s="2"/>
      <c r="E307" s="33" t="s">
        <v>212</v>
      </c>
      <c r="F307" s="33"/>
      <c r="I307" s="112"/>
      <c r="J307" s="112"/>
      <c r="K307" s="112"/>
      <c r="L307" s="112"/>
      <c r="M307" s="33"/>
      <c r="N307" s="33"/>
      <c r="O307" s="33"/>
      <c r="P307" s="33"/>
      <c r="Q307" s="33"/>
      <c r="R307" s="33"/>
      <c r="S307" s="33"/>
      <c r="T307" s="33"/>
      <c r="U307" s="33"/>
      <c r="V307" s="33"/>
      <c r="W307" s="33"/>
    </row>
    <row r="308" spans="1:38">
      <c r="B308" s="2"/>
      <c r="F308" s="2"/>
      <c r="G308" s="33"/>
      <c r="H308" s="33"/>
      <c r="I308" s="33"/>
      <c r="J308" s="33"/>
      <c r="K308" s="33"/>
      <c r="L308" s="33"/>
      <c r="M308" s="33"/>
      <c r="N308" s="33"/>
      <c r="O308" s="33"/>
      <c r="Q308" s="33"/>
      <c r="R308" s="33"/>
      <c r="S308" s="33"/>
      <c r="T308" s="33"/>
      <c r="U308" s="33"/>
      <c r="V308" s="33"/>
      <c r="W308" s="33"/>
    </row>
    <row r="309" spans="1:38">
      <c r="B309" s="2"/>
      <c r="C309" s="2" t="s">
        <v>141</v>
      </c>
      <c r="D309" s="2"/>
      <c r="F309" s="2"/>
      <c r="G309" s="2" t="s">
        <v>236</v>
      </c>
      <c r="I309" s="33"/>
      <c r="J309" s="33"/>
      <c r="K309" s="33"/>
      <c r="L309" s="33"/>
      <c r="M309" s="33"/>
      <c r="N309" s="33"/>
      <c r="O309" s="33"/>
      <c r="P309" s="33"/>
    </row>
    <row r="310" spans="1:38">
      <c r="B310" s="2"/>
      <c r="D310" s="2" t="s">
        <v>3</v>
      </c>
      <c r="E310" s="2" t="s">
        <v>237</v>
      </c>
      <c r="G310" s="2"/>
      <c r="H310" s="2"/>
      <c r="I310" s="2"/>
      <c r="J310" s="2"/>
      <c r="K310" s="2"/>
      <c r="L310" s="2"/>
      <c r="M310" s="2"/>
      <c r="N310" s="2"/>
      <c r="O310" s="2"/>
      <c r="P310" s="2"/>
      <c r="Q310" s="2"/>
      <c r="R310" s="2"/>
    </row>
    <row r="311" spans="1:38">
      <c r="B311" s="2"/>
      <c r="D311" s="2"/>
      <c r="E311" t="s">
        <v>14</v>
      </c>
      <c r="F311" t="s">
        <v>238</v>
      </c>
      <c r="G311" s="33"/>
      <c r="I311" s="33"/>
      <c r="K311" s="33"/>
    </row>
    <row r="312" spans="1:38">
      <c r="B312" s="2"/>
      <c r="D312" s="2"/>
      <c r="F312" s="33" t="s">
        <v>239</v>
      </c>
      <c r="G312" s="33"/>
      <c r="I312" s="33"/>
      <c r="K312" s="33"/>
    </row>
    <row r="313" spans="1:38">
      <c r="B313" s="2"/>
      <c r="D313" s="2"/>
      <c r="F313" s="33" t="s">
        <v>240</v>
      </c>
      <c r="G313" s="33"/>
      <c r="I313" s="33"/>
      <c r="K313" s="33"/>
    </row>
    <row r="314" spans="1:38">
      <c r="B314" s="2"/>
      <c r="D314" s="2"/>
      <c r="F314" s="33" t="s">
        <v>241</v>
      </c>
      <c r="G314" s="33"/>
      <c r="I314" s="33"/>
      <c r="K314" s="33"/>
    </row>
    <row r="315" spans="1:38">
      <c r="B315" s="2"/>
      <c r="D315" s="2"/>
      <c r="G315" s="33"/>
      <c r="I315" s="33"/>
      <c r="K315" s="33"/>
    </row>
    <row r="316" spans="1:38">
      <c r="B316" s="2"/>
      <c r="D316" s="2" t="s">
        <v>12</v>
      </c>
      <c r="E316" s="2" t="s">
        <v>242</v>
      </c>
      <c r="G316" s="33"/>
      <c r="H316" s="33"/>
      <c r="I316" s="33"/>
      <c r="J316" s="33"/>
      <c r="K316" s="33"/>
    </row>
    <row r="317" spans="1:38">
      <c r="B317" s="2"/>
      <c r="D317" s="2"/>
      <c r="E317" t="s">
        <v>243</v>
      </c>
      <c r="G317" s="33"/>
      <c r="I317" s="33"/>
      <c r="J317" s="33"/>
      <c r="K317" s="33"/>
      <c r="L317" s="33"/>
      <c r="M317" s="33"/>
      <c r="N317" s="33"/>
      <c r="O317" s="33"/>
      <c r="P317" s="33"/>
      <c r="Q317" s="33"/>
      <c r="R317" s="33"/>
      <c r="S317" s="33"/>
    </row>
    <row r="318" spans="1:38">
      <c r="B318" s="2"/>
      <c r="D318" s="2"/>
      <c r="G318" s="33"/>
      <c r="I318" s="33"/>
      <c r="J318" s="33"/>
      <c r="K318" s="33"/>
      <c r="L318" s="33"/>
      <c r="M318" s="33"/>
      <c r="N318" s="33"/>
      <c r="O318" s="33"/>
      <c r="P318" s="33"/>
      <c r="Q318" s="33"/>
      <c r="R318" s="33"/>
      <c r="S318" s="33"/>
    </row>
    <row r="319" spans="1:38">
      <c r="A319" s="33"/>
      <c r="B319" s="2"/>
      <c r="C319" s="33"/>
      <c r="D319" s="2" t="s">
        <v>103</v>
      </c>
      <c r="E319" s="2" t="s">
        <v>244</v>
      </c>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row>
    <row r="320" spans="1:38">
      <c r="B320" s="2"/>
      <c r="E320" t="s">
        <v>245</v>
      </c>
      <c r="I320" s="33"/>
      <c r="J320" s="33"/>
      <c r="K320" s="33"/>
      <c r="L320" s="33"/>
      <c r="M320" s="33"/>
      <c r="N320" s="33"/>
      <c r="O320" s="33"/>
      <c r="P320" s="33"/>
      <c r="Q320" s="33"/>
      <c r="R320" s="33"/>
      <c r="S320" s="33"/>
    </row>
    <row r="321" spans="1:38">
      <c r="B321" s="2"/>
      <c r="E321" t="s">
        <v>246</v>
      </c>
      <c r="I321" s="33"/>
      <c r="J321" s="33"/>
      <c r="K321" s="33"/>
      <c r="L321" s="33"/>
      <c r="M321" s="33"/>
      <c r="N321" s="33"/>
      <c r="O321" s="33"/>
      <c r="P321" s="33"/>
      <c r="Q321" s="33"/>
      <c r="R321" s="33"/>
      <c r="S321" s="33"/>
    </row>
    <row r="322" spans="1:38">
      <c r="B322" s="2"/>
      <c r="E322" t="s">
        <v>247</v>
      </c>
      <c r="I322" s="33"/>
      <c r="J322" s="33"/>
      <c r="K322" s="33"/>
      <c r="L322" s="33"/>
      <c r="M322" s="33"/>
      <c r="N322" s="33"/>
      <c r="O322" s="33"/>
      <c r="P322" s="33"/>
      <c r="Q322" s="33"/>
      <c r="R322" s="33"/>
      <c r="S322" s="33"/>
    </row>
    <row r="323" spans="1:38">
      <c r="B323" s="2"/>
      <c r="I323" s="33"/>
      <c r="J323" s="33"/>
      <c r="K323" s="33"/>
      <c r="L323" s="33"/>
      <c r="M323" s="33"/>
      <c r="N323" s="33"/>
      <c r="O323" s="33"/>
      <c r="P323" s="33"/>
      <c r="Q323" s="33"/>
      <c r="R323" s="33"/>
      <c r="S323" s="33"/>
    </row>
    <row r="324" spans="1:38">
      <c r="B324" s="2"/>
      <c r="C324" s="2" t="s">
        <v>144</v>
      </c>
      <c r="G324" s="2" t="s">
        <v>248</v>
      </c>
      <c r="I324" s="33"/>
      <c r="J324" s="33"/>
      <c r="K324" s="33"/>
      <c r="L324" s="33"/>
      <c r="M324" s="33"/>
      <c r="N324" s="33"/>
      <c r="O324" s="33"/>
      <c r="P324" s="33"/>
      <c r="Q324" s="33"/>
      <c r="R324" s="33"/>
      <c r="S324" s="33"/>
    </row>
    <row r="325" spans="1:38">
      <c r="A325" t="s">
        <v>249</v>
      </c>
      <c r="D325" s="2" t="s">
        <v>3</v>
      </c>
      <c r="E325" s="2" t="s">
        <v>248</v>
      </c>
      <c r="J325" s="2"/>
      <c r="K325" s="2"/>
      <c r="L325" s="2"/>
      <c r="M325" s="33"/>
      <c r="N325" s="33"/>
      <c r="O325" s="33"/>
      <c r="P325" s="33"/>
      <c r="Q325" s="33"/>
      <c r="R325" s="33"/>
      <c r="S325" s="33"/>
    </row>
    <row r="326" spans="1:38">
      <c r="E326" t="s">
        <v>14</v>
      </c>
      <c r="F326" s="33" t="s">
        <v>250</v>
      </c>
      <c r="J326" s="33"/>
      <c r="K326" s="33"/>
      <c r="L326" s="33"/>
      <c r="M326" s="33"/>
      <c r="N326" s="33"/>
      <c r="O326" s="33"/>
      <c r="P326" s="33"/>
      <c r="Q326" s="33"/>
      <c r="R326" s="33"/>
      <c r="S326" s="33"/>
    </row>
    <row r="327" spans="1:38">
      <c r="E327" s="33" t="s">
        <v>27</v>
      </c>
      <c r="F327" t="s">
        <v>251</v>
      </c>
      <c r="J327" s="33"/>
      <c r="K327" s="33"/>
      <c r="L327" s="33"/>
      <c r="M327" s="33"/>
      <c r="N327" s="33"/>
      <c r="O327" s="33"/>
      <c r="P327" s="33"/>
      <c r="Q327" s="33"/>
      <c r="R327" s="33"/>
      <c r="S327" s="33"/>
    </row>
    <row r="328" spans="1:38">
      <c r="F328" s="112" t="s">
        <v>252</v>
      </c>
      <c r="I328" s="112"/>
      <c r="J328" s="33"/>
      <c r="K328" s="33"/>
      <c r="L328" s="33"/>
      <c r="M328" s="33"/>
      <c r="N328" s="33"/>
      <c r="O328" s="33"/>
      <c r="P328" s="33"/>
      <c r="Q328" s="33"/>
      <c r="R328" s="33"/>
      <c r="S328" s="33"/>
    </row>
    <row r="329" spans="1:38">
      <c r="F329" s="112" t="s">
        <v>253</v>
      </c>
      <c r="I329" s="112"/>
      <c r="J329" s="33"/>
      <c r="K329" s="33"/>
      <c r="L329" s="33"/>
      <c r="M329" s="33"/>
      <c r="N329" s="33"/>
      <c r="O329" s="33"/>
      <c r="P329" s="33"/>
      <c r="Q329" s="33"/>
      <c r="R329" s="33"/>
      <c r="S329" s="33"/>
    </row>
    <row r="330" spans="1:38">
      <c r="J330" s="33"/>
      <c r="K330" s="33"/>
      <c r="L330" s="33"/>
      <c r="M330" s="33"/>
      <c r="N330" s="33"/>
      <c r="O330" s="33"/>
      <c r="P330" s="33"/>
      <c r="Q330" s="33"/>
      <c r="R330" s="33"/>
      <c r="S330" s="33"/>
    </row>
    <row r="331" spans="1:38">
      <c r="A331" s="8"/>
      <c r="B331" s="833" t="s">
        <v>254</v>
      </c>
      <c r="C331" s="833" t="s">
        <v>49</v>
      </c>
      <c r="D331" s="8"/>
      <c r="E331" s="833"/>
      <c r="F331" s="833"/>
      <c r="G331" s="833"/>
      <c r="H331" s="833"/>
      <c r="I331" s="833"/>
      <c r="J331" s="302"/>
      <c r="K331" s="302"/>
      <c r="L331" s="302"/>
      <c r="M331" s="302"/>
      <c r="N331" s="302"/>
      <c r="O331" s="302"/>
      <c r="P331" s="302"/>
      <c r="Q331" s="302"/>
      <c r="R331" s="302"/>
      <c r="S331" s="302"/>
      <c r="T331" s="8"/>
      <c r="U331" s="8"/>
      <c r="V331" s="8"/>
      <c r="W331" s="8"/>
      <c r="X331" s="8"/>
      <c r="Y331" s="8"/>
      <c r="Z331" s="8"/>
      <c r="AA331" s="8"/>
      <c r="AB331" s="8"/>
      <c r="AC331" s="8"/>
      <c r="AD331" s="8"/>
      <c r="AE331" s="8"/>
      <c r="AF331" s="8"/>
      <c r="AG331" s="8"/>
      <c r="AH331" s="8"/>
      <c r="AI331" s="8"/>
      <c r="AJ331" s="8"/>
      <c r="AK331" s="8"/>
      <c r="AL331" s="8"/>
    </row>
    <row r="332" spans="1:38">
      <c r="B332" s="2"/>
      <c r="D332" s="2"/>
      <c r="E332" s="2"/>
      <c r="F332" s="2"/>
      <c r="G332" s="2"/>
      <c r="H332" s="2"/>
      <c r="I332" s="2"/>
      <c r="J332" s="33"/>
      <c r="K332" s="33"/>
      <c r="L332" s="33"/>
      <c r="M332" s="33"/>
      <c r="N332" s="33"/>
      <c r="O332" s="33"/>
      <c r="P332" s="33"/>
      <c r="Q332" s="33"/>
      <c r="R332" s="33"/>
      <c r="S332" s="33"/>
    </row>
    <row r="333" spans="1:38">
      <c r="B333" s="2"/>
      <c r="C333" s="2" t="s">
        <v>81</v>
      </c>
      <c r="G333" s="2" t="s">
        <v>49</v>
      </c>
      <c r="I333" s="2"/>
      <c r="J333" s="33"/>
      <c r="K333" s="33"/>
      <c r="L333" s="33"/>
      <c r="M333" s="33"/>
      <c r="N333" s="33"/>
      <c r="O333" s="33"/>
      <c r="P333" s="33"/>
      <c r="Q333" s="33"/>
      <c r="R333" s="33"/>
      <c r="S333" s="33"/>
    </row>
    <row r="334" spans="1:38">
      <c r="B334" s="2"/>
      <c r="C334" s="2"/>
      <c r="D334" s="2" t="s">
        <v>3</v>
      </c>
      <c r="E334" s="2" t="s">
        <v>49</v>
      </c>
      <c r="G334" s="2"/>
      <c r="I334" s="2"/>
      <c r="J334" s="33"/>
      <c r="K334" s="33"/>
      <c r="L334" s="33"/>
      <c r="M334" s="33"/>
      <c r="N334" s="33"/>
      <c r="O334" s="33"/>
      <c r="P334" s="33"/>
      <c r="Q334" s="33"/>
      <c r="R334" s="33"/>
      <c r="S334" s="33"/>
    </row>
    <row r="335" spans="1:38">
      <c r="B335" s="2"/>
      <c r="E335" t="s">
        <v>14</v>
      </c>
      <c r="F335" t="s">
        <v>255</v>
      </c>
      <c r="J335" s="33"/>
      <c r="K335" s="33"/>
      <c r="L335" s="33"/>
      <c r="M335" s="33"/>
      <c r="N335" s="33"/>
      <c r="O335" s="33"/>
      <c r="P335" s="33"/>
      <c r="Q335" s="33"/>
      <c r="R335" s="33"/>
      <c r="S335" s="33"/>
    </row>
    <row r="336" spans="1:38">
      <c r="B336" s="2"/>
      <c r="E336" s="33"/>
      <c r="F336" s="33" t="s">
        <v>256</v>
      </c>
      <c r="J336" s="33"/>
      <c r="K336" s="33"/>
      <c r="L336" s="33"/>
      <c r="M336" s="33"/>
      <c r="N336" s="33"/>
      <c r="O336" s="33"/>
      <c r="P336" s="33"/>
      <c r="Q336" s="33"/>
      <c r="R336" s="33"/>
      <c r="S336" s="33"/>
    </row>
    <row r="337" spans="2:37">
      <c r="B337" s="2"/>
      <c r="E337" s="33"/>
      <c r="F337" s="33" t="s">
        <v>257</v>
      </c>
      <c r="I337" s="33"/>
      <c r="J337" s="33"/>
      <c r="K337" s="33"/>
      <c r="L337" s="33"/>
      <c r="M337" s="33"/>
      <c r="N337" s="33"/>
      <c r="O337" s="33"/>
      <c r="P337" s="33"/>
      <c r="Q337" s="33"/>
      <c r="R337" s="33"/>
      <c r="S337" s="33"/>
    </row>
    <row r="338" spans="2:37">
      <c r="B338" s="2"/>
      <c r="E338" s="33" t="s">
        <v>27</v>
      </c>
      <c r="F338" s="33" t="s">
        <v>258</v>
      </c>
      <c r="I338" s="33"/>
      <c r="J338" s="33"/>
      <c r="K338" s="33"/>
      <c r="L338" s="33"/>
      <c r="M338" s="33"/>
      <c r="N338" s="33"/>
      <c r="O338" s="33"/>
      <c r="P338" s="33"/>
      <c r="Q338" s="33"/>
      <c r="R338" s="33"/>
      <c r="S338" s="33"/>
    </row>
    <row r="339" spans="2:37">
      <c r="B339" s="2"/>
      <c r="E339" s="33"/>
      <c r="F339" s="33" t="s">
        <v>259</v>
      </c>
      <c r="I339" s="33"/>
      <c r="J339" s="33"/>
      <c r="K339" s="33"/>
      <c r="L339" s="33"/>
      <c r="M339" s="33"/>
      <c r="N339" s="33"/>
      <c r="O339" s="33"/>
      <c r="P339" s="33"/>
      <c r="Q339" s="33"/>
      <c r="R339" s="33"/>
      <c r="S339" s="33"/>
    </row>
    <row r="340" spans="2:37">
      <c r="B340" s="2"/>
      <c r="E340" s="33"/>
      <c r="F340" s="33" t="s">
        <v>260</v>
      </c>
      <c r="I340" s="33"/>
      <c r="J340" s="33"/>
      <c r="K340" s="33"/>
      <c r="L340" s="33"/>
      <c r="M340" s="33"/>
      <c r="N340" s="33"/>
      <c r="O340" s="33"/>
      <c r="P340" s="33"/>
      <c r="Q340" s="33"/>
      <c r="R340" s="33"/>
      <c r="S340" s="33"/>
    </row>
    <row r="341" spans="2:37">
      <c r="B341" s="2"/>
      <c r="F341" s="33"/>
      <c r="H341" s="33"/>
      <c r="I341" s="33"/>
      <c r="J341" s="33"/>
      <c r="K341" s="33"/>
      <c r="L341" s="33"/>
      <c r="M341" s="33"/>
      <c r="N341" s="33"/>
      <c r="O341" s="33"/>
      <c r="P341" s="33"/>
      <c r="Q341" s="33"/>
      <c r="R341" s="33"/>
      <c r="S341" s="33"/>
    </row>
    <row r="342" spans="2:37">
      <c r="B342" s="2"/>
      <c r="C342" s="2" t="s">
        <v>98</v>
      </c>
      <c r="G342" s="2" t="s">
        <v>261</v>
      </c>
      <c r="I342" s="2"/>
      <c r="J342" s="33"/>
      <c r="K342" s="33"/>
      <c r="L342" s="33"/>
      <c r="M342" s="33"/>
      <c r="N342" s="33"/>
      <c r="O342" s="33"/>
      <c r="P342" s="33"/>
      <c r="Q342" s="33"/>
      <c r="R342" s="33"/>
      <c r="S342" s="33"/>
    </row>
    <row r="343" spans="2:37" ht="13.7" customHeight="1">
      <c r="B343" s="2"/>
      <c r="E343" s="935" t="s">
        <v>262</v>
      </c>
      <c r="F343" s="935"/>
      <c r="G343" s="935"/>
      <c r="H343" s="935"/>
      <c r="I343" s="935"/>
      <c r="J343" s="935"/>
      <c r="K343" s="935"/>
      <c r="L343" s="935"/>
      <c r="M343" s="935"/>
      <c r="N343" s="935"/>
      <c r="O343" s="935"/>
      <c r="P343" s="935"/>
      <c r="Q343" s="935"/>
      <c r="R343" s="935"/>
      <c r="S343" s="935"/>
      <c r="T343" s="935"/>
      <c r="U343" s="935"/>
      <c r="V343" s="935"/>
      <c r="W343" s="935"/>
      <c r="X343" s="935"/>
      <c r="Y343" s="935"/>
      <c r="Z343" s="935"/>
      <c r="AA343" s="935"/>
      <c r="AB343" s="935"/>
      <c r="AC343" s="935"/>
      <c r="AD343" s="935"/>
      <c r="AE343" s="935"/>
      <c r="AF343" s="935"/>
      <c r="AG343" s="935"/>
      <c r="AH343" s="935"/>
      <c r="AI343" s="935"/>
      <c r="AJ343" s="935"/>
      <c r="AK343" s="935"/>
    </row>
    <row r="344" spans="2:37">
      <c r="B344" s="2"/>
      <c r="E344" s="935"/>
      <c r="F344" s="935"/>
      <c r="G344" s="935"/>
      <c r="H344" s="935"/>
      <c r="I344" s="935"/>
      <c r="J344" s="935"/>
      <c r="K344" s="935"/>
      <c r="L344" s="935"/>
      <c r="M344" s="935"/>
      <c r="N344" s="935"/>
      <c r="O344" s="935"/>
      <c r="P344" s="935"/>
      <c r="Q344" s="935"/>
      <c r="R344" s="935"/>
      <c r="S344" s="935"/>
      <c r="T344" s="935"/>
      <c r="U344" s="935"/>
      <c r="V344" s="935"/>
      <c r="W344" s="935"/>
      <c r="X344" s="935"/>
      <c r="Y344" s="935"/>
      <c r="Z344" s="935"/>
      <c r="AA344" s="935"/>
      <c r="AB344" s="935"/>
      <c r="AC344" s="935"/>
      <c r="AD344" s="935"/>
      <c r="AE344" s="935"/>
      <c r="AF344" s="935"/>
      <c r="AG344" s="935"/>
      <c r="AH344" s="935"/>
      <c r="AI344" s="935"/>
      <c r="AJ344" s="935"/>
      <c r="AK344" s="935"/>
    </row>
    <row r="345" spans="2:37">
      <c r="B345" s="2"/>
      <c r="E345" s="935"/>
      <c r="F345" s="935"/>
      <c r="G345" s="935"/>
      <c r="H345" s="935"/>
      <c r="I345" s="935"/>
      <c r="J345" s="935"/>
      <c r="K345" s="935"/>
      <c r="L345" s="935"/>
      <c r="M345" s="935"/>
      <c r="N345" s="935"/>
      <c r="O345" s="935"/>
      <c r="P345" s="935"/>
      <c r="Q345" s="935"/>
      <c r="R345" s="935"/>
      <c r="S345" s="935"/>
      <c r="T345" s="935"/>
      <c r="U345" s="935"/>
      <c r="V345" s="935"/>
      <c r="W345" s="935"/>
      <c r="X345" s="935"/>
      <c r="Y345" s="935"/>
      <c r="Z345" s="935"/>
      <c r="AA345" s="935"/>
      <c r="AB345" s="935"/>
      <c r="AC345" s="935"/>
      <c r="AD345" s="935"/>
      <c r="AE345" s="935"/>
      <c r="AF345" s="935"/>
      <c r="AG345" s="935"/>
      <c r="AH345" s="935"/>
      <c r="AI345" s="935"/>
      <c r="AJ345" s="935"/>
      <c r="AK345" s="935"/>
    </row>
    <row r="346" spans="2:37">
      <c r="B346" s="2"/>
      <c r="E346" s="935"/>
      <c r="F346" s="935"/>
      <c r="G346" s="935"/>
      <c r="H346" s="935"/>
      <c r="I346" s="935"/>
      <c r="J346" s="935"/>
      <c r="K346" s="935"/>
      <c r="L346" s="935"/>
      <c r="M346" s="935"/>
      <c r="N346" s="935"/>
      <c r="O346" s="935"/>
      <c r="P346" s="935"/>
      <c r="Q346" s="935"/>
      <c r="R346" s="935"/>
      <c r="S346" s="935"/>
      <c r="T346" s="935"/>
      <c r="U346" s="935"/>
      <c r="V346" s="935"/>
      <c r="W346" s="935"/>
      <c r="X346" s="935"/>
      <c r="Y346" s="935"/>
      <c r="Z346" s="935"/>
      <c r="AA346" s="935"/>
      <c r="AB346" s="935"/>
      <c r="AC346" s="935"/>
      <c r="AD346" s="935"/>
      <c r="AE346" s="935"/>
      <c r="AF346" s="935"/>
      <c r="AG346" s="935"/>
      <c r="AH346" s="935"/>
      <c r="AI346" s="935"/>
      <c r="AJ346" s="935"/>
      <c r="AK346" s="935"/>
    </row>
    <row r="347" spans="2:37">
      <c r="B347" s="2"/>
      <c r="E347" s="935"/>
      <c r="F347" s="935"/>
      <c r="G347" s="935"/>
      <c r="H347" s="935"/>
      <c r="I347" s="935"/>
      <c r="J347" s="935"/>
      <c r="K347" s="935"/>
      <c r="L347" s="935"/>
      <c r="M347" s="935"/>
      <c r="N347" s="935"/>
      <c r="O347" s="935"/>
      <c r="P347" s="935"/>
      <c r="Q347" s="935"/>
      <c r="R347" s="935"/>
      <c r="S347" s="935"/>
      <c r="T347" s="935"/>
      <c r="U347" s="935"/>
      <c r="V347" s="935"/>
      <c r="W347" s="935"/>
      <c r="X347" s="935"/>
      <c r="Y347" s="935"/>
      <c r="Z347" s="935"/>
      <c r="AA347" s="935"/>
      <c r="AB347" s="935"/>
      <c r="AC347" s="935"/>
      <c r="AD347" s="935"/>
      <c r="AE347" s="935"/>
      <c r="AF347" s="935"/>
      <c r="AG347" s="935"/>
      <c r="AH347" s="935"/>
      <c r="AI347" s="935"/>
      <c r="AJ347" s="935"/>
      <c r="AK347" s="935"/>
    </row>
    <row r="348" spans="2:37">
      <c r="B348" s="2"/>
      <c r="E348" s="33" t="s">
        <v>14</v>
      </c>
      <c r="F348" s="928" t="s">
        <v>263</v>
      </c>
      <c r="G348" s="928"/>
      <c r="H348" s="928"/>
      <c r="I348" s="928"/>
      <c r="J348" s="928"/>
      <c r="K348" s="928"/>
      <c r="L348" s="928"/>
      <c r="M348" s="928"/>
      <c r="N348" s="928"/>
      <c r="O348" s="928"/>
      <c r="P348" s="928"/>
      <c r="Q348" s="928"/>
      <c r="R348" s="928"/>
      <c r="S348" s="928"/>
      <c r="T348" s="928"/>
      <c r="U348" s="928"/>
      <c r="V348" s="928"/>
      <c r="W348" s="928"/>
      <c r="X348" s="928"/>
      <c r="Y348" s="928"/>
      <c r="Z348" s="928"/>
      <c r="AA348" s="928"/>
      <c r="AB348" s="928"/>
      <c r="AC348" s="928"/>
      <c r="AD348" s="928"/>
      <c r="AE348" s="928"/>
      <c r="AF348" s="928"/>
      <c r="AG348" s="928"/>
      <c r="AH348" s="928"/>
      <c r="AI348" s="928"/>
      <c r="AJ348" s="928"/>
      <c r="AK348" s="928"/>
    </row>
    <row r="349" spans="2:37">
      <c r="B349" s="2"/>
      <c r="E349" s="33"/>
      <c r="F349" s="928"/>
      <c r="G349" s="928"/>
      <c r="H349" s="928"/>
      <c r="I349" s="928"/>
      <c r="J349" s="928"/>
      <c r="K349" s="928"/>
      <c r="L349" s="928"/>
      <c r="M349" s="928"/>
      <c r="N349" s="928"/>
      <c r="O349" s="928"/>
      <c r="P349" s="928"/>
      <c r="Q349" s="928"/>
      <c r="R349" s="928"/>
      <c r="S349" s="928"/>
      <c r="T349" s="928"/>
      <c r="U349" s="928"/>
      <c r="V349" s="928"/>
      <c r="W349" s="928"/>
      <c r="X349" s="928"/>
      <c r="Y349" s="928"/>
      <c r="Z349" s="928"/>
      <c r="AA349" s="928"/>
      <c r="AB349" s="928"/>
      <c r="AC349" s="928"/>
      <c r="AD349" s="928"/>
      <c r="AE349" s="928"/>
      <c r="AF349" s="928"/>
      <c r="AG349" s="928"/>
      <c r="AH349" s="928"/>
      <c r="AI349" s="928"/>
      <c r="AJ349" s="928"/>
      <c r="AK349" s="928"/>
    </row>
    <row r="350" spans="2:37">
      <c r="B350" s="2"/>
      <c r="E350" s="33"/>
      <c r="F350" s="928"/>
      <c r="G350" s="928"/>
      <c r="H350" s="928"/>
      <c r="I350" s="928"/>
      <c r="J350" s="928"/>
      <c r="K350" s="928"/>
      <c r="L350" s="928"/>
      <c r="M350" s="928"/>
      <c r="N350" s="928"/>
      <c r="O350" s="928"/>
      <c r="P350" s="928"/>
      <c r="Q350" s="928"/>
      <c r="R350" s="928"/>
      <c r="S350" s="928"/>
      <c r="T350" s="928"/>
      <c r="U350" s="928"/>
      <c r="V350" s="928"/>
      <c r="W350" s="928"/>
      <c r="X350" s="928"/>
      <c r="Y350" s="928"/>
      <c r="Z350" s="928"/>
      <c r="AA350" s="928"/>
      <c r="AB350" s="928"/>
      <c r="AC350" s="928"/>
      <c r="AD350" s="928"/>
      <c r="AE350" s="928"/>
      <c r="AF350" s="928"/>
      <c r="AG350" s="928"/>
      <c r="AH350" s="928"/>
      <c r="AI350" s="928"/>
      <c r="AJ350" s="928"/>
      <c r="AK350" s="928"/>
    </row>
    <row r="351" spans="2:37">
      <c r="B351" s="2"/>
      <c r="E351" s="33"/>
      <c r="F351" s="928"/>
      <c r="G351" s="928"/>
      <c r="H351" s="928"/>
      <c r="I351" s="928"/>
      <c r="J351" s="928"/>
      <c r="K351" s="928"/>
      <c r="L351" s="928"/>
      <c r="M351" s="928"/>
      <c r="N351" s="928"/>
      <c r="O351" s="928"/>
      <c r="P351" s="928"/>
      <c r="Q351" s="928"/>
      <c r="R351" s="928"/>
      <c r="S351" s="928"/>
      <c r="T351" s="928"/>
      <c r="U351" s="928"/>
      <c r="V351" s="928"/>
      <c r="W351" s="928"/>
      <c r="X351" s="928"/>
      <c r="Y351" s="928"/>
      <c r="Z351" s="928"/>
      <c r="AA351" s="928"/>
      <c r="AB351" s="928"/>
      <c r="AC351" s="928"/>
      <c r="AD351" s="928"/>
      <c r="AE351" s="928"/>
      <c r="AF351" s="928"/>
      <c r="AG351" s="928"/>
      <c r="AH351" s="928"/>
      <c r="AI351" s="928"/>
      <c r="AJ351" s="928"/>
      <c r="AK351" s="928"/>
    </row>
    <row r="352" spans="2:37">
      <c r="B352" s="2"/>
      <c r="E352" s="33" t="s">
        <v>27</v>
      </c>
      <c r="F352" s="928" t="s">
        <v>264</v>
      </c>
      <c r="G352" s="928"/>
      <c r="H352" s="928"/>
      <c r="I352" s="928"/>
      <c r="J352" s="928"/>
      <c r="K352" s="928"/>
      <c r="L352" s="928"/>
      <c r="M352" s="928"/>
      <c r="N352" s="928"/>
      <c r="O352" s="928"/>
      <c r="P352" s="928"/>
      <c r="Q352" s="928"/>
      <c r="R352" s="928"/>
      <c r="S352" s="928"/>
      <c r="T352" s="928"/>
      <c r="U352" s="928"/>
      <c r="V352" s="928"/>
      <c r="W352" s="928"/>
      <c r="X352" s="928"/>
      <c r="Y352" s="928"/>
      <c r="Z352" s="928"/>
      <c r="AA352" s="928"/>
      <c r="AB352" s="928"/>
      <c r="AC352" s="928"/>
      <c r="AD352" s="928"/>
      <c r="AE352" s="928"/>
      <c r="AF352" s="928"/>
      <c r="AG352" s="928"/>
      <c r="AH352" s="928"/>
      <c r="AI352" s="928"/>
      <c r="AJ352" s="928"/>
      <c r="AK352" s="928"/>
    </row>
    <row r="353" spans="1:38">
      <c r="B353" s="2"/>
      <c r="F353" s="928"/>
      <c r="G353" s="928"/>
      <c r="H353" s="928"/>
      <c r="I353" s="928"/>
      <c r="J353" s="928"/>
      <c r="K353" s="928"/>
      <c r="L353" s="928"/>
      <c r="M353" s="928"/>
      <c r="N353" s="928"/>
      <c r="O353" s="928"/>
      <c r="P353" s="928"/>
      <c r="Q353" s="928"/>
      <c r="R353" s="928"/>
      <c r="S353" s="928"/>
      <c r="T353" s="928"/>
      <c r="U353" s="928"/>
      <c r="V353" s="928"/>
      <c r="W353" s="928"/>
      <c r="X353" s="928"/>
      <c r="Y353" s="928"/>
      <c r="Z353" s="928"/>
      <c r="AA353" s="928"/>
      <c r="AB353" s="928"/>
      <c r="AC353" s="928"/>
      <c r="AD353" s="928"/>
      <c r="AE353" s="928"/>
      <c r="AF353" s="928"/>
      <c r="AG353" s="928"/>
      <c r="AH353" s="928"/>
      <c r="AI353" s="928"/>
      <c r="AJ353" s="928"/>
      <c r="AK353" s="928"/>
    </row>
    <row r="354" spans="1:38">
      <c r="B354" s="2"/>
      <c r="F354" s="928"/>
      <c r="G354" s="928"/>
      <c r="H354" s="928"/>
      <c r="I354" s="928"/>
      <c r="J354" s="928"/>
      <c r="K354" s="928"/>
      <c r="L354" s="928"/>
      <c r="M354" s="928"/>
      <c r="N354" s="928"/>
      <c r="O354" s="928"/>
      <c r="P354" s="928"/>
      <c r="Q354" s="928"/>
      <c r="R354" s="928"/>
      <c r="S354" s="928"/>
      <c r="T354" s="928"/>
      <c r="U354" s="928"/>
      <c r="V354" s="928"/>
      <c r="W354" s="928"/>
      <c r="X354" s="928"/>
      <c r="Y354" s="928"/>
      <c r="Z354" s="928"/>
      <c r="AA354" s="928"/>
      <c r="AB354" s="928"/>
      <c r="AC354" s="928"/>
      <c r="AD354" s="928"/>
      <c r="AE354" s="928"/>
      <c r="AF354" s="928"/>
      <c r="AG354" s="928"/>
      <c r="AH354" s="928"/>
      <c r="AI354" s="928"/>
      <c r="AJ354" s="928"/>
      <c r="AK354" s="928"/>
    </row>
    <row r="355" spans="1:38">
      <c r="B355" s="2"/>
      <c r="F355" s="928"/>
      <c r="G355" s="928"/>
      <c r="H355" s="928"/>
      <c r="I355" s="928"/>
      <c r="J355" s="928"/>
      <c r="K355" s="928"/>
      <c r="L355" s="928"/>
      <c r="M355" s="928"/>
      <c r="N355" s="928"/>
      <c r="O355" s="928"/>
      <c r="P355" s="928"/>
      <c r="Q355" s="928"/>
      <c r="R355" s="928"/>
      <c r="S355" s="928"/>
      <c r="T355" s="928"/>
      <c r="U355" s="928"/>
      <c r="V355" s="928"/>
      <c r="W355" s="928"/>
      <c r="X355" s="928"/>
      <c r="Y355" s="928"/>
      <c r="Z355" s="928"/>
      <c r="AA355" s="928"/>
      <c r="AB355" s="928"/>
      <c r="AC355" s="928"/>
      <c r="AD355" s="928"/>
      <c r="AE355" s="928"/>
      <c r="AF355" s="928"/>
      <c r="AG355" s="928"/>
      <c r="AH355" s="928"/>
      <c r="AI355" s="928"/>
      <c r="AJ355" s="928"/>
      <c r="AK355" s="928"/>
    </row>
    <row r="356" spans="1:38">
      <c r="A356" s="8"/>
      <c r="B356" s="833" t="s">
        <v>265</v>
      </c>
      <c r="C356" s="833" t="s">
        <v>266</v>
      </c>
      <c r="D356" s="8"/>
      <c r="E356" s="833"/>
      <c r="F356" s="8"/>
      <c r="G356" s="8"/>
      <c r="H356" s="8"/>
      <c r="I356" s="8"/>
      <c r="J356" s="8"/>
      <c r="K356" s="8"/>
      <c r="L356" s="8"/>
      <c r="M356" s="302"/>
      <c r="N356" s="302"/>
      <c r="O356" s="302"/>
      <c r="P356" s="302"/>
      <c r="Q356" s="302"/>
      <c r="R356" s="302"/>
      <c r="S356" s="302"/>
      <c r="T356" s="302"/>
      <c r="U356" s="8"/>
      <c r="V356" s="8"/>
      <c r="W356" s="8"/>
      <c r="X356" s="8"/>
      <c r="Y356" s="8"/>
      <c r="Z356" s="8"/>
      <c r="AA356" s="8"/>
      <c r="AB356" s="8"/>
      <c r="AC356" s="8"/>
      <c r="AD356" s="8"/>
      <c r="AE356" s="8"/>
      <c r="AF356" s="8"/>
      <c r="AG356" s="8"/>
      <c r="AH356" s="8"/>
      <c r="AI356" s="8"/>
      <c r="AJ356" s="8"/>
      <c r="AK356" s="8"/>
      <c r="AL356" s="8"/>
    </row>
    <row r="357" spans="1:38">
      <c r="B357" s="2"/>
      <c r="D357" s="2"/>
      <c r="E357" s="2"/>
      <c r="M357" s="33"/>
      <c r="N357" s="33"/>
      <c r="O357" s="33"/>
      <c r="P357" s="33"/>
      <c r="Q357" s="33"/>
      <c r="R357" s="33"/>
      <c r="S357" s="33"/>
      <c r="T357" s="33"/>
    </row>
    <row r="358" spans="1:38">
      <c r="B358" s="2"/>
      <c r="D358" s="2" t="s">
        <v>3</v>
      </c>
      <c r="E358" s="2" t="s">
        <v>267</v>
      </c>
      <c r="I358" s="33"/>
      <c r="J358" s="33"/>
      <c r="K358" s="33"/>
      <c r="L358" s="33"/>
      <c r="M358" s="33"/>
      <c r="N358" s="33"/>
      <c r="O358" s="33"/>
      <c r="P358" s="33"/>
      <c r="Q358" s="33"/>
      <c r="R358" s="33"/>
      <c r="S358" s="33"/>
    </row>
    <row r="359" spans="1:38">
      <c r="B359" s="2"/>
      <c r="E359" t="s">
        <v>14</v>
      </c>
      <c r="F359" s="33" t="s">
        <v>268</v>
      </c>
      <c r="I359" s="33"/>
      <c r="J359" s="33"/>
      <c r="K359" s="33"/>
      <c r="L359" s="33"/>
      <c r="M359" s="33"/>
      <c r="N359" s="33"/>
      <c r="O359" s="33"/>
      <c r="P359" s="33"/>
      <c r="Q359" s="33"/>
      <c r="R359" s="33"/>
      <c r="S359" s="33"/>
    </row>
    <row r="360" spans="1:38">
      <c r="B360" s="2"/>
      <c r="F360" s="33" t="s">
        <v>269</v>
      </c>
      <c r="I360" s="33"/>
      <c r="J360" s="33"/>
      <c r="K360" s="33"/>
      <c r="L360" s="33"/>
      <c r="M360" s="33"/>
      <c r="N360" s="33"/>
      <c r="O360" s="33"/>
      <c r="P360" s="33"/>
      <c r="Q360" s="33"/>
      <c r="R360" s="33"/>
      <c r="S360" s="33"/>
    </row>
    <row r="361" spans="1:38">
      <c r="B361" s="2"/>
      <c r="F361" s="33" t="s">
        <v>270</v>
      </c>
      <c r="G361" s="33"/>
      <c r="K361" s="33"/>
      <c r="L361" s="33"/>
      <c r="M361" s="33"/>
      <c r="N361" s="33"/>
      <c r="O361" s="33"/>
      <c r="P361" s="33"/>
      <c r="Q361" s="33"/>
      <c r="R361" s="33"/>
      <c r="S361" s="33"/>
    </row>
    <row r="362" spans="1:38">
      <c r="B362" s="2"/>
      <c r="E362" t="s">
        <v>27</v>
      </c>
      <c r="F362" s="33" t="s">
        <v>271</v>
      </c>
      <c r="I362" s="33"/>
      <c r="J362" s="33"/>
      <c r="K362" s="33"/>
      <c r="L362" s="33"/>
      <c r="M362" s="33"/>
      <c r="N362" s="33"/>
      <c r="O362" s="33"/>
      <c r="P362" s="33"/>
      <c r="Q362" s="33"/>
      <c r="R362" s="33"/>
      <c r="S362" s="33"/>
    </row>
    <row r="363" spans="1:38">
      <c r="B363" s="2"/>
      <c r="E363" t="s">
        <v>33</v>
      </c>
      <c r="F363" s="33" t="s">
        <v>272</v>
      </c>
      <c r="I363" s="33"/>
      <c r="J363" s="33"/>
      <c r="K363" s="33"/>
      <c r="L363" s="33"/>
      <c r="M363" s="33"/>
      <c r="N363" s="33"/>
      <c r="O363" s="33"/>
      <c r="P363" s="33"/>
      <c r="Q363" s="33"/>
      <c r="R363" s="33"/>
      <c r="S363" s="33"/>
    </row>
    <row r="364" spans="1:38">
      <c r="B364" s="2"/>
      <c r="F364" s="33" t="s">
        <v>273</v>
      </c>
      <c r="J364" s="33"/>
      <c r="K364" s="33"/>
      <c r="L364" s="33"/>
      <c r="M364" s="33"/>
      <c r="N364" s="33"/>
      <c r="O364" s="33"/>
      <c r="P364" s="33"/>
      <c r="Q364" s="33"/>
      <c r="R364" s="33"/>
      <c r="S364" s="33"/>
    </row>
    <row r="365" spans="1:38" s="933" customFormat="1">
      <c r="A365"/>
      <c r="B365" s="2"/>
      <c r="C365"/>
      <c r="D365"/>
      <c r="E365" s="933" t="s">
        <v>274</v>
      </c>
    </row>
    <row r="366" spans="1:38" s="933" customFormat="1">
      <c r="A366"/>
      <c r="B366" s="2"/>
      <c r="C366"/>
      <c r="D366"/>
    </row>
    <row r="367" spans="1:38">
      <c r="B367" s="2"/>
      <c r="F367" s="932" t="s">
        <v>275</v>
      </c>
      <c r="G367" s="932"/>
      <c r="H367" s="932"/>
      <c r="I367" s="932"/>
      <c r="J367" s="932"/>
      <c r="K367" s="932"/>
      <c r="L367" s="932"/>
      <c r="M367" s="932"/>
      <c r="N367" s="932"/>
      <c r="O367" s="932"/>
      <c r="P367" s="932"/>
      <c r="Q367" s="932"/>
      <c r="R367" s="932"/>
      <c r="S367" s="932"/>
      <c r="T367" s="932"/>
      <c r="U367" s="932"/>
      <c r="V367" s="932"/>
      <c r="W367" s="932"/>
      <c r="X367" s="932"/>
      <c r="Y367" s="932"/>
      <c r="Z367" s="932"/>
      <c r="AA367" s="932"/>
      <c r="AB367" s="932"/>
      <c r="AC367" s="932"/>
      <c r="AD367" s="932"/>
      <c r="AE367" s="932"/>
      <c r="AF367" s="932"/>
      <c r="AG367" s="932"/>
      <c r="AH367" s="932"/>
      <c r="AI367" s="932"/>
      <c r="AJ367" s="932"/>
      <c r="AK367" s="932"/>
      <c r="AL367" s="932"/>
    </row>
    <row r="368" spans="1:38">
      <c r="B368" s="2"/>
      <c r="F368" s="932"/>
      <c r="G368" s="932"/>
      <c r="H368" s="932"/>
      <c r="I368" s="932"/>
      <c r="J368" s="932"/>
      <c r="K368" s="932"/>
      <c r="L368" s="932"/>
      <c r="M368" s="932"/>
      <c r="N368" s="932"/>
      <c r="O368" s="932"/>
      <c r="P368" s="932"/>
      <c r="Q368" s="932"/>
      <c r="R368" s="932"/>
      <c r="S368" s="932"/>
      <c r="T368" s="932"/>
      <c r="U368" s="932"/>
      <c r="V368" s="932"/>
      <c r="W368" s="932"/>
      <c r="X368" s="932"/>
      <c r="Y368" s="932"/>
      <c r="Z368" s="932"/>
      <c r="AA368" s="932"/>
      <c r="AB368" s="932"/>
      <c r="AC368" s="932"/>
      <c r="AD368" s="932"/>
      <c r="AE368" s="932"/>
      <c r="AF368" s="932"/>
      <c r="AG368" s="932"/>
      <c r="AH368" s="932"/>
      <c r="AI368" s="932"/>
      <c r="AJ368" s="932"/>
      <c r="AK368" s="932"/>
      <c r="AL368" s="932"/>
    </row>
    <row r="369" spans="2:19">
      <c r="B369" s="2"/>
      <c r="E369" s="33"/>
      <c r="F369" s="33"/>
      <c r="G369" s="33"/>
      <c r="H369" s="33"/>
      <c r="I369" s="33"/>
      <c r="J369" s="33"/>
      <c r="K369" s="33"/>
      <c r="L369" s="33"/>
      <c r="M369" s="33"/>
      <c r="N369" s="33"/>
      <c r="O369" s="33"/>
      <c r="P369" s="33"/>
      <c r="Q369" s="33"/>
      <c r="R369" s="33"/>
      <c r="S369" s="33"/>
    </row>
    <row r="370" spans="2:19">
      <c r="B370" s="2"/>
      <c r="D370" s="2" t="s">
        <v>12</v>
      </c>
      <c r="E370" s="2" t="s">
        <v>276</v>
      </c>
      <c r="J370" s="33"/>
      <c r="K370" s="33"/>
      <c r="L370" s="33"/>
      <c r="M370" s="33"/>
      <c r="N370" s="33"/>
      <c r="O370" s="33"/>
      <c r="P370" s="33"/>
      <c r="Q370" s="33"/>
      <c r="R370" s="33"/>
      <c r="S370" s="33"/>
    </row>
    <row r="371" spans="2:19">
      <c r="B371" s="2"/>
      <c r="E371" s="33" t="s">
        <v>277</v>
      </c>
      <c r="F371" s="33"/>
      <c r="G371" s="33"/>
      <c r="H371" s="33"/>
      <c r="I371" s="33"/>
      <c r="J371" s="33"/>
      <c r="K371" s="33"/>
      <c r="L371" s="33"/>
      <c r="M371" s="33"/>
      <c r="N371" s="33"/>
      <c r="O371" s="33"/>
      <c r="P371" s="33"/>
      <c r="Q371" s="33"/>
      <c r="R371" s="33"/>
      <c r="S371" s="33"/>
    </row>
    <row r="372" spans="2:19">
      <c r="B372" s="2"/>
      <c r="E372" s="33" t="s">
        <v>278</v>
      </c>
      <c r="F372" s="33"/>
      <c r="G372" s="33"/>
      <c r="H372" s="33"/>
      <c r="I372" s="33"/>
      <c r="J372" s="33"/>
      <c r="K372" s="33"/>
      <c r="L372" s="33"/>
      <c r="M372" s="33"/>
      <c r="N372" s="33"/>
      <c r="O372" s="33"/>
      <c r="P372" s="33"/>
      <c r="Q372" s="33"/>
      <c r="R372" s="33"/>
      <c r="S372" s="33"/>
    </row>
    <row r="373" spans="2:19">
      <c r="B373" s="2"/>
      <c r="E373" s="33"/>
      <c r="F373" s="33"/>
      <c r="G373" s="33"/>
      <c r="H373" s="33"/>
      <c r="I373" s="33"/>
      <c r="J373" s="33"/>
      <c r="K373" s="33"/>
      <c r="L373" s="33"/>
      <c r="M373" s="33"/>
      <c r="N373" s="33"/>
      <c r="O373" s="33"/>
      <c r="P373" s="33"/>
      <c r="Q373" s="33"/>
      <c r="R373" s="33"/>
      <c r="S373" s="33"/>
    </row>
    <row r="374" spans="2:19">
      <c r="B374" s="2"/>
      <c r="D374" s="2" t="s">
        <v>103</v>
      </c>
      <c r="E374" s="2" t="s">
        <v>279</v>
      </c>
      <c r="J374" s="33"/>
      <c r="K374" s="33"/>
      <c r="L374" s="33"/>
      <c r="M374" s="33"/>
      <c r="N374" s="33"/>
      <c r="O374" s="33"/>
      <c r="P374" s="33"/>
      <c r="Q374" s="33"/>
      <c r="R374" s="33"/>
      <c r="S374" s="33"/>
    </row>
    <row r="375" spans="2:19">
      <c r="B375" s="2"/>
      <c r="E375" s="33" t="s">
        <v>14</v>
      </c>
      <c r="F375" s="33" t="s">
        <v>280</v>
      </c>
      <c r="G375" s="33"/>
      <c r="I375" s="33"/>
      <c r="J375" s="33"/>
      <c r="K375" s="33"/>
      <c r="L375" s="33"/>
      <c r="M375" s="33"/>
      <c r="N375" s="33"/>
      <c r="O375" s="33"/>
      <c r="P375" s="33"/>
      <c r="Q375" s="33"/>
      <c r="R375" s="33"/>
      <c r="S375" s="33"/>
    </row>
    <row r="376" spans="2:19">
      <c r="B376" s="2"/>
      <c r="E376" s="33"/>
      <c r="F376" s="112" t="s">
        <v>281</v>
      </c>
      <c r="G376" s="33"/>
      <c r="I376" s="112"/>
      <c r="J376" s="33"/>
      <c r="K376" s="33"/>
      <c r="L376" s="33"/>
      <c r="M376" s="33"/>
      <c r="N376" s="33"/>
      <c r="O376" s="33"/>
      <c r="P376" s="33"/>
      <c r="Q376" s="33"/>
      <c r="R376" s="33"/>
      <c r="S376" s="33"/>
    </row>
    <row r="377" spans="2:19">
      <c r="B377" s="2"/>
      <c r="E377" s="33" t="s">
        <v>27</v>
      </c>
      <c r="F377" s="33" t="s">
        <v>282</v>
      </c>
      <c r="G377" s="33"/>
      <c r="I377" s="112"/>
      <c r="J377" s="33"/>
      <c r="K377" s="33"/>
      <c r="L377" s="33"/>
      <c r="M377" s="33"/>
      <c r="N377" s="33"/>
      <c r="O377" s="33"/>
      <c r="P377" s="33"/>
      <c r="Q377" s="33"/>
      <c r="R377" s="33"/>
      <c r="S377" s="33"/>
    </row>
    <row r="378" spans="2:19">
      <c r="B378" s="2"/>
      <c r="E378" s="33"/>
      <c r="F378" s="33" t="s">
        <v>283</v>
      </c>
      <c r="G378" s="33"/>
      <c r="I378" s="502"/>
      <c r="J378" s="33"/>
      <c r="K378" s="33"/>
      <c r="L378" s="33"/>
      <c r="M378" s="33"/>
      <c r="N378" s="33"/>
      <c r="O378" s="33"/>
      <c r="P378" s="33"/>
      <c r="Q378" s="33"/>
      <c r="R378" s="33"/>
      <c r="S378" s="33"/>
    </row>
    <row r="379" spans="2:19">
      <c r="B379" s="2"/>
      <c r="E379" s="33"/>
      <c r="F379" s="33" t="s">
        <v>284</v>
      </c>
      <c r="G379" s="33"/>
      <c r="I379" s="502"/>
      <c r="J379" s="33"/>
      <c r="K379" s="33"/>
      <c r="L379" s="33"/>
      <c r="M379" s="33"/>
      <c r="N379" s="33"/>
      <c r="O379" s="33"/>
      <c r="P379" s="33"/>
      <c r="Q379" s="33"/>
      <c r="R379" s="33"/>
      <c r="S379" s="33"/>
    </row>
    <row r="380" spans="2:19">
      <c r="B380" s="2"/>
      <c r="E380" s="33"/>
      <c r="F380" s="33"/>
      <c r="G380" s="33"/>
      <c r="I380" s="112"/>
      <c r="J380" s="33"/>
      <c r="K380" s="33"/>
      <c r="L380" s="33"/>
      <c r="M380" s="33"/>
      <c r="N380" s="33"/>
      <c r="O380" s="33"/>
      <c r="P380" s="33"/>
      <c r="Q380" s="33"/>
      <c r="R380" s="33"/>
      <c r="S380" s="33"/>
    </row>
    <row r="381" spans="2:19">
      <c r="B381" s="2"/>
      <c r="D381" s="2" t="s">
        <v>106</v>
      </c>
      <c r="E381" s="2" t="s">
        <v>285</v>
      </c>
      <c r="J381" s="33"/>
      <c r="K381" s="33"/>
      <c r="L381" s="33"/>
      <c r="M381" s="33"/>
      <c r="N381" s="33"/>
      <c r="O381" s="33"/>
      <c r="P381" s="33"/>
      <c r="Q381" s="33"/>
      <c r="R381" s="33"/>
      <c r="S381" s="33"/>
    </row>
    <row r="382" spans="2:19">
      <c r="B382" s="2"/>
      <c r="D382" s="2"/>
      <c r="E382" s="33" t="s">
        <v>286</v>
      </c>
      <c r="F382" s="33"/>
      <c r="G382" s="33"/>
      <c r="J382" s="33"/>
      <c r="K382" s="33"/>
      <c r="L382" s="33"/>
      <c r="M382" s="33"/>
      <c r="N382" s="33"/>
      <c r="O382" s="33"/>
      <c r="P382" s="33"/>
      <c r="Q382" s="33"/>
      <c r="R382" s="33"/>
      <c r="S382" s="33"/>
    </row>
    <row r="383" spans="2:19">
      <c r="B383" s="2"/>
      <c r="D383" s="2"/>
      <c r="E383" s="33" t="s">
        <v>287</v>
      </c>
      <c r="F383" s="33"/>
      <c r="G383" s="33"/>
      <c r="J383" s="33"/>
      <c r="K383" s="33"/>
      <c r="L383" s="33"/>
      <c r="M383" s="33"/>
      <c r="N383" s="33"/>
      <c r="O383" s="33"/>
      <c r="P383" s="33"/>
      <c r="Q383" s="33"/>
      <c r="R383" s="33"/>
      <c r="S383" s="33"/>
    </row>
    <row r="384" spans="2:19">
      <c r="B384" s="2"/>
      <c r="D384" s="2"/>
      <c r="E384" s="33"/>
      <c r="F384" s="33"/>
      <c r="G384" s="33"/>
      <c r="J384" s="33"/>
      <c r="K384" s="33"/>
      <c r="L384" s="33"/>
      <c r="M384" s="33"/>
      <c r="N384" s="33"/>
      <c r="O384" s="33"/>
      <c r="P384" s="33"/>
      <c r="Q384" s="33"/>
      <c r="R384" s="33"/>
      <c r="S384" s="33"/>
    </row>
    <row r="385" spans="1:38">
      <c r="B385" s="2"/>
      <c r="D385" s="2" t="s">
        <v>109</v>
      </c>
      <c r="E385" s="2" t="s">
        <v>288</v>
      </c>
      <c r="J385" s="33"/>
      <c r="K385" s="33"/>
      <c r="L385" s="33"/>
      <c r="M385" s="33"/>
      <c r="N385" s="33"/>
      <c r="O385" s="33"/>
      <c r="P385" s="33"/>
      <c r="Q385" s="33"/>
      <c r="R385" s="33"/>
      <c r="S385" s="33"/>
    </row>
    <row r="386" spans="1:38">
      <c r="B386" s="2"/>
      <c r="E386" s="33" t="s">
        <v>14</v>
      </c>
      <c r="F386" s="33" t="s">
        <v>289</v>
      </c>
      <c r="G386" s="33"/>
      <c r="I386" s="33"/>
      <c r="J386" s="33"/>
      <c r="K386" s="33"/>
      <c r="L386" s="33"/>
      <c r="M386" s="33"/>
      <c r="N386" s="33"/>
      <c r="O386" s="33"/>
      <c r="P386" s="33"/>
      <c r="Q386" s="33"/>
      <c r="R386" s="33"/>
      <c r="S386" s="33"/>
    </row>
    <row r="387" spans="1:38">
      <c r="B387" s="2"/>
      <c r="E387" s="33"/>
      <c r="F387" s="112" t="s">
        <v>281</v>
      </c>
      <c r="G387" s="33"/>
      <c r="I387" s="112"/>
      <c r="J387" s="33"/>
      <c r="K387" s="33"/>
      <c r="L387" s="33"/>
      <c r="M387" s="33"/>
      <c r="N387" s="33"/>
      <c r="O387" s="33"/>
      <c r="P387" s="33"/>
      <c r="Q387" s="33"/>
      <c r="R387" s="33"/>
      <c r="S387" s="33"/>
    </row>
    <row r="388" spans="1:38">
      <c r="B388" s="2"/>
      <c r="E388" s="33" t="s">
        <v>27</v>
      </c>
      <c r="F388" s="33" t="s">
        <v>290</v>
      </c>
      <c r="G388" s="33"/>
      <c r="I388" s="112"/>
      <c r="J388" s="33"/>
      <c r="K388" s="33"/>
      <c r="L388" s="33"/>
      <c r="M388" s="33"/>
      <c r="N388" s="33"/>
      <c r="O388" s="33"/>
      <c r="P388" s="33"/>
      <c r="Q388" s="33"/>
      <c r="R388" s="33"/>
      <c r="S388" s="33"/>
    </row>
    <row r="389" spans="1:38">
      <c r="B389" s="2"/>
      <c r="E389" s="33"/>
      <c r="F389" s="33" t="s">
        <v>291</v>
      </c>
      <c r="G389" s="33"/>
      <c r="I389" s="502"/>
      <c r="J389" s="33"/>
      <c r="K389" s="33"/>
      <c r="L389" s="33"/>
      <c r="M389" s="33"/>
      <c r="N389" s="33"/>
      <c r="O389" s="33"/>
      <c r="P389" s="33"/>
      <c r="Q389" s="33"/>
      <c r="R389" s="33"/>
      <c r="S389" s="33"/>
    </row>
    <row r="390" spans="1:38">
      <c r="B390" s="2"/>
      <c r="E390" s="33"/>
      <c r="F390" s="33" t="s">
        <v>292</v>
      </c>
      <c r="G390" s="33"/>
      <c r="I390" s="502"/>
      <c r="J390" s="33"/>
      <c r="K390" s="33"/>
      <c r="L390" s="33"/>
      <c r="M390" s="33"/>
      <c r="N390" s="33"/>
      <c r="O390" s="33"/>
      <c r="P390" s="33"/>
      <c r="Q390" s="33"/>
      <c r="R390" s="33"/>
      <c r="S390" s="33"/>
    </row>
    <row r="391" spans="1:38">
      <c r="B391" s="2"/>
      <c r="E391" s="33"/>
      <c r="F391" s="33"/>
      <c r="G391" s="33"/>
      <c r="H391" s="33"/>
      <c r="I391" s="33"/>
      <c r="J391" s="33"/>
      <c r="K391" s="33"/>
      <c r="L391" s="33"/>
      <c r="M391" s="33"/>
      <c r="N391" s="33"/>
      <c r="O391" s="33"/>
      <c r="P391" s="33"/>
      <c r="Q391" s="33"/>
      <c r="R391" s="33"/>
      <c r="S391" s="33"/>
    </row>
    <row r="392" spans="1:38">
      <c r="B392" s="2"/>
      <c r="E392" s="33"/>
      <c r="F392" s="753"/>
      <c r="G392" s="753"/>
      <c r="H392" s="753"/>
      <c r="I392" s="753"/>
      <c r="J392" s="753"/>
      <c r="K392" s="753"/>
      <c r="L392" s="753"/>
      <c r="M392" s="753"/>
      <c r="N392" s="753"/>
      <c r="O392" s="753"/>
      <c r="P392" s="753"/>
      <c r="Q392" s="753"/>
      <c r="R392" s="753"/>
      <c r="S392" s="753"/>
      <c r="T392" s="753"/>
      <c r="U392" s="753"/>
      <c r="V392" s="753"/>
      <c r="W392" s="753"/>
      <c r="X392" s="753"/>
      <c r="Y392" s="753"/>
      <c r="Z392" s="753"/>
      <c r="AA392" s="753"/>
      <c r="AB392" s="753"/>
      <c r="AC392" s="753"/>
      <c r="AD392" s="753"/>
      <c r="AE392" s="753"/>
      <c r="AF392" s="753"/>
      <c r="AG392" s="753"/>
      <c r="AH392" s="753"/>
      <c r="AI392" s="753"/>
      <c r="AJ392" s="753"/>
      <c r="AK392" s="753"/>
    </row>
    <row r="393" spans="1:38">
      <c r="A393" s="8"/>
      <c r="B393" s="833" t="s">
        <v>293</v>
      </c>
      <c r="C393" s="833" t="s">
        <v>55</v>
      </c>
      <c r="D393" s="8"/>
      <c r="E393" s="8"/>
      <c r="F393" s="302"/>
      <c r="G393" s="302"/>
      <c r="H393" s="302"/>
      <c r="I393" s="302"/>
      <c r="J393" s="302"/>
      <c r="K393" s="302"/>
      <c r="L393" s="302"/>
      <c r="M393" s="302"/>
      <c r="N393" s="302"/>
      <c r="O393" s="302"/>
      <c r="P393" s="302"/>
      <c r="Q393" s="302"/>
      <c r="R393" s="302"/>
      <c r="S393" s="302"/>
      <c r="T393" s="8"/>
      <c r="U393" s="8"/>
      <c r="V393" s="8"/>
      <c r="W393" s="8"/>
      <c r="X393" s="8"/>
      <c r="Y393" s="8"/>
      <c r="Z393" s="8"/>
      <c r="AA393" s="8"/>
      <c r="AB393" s="8"/>
      <c r="AC393" s="8"/>
      <c r="AD393" s="8"/>
      <c r="AE393" s="8"/>
      <c r="AF393" s="8"/>
      <c r="AG393" s="8"/>
      <c r="AH393" s="8"/>
      <c r="AI393" s="8"/>
      <c r="AJ393" s="8"/>
      <c r="AK393" s="8"/>
      <c r="AL393" s="8"/>
    </row>
    <row r="394" spans="1:38">
      <c r="B394" s="2"/>
      <c r="D394" s="2"/>
      <c r="F394" s="33"/>
      <c r="G394" s="33"/>
      <c r="H394" s="33"/>
      <c r="I394" s="33"/>
      <c r="J394" s="33"/>
      <c r="K394" s="33"/>
      <c r="L394" s="33"/>
      <c r="M394" s="33"/>
      <c r="N394" s="33"/>
      <c r="O394" s="33"/>
      <c r="P394" s="33"/>
      <c r="Q394" s="33"/>
      <c r="R394" s="33"/>
      <c r="S394" s="33"/>
    </row>
    <row r="395" spans="1:38">
      <c r="B395" s="2"/>
      <c r="C395" s="2" t="s">
        <v>81</v>
      </c>
      <c r="G395" s="2" t="s">
        <v>55</v>
      </c>
      <c r="I395" s="33"/>
      <c r="J395" s="33"/>
      <c r="K395" s="33"/>
      <c r="L395" s="33"/>
      <c r="M395" s="33"/>
      <c r="N395" s="33"/>
      <c r="O395" s="33"/>
      <c r="P395" s="33"/>
      <c r="Q395" s="33"/>
      <c r="R395" s="33"/>
      <c r="S395" s="33"/>
    </row>
    <row r="396" spans="1:38">
      <c r="B396" s="2"/>
      <c r="D396" s="33"/>
      <c r="E396" s="33" t="s">
        <v>14</v>
      </c>
      <c r="F396" s="33" t="s">
        <v>294</v>
      </c>
      <c r="G396" s="33"/>
      <c r="I396" s="33"/>
      <c r="J396" s="33"/>
      <c r="K396" s="33"/>
      <c r="L396" s="33"/>
      <c r="M396" s="33"/>
      <c r="N396" s="33"/>
      <c r="O396" s="33"/>
      <c r="P396" s="33"/>
      <c r="Q396" s="33"/>
      <c r="R396" s="33"/>
      <c r="S396" s="33"/>
    </row>
    <row r="397" spans="1:38">
      <c r="B397" s="2"/>
      <c r="E397" s="33" t="s">
        <v>27</v>
      </c>
      <c r="F397" s="33" t="s">
        <v>295</v>
      </c>
      <c r="G397" s="33"/>
      <c r="I397" s="33"/>
      <c r="J397" s="33"/>
      <c r="K397" s="33"/>
      <c r="L397" s="33"/>
      <c r="M397" s="33"/>
      <c r="N397" s="33"/>
      <c r="O397" s="33"/>
      <c r="P397" s="33"/>
      <c r="Q397" s="33"/>
      <c r="R397" s="33"/>
      <c r="S397" s="33"/>
    </row>
    <row r="398" spans="1:38">
      <c r="B398" s="2"/>
      <c r="E398" s="33" t="s">
        <v>33</v>
      </c>
      <c r="F398" s="33" t="s">
        <v>296</v>
      </c>
      <c r="I398" s="33"/>
      <c r="J398" s="33"/>
      <c r="K398" s="33"/>
      <c r="L398" s="33"/>
      <c r="M398" s="33"/>
      <c r="N398" s="33"/>
      <c r="O398" s="33"/>
      <c r="P398" s="33"/>
      <c r="Q398" s="33"/>
      <c r="R398" s="33"/>
      <c r="S398" s="33"/>
    </row>
    <row r="399" spans="1:38"/>
    <row r="400" spans="1:38">
      <c r="B400" s="2"/>
      <c r="C400" s="2" t="s">
        <v>98</v>
      </c>
      <c r="G400" s="2" t="s">
        <v>297</v>
      </c>
      <c r="I400" s="33"/>
      <c r="S400" s="33"/>
    </row>
    <row r="401" spans="1:38">
      <c r="B401" s="2"/>
      <c r="F401" s="33" t="s">
        <v>298</v>
      </c>
      <c r="S401" s="33"/>
    </row>
    <row r="402" spans="1:38">
      <c r="B402" s="2"/>
      <c r="S402" s="33"/>
    </row>
    <row r="403" spans="1:38">
      <c r="B403" s="2"/>
      <c r="C403" s="2" t="s">
        <v>121</v>
      </c>
      <c r="G403" s="2" t="s">
        <v>58</v>
      </c>
      <c r="S403" s="33"/>
    </row>
    <row r="404" spans="1:38">
      <c r="B404" s="2"/>
      <c r="E404" t="s">
        <v>14</v>
      </c>
      <c r="F404" t="s">
        <v>299</v>
      </c>
      <c r="S404" s="33"/>
    </row>
    <row r="405" spans="1:38">
      <c r="B405" s="2"/>
      <c r="E405" t="s">
        <v>27</v>
      </c>
      <c r="F405" s="33" t="s">
        <v>300</v>
      </c>
      <c r="S405" s="33"/>
    </row>
    <row r="406" spans="1:38">
      <c r="B406" s="2"/>
      <c r="F406" t="s">
        <v>301</v>
      </c>
      <c r="S406" s="33"/>
    </row>
    <row r="407" spans="1:38">
      <c r="B407" s="2"/>
      <c r="S407" s="33"/>
    </row>
    <row r="408" spans="1:38">
      <c r="A408" s="8"/>
      <c r="B408" s="787" t="s">
        <v>302</v>
      </c>
      <c r="C408" s="833" t="s">
        <v>303</v>
      </c>
      <c r="D408" s="8"/>
      <c r="E408" s="8"/>
      <c r="F408" s="302"/>
      <c r="G408" s="302"/>
      <c r="H408" s="302"/>
      <c r="I408" s="302"/>
      <c r="J408" s="302"/>
      <c r="K408" s="302"/>
      <c r="L408" s="302"/>
      <c r="M408" s="302"/>
      <c r="N408" s="302"/>
      <c r="O408" s="302"/>
      <c r="P408" s="302"/>
      <c r="Q408" s="302"/>
      <c r="R408" s="302"/>
      <c r="S408" s="302"/>
      <c r="T408" s="8"/>
      <c r="U408" s="8"/>
      <c r="V408" s="8"/>
      <c r="W408" s="8"/>
      <c r="X408" s="8"/>
      <c r="Y408" s="8"/>
      <c r="Z408" s="8"/>
      <c r="AA408" s="8"/>
      <c r="AB408" s="8"/>
      <c r="AC408" s="8"/>
      <c r="AD408" s="8"/>
      <c r="AE408" s="8"/>
      <c r="AF408" s="8"/>
      <c r="AG408" s="8"/>
      <c r="AH408" s="8"/>
      <c r="AI408" s="8"/>
      <c r="AJ408" s="8"/>
      <c r="AK408" s="8"/>
      <c r="AL408" s="8"/>
    </row>
    <row r="409" spans="1:38">
      <c r="B409" s="2"/>
      <c r="C409" s="33" t="s">
        <v>304</v>
      </c>
      <c r="G409" s="2"/>
      <c r="I409" s="33"/>
      <c r="S409" s="33"/>
    </row>
    <row r="410" spans="1:38">
      <c r="B410" s="2"/>
      <c r="C410" s="33" t="s">
        <v>305</v>
      </c>
      <c r="S410" s="33"/>
    </row>
    <row r="411" spans="1:38">
      <c r="B411" s="2"/>
      <c r="C411" s="33" t="s">
        <v>306</v>
      </c>
      <c r="S411" s="33"/>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70" zoomScaleNormal="100" workbookViewId="0">
      <selection activeCell="R56" sqref="R56"/>
    </sheetView>
  </sheetViews>
  <sheetFormatPr defaultColWidth="0" defaultRowHeight="15" customHeight="1"/>
  <cols>
    <col min="1" max="1" width="3.5703125" style="581" customWidth="1"/>
    <col min="2" max="4" width="17.5703125" style="581" customWidth="1"/>
    <col min="5" max="5" width="15.5703125" style="581" customWidth="1"/>
    <col min="6" max="6" width="2.42578125" style="581" customWidth="1"/>
    <col min="7" max="7" width="14.5703125" style="581" customWidth="1"/>
    <col min="8" max="9" width="2.5703125" style="581" customWidth="1"/>
    <col min="10" max="10" width="3.5703125" style="581" customWidth="1"/>
    <col min="11" max="11" width="2.5703125" style="581" customWidth="1"/>
    <col min="12" max="14" width="2.42578125" style="581" customWidth="1"/>
    <col min="15" max="15" width="43.7109375" style="581" customWidth="1"/>
    <col min="16" max="16" width="7.5703125" style="581" customWidth="1"/>
    <col min="17" max="17" width="3.5703125" style="581" customWidth="1"/>
    <col min="18" max="19" width="10.5703125" style="581" customWidth="1"/>
    <col min="20" max="20" width="8.85546875" style="581" customWidth="1"/>
    <col min="21" max="16384" width="8.85546875" style="581" hidden="1"/>
  </cols>
  <sheetData>
    <row r="1" spans="1:19" ht="15" customHeight="1">
      <c r="A1" s="1798" t="s">
        <v>2363</v>
      </c>
      <c r="B1" s="1798"/>
      <c r="C1" s="1798"/>
      <c r="D1" s="1798"/>
      <c r="E1" s="1798"/>
      <c r="F1" s="1798"/>
      <c r="G1" s="1798"/>
      <c r="H1" s="1798"/>
      <c r="I1" s="1798"/>
      <c r="J1" s="1798"/>
      <c r="K1" s="1798"/>
      <c r="L1" s="1798"/>
      <c r="M1" s="1798"/>
      <c r="N1" s="1798"/>
      <c r="O1" s="1798"/>
      <c r="P1" s="1798"/>
      <c r="Q1" s="1798"/>
      <c r="R1" s="1798"/>
      <c r="S1" s="1798"/>
    </row>
    <row r="2" spans="1:19" ht="15" customHeight="1">
      <c r="A2" s="1798"/>
      <c r="B2" s="1798"/>
      <c r="C2" s="1798"/>
      <c r="D2" s="1798"/>
      <c r="E2" s="1798"/>
      <c r="F2" s="1798"/>
      <c r="G2" s="1798"/>
      <c r="H2" s="1798"/>
      <c r="I2" s="1798"/>
      <c r="J2" s="1798"/>
      <c r="K2" s="1798"/>
      <c r="L2" s="1798"/>
      <c r="M2" s="1798"/>
      <c r="N2" s="1798"/>
      <c r="O2" s="1798"/>
      <c r="P2" s="1798"/>
      <c r="Q2" s="1798"/>
      <c r="R2" s="1798"/>
      <c r="S2" s="1798"/>
    </row>
    <row r="3" spans="1:19" ht="15" customHeight="1">
      <c r="A3" s="378"/>
      <c r="B3" s="378"/>
      <c r="C3" s="378"/>
      <c r="D3" s="378"/>
      <c r="E3" s="378"/>
      <c r="F3" s="378"/>
      <c r="G3" s="378"/>
      <c r="H3" s="378"/>
      <c r="I3" s="378"/>
      <c r="J3" s="378"/>
      <c r="K3" s="378"/>
      <c r="L3" s="378"/>
      <c r="M3" s="378"/>
      <c r="N3" s="378"/>
      <c r="O3" s="378"/>
      <c r="P3" s="378"/>
      <c r="Q3" s="378"/>
      <c r="R3" s="378"/>
    </row>
    <row r="4" spans="1:19" ht="15" customHeight="1">
      <c r="A4" s="378"/>
      <c r="B4" s="1782" t="s">
        <v>2364</v>
      </c>
      <c r="C4" s="1782"/>
      <c r="D4" s="1782"/>
      <c r="E4" s="1782"/>
      <c r="F4" s="1782"/>
      <c r="G4" s="1782"/>
      <c r="H4" s="1782"/>
      <c r="I4" s="1782"/>
      <c r="J4" s="1782"/>
      <c r="K4" s="1782"/>
      <c r="L4" s="1782"/>
      <c r="M4" s="1782"/>
      <c r="N4" s="1782"/>
      <c r="O4" s="1782"/>
      <c r="P4" s="1782"/>
      <c r="Q4" s="1782"/>
      <c r="R4" s="1782"/>
    </row>
    <row r="5" spans="1:19" ht="15" customHeight="1">
      <c r="A5" s="378"/>
      <c r="B5" s="1782"/>
      <c r="C5" s="1782"/>
      <c r="D5" s="1782"/>
      <c r="E5" s="1782"/>
      <c r="F5" s="1782"/>
      <c r="G5" s="1782"/>
      <c r="H5" s="1782"/>
      <c r="I5" s="1782"/>
      <c r="J5" s="1782"/>
      <c r="K5" s="1782"/>
      <c r="L5" s="1782"/>
      <c r="M5" s="1782"/>
      <c r="N5" s="1782"/>
      <c r="O5" s="1782"/>
      <c r="P5" s="1782"/>
      <c r="Q5" s="1782"/>
      <c r="R5" s="1782"/>
    </row>
    <row r="6" spans="1:19" ht="15" customHeight="1">
      <c r="A6" s="378"/>
      <c r="B6" s="1782"/>
      <c r="C6" s="1782"/>
      <c r="D6" s="1782"/>
      <c r="E6" s="1782"/>
      <c r="F6" s="1782"/>
      <c r="G6" s="1782"/>
      <c r="H6" s="1782"/>
      <c r="I6" s="1782"/>
      <c r="J6" s="1782"/>
      <c r="K6" s="1782"/>
      <c r="L6" s="1782"/>
      <c r="M6" s="1782"/>
      <c r="N6" s="1782"/>
      <c r="O6" s="1782"/>
      <c r="P6" s="1782"/>
      <c r="Q6" s="1782"/>
      <c r="R6" s="1782"/>
    </row>
    <row r="7" spans="1:19" ht="15" customHeight="1">
      <c r="A7" s="378"/>
      <c r="B7" s="841"/>
      <c r="C7" s="841"/>
      <c r="D7" s="841"/>
      <c r="E7" s="841"/>
      <c r="F7" s="841"/>
      <c r="G7" s="841"/>
      <c r="H7" s="841"/>
      <c r="I7" s="841"/>
      <c r="J7" s="841"/>
      <c r="K7" s="841"/>
      <c r="L7" s="841"/>
      <c r="M7" s="841"/>
      <c r="N7" s="841"/>
      <c r="O7" s="841"/>
      <c r="P7" s="841"/>
      <c r="Q7" s="841"/>
      <c r="R7" s="841"/>
    </row>
    <row r="8" spans="1:19" ht="32.25" customHeight="1">
      <c r="A8" s="378"/>
      <c r="B8" s="1782" t="s">
        <v>2365</v>
      </c>
      <c r="C8" s="1782"/>
      <c r="D8" s="1782"/>
      <c r="E8" s="1782"/>
      <c r="F8" s="1782"/>
      <c r="G8" s="1782"/>
      <c r="H8" s="1782"/>
      <c r="I8" s="1782"/>
      <c r="J8" s="1782"/>
      <c r="K8" s="1782"/>
      <c r="L8" s="1782"/>
      <c r="M8" s="1782"/>
      <c r="N8" s="1782"/>
      <c r="O8" s="1782"/>
      <c r="P8" s="1782"/>
      <c r="Q8" s="1782"/>
      <c r="R8" s="1782"/>
    </row>
    <row r="9" spans="1:19" ht="15" customHeight="1">
      <c r="A9" s="378"/>
      <c r="B9" s="275"/>
      <c r="C9" s="378"/>
      <c r="D9" s="378"/>
      <c r="E9" s="378"/>
      <c r="F9" s="378"/>
      <c r="G9" s="378"/>
      <c r="H9" s="378"/>
      <c r="I9" s="378"/>
      <c r="J9" s="378"/>
      <c r="K9" s="378"/>
      <c r="L9" s="378"/>
      <c r="M9" s="378"/>
      <c r="N9" s="378"/>
      <c r="O9" s="378"/>
      <c r="P9" s="378"/>
      <c r="Q9" s="378"/>
      <c r="R9" s="378"/>
    </row>
    <row r="10" spans="1:19" ht="15" customHeight="1">
      <c r="A10" s="378"/>
      <c r="B10" s="1782" t="s">
        <v>2366</v>
      </c>
      <c r="C10" s="1782"/>
      <c r="D10" s="1782"/>
      <c r="E10" s="1782"/>
      <c r="F10" s="1782"/>
      <c r="G10" s="1782"/>
      <c r="H10" s="1782"/>
      <c r="I10" s="1782"/>
      <c r="J10" s="1782"/>
      <c r="K10" s="1782"/>
      <c r="L10" s="1782"/>
      <c r="M10" s="1782"/>
      <c r="N10" s="1782"/>
      <c r="O10" s="1782"/>
      <c r="P10" s="1782"/>
      <c r="Q10" s="1782"/>
      <c r="R10" s="1782"/>
    </row>
    <row r="11" spans="1:19" ht="29.25" customHeight="1">
      <c r="A11" s="378"/>
      <c r="B11" s="1782"/>
      <c r="C11" s="1782"/>
      <c r="D11" s="1782"/>
      <c r="E11" s="1782"/>
      <c r="F11" s="1782"/>
      <c r="G11" s="1782"/>
      <c r="H11" s="1782"/>
      <c r="I11" s="1782"/>
      <c r="J11" s="1782"/>
      <c r="K11" s="1782"/>
      <c r="L11" s="1782"/>
      <c r="M11" s="1782"/>
      <c r="N11" s="1782"/>
      <c r="O11" s="1782"/>
      <c r="P11" s="1782"/>
      <c r="Q11" s="1782"/>
      <c r="R11" s="1782"/>
    </row>
    <row r="12" spans="1:19" ht="15" customHeight="1">
      <c r="A12" s="378"/>
      <c r="B12" s="841"/>
      <c r="C12" s="841"/>
      <c r="D12" s="841"/>
      <c r="E12" s="841"/>
      <c r="F12" s="841"/>
      <c r="G12" s="841"/>
      <c r="H12" s="841"/>
      <c r="I12" s="841"/>
      <c r="J12" s="841"/>
      <c r="K12" s="841"/>
      <c r="L12" s="841"/>
      <c r="M12" s="841"/>
      <c r="N12" s="841"/>
      <c r="O12" s="841"/>
      <c r="P12" s="841"/>
      <c r="Q12" s="841"/>
      <c r="R12" s="841"/>
    </row>
    <row r="13" spans="1:19" ht="15" customHeight="1">
      <c r="A13" s="378"/>
      <c r="B13" s="1782" t="s">
        <v>2367</v>
      </c>
      <c r="C13" s="1782"/>
      <c r="D13" s="1782"/>
      <c r="E13" s="1782"/>
      <c r="F13" s="1782"/>
      <c r="G13" s="1782"/>
      <c r="H13" s="1782"/>
      <c r="I13" s="1782"/>
      <c r="J13" s="1782"/>
      <c r="K13" s="1782"/>
      <c r="L13" s="1782"/>
      <c r="M13" s="1782"/>
      <c r="N13" s="1782"/>
      <c r="O13" s="1782"/>
      <c r="P13" s="1782"/>
      <c r="Q13" s="1782"/>
      <c r="R13" s="1782"/>
    </row>
    <row r="14" spans="1:19" ht="15" customHeight="1">
      <c r="A14" s="378"/>
      <c r="B14" s="1782"/>
      <c r="C14" s="1782"/>
      <c r="D14" s="1782"/>
      <c r="E14" s="1782"/>
      <c r="F14" s="1782"/>
      <c r="G14" s="1782"/>
      <c r="H14" s="1782"/>
      <c r="I14" s="1782"/>
      <c r="J14" s="1782"/>
      <c r="K14" s="1782"/>
      <c r="L14" s="1782"/>
      <c r="M14" s="1782"/>
      <c r="N14" s="1782"/>
      <c r="O14" s="1782"/>
      <c r="P14" s="1782"/>
      <c r="Q14" s="1782"/>
      <c r="R14" s="1782"/>
    </row>
    <row r="15" spans="1:19" ht="15" customHeight="1">
      <c r="A15" s="378"/>
      <c r="B15" s="1782"/>
      <c r="C15" s="1782"/>
      <c r="D15" s="1782"/>
      <c r="E15" s="1782"/>
      <c r="F15" s="1782"/>
      <c r="G15" s="1782"/>
      <c r="H15" s="1782"/>
      <c r="I15" s="1782"/>
      <c r="J15" s="1782"/>
      <c r="K15" s="1782"/>
      <c r="L15" s="1782"/>
      <c r="M15" s="1782"/>
      <c r="N15" s="1782"/>
      <c r="O15" s="1782"/>
      <c r="P15" s="1782"/>
      <c r="Q15" s="1782"/>
      <c r="R15" s="1782"/>
    </row>
    <row r="16" spans="1:19" ht="15" customHeight="1">
      <c r="A16" s="378"/>
      <c r="B16" s="1782"/>
      <c r="C16" s="1782"/>
      <c r="D16" s="1782"/>
      <c r="E16" s="1782"/>
      <c r="F16" s="1782"/>
      <c r="G16" s="1782"/>
      <c r="H16" s="1782"/>
      <c r="I16" s="1782"/>
      <c r="J16" s="1782"/>
      <c r="K16" s="1782"/>
      <c r="L16" s="1782"/>
      <c r="M16" s="1782"/>
      <c r="N16" s="1782"/>
      <c r="O16" s="1782"/>
      <c r="P16" s="1782"/>
      <c r="Q16" s="1782"/>
      <c r="R16" s="1782"/>
    </row>
    <row r="17" spans="1:18" ht="15" customHeight="1">
      <c r="A17" s="378"/>
      <c r="B17" s="1782"/>
      <c r="C17" s="1782"/>
      <c r="D17" s="1782"/>
      <c r="E17" s="1782"/>
      <c r="F17" s="1782"/>
      <c r="G17" s="1782"/>
      <c r="H17" s="1782"/>
      <c r="I17" s="1782"/>
      <c r="J17" s="1782"/>
      <c r="K17" s="1782"/>
      <c r="L17" s="1782"/>
      <c r="M17" s="1782"/>
      <c r="N17" s="1782"/>
      <c r="O17" s="1782"/>
      <c r="P17" s="1782"/>
      <c r="Q17" s="1782"/>
      <c r="R17" s="1782"/>
    </row>
    <row r="18" spans="1:18" ht="15" customHeight="1">
      <c r="A18" s="378"/>
      <c r="B18" s="275"/>
      <c r="C18" s="378"/>
      <c r="D18" s="378"/>
      <c r="E18" s="378"/>
      <c r="F18" s="378"/>
      <c r="G18" s="378"/>
      <c r="H18" s="378"/>
      <c r="I18" s="378"/>
      <c r="J18" s="378"/>
      <c r="K18" s="378"/>
      <c r="L18" s="378"/>
      <c r="M18" s="378"/>
      <c r="N18" s="378"/>
      <c r="O18" s="378"/>
      <c r="P18" s="378"/>
      <c r="Q18" s="378"/>
      <c r="R18" s="378"/>
    </row>
    <row r="19" spans="1:18" ht="15" customHeight="1">
      <c r="A19" s="378"/>
      <c r="B19" s="1782" t="s">
        <v>2368</v>
      </c>
      <c r="C19" s="1782"/>
      <c r="D19" s="1782"/>
      <c r="E19" s="1782"/>
      <c r="F19" s="1782"/>
      <c r="G19" s="1782"/>
      <c r="H19" s="1782"/>
      <c r="I19" s="1782"/>
      <c r="J19" s="1782"/>
      <c r="K19" s="1782"/>
      <c r="L19" s="1782"/>
      <c r="M19" s="1782"/>
      <c r="N19" s="1782"/>
      <c r="O19" s="1782"/>
      <c r="P19" s="1782"/>
      <c r="Q19" s="1782"/>
      <c r="R19" s="1782"/>
    </row>
    <row r="20" spans="1:18" ht="15" customHeight="1">
      <c r="A20" s="378"/>
      <c r="B20" s="1782"/>
      <c r="C20" s="1782"/>
      <c r="D20" s="1782"/>
      <c r="E20" s="1782"/>
      <c r="F20" s="1782"/>
      <c r="G20" s="1782"/>
      <c r="H20" s="1782"/>
      <c r="I20" s="1782"/>
      <c r="J20" s="1782"/>
      <c r="K20" s="1782"/>
      <c r="L20" s="1782"/>
      <c r="M20" s="1782"/>
      <c r="N20" s="1782"/>
      <c r="O20" s="1782"/>
      <c r="P20" s="1782"/>
      <c r="Q20" s="1782"/>
      <c r="R20" s="1782"/>
    </row>
    <row r="21" spans="1:18" ht="15" customHeight="1">
      <c r="A21" s="378"/>
      <c r="B21" s="1782"/>
      <c r="C21" s="1782"/>
      <c r="D21" s="1782"/>
      <c r="E21" s="1782"/>
      <c r="F21" s="1782"/>
      <c r="G21" s="1782"/>
      <c r="H21" s="1782"/>
      <c r="I21" s="1782"/>
      <c r="J21" s="1782"/>
      <c r="K21" s="1782"/>
      <c r="L21" s="1782"/>
      <c r="M21" s="1782"/>
      <c r="N21" s="1782"/>
      <c r="O21" s="1782"/>
      <c r="P21" s="1782"/>
      <c r="Q21" s="1782"/>
      <c r="R21" s="1782"/>
    </row>
    <row r="22" spans="1:18" ht="15" customHeight="1">
      <c r="A22" s="378"/>
      <c r="B22" s="841"/>
      <c r="C22" s="841"/>
      <c r="D22" s="841"/>
      <c r="E22" s="841"/>
      <c r="F22" s="841"/>
      <c r="G22" s="841"/>
      <c r="H22" s="841"/>
      <c r="I22" s="841"/>
      <c r="J22" s="841"/>
      <c r="K22" s="841"/>
      <c r="L22" s="841"/>
      <c r="M22" s="841"/>
      <c r="N22" s="841"/>
      <c r="O22" s="841"/>
      <c r="P22" s="841"/>
      <c r="Q22" s="841"/>
      <c r="R22" s="841"/>
    </row>
    <row r="23" spans="1:18" ht="15" customHeight="1">
      <c r="A23" s="378"/>
      <c r="B23" s="1782" t="s">
        <v>2369</v>
      </c>
      <c r="C23" s="1782"/>
      <c r="D23" s="1782"/>
      <c r="E23" s="1782"/>
      <c r="F23" s="1782"/>
      <c r="G23" s="1782"/>
      <c r="H23" s="1782"/>
      <c r="I23" s="1782"/>
      <c r="J23" s="1782"/>
      <c r="K23" s="1782"/>
      <c r="L23" s="1782"/>
      <c r="M23" s="1782"/>
      <c r="N23" s="1782"/>
      <c r="O23" s="1782"/>
      <c r="P23" s="1782"/>
      <c r="Q23" s="1782"/>
      <c r="R23" s="1782"/>
    </row>
    <row r="24" spans="1:18" ht="15" customHeight="1">
      <c r="B24" s="1782"/>
      <c r="C24" s="1782"/>
      <c r="D24" s="1782"/>
      <c r="E24" s="1782"/>
      <c r="F24" s="1782"/>
      <c r="G24" s="1782"/>
      <c r="H24" s="1782"/>
      <c r="I24" s="1782"/>
      <c r="J24" s="1782"/>
      <c r="K24" s="1782"/>
      <c r="L24" s="1782"/>
      <c r="M24" s="1782"/>
      <c r="N24" s="1782"/>
      <c r="O24" s="1782"/>
      <c r="P24" s="1782"/>
      <c r="Q24" s="1782"/>
      <c r="R24" s="1782"/>
    </row>
    <row r="25" spans="1:18" ht="15" customHeight="1">
      <c r="B25" s="841"/>
      <c r="C25" s="841"/>
      <c r="D25" s="841"/>
      <c r="E25" s="841"/>
      <c r="F25" s="841"/>
      <c r="G25" s="841"/>
      <c r="H25" s="841"/>
      <c r="I25" s="841"/>
      <c r="J25" s="841"/>
      <c r="K25" s="841"/>
      <c r="L25" s="841"/>
      <c r="M25" s="841"/>
      <c r="N25" s="841"/>
      <c r="O25" s="841"/>
      <c r="P25" s="841"/>
      <c r="Q25" s="841"/>
      <c r="R25" s="841"/>
    </row>
    <row r="26" spans="1:18" ht="15" customHeight="1">
      <c r="B26" s="1782" t="s">
        <v>2370</v>
      </c>
      <c r="C26" s="1782"/>
      <c r="D26" s="1782"/>
      <c r="E26" s="1782"/>
      <c r="F26" s="1782"/>
      <c r="G26" s="1782"/>
      <c r="H26" s="1782"/>
      <c r="I26" s="1782"/>
      <c r="J26" s="1782"/>
      <c r="K26" s="1782"/>
      <c r="L26" s="1782"/>
      <c r="M26" s="1782"/>
      <c r="N26" s="1782"/>
      <c r="O26" s="1782"/>
      <c r="P26" s="1782"/>
      <c r="Q26" s="1782"/>
      <c r="R26" s="1782"/>
    </row>
    <row r="27" spans="1:18" ht="15" customHeight="1">
      <c r="B27" s="841"/>
      <c r="C27" s="841"/>
      <c r="D27" s="841"/>
      <c r="E27" s="841"/>
      <c r="F27" s="841"/>
      <c r="G27" s="841"/>
      <c r="H27" s="841"/>
      <c r="I27" s="841"/>
      <c r="J27" s="841"/>
      <c r="K27" s="841"/>
      <c r="L27" s="841"/>
      <c r="M27" s="841"/>
      <c r="N27" s="841"/>
      <c r="O27" s="841"/>
      <c r="P27" s="841"/>
      <c r="Q27" s="841"/>
      <c r="R27" s="841"/>
    </row>
    <row r="28" spans="1:18" ht="15" customHeight="1">
      <c r="B28" s="379" t="s">
        <v>2371</v>
      </c>
    </row>
    <row r="29" spans="1:18" ht="15" customHeight="1">
      <c r="B29" s="1790" t="s">
        <v>2372</v>
      </c>
      <c r="C29" s="1790"/>
      <c r="D29" s="1790"/>
      <c r="E29" s="1790"/>
      <c r="F29" s="1790"/>
      <c r="G29" s="1790"/>
      <c r="H29" s="269"/>
      <c r="I29" s="269"/>
      <c r="J29" s="269"/>
      <c r="K29" s="269"/>
      <c r="L29" s="269"/>
      <c r="M29" s="269"/>
      <c r="N29" s="269"/>
      <c r="O29" s="1788" t="s">
        <v>2373</v>
      </c>
    </row>
    <row r="30" spans="1:18" ht="15" customHeight="1">
      <c r="B30" s="1790"/>
      <c r="C30" s="1790"/>
      <c r="D30" s="1790"/>
      <c r="E30" s="1790"/>
      <c r="F30" s="1790"/>
      <c r="G30" s="1790"/>
      <c r="H30" s="269"/>
      <c r="I30" s="269"/>
      <c r="J30" s="269"/>
      <c r="K30" s="269"/>
      <c r="L30" s="269"/>
      <c r="M30" s="269"/>
      <c r="N30" s="269"/>
      <c r="O30" s="1788"/>
    </row>
    <row r="31" spans="1:18" ht="15" customHeight="1">
      <c r="B31" s="1790"/>
      <c r="C31" s="1790"/>
      <c r="D31" s="1790"/>
      <c r="E31" s="1790"/>
      <c r="F31" s="1790"/>
      <c r="G31" s="1790"/>
      <c r="H31" s="269"/>
      <c r="I31" s="269"/>
      <c r="J31" s="269"/>
      <c r="K31" s="269"/>
      <c r="L31" s="269"/>
      <c r="M31" s="269"/>
      <c r="N31" s="269"/>
      <c r="O31" s="1788"/>
    </row>
    <row r="32" spans="1:18" ht="15" customHeight="1">
      <c r="B32" s="1791"/>
      <c r="C32" s="1791"/>
      <c r="D32" s="1791"/>
      <c r="E32" s="1791"/>
      <c r="F32" s="1791"/>
      <c r="G32" s="1791"/>
      <c r="I32" s="1792" t="s">
        <v>2374</v>
      </c>
      <c r="J32" s="1793" t="s">
        <v>2375</v>
      </c>
      <c r="K32" s="1794">
        <v>1</v>
      </c>
      <c r="M32" s="380"/>
      <c r="O32" s="1789"/>
      <c r="P32" s="1793" t="s">
        <v>2376</v>
      </c>
    </row>
    <row r="33" spans="1:21" ht="15" customHeight="1">
      <c r="B33" s="1795" t="s">
        <v>2377</v>
      </c>
      <c r="C33" s="1795"/>
      <c r="D33" s="1795"/>
      <c r="E33" s="1795"/>
      <c r="F33" s="1795"/>
      <c r="G33" s="1795"/>
      <c r="I33" s="1792"/>
      <c r="J33" s="1793"/>
      <c r="K33" s="1794"/>
      <c r="M33" s="381"/>
      <c r="O33" s="1795" t="s">
        <v>2377</v>
      </c>
      <c r="P33" s="1793"/>
    </row>
    <row r="34" spans="1:21" ht="15" customHeight="1">
      <c r="B34" s="1792"/>
      <c r="C34" s="1792"/>
      <c r="D34" s="1792"/>
      <c r="E34" s="1792"/>
      <c r="F34" s="1792"/>
      <c r="G34" s="1792"/>
      <c r="I34" s="845"/>
      <c r="J34" s="846"/>
      <c r="K34" s="847"/>
      <c r="M34" s="381"/>
      <c r="O34" s="1792"/>
      <c r="P34" s="846"/>
    </row>
    <row r="35" spans="1:21" ht="15" customHeight="1">
      <c r="B35" s="382"/>
      <c r="C35" s="382"/>
      <c r="D35" s="382"/>
      <c r="E35" s="382"/>
      <c r="F35" s="382"/>
      <c r="G35" s="382"/>
      <c r="H35" s="287"/>
      <c r="I35" s="383"/>
      <c r="J35" s="384"/>
      <c r="K35" s="385"/>
      <c r="L35" s="287"/>
      <c r="M35" s="380"/>
      <c r="N35" s="287"/>
      <c r="O35" s="382"/>
      <c r="P35" s="384"/>
      <c r="Q35" s="287"/>
      <c r="R35" s="287"/>
    </row>
    <row r="36" spans="1:21" ht="15" customHeight="1">
      <c r="B36" s="406"/>
      <c r="C36" s="406"/>
      <c r="D36" s="406"/>
      <c r="E36" s="406"/>
      <c r="F36" s="406"/>
      <c r="G36" s="406"/>
      <c r="I36" s="845"/>
      <c r="J36" s="846"/>
      <c r="K36" s="847"/>
      <c r="M36" s="381"/>
      <c r="O36" s="406"/>
      <c r="P36" s="846"/>
    </row>
    <row r="37" spans="1:21" ht="15" customHeight="1">
      <c r="A37" s="386"/>
      <c r="B37" s="1799" t="s">
        <v>2378</v>
      </c>
      <c r="C37" s="1799"/>
      <c r="D37" s="1799"/>
      <c r="E37" s="1799"/>
      <c r="F37" s="387"/>
      <c r="G37" s="387"/>
      <c r="H37" s="388"/>
      <c r="I37" s="269"/>
      <c r="J37" s="269"/>
      <c r="L37" s="851"/>
      <c r="M37" s="851"/>
      <c r="N37" s="851"/>
      <c r="O37" s="851"/>
      <c r="P37" s="851"/>
      <c r="Q37" s="851"/>
      <c r="R37" s="851"/>
      <c r="S37" s="851"/>
    </row>
    <row r="38" spans="1:21" ht="15" customHeight="1">
      <c r="B38" s="1804" t="s">
        <v>2379</v>
      </c>
      <c r="C38" s="1804"/>
      <c r="D38" s="1804"/>
      <c r="E38" s="1804"/>
      <c r="F38" s="850"/>
      <c r="G38" s="389">
        <f>D110</f>
        <v>3683668.6432957631</v>
      </c>
      <c r="H38" s="276"/>
      <c r="I38" s="390"/>
      <c r="J38" s="276"/>
      <c r="K38" s="1811" t="s">
        <v>2380</v>
      </c>
      <c r="L38" s="1811"/>
      <c r="M38" s="1811"/>
      <c r="N38" s="1811"/>
      <c r="O38" s="1811"/>
      <c r="P38" s="1811"/>
      <c r="Q38" s="1811"/>
      <c r="R38" s="1811"/>
      <c r="S38" s="1811"/>
    </row>
    <row r="39" spans="1:21" ht="15" customHeight="1">
      <c r="B39" s="1805" t="s">
        <v>2381</v>
      </c>
      <c r="C39" s="1805"/>
      <c r="D39" s="1805"/>
      <c r="E39" s="1805"/>
      <c r="F39" s="850"/>
      <c r="G39" s="843"/>
      <c r="H39" s="276"/>
      <c r="I39" s="390"/>
      <c r="J39" s="276"/>
      <c r="K39" s="1811"/>
      <c r="L39" s="1811"/>
      <c r="M39" s="1811"/>
      <c r="N39" s="1811"/>
      <c r="O39" s="1811"/>
      <c r="P39" s="1811"/>
      <c r="Q39" s="1811"/>
      <c r="R39" s="1811"/>
      <c r="S39" s="1811"/>
    </row>
    <row r="40" spans="1:21" ht="15" customHeight="1">
      <c r="B40" s="1805" t="s">
        <v>2382</v>
      </c>
      <c r="C40" s="1805"/>
      <c r="D40" s="1805"/>
      <c r="E40" s="1805"/>
      <c r="F40" s="850"/>
      <c r="G40" s="843"/>
      <c r="H40" s="276"/>
      <c r="I40" s="390"/>
      <c r="J40" s="276"/>
      <c r="K40" s="1811"/>
      <c r="L40" s="1811"/>
      <c r="M40" s="1811"/>
      <c r="N40" s="1811"/>
      <c r="O40" s="1811"/>
      <c r="P40" s="1811"/>
      <c r="Q40" s="1811"/>
      <c r="R40" s="1811"/>
      <c r="S40" s="1811"/>
    </row>
    <row r="41" spans="1:21" ht="15" customHeight="1">
      <c r="B41" s="1806" t="s">
        <v>2383</v>
      </c>
      <c r="C41" s="1806"/>
      <c r="D41" s="1806"/>
      <c r="E41" s="1806"/>
      <c r="F41" s="850"/>
      <c r="G41" s="276"/>
      <c r="H41" s="276"/>
      <c r="I41" s="390"/>
      <c r="J41" s="276"/>
      <c r="K41" s="1810" t="s">
        <v>325</v>
      </c>
      <c r="L41" s="1810"/>
      <c r="M41" s="1810"/>
      <c r="N41" s="1810"/>
      <c r="O41" s="1810"/>
      <c r="P41" s="1810"/>
      <c r="Q41" s="1810"/>
      <c r="R41" s="1810"/>
      <c r="S41" s="1810"/>
    </row>
    <row r="42" spans="1:21" ht="15" customHeight="1">
      <c r="B42" s="484" t="str">
        <f>Application!C620</f>
        <v>Contra Costa County HOME ARP</v>
      </c>
      <c r="C42" s="484"/>
      <c r="D42" s="479"/>
      <c r="E42" s="842">
        <f>Application!AO620</f>
        <v>4382047</v>
      </c>
      <c r="F42" s="850"/>
      <c r="G42" s="276"/>
      <c r="H42" s="276"/>
      <c r="I42" s="390"/>
      <c r="J42" s="276"/>
      <c r="K42" s="1809"/>
      <c r="L42" s="1809"/>
      <c r="M42" s="1809"/>
      <c r="N42" s="1809"/>
      <c r="O42" s="1809"/>
      <c r="Q42" s="1812"/>
      <c r="R42" s="1812"/>
      <c r="U42" s="581" t="s">
        <v>325</v>
      </c>
    </row>
    <row r="43" spans="1:21" ht="15" customHeight="1">
      <c r="B43" s="484" t="str">
        <f>Application!C621</f>
        <v>Contra Costa County PLHA</v>
      </c>
      <c r="C43" s="484"/>
      <c r="D43" s="375"/>
      <c r="E43" s="842">
        <f>Application!AO621</f>
        <v>1000000</v>
      </c>
      <c r="F43" s="850"/>
      <c r="G43" s="276"/>
      <c r="H43" s="276"/>
      <c r="I43" s="390"/>
      <c r="J43" s="276"/>
      <c r="L43" s="276"/>
      <c r="M43" s="269"/>
      <c r="N43" s="269"/>
      <c r="O43" s="269"/>
      <c r="Q43" s="852"/>
      <c r="R43" s="852"/>
      <c r="U43" s="581" t="s">
        <v>2384</v>
      </c>
    </row>
    <row r="44" spans="1:21" ht="15" customHeight="1">
      <c r="B44" s="484" t="str">
        <f>Application!C622</f>
        <v>Contra Costa County Measure X</v>
      </c>
      <c r="C44" s="484"/>
      <c r="D44" s="375"/>
      <c r="E44" s="842">
        <f>Application!AO622</f>
        <v>1421000</v>
      </c>
      <c r="F44" s="850"/>
      <c r="G44" s="276"/>
      <c r="H44" s="276"/>
      <c r="I44" s="390"/>
      <c r="K44" s="275" t="s">
        <v>2385</v>
      </c>
      <c r="Q44" s="1812"/>
      <c r="R44" s="1812"/>
    </row>
    <row r="45" spans="1:21" ht="15" customHeight="1">
      <c r="B45" s="484" t="str">
        <f>Application!C623</f>
        <v>City of Richmond</v>
      </c>
      <c r="C45" s="484"/>
      <c r="D45" s="375"/>
      <c r="E45" s="842">
        <f>Application!AO623</f>
        <v>1144947</v>
      </c>
      <c r="F45" s="850"/>
      <c r="G45" s="276"/>
      <c r="H45" s="276"/>
      <c r="I45" s="390"/>
      <c r="K45" s="280" t="s">
        <v>2386</v>
      </c>
      <c r="L45" s="280"/>
      <c r="M45" s="276"/>
      <c r="N45" s="276"/>
      <c r="O45" s="276"/>
      <c r="P45" s="276"/>
    </row>
    <row r="46" spans="1:21" ht="15" customHeight="1">
      <c r="B46" s="484" t="str">
        <f>Application!C624</f>
        <v>City of Richmond Grant</v>
      </c>
      <c r="C46" s="484"/>
      <c r="D46" s="375"/>
      <c r="E46" s="842">
        <f>Application!AO624</f>
        <v>349072</v>
      </c>
      <c r="F46" s="850"/>
      <c r="G46" s="276"/>
      <c r="H46" s="276"/>
      <c r="I46" s="390"/>
      <c r="J46" s="276"/>
      <c r="K46" s="1786" t="s">
        <v>2387</v>
      </c>
      <c r="L46" s="1786"/>
      <c r="M46" s="1786"/>
      <c r="N46" s="1786"/>
      <c r="O46" s="1786"/>
      <c r="Q46" s="1783"/>
      <c r="R46" s="1783"/>
    </row>
    <row r="47" spans="1:21" ht="15" customHeight="1">
      <c r="B47" s="484" t="str">
        <f>Application!C625</f>
        <v>DTSC</v>
      </c>
      <c r="C47" s="484"/>
      <c r="D47" s="375"/>
      <c r="E47" s="842">
        <f>Application!AO625</f>
        <v>464940</v>
      </c>
      <c r="F47" s="850"/>
      <c r="G47" s="276"/>
      <c r="H47" s="276"/>
      <c r="I47" s="390"/>
      <c r="J47" s="276"/>
      <c r="K47" s="1787" t="s">
        <v>2388</v>
      </c>
      <c r="L47" s="1787"/>
      <c r="M47" s="1787"/>
      <c r="N47" s="1787"/>
      <c r="O47" s="1787"/>
      <c r="Q47" s="1785"/>
      <c r="R47" s="1785"/>
    </row>
    <row r="48" spans="1:21" ht="15" customHeight="1">
      <c r="B48" s="484" t="str">
        <f>Application!C626</f>
        <v>No Place Like Home</v>
      </c>
      <c r="C48" s="484"/>
      <c r="D48" s="375"/>
      <c r="E48" s="842">
        <f>Application!AO626</f>
        <v>3068780</v>
      </c>
      <c r="F48" s="850"/>
      <c r="G48" s="276"/>
      <c r="H48" s="276"/>
      <c r="I48" s="390"/>
      <c r="J48" s="276"/>
      <c r="K48" s="1784" t="s">
        <v>2389</v>
      </c>
      <c r="L48" s="1784"/>
      <c r="M48" s="1784"/>
      <c r="N48" s="1784"/>
      <c r="O48" s="1784"/>
      <c r="Q48" s="1786">
        <f>Q46+Q47</f>
        <v>0</v>
      </c>
      <c r="R48" s="1786"/>
    </row>
    <row r="49" spans="1:29" ht="15" customHeight="1">
      <c r="B49" s="484" t="s">
        <v>1379</v>
      </c>
      <c r="C49" s="484"/>
      <c r="D49" s="375"/>
      <c r="E49" s="842">
        <f>+[1]EVERYTHING!$C$7</f>
        <v>2650000</v>
      </c>
      <c r="F49" s="850"/>
      <c r="G49" s="276"/>
      <c r="H49" s="276"/>
      <c r="I49" s="390"/>
      <c r="J49" s="276"/>
    </row>
    <row r="50" spans="1:29" ht="15" customHeight="1">
      <c r="B50" s="481" t="s">
        <v>2390</v>
      </c>
      <c r="C50" s="481"/>
      <c r="D50" s="483"/>
      <c r="E50" s="482">
        <f>MAX(IF('Sources and Uses Budget'!B15="",0,'Sources and Uses Budget'!B15),IF(Application!AG387="",0,Application!AG387))</f>
        <v>0</v>
      </c>
      <c r="F50" s="850"/>
      <c r="G50" s="276"/>
      <c r="H50" s="276"/>
      <c r="I50" s="390"/>
      <c r="J50" s="276"/>
    </row>
    <row r="51" spans="1:29" ht="15" customHeight="1">
      <c r="B51" s="480" t="s">
        <v>2391</v>
      </c>
      <c r="C51" s="480"/>
      <c r="D51" s="483"/>
      <c r="E51" s="482"/>
      <c r="F51" s="850"/>
      <c r="G51" s="276"/>
      <c r="H51" s="276"/>
      <c r="I51" s="390"/>
      <c r="J51" s="276"/>
    </row>
    <row r="52" spans="1:29" ht="15" customHeight="1">
      <c r="B52" s="1804" t="s">
        <v>2392</v>
      </c>
      <c r="C52" s="1804"/>
      <c r="D52" s="1804"/>
      <c r="E52" s="1804"/>
      <c r="F52" s="850"/>
      <c r="G52" s="389">
        <f>SUM(E42:E49)-ABS(E50)-ABS(E51)</f>
        <v>14480786</v>
      </c>
      <c r="H52" s="276"/>
      <c r="I52" s="390"/>
      <c r="J52" s="276"/>
    </row>
    <row r="53" spans="1:29" ht="15" customHeight="1">
      <c r="C53" s="392"/>
      <c r="D53" s="392" t="s">
        <v>1482</v>
      </c>
      <c r="E53" s="392"/>
      <c r="F53" s="392"/>
      <c r="G53" s="393">
        <f>SUM(G38:G40)+G52</f>
        <v>18164454.643295765</v>
      </c>
      <c r="H53" s="391"/>
      <c r="I53" s="390"/>
      <c r="J53" s="276"/>
      <c r="K53" s="276"/>
      <c r="L53" s="276"/>
    </row>
    <row r="54" spans="1:29" ht="15" customHeight="1">
      <c r="B54" s="394"/>
      <c r="C54" s="394"/>
      <c r="D54" s="394"/>
      <c r="E54" s="394"/>
      <c r="F54" s="394"/>
      <c r="G54" s="394"/>
      <c r="H54" s="287"/>
      <c r="I54" s="844"/>
      <c r="J54" s="844"/>
      <c r="K54" s="844"/>
      <c r="L54" s="844"/>
      <c r="M54" s="844"/>
      <c r="N54" s="844"/>
      <c r="O54" s="287"/>
      <c r="P54" s="287"/>
      <c r="Q54" s="287"/>
      <c r="R54" s="287"/>
    </row>
    <row r="55" spans="1:29" ht="15" customHeight="1">
      <c r="B55" s="850"/>
      <c r="C55" s="850"/>
      <c r="D55" s="850"/>
      <c r="E55" s="850"/>
      <c r="F55" s="850"/>
      <c r="G55" s="850"/>
      <c r="H55" s="850"/>
      <c r="I55" s="850"/>
      <c r="J55" s="850"/>
      <c r="K55" s="850"/>
      <c r="L55" s="850"/>
      <c r="M55" s="850"/>
      <c r="N55" s="850"/>
      <c r="O55" s="850"/>
      <c r="P55" s="850"/>
      <c r="U55" s="581" t="s">
        <v>325</v>
      </c>
      <c r="AC55" s="581" t="s">
        <v>2156</v>
      </c>
    </row>
    <row r="56" spans="1:29" ht="15" customHeight="1">
      <c r="B56" s="1807" t="s">
        <v>2393</v>
      </c>
      <c r="C56" s="1807"/>
      <c r="D56" s="850"/>
      <c r="E56" s="850"/>
      <c r="F56" s="850"/>
      <c r="G56" s="850"/>
      <c r="H56" s="850"/>
      <c r="I56" s="850"/>
      <c r="J56" s="850"/>
      <c r="K56" s="850"/>
      <c r="L56" s="850"/>
      <c r="M56" s="850"/>
      <c r="N56" s="850"/>
      <c r="O56" s="850"/>
      <c r="P56" s="850"/>
      <c r="U56" s="750" t="s">
        <v>2394</v>
      </c>
      <c r="AC56" s="751">
        <v>0.2</v>
      </c>
    </row>
    <row r="57" spans="1:29" ht="15" customHeight="1">
      <c r="A57" s="391"/>
      <c r="B57" s="1808" t="s">
        <v>2395</v>
      </c>
      <c r="C57" s="1808"/>
      <c r="D57" s="1808"/>
      <c r="E57" s="1808"/>
      <c r="F57" s="1808"/>
      <c r="G57" s="1808"/>
      <c r="H57" s="1808"/>
      <c r="I57" s="1808"/>
      <c r="J57" s="1808"/>
      <c r="K57" s="1808"/>
      <c r="L57" s="1808"/>
      <c r="M57" s="1808"/>
      <c r="N57" s="1808"/>
      <c r="O57" s="1808"/>
      <c r="P57" s="850"/>
      <c r="U57" s="750" t="s">
        <v>2396</v>
      </c>
      <c r="AC57" s="751">
        <v>0.1</v>
      </c>
    </row>
    <row r="58" spans="1:29" ht="15" customHeight="1">
      <c r="B58" s="1799" t="s">
        <v>2397</v>
      </c>
      <c r="C58" s="1800"/>
      <c r="D58" s="1800"/>
      <c r="E58" s="1800"/>
      <c r="F58" s="395"/>
      <c r="G58" s="395"/>
      <c r="H58" s="387"/>
      <c r="I58" s="387"/>
      <c r="J58" s="1801">
        <f>('Sources and Uses Budget'!D104+Q47)/('Sources and Uses Budget'!B104+Q48)</f>
        <v>0</v>
      </c>
      <c r="K58" s="1802"/>
      <c r="L58" s="1802"/>
      <c r="M58" s="1802"/>
      <c r="N58" s="1803"/>
      <c r="O58" s="387"/>
      <c r="P58" s="387"/>
      <c r="U58" s="750" t="s">
        <v>2398</v>
      </c>
      <c r="AC58" s="751">
        <v>0.1</v>
      </c>
    </row>
    <row r="59" spans="1:29" ht="15" customHeight="1">
      <c r="B59" s="1782" t="s">
        <v>2399</v>
      </c>
      <c r="C59" s="1782"/>
      <c r="D59" s="1782"/>
      <c r="E59" s="1782"/>
      <c r="F59" s="1782"/>
      <c r="G59" s="1782"/>
      <c r="H59" s="1782"/>
      <c r="I59" s="1782"/>
      <c r="J59" s="1782"/>
      <c r="K59" s="1782"/>
      <c r="L59" s="1782"/>
      <c r="M59" s="1782"/>
      <c r="N59" s="1782"/>
      <c r="O59" s="1782"/>
      <c r="P59" s="387"/>
      <c r="U59" s="750" t="s">
        <v>2400</v>
      </c>
      <c r="AC59" s="751">
        <v>0.05</v>
      </c>
    </row>
    <row r="60" spans="1:29" ht="15" customHeight="1">
      <c r="B60" s="1782"/>
      <c r="C60" s="1782"/>
      <c r="D60" s="1782"/>
      <c r="E60" s="1782"/>
      <c r="F60" s="1782"/>
      <c r="G60" s="1782"/>
      <c r="H60" s="1782"/>
      <c r="I60" s="1782"/>
      <c r="J60" s="1782"/>
      <c r="K60" s="1782"/>
      <c r="L60" s="1782"/>
      <c r="M60" s="1782"/>
      <c r="N60" s="1782"/>
      <c r="O60" s="1782"/>
      <c r="P60" s="387"/>
      <c r="AC60" s="752"/>
    </row>
    <row r="61" spans="1:29" ht="15" customHeight="1">
      <c r="B61" s="1808" t="s">
        <v>2401</v>
      </c>
      <c r="C61" s="1808"/>
      <c r="D61" s="1808"/>
      <c r="E61" s="1808"/>
      <c r="F61" s="1808"/>
      <c r="G61" s="1808"/>
      <c r="H61" s="1808"/>
      <c r="I61" s="1808"/>
      <c r="J61" s="1808"/>
      <c r="K61" s="1808"/>
      <c r="L61" s="1808"/>
      <c r="M61" s="1808"/>
      <c r="N61" s="1808"/>
      <c r="O61" s="1808"/>
      <c r="P61" s="387"/>
    </row>
    <row r="62" spans="1:29" ht="15" customHeight="1">
      <c r="B62" s="287"/>
      <c r="C62" s="287"/>
      <c r="D62" s="287"/>
      <c r="E62" s="287"/>
      <c r="F62" s="287"/>
      <c r="G62" s="287"/>
      <c r="H62" s="287"/>
      <c r="I62" s="287"/>
      <c r="J62" s="287"/>
      <c r="K62" s="287"/>
      <c r="L62" s="287"/>
      <c r="M62" s="287"/>
      <c r="N62" s="287"/>
      <c r="O62" s="287"/>
      <c r="P62" s="287"/>
      <c r="Q62" s="287"/>
      <c r="R62" s="287"/>
    </row>
    <row r="63" spans="1:29" ht="15" customHeight="1" thickBot="1">
      <c r="B63" s="269"/>
      <c r="C63" s="269"/>
      <c r="D63" s="269"/>
      <c r="E63" s="275"/>
      <c r="F63" s="269"/>
      <c r="G63" s="269"/>
      <c r="H63" s="269"/>
      <c r="I63" s="584"/>
      <c r="J63" s="1814" t="s">
        <v>2402</v>
      </c>
      <c r="K63" s="1815"/>
      <c r="L63" s="1815"/>
      <c r="M63" s="1815"/>
      <c r="N63" s="1815"/>
      <c r="O63" s="1815"/>
      <c r="P63" s="1815"/>
      <c r="Q63" s="1815"/>
      <c r="R63" s="1815"/>
    </row>
    <row r="64" spans="1:29" ht="15" customHeight="1" thickBot="1">
      <c r="B64" s="1807" t="s">
        <v>2403</v>
      </c>
      <c r="C64" s="1807"/>
      <c r="D64" s="269"/>
      <c r="F64" s="269"/>
      <c r="G64" s="392" t="s">
        <v>2404</v>
      </c>
      <c r="H64" s="269"/>
      <c r="I64" s="585"/>
      <c r="J64" s="1816"/>
      <c r="K64" s="1817"/>
      <c r="L64" s="1817"/>
      <c r="M64" s="1817"/>
      <c r="N64" s="1817"/>
      <c r="O64" s="1817"/>
      <c r="P64" s="1817"/>
      <c r="Q64" s="1817"/>
      <c r="R64" s="1817"/>
      <c r="U64" s="749">
        <f>IF(K41="Rural project in a county where no tax credit applications have been received within 5 years",AC59,0)</f>
        <v>0</v>
      </c>
    </row>
    <row r="65" spans="1:22" ht="15" customHeight="1" thickBot="1">
      <c r="B65" s="847" t="s">
        <v>2405</v>
      </c>
      <c r="C65" s="383" t="str">
        <f>IF(OR(Application!M349="Yes",Application!M350="Yes"),"Yes","No")</f>
        <v>Yes</v>
      </c>
      <c r="E65" s="610"/>
      <c r="F65" s="610"/>
      <c r="G65" s="392" t="s">
        <v>2406</v>
      </c>
      <c r="H65" s="269"/>
      <c r="I65" s="585"/>
      <c r="J65" s="1816"/>
      <c r="K65" s="1817"/>
      <c r="L65" s="1817"/>
      <c r="M65" s="1817"/>
      <c r="N65" s="1817"/>
      <c r="O65" s="1817"/>
      <c r="P65" s="1817"/>
      <c r="Q65" s="1817"/>
      <c r="R65" s="1817"/>
      <c r="U65" s="749">
        <f>IF(J67="Non-rural project, Census Tract is Highest Resource (20 percentage points)",AC56,0)</f>
        <v>0</v>
      </c>
    </row>
    <row r="66" spans="1:22" ht="15" customHeight="1" thickBot="1">
      <c r="B66" s="396" t="s">
        <v>2407</v>
      </c>
      <c r="C66" s="488">
        <f>Application!AG430-Application!AG431</f>
        <v>43</v>
      </c>
      <c r="D66" s="610"/>
      <c r="E66" s="396" t="s">
        <v>2408</v>
      </c>
      <c r="F66" s="610"/>
      <c r="G66" s="497"/>
      <c r="H66" s="851"/>
      <c r="I66" s="586"/>
      <c r="J66" s="1816"/>
      <c r="K66" s="1817"/>
      <c r="L66" s="1817"/>
      <c r="M66" s="1817"/>
      <c r="N66" s="1817"/>
      <c r="O66" s="1817"/>
      <c r="P66" s="1817"/>
      <c r="Q66" s="1817"/>
      <c r="R66" s="1817"/>
      <c r="U66" s="749">
        <f>IF(J67="Non-rural project, Census Tract is High Resource (10 percentage points)",AC57,0)</f>
        <v>0</v>
      </c>
    </row>
    <row r="67" spans="1:22" ht="15" customHeight="1" thickBot="1">
      <c r="B67" s="396" t="s">
        <v>2409</v>
      </c>
      <c r="C67" s="489">
        <f>MIN(IF(AND(C65="Yes",G67&gt;=50),(0.75+(G67/200)),1),1.5)</f>
        <v>1</v>
      </c>
      <c r="D67" s="851"/>
      <c r="E67" s="396" t="s">
        <v>2410</v>
      </c>
      <c r="G67" s="488">
        <f>C66+G66</f>
        <v>43</v>
      </c>
      <c r="H67" s="851"/>
      <c r="I67" s="586"/>
      <c r="J67" s="1813" t="s">
        <v>325</v>
      </c>
      <c r="K67" s="1810"/>
      <c r="L67" s="1810"/>
      <c r="M67" s="1810"/>
      <c r="N67" s="1810"/>
      <c r="O67" s="1810"/>
      <c r="P67" s="1810"/>
      <c r="Q67" s="1810"/>
      <c r="R67" s="1810"/>
      <c r="U67" s="749">
        <f>IF(J67="Rural project, Census Tract is Highest Resource (10 percentage points)",AC58,0)</f>
        <v>0</v>
      </c>
    </row>
    <row r="68" spans="1:22" ht="15" customHeight="1" thickBot="1">
      <c r="B68" s="287"/>
      <c r="C68" s="287"/>
      <c r="D68" s="287"/>
      <c r="E68" s="287"/>
      <c r="F68" s="287"/>
      <c r="G68" s="287"/>
      <c r="H68" s="287"/>
      <c r="I68" s="587"/>
      <c r="J68" s="287"/>
      <c r="K68" s="287"/>
      <c r="L68" s="287"/>
      <c r="M68" s="287"/>
      <c r="N68" s="287"/>
      <c r="O68" s="287"/>
      <c r="P68" s="287"/>
      <c r="Q68" s="287"/>
      <c r="R68" s="287"/>
      <c r="U68" s="749">
        <f>IF(J67="Rural project, Census Tract is High Resource (5 percentage points)",AC59,0)</f>
        <v>0</v>
      </c>
    </row>
    <row r="69" spans="1:22" ht="15" customHeight="1">
      <c r="U69" s="1796">
        <f>SUM(U62:U68)</f>
        <v>0</v>
      </c>
    </row>
    <row r="70" spans="1:22" ht="15" customHeight="1" thickBot="1">
      <c r="B70" s="379" t="s">
        <v>2411</v>
      </c>
      <c r="C70" s="379"/>
      <c r="D70" s="379"/>
      <c r="E70" s="379"/>
      <c r="F70" s="379"/>
      <c r="G70" s="379"/>
      <c r="U70" s="1797"/>
      <c r="V70" s="266" t="s">
        <v>2412</v>
      </c>
    </row>
    <row r="71" spans="1:22" ht="15" customHeight="1">
      <c r="B71" s="1804" t="s">
        <v>2413</v>
      </c>
      <c r="C71" s="1804"/>
      <c r="D71" s="1804"/>
      <c r="E71" s="379"/>
      <c r="F71" s="379"/>
      <c r="G71" s="389">
        <f>G53*(1-J58)</f>
        <v>18164454.643295765</v>
      </c>
      <c r="J71" s="397"/>
      <c r="K71" s="849" t="s">
        <v>2373</v>
      </c>
      <c r="L71" s="849"/>
      <c r="M71" s="849"/>
      <c r="N71" s="849"/>
      <c r="O71" s="849"/>
      <c r="Q71" s="1786">
        <f>'Basis &amp; Credits'!T23+'Basis &amp; Credits'!Y23+'Basis &amp; Credits'!AD23+'Basis &amp; Credits'!AI23</f>
        <v>20310522.604807153</v>
      </c>
      <c r="R71" s="1786"/>
    </row>
    <row r="72" spans="1:22" ht="15" customHeight="1">
      <c r="B72" s="1818" t="s">
        <v>2414</v>
      </c>
      <c r="C72" s="1818"/>
      <c r="D72" s="1818"/>
      <c r="E72" s="379"/>
      <c r="F72" s="379"/>
      <c r="G72" s="389">
        <f>G71*C67</f>
        <v>18164454.643295765</v>
      </c>
      <c r="J72" s="397"/>
      <c r="K72" s="850"/>
      <c r="L72" s="850"/>
      <c r="M72" s="850"/>
      <c r="N72" s="850"/>
      <c r="O72" s="850"/>
      <c r="Q72" s="1812"/>
      <c r="R72" s="1812"/>
    </row>
    <row r="73" spans="1:22" ht="15" customHeight="1">
      <c r="B73" s="485"/>
      <c r="C73" s="486"/>
      <c r="D73" s="393"/>
      <c r="E73" s="379"/>
      <c r="F73" s="379"/>
      <c r="G73" s="276"/>
      <c r="J73" s="397"/>
    </row>
    <row r="74" spans="1:22" ht="15" customHeight="1" thickBot="1">
      <c r="B74" s="379"/>
      <c r="C74" s="379"/>
      <c r="D74" s="379"/>
      <c r="E74" s="379"/>
      <c r="F74" s="379"/>
      <c r="G74" s="379"/>
    </row>
    <row r="75" spans="1:22" ht="15" customHeight="1">
      <c r="A75" s="391"/>
      <c r="B75" s="1819">
        <f>$G$72</f>
        <v>18164454.643295765</v>
      </c>
      <c r="C75" s="1865"/>
      <c r="D75" s="1865"/>
      <c r="E75" s="1865"/>
      <c r="F75" s="1865"/>
      <c r="G75" s="1865"/>
      <c r="H75" s="398"/>
      <c r="I75" s="1792" t="s">
        <v>2374</v>
      </c>
      <c r="J75" s="1793" t="s">
        <v>2375</v>
      </c>
      <c r="K75" s="1792">
        <v>1</v>
      </c>
      <c r="M75" s="287"/>
      <c r="N75" s="381"/>
      <c r="O75" s="853">
        <f>$Q$71</f>
        <v>20310522.604807153</v>
      </c>
      <c r="P75" s="1793" t="s">
        <v>2376</v>
      </c>
      <c r="Q75" s="1820" t="s">
        <v>2415</v>
      </c>
      <c r="R75" s="1822">
        <f>((B75/B76)+((1-(O75/O76))/2))+U69</f>
        <v>0.69551897038682275</v>
      </c>
    </row>
    <row r="76" spans="1:22" ht="15" customHeight="1" thickBot="1">
      <c r="B76" s="1821">
        <f>'Sources and Uses Budget'!$C$104+$Q$46-($E$50+$E$51)*(1-$J$58)</f>
        <v>40963765.945813194</v>
      </c>
      <c r="C76" s="1866"/>
      <c r="D76" s="1866"/>
      <c r="E76" s="1866"/>
      <c r="F76" s="1866"/>
      <c r="G76" s="1821"/>
      <c r="I76" s="1792"/>
      <c r="J76" s="1793"/>
      <c r="K76" s="1792"/>
      <c r="M76" s="845"/>
      <c r="O76" s="498">
        <f>B76</f>
        <v>40963765.945813194</v>
      </c>
      <c r="P76" s="1793"/>
      <c r="Q76" s="1820"/>
      <c r="R76" s="1823"/>
    </row>
    <row r="77" spans="1:22" ht="15" customHeight="1">
      <c r="B77" s="287"/>
      <c r="C77" s="287"/>
      <c r="D77" s="287"/>
      <c r="E77" s="287"/>
      <c r="F77" s="287"/>
      <c r="G77" s="287"/>
      <c r="H77" s="287"/>
      <c r="I77" s="287"/>
      <c r="J77" s="287"/>
      <c r="K77" s="287"/>
      <c r="L77" s="287"/>
      <c r="M77" s="287"/>
      <c r="N77" s="287"/>
      <c r="O77" s="287"/>
      <c r="P77" s="287"/>
      <c r="Q77" s="287"/>
    </row>
    <row r="79" spans="1:22" ht="15" customHeight="1">
      <c r="B79" s="848" t="s">
        <v>2416</v>
      </c>
      <c r="C79" s="269"/>
      <c r="D79" s="269"/>
      <c r="E79" s="269"/>
      <c r="F79" s="269"/>
      <c r="G79" s="269"/>
      <c r="H79" s="269"/>
      <c r="I79" s="269"/>
      <c r="J79" s="269"/>
      <c r="K79" s="269"/>
      <c r="L79" s="269"/>
      <c r="M79" s="269"/>
      <c r="N79" s="269"/>
      <c r="O79" s="269"/>
      <c r="P79" s="269"/>
      <c r="Q79" s="269"/>
      <c r="R79" s="269"/>
    </row>
    <row r="80" spans="1:22" ht="15" customHeight="1">
      <c r="C80" s="848"/>
      <c r="D80" s="848"/>
      <c r="E80" s="848"/>
      <c r="F80" s="848"/>
      <c r="G80" s="848"/>
      <c r="H80" s="848"/>
      <c r="I80" s="848"/>
      <c r="J80" s="848"/>
      <c r="K80" s="848"/>
      <c r="L80" s="848"/>
      <c r="M80" s="848"/>
      <c r="N80" s="848"/>
      <c r="O80" s="848"/>
    </row>
    <row r="81" spans="2:18" ht="15" customHeight="1">
      <c r="B81" s="275" t="s">
        <v>2417</v>
      </c>
      <c r="C81" s="496"/>
      <c r="D81" s="496"/>
      <c r="E81" s="496"/>
      <c r="F81" s="496"/>
      <c r="H81" s="496"/>
      <c r="I81" s="390"/>
      <c r="J81" s="496"/>
      <c r="K81" s="275" t="s">
        <v>2418</v>
      </c>
      <c r="L81" s="496"/>
      <c r="M81" s="496"/>
      <c r="N81" s="496"/>
      <c r="O81" s="496"/>
    </row>
    <row r="82" spans="2:18" ht="15" customHeight="1">
      <c r="B82" s="601" t="s">
        <v>2419</v>
      </c>
      <c r="C82" s="593"/>
      <c r="D82" s="588"/>
      <c r="E82" s="593"/>
      <c r="F82" s="593"/>
      <c r="G82" s="594"/>
      <c r="I82" s="390"/>
    </row>
    <row r="83" spans="2:18" ht="15" customHeight="1">
      <c r="B83" s="599" t="s">
        <v>2420</v>
      </c>
      <c r="C83" s="593"/>
      <c r="D83" s="593"/>
      <c r="E83" s="591"/>
      <c r="F83" s="591"/>
      <c r="G83" s="594"/>
      <c r="I83" s="390"/>
      <c r="K83" s="582" t="s">
        <v>2421</v>
      </c>
    </row>
    <row r="84" spans="2:18" ht="15" customHeight="1">
      <c r="B84" s="600" t="s">
        <v>2422</v>
      </c>
      <c r="C84" s="595"/>
      <c r="D84" s="595"/>
      <c r="E84" s="589"/>
      <c r="F84" s="589"/>
      <c r="G84" s="596"/>
      <c r="I84" s="390"/>
      <c r="K84" s="582" t="s">
        <v>2423</v>
      </c>
      <c r="L84" s="496"/>
      <c r="M84" s="496"/>
      <c r="N84" s="496"/>
      <c r="O84" s="496"/>
      <c r="P84" s="496"/>
      <c r="Q84" s="1783"/>
      <c r="R84" s="1783"/>
    </row>
    <row r="85" spans="2:18" ht="15" customHeight="1">
      <c r="B85" s="600" t="s">
        <v>2424</v>
      </c>
      <c r="C85" s="597"/>
      <c r="D85" s="597"/>
      <c r="E85" s="592"/>
      <c r="F85" s="592"/>
      <c r="G85" s="598"/>
      <c r="I85" s="390"/>
      <c r="L85" s="522"/>
      <c r="M85" s="522"/>
      <c r="N85" s="522"/>
      <c r="O85" s="522"/>
      <c r="P85" s="522"/>
    </row>
    <row r="86" spans="2:18" ht="15" customHeight="1">
      <c r="B86" s="601" t="s">
        <v>2425</v>
      </c>
      <c r="C86" s="595"/>
      <c r="D86" s="595"/>
      <c r="E86" s="589"/>
      <c r="F86" s="589"/>
      <c r="G86" s="590"/>
      <c r="I86" s="390"/>
      <c r="L86" s="523"/>
      <c r="M86" s="523"/>
      <c r="N86" s="523"/>
      <c r="O86" s="611" t="s">
        <v>682</v>
      </c>
      <c r="P86" s="523"/>
    </row>
    <row r="87" spans="2:18" ht="15" customHeight="1">
      <c r="B87" s="601" t="s">
        <v>2426</v>
      </c>
      <c r="C87" s="597"/>
      <c r="D87" s="588"/>
      <c r="E87" s="593"/>
      <c r="F87" s="593"/>
      <c r="G87" s="614"/>
      <c r="I87" s="390"/>
    </row>
    <row r="88" spans="2:18" ht="15" customHeight="1">
      <c r="B88" s="612"/>
      <c r="C88" s="593"/>
      <c r="D88" s="593"/>
      <c r="E88" s="613" t="s">
        <v>2427</v>
      </c>
      <c r="F88" s="591"/>
      <c r="G88" s="591" t="s">
        <v>2428</v>
      </c>
      <c r="I88" s="390"/>
      <c r="K88" s="583" t="s">
        <v>2429</v>
      </c>
      <c r="L88" s="496"/>
      <c r="M88" s="496"/>
      <c r="N88" s="496"/>
      <c r="O88" s="496"/>
      <c r="P88" s="496"/>
    </row>
    <row r="89" spans="2:18" ht="15" customHeight="1">
      <c r="B89" s="399" t="s">
        <v>2353</v>
      </c>
      <c r="C89" s="400" t="s">
        <v>2430</v>
      </c>
      <c r="D89" s="602" t="s">
        <v>2431</v>
      </c>
      <c r="E89" s="602" t="s">
        <v>2432</v>
      </c>
      <c r="F89" s="382"/>
      <c r="G89" s="382" t="s">
        <v>2433</v>
      </c>
      <c r="I89" s="390"/>
      <c r="K89" s="583" t="s">
        <v>2434</v>
      </c>
      <c r="L89" s="522"/>
      <c r="M89" s="522"/>
      <c r="N89" s="522"/>
      <c r="O89" s="522"/>
      <c r="P89" s="522"/>
      <c r="Q89" s="1783"/>
      <c r="R89" s="1783"/>
    </row>
    <row r="90" spans="2:18" ht="15" customHeight="1">
      <c r="B90" s="367" t="s">
        <v>2435</v>
      </c>
      <c r="C90" s="368">
        <f>'Subsidy Contract Calculation'!B4</f>
        <v>13</v>
      </c>
      <c r="D90" s="369">
        <f>[1]EVERYTHING!$D$183</f>
        <v>1110</v>
      </c>
      <c r="E90" s="369">
        <f>[1]EVERYTHING!$E$183</f>
        <v>2054</v>
      </c>
      <c r="F90" s="407"/>
      <c r="G90" s="276">
        <f>MAX(($E90-$D90)*$C90*12,0)</f>
        <v>147264</v>
      </c>
      <c r="I90" s="390"/>
      <c r="K90" s="583" t="s">
        <v>2436</v>
      </c>
      <c r="L90" s="522"/>
      <c r="M90" s="522"/>
      <c r="N90" s="522"/>
      <c r="O90" s="522"/>
      <c r="P90" s="522"/>
      <c r="Q90" s="1824"/>
      <c r="R90" s="1824"/>
    </row>
    <row r="91" spans="2:18" ht="15" customHeight="1">
      <c r="B91" s="367" t="s">
        <v>2437</v>
      </c>
      <c r="C91" s="368">
        <f>'Subsidy Contract Calculation'!B8+'Subsidy Contract Calculation'!B9+'Subsidy Contract Calculation'!B10</f>
        <v>12</v>
      </c>
      <c r="D91" s="369">
        <f>[1]EVERYTHING!$D$185</f>
        <v>1538</v>
      </c>
      <c r="E91" s="369">
        <f>[1]EVERYTHING!$E$185</f>
        <v>3264</v>
      </c>
      <c r="F91" s="407"/>
      <c r="G91" s="276">
        <f t="shared" ref="G91:G97" si="0">MAX(($E91-$D91)*$C91*12,0)</f>
        <v>248544</v>
      </c>
      <c r="I91" s="390"/>
      <c r="K91" s="583" t="s">
        <v>2438</v>
      </c>
      <c r="L91" s="522"/>
      <c r="M91" s="522"/>
      <c r="N91" s="522"/>
      <c r="O91" s="522"/>
      <c r="P91" s="522"/>
      <c r="Q91" s="1787">
        <f>IFERROR(Q89/Q90,0)</f>
        <v>0</v>
      </c>
      <c r="R91" s="1787"/>
    </row>
    <row r="92" spans="2:18" ht="15" customHeight="1">
      <c r="B92" s="367" t="s">
        <v>936</v>
      </c>
      <c r="C92" s="368"/>
      <c r="D92" s="369"/>
      <c r="E92" s="369"/>
      <c r="F92" s="407"/>
      <c r="G92" s="276">
        <f t="shared" si="0"/>
        <v>0</v>
      </c>
      <c r="I92" s="390"/>
    </row>
    <row r="93" spans="2:18" ht="15" customHeight="1">
      <c r="B93" s="367" t="s">
        <v>936</v>
      </c>
      <c r="C93" s="368"/>
      <c r="D93" s="369"/>
      <c r="E93" s="369"/>
      <c r="F93" s="407"/>
      <c r="G93" s="276">
        <f t="shared" si="0"/>
        <v>0</v>
      </c>
      <c r="I93" s="390"/>
      <c r="K93" s="269" t="s">
        <v>2439</v>
      </c>
      <c r="L93" s="396"/>
      <c r="M93" s="396"/>
      <c r="N93" s="396"/>
      <c r="O93" s="396"/>
      <c r="P93" s="396"/>
      <c r="Q93" s="1786">
        <f>MAX(Q84,Q91)</f>
        <v>0</v>
      </c>
      <c r="R93" s="1786"/>
    </row>
    <row r="94" spans="2:18" ht="15" customHeight="1">
      <c r="B94" s="367" t="s">
        <v>936</v>
      </c>
      <c r="C94" s="368"/>
      <c r="D94" s="369"/>
      <c r="E94" s="369"/>
      <c r="F94" s="407"/>
      <c r="G94" s="276">
        <f t="shared" si="0"/>
        <v>0</v>
      </c>
      <c r="I94" s="390"/>
      <c r="K94" s="269"/>
      <c r="L94" s="396"/>
      <c r="M94" s="396"/>
      <c r="N94" s="396"/>
      <c r="O94" s="396"/>
      <c r="P94" s="396"/>
      <c r="Q94" s="852"/>
      <c r="R94" s="852"/>
    </row>
    <row r="95" spans="2:18" ht="15" customHeight="1">
      <c r="B95" s="367" t="s">
        <v>936</v>
      </c>
      <c r="C95" s="368"/>
      <c r="D95" s="369"/>
      <c r="E95" s="369"/>
      <c r="F95" s="407"/>
      <c r="G95" s="276">
        <f t="shared" si="0"/>
        <v>0</v>
      </c>
      <c r="I95" s="390"/>
      <c r="K95" s="269"/>
      <c r="L95" s="396"/>
      <c r="M95" s="396"/>
      <c r="N95" s="396"/>
      <c r="O95" s="396"/>
      <c r="P95" s="396"/>
      <c r="Q95" s="852"/>
      <c r="R95" s="852"/>
    </row>
    <row r="96" spans="2:18" ht="15" customHeight="1">
      <c r="B96" s="367" t="s">
        <v>936</v>
      </c>
      <c r="C96" s="368"/>
      <c r="D96" s="369"/>
      <c r="E96" s="369"/>
      <c r="F96" s="407"/>
      <c r="G96" s="276">
        <f t="shared" si="0"/>
        <v>0</v>
      </c>
      <c r="I96" s="390"/>
    </row>
    <row r="97" spans="2:9" ht="15" customHeight="1">
      <c r="B97" s="367" t="s">
        <v>936</v>
      </c>
      <c r="C97" s="368"/>
      <c r="D97" s="369"/>
      <c r="E97" s="369"/>
      <c r="F97" s="407"/>
      <c r="G97" s="276">
        <f t="shared" si="0"/>
        <v>0</v>
      </c>
      <c r="I97" s="390"/>
    </row>
    <row r="98" spans="2:9" ht="15" customHeight="1">
      <c r="C98" s="402"/>
      <c r="D98" s="269"/>
      <c r="E98" s="396" t="s">
        <v>2440</v>
      </c>
      <c r="F98" s="396"/>
      <c r="G98" s="393">
        <f>SUM(G90:G97)</f>
        <v>395808</v>
      </c>
      <c r="I98" s="390"/>
    </row>
    <row r="99" spans="2:9" ht="15" customHeight="1">
      <c r="I99" s="390"/>
    </row>
    <row r="100" spans="2:9" ht="15" customHeight="1">
      <c r="B100" s="269" t="s">
        <v>2441</v>
      </c>
      <c r="D100" s="852">
        <f>G98+Q93</f>
        <v>395808</v>
      </c>
      <c r="I100" s="390"/>
    </row>
    <row r="101" spans="2:9" ht="15" customHeight="1">
      <c r="B101" s="269" t="s">
        <v>2442</v>
      </c>
      <c r="D101" s="403">
        <v>0.05</v>
      </c>
      <c r="I101" s="390"/>
    </row>
    <row r="102" spans="2:9" ht="15" customHeight="1">
      <c r="B102" s="269" t="s">
        <v>2443</v>
      </c>
      <c r="D102" s="852">
        <f>D100-(D100*D101)</f>
        <v>376017.6</v>
      </c>
    </row>
    <row r="103" spans="2:9" ht="15" customHeight="1">
      <c r="B103" s="269" t="s">
        <v>2444</v>
      </c>
      <c r="D103" s="404"/>
    </row>
    <row r="104" spans="2:9" ht="15" customHeight="1">
      <c r="B104" s="269" t="s">
        <v>2445</v>
      </c>
      <c r="D104" s="852">
        <f>D102/D108</f>
        <v>326971.82608695654</v>
      </c>
    </row>
    <row r="106" spans="2:9" ht="15" customHeight="1">
      <c r="B106" s="269" t="s">
        <v>2446</v>
      </c>
      <c r="D106" s="269">
        <v>15</v>
      </c>
    </row>
    <row r="107" spans="2:9" ht="15" customHeight="1">
      <c r="B107" s="269" t="s">
        <v>2447</v>
      </c>
      <c r="D107" s="492">
        <v>0.04</v>
      </c>
    </row>
    <row r="108" spans="2:9" ht="15" customHeight="1">
      <c r="B108" s="269" t="s">
        <v>2448</v>
      </c>
      <c r="D108" s="405">
        <v>1.1499999999999999</v>
      </c>
    </row>
    <row r="109" spans="2:9" ht="15" customHeight="1">
      <c r="B109" s="269"/>
      <c r="C109" s="269"/>
      <c r="D109" s="406"/>
      <c r="E109" s="406"/>
      <c r="F109" s="406"/>
    </row>
    <row r="110" spans="2:9" ht="15" customHeight="1">
      <c r="B110" s="269" t="s">
        <v>2449</v>
      </c>
      <c r="C110" s="269"/>
      <c r="D110" s="487">
        <f>PV(D107/12,D106*12,-D104/12, ,0)</f>
        <v>3683668.6432957631</v>
      </c>
      <c r="E110" s="269"/>
      <c r="F110" s="269"/>
      <c r="G110" s="40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zoomScale="85" workbookViewId="0">
      <selection activeCell="R51" sqref="R51"/>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270" t="s">
        <v>2450</v>
      </c>
      <c r="B1" s="270"/>
      <c r="C1" s="780"/>
      <c r="D1" s="780"/>
      <c r="E1" s="780"/>
      <c r="F1" s="780"/>
      <c r="G1" s="780"/>
      <c r="H1" s="780"/>
      <c r="I1" s="780"/>
      <c r="J1" s="780"/>
      <c r="K1" s="780"/>
      <c r="L1" s="780"/>
      <c r="M1" s="780"/>
      <c r="N1" s="780"/>
      <c r="O1" s="780"/>
      <c r="P1" s="780"/>
      <c r="Q1" s="780"/>
      <c r="R1" s="780"/>
      <c r="S1" s="780"/>
      <c r="T1" s="780"/>
      <c r="U1" s="780"/>
      <c r="V1" s="780"/>
      <c r="W1" s="780"/>
      <c r="X1" s="780"/>
      <c r="Y1" s="780"/>
      <c r="Z1" s="780"/>
      <c r="AA1" s="780"/>
      <c r="AB1" s="780"/>
      <c r="AC1" s="780"/>
      <c r="AD1" s="780"/>
      <c r="AE1" s="780"/>
      <c r="AF1" s="780"/>
      <c r="AG1" s="780"/>
      <c r="AH1" s="780"/>
    </row>
    <row r="2" spans="1:34"/>
    <row r="3" spans="1:34" ht="15.75">
      <c r="A3" s="271" t="s">
        <v>2451</v>
      </c>
      <c r="B3" s="271"/>
      <c r="C3" s="296" t="s">
        <v>2452</v>
      </c>
      <c r="D3" s="779"/>
      <c r="E3" s="297" t="s">
        <v>2453</v>
      </c>
      <c r="F3" s="268"/>
      <c r="G3" s="297" t="s">
        <v>2454</v>
      </c>
      <c r="H3" s="268"/>
      <c r="I3" s="297" t="s">
        <v>2455</v>
      </c>
      <c r="J3" s="268"/>
      <c r="K3" s="297" t="s">
        <v>2456</v>
      </c>
      <c r="L3" s="268"/>
      <c r="M3" s="297" t="s">
        <v>2457</v>
      </c>
      <c r="N3" s="268"/>
      <c r="O3" s="297" t="s">
        <v>2458</v>
      </c>
      <c r="P3" s="268"/>
      <c r="Q3" s="297" t="s">
        <v>2459</v>
      </c>
      <c r="R3" s="268"/>
      <c r="S3" s="297" t="s">
        <v>2460</v>
      </c>
      <c r="T3" s="268"/>
      <c r="U3" s="297" t="s">
        <v>2461</v>
      </c>
      <c r="V3" s="268"/>
      <c r="W3" s="297" t="s">
        <v>2462</v>
      </c>
      <c r="X3" s="268"/>
      <c r="Y3" s="297" t="s">
        <v>2463</v>
      </c>
      <c r="Z3" s="268"/>
      <c r="AA3" s="297" t="s">
        <v>2464</v>
      </c>
      <c r="AB3" s="268"/>
      <c r="AC3" s="297" t="s">
        <v>2465</v>
      </c>
      <c r="AD3" s="268"/>
      <c r="AE3" s="297" t="s">
        <v>2466</v>
      </c>
      <c r="AF3" s="268"/>
      <c r="AG3" s="297" t="s">
        <v>2467</v>
      </c>
      <c r="AH3" s="779"/>
    </row>
    <row r="4" spans="1:34" ht="14.25">
      <c r="A4" s="276" t="s">
        <v>2468</v>
      </c>
      <c r="B4" s="276"/>
      <c r="C4" s="299">
        <v>1.0249999999999999</v>
      </c>
      <c r="D4" s="276"/>
      <c r="E4" s="276">
        <f>Application!Y765</f>
        <v>702516</v>
      </c>
      <c r="F4" s="276"/>
      <c r="G4" s="276">
        <f>E4*$C$4</f>
        <v>720078.89999999991</v>
      </c>
      <c r="H4" s="276"/>
      <c r="I4" s="276">
        <f>G4*$C$4</f>
        <v>738080.87249999982</v>
      </c>
      <c r="J4" s="276"/>
      <c r="K4" s="276">
        <f>I4*$C$4</f>
        <v>756532.89431249979</v>
      </c>
      <c r="L4" s="276"/>
      <c r="M4" s="276">
        <f>K4*$C$4</f>
        <v>775446.21667031222</v>
      </c>
      <c r="N4" s="276"/>
      <c r="O4" s="276">
        <f>M4*$C$4</f>
        <v>794832.3720870699</v>
      </c>
      <c r="P4" s="276"/>
      <c r="Q4" s="276">
        <f>O4*$C$4</f>
        <v>814703.1813892466</v>
      </c>
      <c r="R4" s="276"/>
      <c r="S4" s="276">
        <f>Q4*$C$4</f>
        <v>835070.76092397771</v>
      </c>
      <c r="T4" s="276"/>
      <c r="U4" s="276">
        <f>S4*$C$4</f>
        <v>855947.52994707704</v>
      </c>
      <c r="V4" s="276"/>
      <c r="W4" s="276">
        <f>U4*$C$4</f>
        <v>877346.21819575387</v>
      </c>
      <c r="X4" s="276"/>
      <c r="Y4" s="276">
        <f>W4*$C$4</f>
        <v>899279.87365064758</v>
      </c>
      <c r="Z4" s="276"/>
      <c r="AA4" s="276">
        <f>Y4*$C$4</f>
        <v>921761.87049191364</v>
      </c>
      <c r="AB4" s="276"/>
      <c r="AC4" s="276">
        <f>AA4*$C$4</f>
        <v>944805.91725421138</v>
      </c>
      <c r="AD4" s="276"/>
      <c r="AE4" s="276">
        <f>AC4*$C$4</f>
        <v>968426.06518556655</v>
      </c>
      <c r="AF4" s="276"/>
      <c r="AG4" s="276">
        <f>AE4*$C$4</f>
        <v>992636.71681520564</v>
      </c>
      <c r="AH4" s="276"/>
    </row>
    <row r="5" spans="1:34" ht="14.25">
      <c r="A5" s="269"/>
      <c r="B5" s="269" t="s">
        <v>2442</v>
      </c>
      <c r="C5" s="914">
        <f>IF(Application!$D$214="Special Needs",0.1,0.05)</f>
        <v>0.05</v>
      </c>
      <c r="D5" s="269"/>
      <c r="E5" s="278">
        <f>-E4*$C$5</f>
        <v>-35125.800000000003</v>
      </c>
      <c r="F5" s="278"/>
      <c r="G5" s="278">
        <f>-G4*$C$5</f>
        <v>-36003.945</v>
      </c>
      <c r="H5" s="278"/>
      <c r="I5" s="278">
        <f>-I4*$C$5</f>
        <v>-36904.043624999991</v>
      </c>
      <c r="J5" s="278"/>
      <c r="K5" s="278">
        <f>-K4*$C$5</f>
        <v>-37826.644715624992</v>
      </c>
      <c r="L5" s="278"/>
      <c r="M5" s="278">
        <f>-M4*$C$5</f>
        <v>-38772.310833515614</v>
      </c>
      <c r="N5" s="278"/>
      <c r="O5" s="278">
        <f>-O4*$C$5</f>
        <v>-39741.618604353498</v>
      </c>
      <c r="P5" s="278"/>
      <c r="Q5" s="278">
        <f>-Q4*$C$5</f>
        <v>-40735.15906946233</v>
      </c>
      <c r="R5" s="278"/>
      <c r="S5" s="278">
        <f>-S4*$C$5</f>
        <v>-41753.53804619889</v>
      </c>
      <c r="T5" s="278"/>
      <c r="U5" s="278">
        <f>-U4*$C$5</f>
        <v>-42797.376497353856</v>
      </c>
      <c r="V5" s="278"/>
      <c r="W5" s="278">
        <f>-W4*$C$5</f>
        <v>-43867.310909787695</v>
      </c>
      <c r="X5" s="278"/>
      <c r="Y5" s="278">
        <f>-Y4*$C$5</f>
        <v>-44963.993682532382</v>
      </c>
      <c r="Z5" s="278"/>
      <c r="AA5" s="278">
        <f>-AA4*$C$5</f>
        <v>-46088.093524595686</v>
      </c>
      <c r="AB5" s="278"/>
      <c r="AC5" s="278">
        <f>-AC4*$C$5</f>
        <v>-47240.295862710569</v>
      </c>
      <c r="AD5" s="278"/>
      <c r="AE5" s="278">
        <f>-AE4*$C$5</f>
        <v>-48421.303259278327</v>
      </c>
      <c r="AF5" s="278"/>
      <c r="AG5" s="278">
        <f>-AG4*$C$5</f>
        <v>-49631.835840760286</v>
      </c>
      <c r="AH5" s="269"/>
    </row>
    <row r="6" spans="1:34" ht="14.25">
      <c r="A6" s="269" t="s">
        <v>2469</v>
      </c>
      <c r="B6" s="269"/>
      <c r="C6" s="299">
        <v>1.0249999999999999</v>
      </c>
      <c r="D6" s="269"/>
      <c r="E6" s="279">
        <f>Application!Z773</f>
        <v>374592</v>
      </c>
      <c r="F6" s="279"/>
      <c r="G6" s="279">
        <f>E6*$C$6</f>
        <v>383956.8</v>
      </c>
      <c r="H6" s="279"/>
      <c r="I6" s="279">
        <f>G6*$C$6</f>
        <v>393555.72</v>
      </c>
      <c r="J6" s="279"/>
      <c r="K6" s="279">
        <f>I6*$C$6</f>
        <v>403394.61299999995</v>
      </c>
      <c r="L6" s="279"/>
      <c r="M6" s="279">
        <f>K6*$C$6</f>
        <v>413479.47832499992</v>
      </c>
      <c r="N6" s="279"/>
      <c r="O6" s="279">
        <f>M6*$C$6</f>
        <v>423816.46528312488</v>
      </c>
      <c r="P6" s="279"/>
      <c r="Q6" s="279">
        <f>O6*$C$6</f>
        <v>434411.87691520294</v>
      </c>
      <c r="R6" s="279"/>
      <c r="S6" s="279">
        <f>Q6*$C$6</f>
        <v>445272.17383808299</v>
      </c>
      <c r="T6" s="279"/>
      <c r="U6" s="279">
        <f>S6*$C$6</f>
        <v>456403.97818403505</v>
      </c>
      <c r="V6" s="279"/>
      <c r="W6" s="279">
        <f>U6*$C$6</f>
        <v>467814.07763863588</v>
      </c>
      <c r="X6" s="279"/>
      <c r="Y6" s="279">
        <f>W6*$C$6</f>
        <v>479509.42957960174</v>
      </c>
      <c r="Z6" s="279"/>
      <c r="AA6" s="279">
        <f>Y6*$C$6</f>
        <v>491497.16531909176</v>
      </c>
      <c r="AB6" s="279"/>
      <c r="AC6" s="279">
        <f>AA6*$C$6</f>
        <v>503784.59445206902</v>
      </c>
      <c r="AD6" s="279"/>
      <c r="AE6" s="279">
        <f>AC6*$C$6</f>
        <v>516379.20931337069</v>
      </c>
      <c r="AF6" s="279"/>
      <c r="AG6" s="279">
        <f>AE6*$C$6</f>
        <v>529288.68954620487</v>
      </c>
      <c r="AH6" s="269"/>
    </row>
    <row r="7" spans="1:34" ht="14.25">
      <c r="A7" s="269"/>
      <c r="B7" s="269" t="s">
        <v>2442</v>
      </c>
      <c r="C7" s="914">
        <f>IF(Application!$D$214="Special Needs",0.1,0.05)</f>
        <v>0.05</v>
      </c>
      <c r="D7" s="269"/>
      <c r="E7" s="278">
        <f>-E6*$C$7</f>
        <v>-18729.600000000002</v>
      </c>
      <c r="F7" s="278"/>
      <c r="G7" s="278">
        <f>-G6*$C$7</f>
        <v>-19197.84</v>
      </c>
      <c r="H7" s="278"/>
      <c r="I7" s="278">
        <f>-I6*$C$7</f>
        <v>-19677.786</v>
      </c>
      <c r="J7" s="278"/>
      <c r="K7" s="278">
        <f>-K6*$C$7</f>
        <v>-20169.730649999998</v>
      </c>
      <c r="L7" s="278"/>
      <c r="M7" s="278">
        <f>-M6*$C$7</f>
        <v>-20673.973916249997</v>
      </c>
      <c r="N7" s="278"/>
      <c r="O7" s="278">
        <f>-O6*$C$7</f>
        <v>-21190.823264156246</v>
      </c>
      <c r="P7" s="278"/>
      <c r="Q7" s="278">
        <f>-Q6*$C$7</f>
        <v>-21720.593845760148</v>
      </c>
      <c r="R7" s="278"/>
      <c r="S7" s="278">
        <f>-S6*$C$7</f>
        <v>-22263.608691904152</v>
      </c>
      <c r="T7" s="278"/>
      <c r="U7" s="278">
        <f>-U6*$C$7</f>
        <v>-22820.198909201754</v>
      </c>
      <c r="V7" s="278"/>
      <c r="W7" s="278">
        <f>-W6*$C$7</f>
        <v>-23390.703881931797</v>
      </c>
      <c r="X7" s="278"/>
      <c r="Y7" s="278">
        <f>-Y6*$C$7</f>
        <v>-23975.471478980089</v>
      </c>
      <c r="Z7" s="278"/>
      <c r="AA7" s="278">
        <f>-AA6*$C$7</f>
        <v>-24574.85826595459</v>
      </c>
      <c r="AB7" s="278"/>
      <c r="AC7" s="278">
        <f>-AC6*$C$7</f>
        <v>-25189.229722603453</v>
      </c>
      <c r="AD7" s="278"/>
      <c r="AE7" s="278">
        <f>-AE6*$C$7</f>
        <v>-25818.960465668537</v>
      </c>
      <c r="AF7" s="278"/>
      <c r="AG7" s="278">
        <f>-AG6*$C$7</f>
        <v>-26464.434477310246</v>
      </c>
      <c r="AH7" s="269"/>
    </row>
    <row r="8" spans="1:34" ht="14.25">
      <c r="A8" s="269" t="s">
        <v>210</v>
      </c>
      <c r="B8" s="269"/>
      <c r="C8" s="299">
        <v>1.0249999999999999</v>
      </c>
      <c r="D8" s="269"/>
      <c r="E8" s="279">
        <f>Application!Z781</f>
        <v>5031</v>
      </c>
      <c r="F8" s="279"/>
      <c r="G8" s="279">
        <f>E8*$C$8</f>
        <v>5156.7749999999996</v>
      </c>
      <c r="H8" s="279"/>
      <c r="I8" s="279">
        <f>G8*$C$8</f>
        <v>5285.6943749999991</v>
      </c>
      <c r="J8" s="279"/>
      <c r="K8" s="279">
        <f>I8*$C$8</f>
        <v>5417.8367343749987</v>
      </c>
      <c r="L8" s="279"/>
      <c r="M8" s="279">
        <f>K8*$C$8</f>
        <v>5553.2826527343732</v>
      </c>
      <c r="N8" s="279"/>
      <c r="O8" s="279">
        <f>M8*$C$8</f>
        <v>5692.1147190527317</v>
      </c>
      <c r="P8" s="279"/>
      <c r="Q8" s="279">
        <f>O8*$C$8</f>
        <v>5834.4175870290492</v>
      </c>
      <c r="R8" s="279"/>
      <c r="S8" s="279">
        <f>Q8*$C$8</f>
        <v>5980.2780267047747</v>
      </c>
      <c r="T8" s="279"/>
      <c r="U8" s="279">
        <f>S8*$C$8</f>
        <v>6129.7849773723938</v>
      </c>
      <c r="V8" s="279"/>
      <c r="W8" s="279">
        <f>U8*$C$8</f>
        <v>6283.0296018067029</v>
      </c>
      <c r="X8" s="279"/>
      <c r="Y8" s="279">
        <f>W8*$C$8</f>
        <v>6440.1053418518695</v>
      </c>
      <c r="Z8" s="279"/>
      <c r="AA8" s="279">
        <f>Y8*$C$8</f>
        <v>6601.1079753981658</v>
      </c>
      <c r="AB8" s="279"/>
      <c r="AC8" s="279">
        <f>AA8*$C$8</f>
        <v>6766.1356747831196</v>
      </c>
      <c r="AD8" s="279"/>
      <c r="AE8" s="279">
        <f>AC8*$C$8</f>
        <v>6935.2890666526973</v>
      </c>
      <c r="AF8" s="279"/>
      <c r="AG8" s="279">
        <f>AE8*$C$8</f>
        <v>7108.6712933190138</v>
      </c>
      <c r="AH8" s="269"/>
    </row>
    <row r="9" spans="1:34" ht="14.25">
      <c r="A9" s="269"/>
      <c r="B9" s="269" t="s">
        <v>2442</v>
      </c>
      <c r="C9" s="914">
        <f>IF(Application!$D$214="Special Needs",0.1,0.05)</f>
        <v>0.05</v>
      </c>
      <c r="D9" s="269"/>
      <c r="E9" s="278">
        <f>-E8*$C$9</f>
        <v>-251.55</v>
      </c>
      <c r="F9" s="278"/>
      <c r="G9" s="278">
        <f>-G8*$C$9</f>
        <v>-257.83875</v>
      </c>
      <c r="H9" s="278"/>
      <c r="I9" s="278">
        <f>-I8*$C$9</f>
        <v>-264.28471874999997</v>
      </c>
      <c r="J9" s="278"/>
      <c r="K9" s="278">
        <f>-K8*$C$9</f>
        <v>-270.89183671874997</v>
      </c>
      <c r="L9" s="278"/>
      <c r="M9" s="278">
        <f>-M8*$C$9</f>
        <v>-277.66413263671865</v>
      </c>
      <c r="N9" s="278"/>
      <c r="O9" s="278">
        <f>-O8*$C$9</f>
        <v>-284.60573595263662</v>
      </c>
      <c r="P9" s="278"/>
      <c r="Q9" s="278">
        <f>-Q8*$C$9</f>
        <v>-291.72087935145248</v>
      </c>
      <c r="R9" s="278"/>
      <c r="S9" s="278">
        <f>-S8*$C$9</f>
        <v>-299.01390133523876</v>
      </c>
      <c r="T9" s="278"/>
      <c r="U9" s="278">
        <f>-U8*$C$9</f>
        <v>-306.48924886861971</v>
      </c>
      <c r="V9" s="278"/>
      <c r="W9" s="278">
        <f>-W8*$C$9</f>
        <v>-314.15148009033516</v>
      </c>
      <c r="X9" s="278"/>
      <c r="Y9" s="278">
        <f>-Y8*$C$9</f>
        <v>-322.0052670925935</v>
      </c>
      <c r="Z9" s="278"/>
      <c r="AA9" s="278">
        <f>-AA8*$C$9</f>
        <v>-330.05539876990832</v>
      </c>
      <c r="AB9" s="278"/>
      <c r="AC9" s="278">
        <f>-AC8*$C$9</f>
        <v>-338.306783739156</v>
      </c>
      <c r="AD9" s="278"/>
      <c r="AE9" s="278">
        <f>-AE8*$C$9</f>
        <v>-346.7644533326349</v>
      </c>
      <c r="AF9" s="278"/>
      <c r="AG9" s="278">
        <f>-AG8*$C$9</f>
        <v>-355.43356466595071</v>
      </c>
      <c r="AH9" s="269"/>
    </row>
    <row r="10" spans="1:34" ht="14.25">
      <c r="A10" s="734" t="s">
        <v>2470</v>
      </c>
      <c r="B10" s="734"/>
      <c r="C10" s="914"/>
      <c r="D10" s="269"/>
      <c r="E10" s="735"/>
      <c r="F10" s="278"/>
      <c r="G10" s="735"/>
      <c r="H10" s="278"/>
      <c r="I10" s="735"/>
      <c r="J10" s="278"/>
      <c r="K10" s="735"/>
      <c r="L10" s="278"/>
      <c r="M10" s="735"/>
      <c r="N10" s="278"/>
      <c r="O10" s="735"/>
      <c r="P10" s="278"/>
      <c r="Q10" s="735"/>
      <c r="R10" s="278"/>
      <c r="S10" s="735"/>
      <c r="T10" s="278"/>
      <c r="U10" s="735"/>
      <c r="V10" s="278"/>
      <c r="W10" s="735"/>
      <c r="X10" s="278"/>
      <c r="Y10" s="735"/>
      <c r="Z10" s="278"/>
      <c r="AA10" s="735"/>
      <c r="AB10" s="278"/>
      <c r="AC10" s="735"/>
      <c r="AD10" s="278"/>
      <c r="AE10" s="735"/>
      <c r="AF10" s="278"/>
      <c r="AG10" s="735"/>
      <c r="AH10" s="269"/>
    </row>
    <row r="11" spans="1:34" ht="15">
      <c r="A11" s="280" t="s">
        <v>2471</v>
      </c>
      <c r="B11" s="280"/>
      <c r="C11" s="273"/>
      <c r="D11" s="280"/>
      <c r="E11" s="280">
        <f>SUM(E4:E10)</f>
        <v>1028032.0499999999</v>
      </c>
      <c r="F11" s="280"/>
      <c r="G11" s="280">
        <f>SUM(G4:G10)</f>
        <v>1053732.8512499996</v>
      </c>
      <c r="H11" s="280"/>
      <c r="I11" s="280">
        <f>SUM(I4:I10)</f>
        <v>1080076.1725312497</v>
      </c>
      <c r="J11" s="280"/>
      <c r="K11" s="280">
        <f>SUM(K4:K10)</f>
        <v>1107078.0768445311</v>
      </c>
      <c r="L11" s="280"/>
      <c r="M11" s="280">
        <f>SUM(M4:M10)</f>
        <v>1134755.0287656439</v>
      </c>
      <c r="N11" s="280"/>
      <c r="O11" s="280">
        <f>SUM(O4:O10)</f>
        <v>1163123.9044847852</v>
      </c>
      <c r="P11" s="280"/>
      <c r="Q11" s="280">
        <f>SUM(Q4:Q10)</f>
        <v>1192202.0020969047</v>
      </c>
      <c r="R11" s="280"/>
      <c r="S11" s="280">
        <f>SUM(S4:S10)</f>
        <v>1222007.052149327</v>
      </c>
      <c r="T11" s="280"/>
      <c r="U11" s="280">
        <f>SUM(U4:U10)</f>
        <v>1252557.2284530604</v>
      </c>
      <c r="V11" s="280"/>
      <c r="W11" s="280">
        <f>SUM(W4:W10)</f>
        <v>1283871.1591643868</v>
      </c>
      <c r="X11" s="280"/>
      <c r="Y11" s="280">
        <f>SUM(Y4:Y10)</f>
        <v>1315967.9381434964</v>
      </c>
      <c r="Z11" s="280"/>
      <c r="AA11" s="280">
        <f>SUM(AA4:AA10)</f>
        <v>1348867.1365970834</v>
      </c>
      <c r="AB11" s="280"/>
      <c r="AC11" s="280">
        <f>SUM(AC4:AC10)</f>
        <v>1382588.8150120103</v>
      </c>
      <c r="AD11" s="280"/>
      <c r="AE11" s="280">
        <f>SUM(AE4:AE10)</f>
        <v>1417153.5353873107</v>
      </c>
      <c r="AF11" s="280"/>
      <c r="AG11" s="280">
        <f>SUM(AG4:AG10)</f>
        <v>1452582.373771993</v>
      </c>
      <c r="AH11" s="280"/>
    </row>
    <row r="12" spans="1:34">
      <c r="A12" s="780"/>
      <c r="B12" s="780"/>
      <c r="C12" s="290"/>
      <c r="D12" s="780"/>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780"/>
    </row>
    <row r="13" spans="1:34" ht="15.75">
      <c r="A13" s="271" t="s">
        <v>2472</v>
      </c>
      <c r="B13" s="780"/>
      <c r="C13" s="290"/>
      <c r="D13" s="780"/>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780"/>
    </row>
    <row r="14" spans="1:34" ht="14.25">
      <c r="A14" s="269" t="s">
        <v>2473</v>
      </c>
      <c r="B14" s="269"/>
      <c r="C14" s="299">
        <v>1.0349999999999999</v>
      </c>
      <c r="D14" s="26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69"/>
    </row>
    <row r="15" spans="1:34" ht="14.25">
      <c r="A15" s="276" t="s">
        <v>2474</v>
      </c>
      <c r="B15" s="276"/>
      <c r="C15" s="291"/>
      <c r="D15" s="276"/>
      <c r="E15" s="276">
        <f>Application!W811</f>
        <v>66748</v>
      </c>
      <c r="F15" s="276"/>
      <c r="G15" s="276">
        <f t="shared" ref="G15:G21" si="0">E15*$C$14</f>
        <v>69084.179999999993</v>
      </c>
      <c r="H15" s="276"/>
      <c r="I15" s="276">
        <f t="shared" ref="I15:I21" si="1">G15*$C$14</f>
        <v>71502.126299999989</v>
      </c>
      <c r="J15" s="276"/>
      <c r="K15" s="276">
        <f t="shared" ref="K15:K21" si="2">I15*$C$14</f>
        <v>74004.700720499983</v>
      </c>
      <c r="L15" s="276"/>
      <c r="M15" s="276">
        <f t="shared" ref="M15:M21" si="3">K15*$C$14</f>
        <v>76594.865245717476</v>
      </c>
      <c r="N15" s="276"/>
      <c r="O15" s="276">
        <f t="shared" ref="O15:O21" si="4">M15*$C$14</f>
        <v>79275.685529317576</v>
      </c>
      <c r="P15" s="276"/>
      <c r="Q15" s="276">
        <f t="shared" ref="Q15:Q21" si="5">O15*$C$14</f>
        <v>82050.334522843681</v>
      </c>
      <c r="R15" s="276"/>
      <c r="S15" s="276">
        <f t="shared" ref="S15:S21" si="6">Q15*$C$14</f>
        <v>84922.096231143209</v>
      </c>
      <c r="T15" s="276"/>
      <c r="U15" s="276">
        <f t="shared" ref="U15:U21" si="7">S15*$C$14</f>
        <v>87894.369599233207</v>
      </c>
      <c r="V15" s="276"/>
      <c r="W15" s="276">
        <f t="shared" ref="W15:W21" si="8">U15*$C$14</f>
        <v>90970.672535206366</v>
      </c>
      <c r="X15" s="276"/>
      <c r="Y15" s="276">
        <f t="shared" ref="Y15:Y21" si="9">W15*$C$14</f>
        <v>94154.64607393858</v>
      </c>
      <c r="Z15" s="276"/>
      <c r="AA15" s="276">
        <f t="shared" ref="AA15:AA21" si="10">Y15*$C$14</f>
        <v>97450.058686526419</v>
      </c>
      <c r="AB15" s="276"/>
      <c r="AC15" s="276">
        <f t="shared" ref="AC15:AC21" si="11">AA15*$C$14</f>
        <v>100860.81074055484</v>
      </c>
      <c r="AD15" s="276"/>
      <c r="AE15" s="276">
        <f t="shared" ref="AE15:AE21" si="12">AC15*$C$14</f>
        <v>104390.93911647424</v>
      </c>
      <c r="AF15" s="276"/>
      <c r="AG15" s="276">
        <f t="shared" ref="AG15:AG21" si="13">AE15*$C$14</f>
        <v>108044.62198555082</v>
      </c>
      <c r="AH15" s="276"/>
    </row>
    <row r="16" spans="1:34" ht="14.25">
      <c r="A16" s="269" t="s">
        <v>1544</v>
      </c>
      <c r="B16" s="269"/>
      <c r="C16" s="290"/>
      <c r="D16" s="269"/>
      <c r="E16" s="279">
        <f>Application!W813</f>
        <v>38700</v>
      </c>
      <c r="F16" s="279"/>
      <c r="G16" s="279">
        <f t="shared" si="0"/>
        <v>40054.5</v>
      </c>
      <c r="H16" s="279"/>
      <c r="I16" s="279">
        <f t="shared" si="1"/>
        <v>41456.407499999994</v>
      </c>
      <c r="J16" s="279"/>
      <c r="K16" s="279">
        <f t="shared" si="2"/>
        <v>42907.381762499994</v>
      </c>
      <c r="L16" s="279"/>
      <c r="M16" s="279">
        <f t="shared" si="3"/>
        <v>44409.140124187492</v>
      </c>
      <c r="N16" s="279"/>
      <c r="O16" s="279">
        <f t="shared" si="4"/>
        <v>45963.460028534049</v>
      </c>
      <c r="P16" s="279"/>
      <c r="Q16" s="279">
        <f t="shared" si="5"/>
        <v>47572.181129532735</v>
      </c>
      <c r="R16" s="279"/>
      <c r="S16" s="279">
        <f t="shared" si="6"/>
        <v>49237.207469066379</v>
      </c>
      <c r="T16" s="279"/>
      <c r="U16" s="279">
        <f t="shared" si="7"/>
        <v>50960.509730483696</v>
      </c>
      <c r="V16" s="279"/>
      <c r="W16" s="279">
        <f t="shared" si="8"/>
        <v>52744.127571050623</v>
      </c>
      <c r="X16" s="279"/>
      <c r="Y16" s="279">
        <f t="shared" si="9"/>
        <v>54590.172036037387</v>
      </c>
      <c r="Z16" s="279"/>
      <c r="AA16" s="279">
        <f t="shared" si="10"/>
        <v>56500.828057298691</v>
      </c>
      <c r="AB16" s="279"/>
      <c r="AC16" s="279">
        <f t="shared" si="11"/>
        <v>58478.357039304145</v>
      </c>
      <c r="AD16" s="279"/>
      <c r="AE16" s="279">
        <f t="shared" si="12"/>
        <v>60525.099535679787</v>
      </c>
      <c r="AF16" s="279"/>
      <c r="AG16" s="279">
        <f t="shared" si="13"/>
        <v>62643.478019428578</v>
      </c>
      <c r="AH16" s="269"/>
    </row>
    <row r="17" spans="1:34" ht="14.25">
      <c r="A17" s="269" t="s">
        <v>225</v>
      </c>
      <c r="B17" s="269"/>
      <c r="C17" s="290"/>
      <c r="D17" s="269"/>
      <c r="E17" s="279">
        <f>Application!W819</f>
        <v>95529</v>
      </c>
      <c r="F17" s="279"/>
      <c r="G17" s="279">
        <f t="shared" si="0"/>
        <v>98872.514999999999</v>
      </c>
      <c r="H17" s="279"/>
      <c r="I17" s="279">
        <f t="shared" si="1"/>
        <v>102333.05302499999</v>
      </c>
      <c r="J17" s="279"/>
      <c r="K17" s="279">
        <f t="shared" si="2"/>
        <v>105914.70988087497</v>
      </c>
      <c r="L17" s="279"/>
      <c r="M17" s="279">
        <f t="shared" si="3"/>
        <v>109621.72472670559</v>
      </c>
      <c r="N17" s="279"/>
      <c r="O17" s="279">
        <f t="shared" si="4"/>
        <v>113458.48509214028</v>
      </c>
      <c r="P17" s="279"/>
      <c r="Q17" s="279">
        <f t="shared" si="5"/>
        <v>117429.53207036518</v>
      </c>
      <c r="R17" s="279"/>
      <c r="S17" s="279">
        <f t="shared" si="6"/>
        <v>121539.56569282795</v>
      </c>
      <c r="T17" s="279"/>
      <c r="U17" s="279">
        <f t="shared" si="7"/>
        <v>125793.45049207693</v>
      </c>
      <c r="V17" s="279"/>
      <c r="W17" s="279">
        <f t="shared" si="8"/>
        <v>130196.22125929961</v>
      </c>
      <c r="X17" s="279"/>
      <c r="Y17" s="279">
        <f t="shared" si="9"/>
        <v>134753.08900337509</v>
      </c>
      <c r="Z17" s="279"/>
      <c r="AA17" s="279">
        <f t="shared" si="10"/>
        <v>139469.4471184932</v>
      </c>
      <c r="AB17" s="279"/>
      <c r="AC17" s="279">
        <f t="shared" si="11"/>
        <v>144350.87776764046</v>
      </c>
      <c r="AD17" s="279"/>
      <c r="AE17" s="279">
        <f t="shared" si="12"/>
        <v>149403.15848950786</v>
      </c>
      <c r="AF17" s="279"/>
      <c r="AG17" s="279">
        <f t="shared" si="13"/>
        <v>154632.26903664062</v>
      </c>
      <c r="AH17" s="269"/>
    </row>
    <row r="18" spans="1:34" ht="14.25">
      <c r="A18" s="269" t="s">
        <v>2475</v>
      </c>
      <c r="B18" s="269"/>
      <c r="C18" s="290"/>
      <c r="D18" s="269"/>
      <c r="E18" s="279">
        <f>Application!W826</f>
        <v>160604</v>
      </c>
      <c r="F18" s="279"/>
      <c r="G18" s="279">
        <f t="shared" si="0"/>
        <v>166225.13999999998</v>
      </c>
      <c r="H18" s="279"/>
      <c r="I18" s="279">
        <f t="shared" si="1"/>
        <v>172043.01989999998</v>
      </c>
      <c r="J18" s="279"/>
      <c r="K18" s="279">
        <f t="shared" si="2"/>
        <v>178064.52559649997</v>
      </c>
      <c r="L18" s="279"/>
      <c r="M18" s="279">
        <f t="shared" si="3"/>
        <v>184296.78399237746</v>
      </c>
      <c r="N18" s="279"/>
      <c r="O18" s="279">
        <f t="shared" si="4"/>
        <v>190747.17143211066</v>
      </c>
      <c r="P18" s="279"/>
      <c r="Q18" s="279">
        <f t="shared" si="5"/>
        <v>197423.3224322345</v>
      </c>
      <c r="R18" s="279"/>
      <c r="S18" s="279">
        <f t="shared" si="6"/>
        <v>204333.13871736269</v>
      </c>
      <c r="T18" s="279"/>
      <c r="U18" s="279">
        <f t="shared" si="7"/>
        <v>211484.79857247038</v>
      </c>
      <c r="V18" s="279"/>
      <c r="W18" s="279">
        <f t="shared" si="8"/>
        <v>218886.76652250683</v>
      </c>
      <c r="X18" s="279"/>
      <c r="Y18" s="279">
        <f t="shared" si="9"/>
        <v>226547.80335079457</v>
      </c>
      <c r="Z18" s="279"/>
      <c r="AA18" s="279">
        <f t="shared" si="10"/>
        <v>234476.97646807236</v>
      </c>
      <c r="AB18" s="279"/>
      <c r="AC18" s="279">
        <f t="shared" si="11"/>
        <v>242683.67064445486</v>
      </c>
      <c r="AD18" s="279"/>
      <c r="AE18" s="279">
        <f t="shared" si="12"/>
        <v>251177.59911701077</v>
      </c>
      <c r="AF18" s="279"/>
      <c r="AG18" s="279">
        <f t="shared" si="13"/>
        <v>259968.81508610613</v>
      </c>
    </row>
    <row r="19" spans="1:34" ht="14.25">
      <c r="A19" s="269" t="s">
        <v>1762</v>
      </c>
      <c r="B19" s="269"/>
      <c r="C19" s="290"/>
      <c r="D19" s="269"/>
      <c r="E19" s="279">
        <f>Application!W827</f>
        <v>0</v>
      </c>
      <c r="F19" s="279"/>
      <c r="G19" s="279">
        <f t="shared" si="0"/>
        <v>0</v>
      </c>
      <c r="H19" s="279"/>
      <c r="I19" s="279">
        <f t="shared" si="1"/>
        <v>0</v>
      </c>
      <c r="J19" s="279"/>
      <c r="K19" s="279">
        <f t="shared" si="2"/>
        <v>0</v>
      </c>
      <c r="L19" s="279"/>
      <c r="M19" s="279">
        <f t="shared" si="3"/>
        <v>0</v>
      </c>
      <c r="N19" s="279"/>
      <c r="O19" s="279">
        <f t="shared" si="4"/>
        <v>0</v>
      </c>
      <c r="P19" s="279"/>
      <c r="Q19" s="279">
        <f t="shared" si="5"/>
        <v>0</v>
      </c>
      <c r="R19" s="279"/>
      <c r="S19" s="279">
        <f t="shared" si="6"/>
        <v>0</v>
      </c>
      <c r="T19" s="279"/>
      <c r="U19" s="279">
        <f t="shared" si="7"/>
        <v>0</v>
      </c>
      <c r="V19" s="279"/>
      <c r="W19" s="279">
        <f t="shared" si="8"/>
        <v>0</v>
      </c>
      <c r="X19" s="279"/>
      <c r="Y19" s="279">
        <f t="shared" si="9"/>
        <v>0</v>
      </c>
      <c r="Z19" s="279"/>
      <c r="AA19" s="279">
        <f t="shared" si="10"/>
        <v>0</v>
      </c>
      <c r="AB19" s="279"/>
      <c r="AC19" s="279">
        <f t="shared" si="11"/>
        <v>0</v>
      </c>
      <c r="AD19" s="279"/>
      <c r="AE19" s="279">
        <f t="shared" si="12"/>
        <v>0</v>
      </c>
      <c r="AF19" s="279"/>
      <c r="AG19" s="279">
        <f t="shared" si="13"/>
        <v>0</v>
      </c>
    </row>
    <row r="20" spans="1:34" ht="14.25">
      <c r="A20" s="269" t="s">
        <v>227</v>
      </c>
      <c r="B20" s="269"/>
      <c r="C20" s="290"/>
      <c r="D20" s="269"/>
      <c r="E20" s="279">
        <f>Application!W836</f>
        <v>77910</v>
      </c>
      <c r="F20" s="279"/>
      <c r="G20" s="279">
        <f t="shared" si="0"/>
        <v>80636.849999999991</v>
      </c>
      <c r="H20" s="279"/>
      <c r="I20" s="279">
        <f t="shared" si="1"/>
        <v>83459.139749999988</v>
      </c>
      <c r="J20" s="279"/>
      <c r="K20" s="279">
        <f t="shared" si="2"/>
        <v>86380.209641249981</v>
      </c>
      <c r="L20" s="279"/>
      <c r="M20" s="279">
        <f t="shared" si="3"/>
        <v>89403.516978693719</v>
      </c>
      <c r="N20" s="279"/>
      <c r="O20" s="279">
        <f t="shared" si="4"/>
        <v>92532.640072947994</v>
      </c>
      <c r="P20" s="279"/>
      <c r="Q20" s="279">
        <f t="shared" si="5"/>
        <v>95771.282475501168</v>
      </c>
      <c r="R20" s="279"/>
      <c r="S20" s="279">
        <f t="shared" si="6"/>
        <v>99123.277362143708</v>
      </c>
      <c r="T20" s="279"/>
      <c r="U20" s="279">
        <f t="shared" si="7"/>
        <v>102592.59206981873</v>
      </c>
      <c r="V20" s="279"/>
      <c r="W20" s="279">
        <f t="shared" si="8"/>
        <v>106183.33279226237</v>
      </c>
      <c r="X20" s="279"/>
      <c r="Y20" s="279">
        <f t="shared" si="9"/>
        <v>109899.74943999154</v>
      </c>
      <c r="Z20" s="279"/>
      <c r="AA20" s="279">
        <f t="shared" si="10"/>
        <v>113746.24067039124</v>
      </c>
      <c r="AB20" s="279"/>
      <c r="AC20" s="279">
        <f t="shared" si="11"/>
        <v>117727.35909385493</v>
      </c>
      <c r="AD20" s="279"/>
      <c r="AE20" s="279">
        <f t="shared" si="12"/>
        <v>121847.81666213984</v>
      </c>
      <c r="AF20" s="279"/>
      <c r="AG20" s="279">
        <f t="shared" si="13"/>
        <v>126112.49024531472</v>
      </c>
    </row>
    <row r="21" spans="1:34" ht="14.25">
      <c r="A21" s="457" t="s">
        <v>2476</v>
      </c>
      <c r="B21" s="457"/>
      <c r="C21" s="290"/>
      <c r="D21" s="269"/>
      <c r="E21" s="289">
        <f>Application!W843</f>
        <v>41300</v>
      </c>
      <c r="F21" s="279"/>
      <c r="G21" s="289">
        <f t="shared" si="0"/>
        <v>42745.5</v>
      </c>
      <c r="H21" s="279"/>
      <c r="I21" s="289">
        <f t="shared" si="1"/>
        <v>44241.592499999999</v>
      </c>
      <c r="J21" s="279"/>
      <c r="K21" s="289">
        <f t="shared" si="2"/>
        <v>45790.048237499992</v>
      </c>
      <c r="L21" s="279"/>
      <c r="M21" s="289">
        <f t="shared" si="3"/>
        <v>47392.699925812485</v>
      </c>
      <c r="N21" s="279"/>
      <c r="O21" s="289">
        <f t="shared" si="4"/>
        <v>49051.444423215915</v>
      </c>
      <c r="P21" s="279"/>
      <c r="Q21" s="289">
        <f t="shared" si="5"/>
        <v>50768.244978028466</v>
      </c>
      <c r="R21" s="279"/>
      <c r="S21" s="289">
        <f t="shared" si="6"/>
        <v>52545.13355225946</v>
      </c>
      <c r="T21" s="279"/>
      <c r="U21" s="289">
        <f t="shared" si="7"/>
        <v>54384.213226588538</v>
      </c>
      <c r="V21" s="279"/>
      <c r="W21" s="289">
        <f t="shared" si="8"/>
        <v>56287.660689519129</v>
      </c>
      <c r="X21" s="279"/>
      <c r="Y21" s="289">
        <f t="shared" si="9"/>
        <v>58257.728813652291</v>
      </c>
      <c r="Z21" s="279"/>
      <c r="AA21" s="289">
        <f t="shared" si="10"/>
        <v>60296.749322130119</v>
      </c>
      <c r="AB21" s="279"/>
      <c r="AC21" s="289">
        <f t="shared" si="11"/>
        <v>62407.135548404665</v>
      </c>
      <c r="AD21" s="279"/>
      <c r="AE21" s="289">
        <f t="shared" si="12"/>
        <v>64591.385292598825</v>
      </c>
      <c r="AF21" s="279"/>
      <c r="AG21" s="289">
        <f t="shared" si="13"/>
        <v>66852.083777839784</v>
      </c>
    </row>
    <row r="22" spans="1:34" ht="15">
      <c r="A22" s="280" t="s">
        <v>2477</v>
      </c>
      <c r="B22" s="280"/>
      <c r="C22" s="290"/>
      <c r="D22" s="280"/>
      <c r="E22" s="280">
        <f>SUM(E15:E21)</f>
        <v>480791</v>
      </c>
      <c r="F22" s="280"/>
      <c r="G22" s="280">
        <f>SUM(G15:G21)</f>
        <v>497618.68499999994</v>
      </c>
      <c r="H22" s="280"/>
      <c r="I22" s="280">
        <f>SUM(I15:I21)</f>
        <v>515035.33897499996</v>
      </c>
      <c r="J22" s="280"/>
      <c r="K22" s="280">
        <f>SUM(K15:K21)</f>
        <v>533061.57583912485</v>
      </c>
      <c r="L22" s="280"/>
      <c r="M22" s="280">
        <f>SUM(M15:M21)</f>
        <v>551718.73099349416</v>
      </c>
      <c r="N22" s="280"/>
      <c r="O22" s="280">
        <f>SUM(O15:O21)</f>
        <v>571028.88657826651</v>
      </c>
      <c r="P22" s="280"/>
      <c r="Q22" s="280">
        <f>SUM(Q15:Q21)</f>
        <v>591014.89760850579</v>
      </c>
      <c r="R22" s="280"/>
      <c r="S22" s="280">
        <f>SUM(S15:S21)</f>
        <v>611700.41902480333</v>
      </c>
      <c r="T22" s="280"/>
      <c r="U22" s="280">
        <f>SUM(U15:U21)</f>
        <v>633109.93369067146</v>
      </c>
      <c r="V22" s="280"/>
      <c r="W22" s="280">
        <f>SUM(W15:W21)</f>
        <v>655268.78136984503</v>
      </c>
      <c r="X22" s="280"/>
      <c r="Y22" s="280">
        <f>SUM(Y15:Y21)</f>
        <v>678203.18871778948</v>
      </c>
      <c r="Z22" s="280"/>
      <c r="AA22" s="280">
        <f>SUM(AA15:AA21)</f>
        <v>701940.30032291205</v>
      </c>
      <c r="AB22" s="280"/>
      <c r="AC22" s="280">
        <f>SUM(AC15:AC21)</f>
        <v>726508.21083421388</v>
      </c>
      <c r="AD22" s="280"/>
      <c r="AE22" s="280">
        <f>SUM(AE15:AE21)</f>
        <v>751935.99821341131</v>
      </c>
      <c r="AF22" s="280"/>
      <c r="AG22" s="280">
        <f>SUM(AG15:AG21)</f>
        <v>778253.75815088069</v>
      </c>
    </row>
    <row r="23" spans="1:34" ht="15">
      <c r="A23" s="280"/>
      <c r="B23" s="280"/>
      <c r="C23" s="29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row>
    <row r="24" spans="1:34" ht="15">
      <c r="A24" s="457" t="s">
        <v>2478</v>
      </c>
      <c r="B24" s="457"/>
      <c r="C24" s="629"/>
      <c r="D24" s="457"/>
      <c r="E24" s="630"/>
      <c r="F24" s="280"/>
      <c r="G24" s="276">
        <f>E24*$C$24</f>
        <v>0</v>
      </c>
      <c r="H24" s="276"/>
      <c r="I24" s="276">
        <f>G24*$C$24</f>
        <v>0</v>
      </c>
      <c r="J24" s="276"/>
      <c r="K24" s="276">
        <f>I24*$C$24</f>
        <v>0</v>
      </c>
      <c r="L24" s="276"/>
      <c r="M24" s="276">
        <f>K24*$C$24</f>
        <v>0</v>
      </c>
      <c r="N24" s="276"/>
      <c r="O24" s="276">
        <f>M24*$C$24</f>
        <v>0</v>
      </c>
      <c r="P24" s="276"/>
      <c r="Q24" s="276">
        <f>O24*$C$24</f>
        <v>0</v>
      </c>
      <c r="R24" s="276"/>
      <c r="S24" s="276">
        <f>Q24*$C$24</f>
        <v>0</v>
      </c>
      <c r="T24" s="276"/>
      <c r="U24" s="276">
        <f>S24*$C$24</f>
        <v>0</v>
      </c>
      <c r="V24" s="276"/>
      <c r="W24" s="276">
        <f>U24*$C$24</f>
        <v>0</v>
      </c>
      <c r="X24" s="276"/>
      <c r="Y24" s="276">
        <f>W24*$C$24</f>
        <v>0</v>
      </c>
      <c r="Z24" s="276"/>
      <c r="AA24" s="276">
        <f>Y24*$C$24</f>
        <v>0</v>
      </c>
      <c r="AB24" s="276"/>
      <c r="AC24" s="276">
        <f>AA24*$C$24</f>
        <v>0</v>
      </c>
      <c r="AD24" s="276"/>
      <c r="AE24" s="276">
        <f>AC24*$C$24</f>
        <v>0</v>
      </c>
      <c r="AF24" s="276"/>
      <c r="AG24" s="276">
        <f>AE24*$C$24</f>
        <v>0</v>
      </c>
    </row>
    <row r="25" spans="1:34" ht="14.25">
      <c r="A25" s="269"/>
      <c r="B25" s="269"/>
      <c r="C25" s="290"/>
      <c r="D25" s="26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row>
    <row r="26" spans="1:34" ht="14.25">
      <c r="A26" s="269" t="s">
        <v>2479</v>
      </c>
      <c r="B26" s="269"/>
      <c r="C26" s="299">
        <v>1.0349999999999999</v>
      </c>
      <c r="D26" s="269"/>
      <c r="E26" s="276">
        <f>Application!AC851</f>
        <v>0</v>
      </c>
      <c r="F26" s="276"/>
      <c r="G26" s="276">
        <f>E26*$C$26</f>
        <v>0</v>
      </c>
      <c r="H26" s="276"/>
      <c r="I26" s="276">
        <f>G26*$C$26</f>
        <v>0</v>
      </c>
      <c r="J26" s="276"/>
      <c r="K26" s="276">
        <f>I26*$C$26</f>
        <v>0</v>
      </c>
      <c r="L26" s="276"/>
      <c r="M26" s="276">
        <f>K26*$C$26</f>
        <v>0</v>
      </c>
      <c r="N26" s="276"/>
      <c r="O26" s="276">
        <f>M26*$C$26</f>
        <v>0</v>
      </c>
      <c r="P26" s="276"/>
      <c r="Q26" s="276">
        <f>O26*$C$26</f>
        <v>0</v>
      </c>
      <c r="R26" s="276"/>
      <c r="S26" s="276">
        <f>Q26*$C$26</f>
        <v>0</v>
      </c>
      <c r="T26" s="276"/>
      <c r="U26" s="276">
        <f>S26*$C$26</f>
        <v>0</v>
      </c>
      <c r="V26" s="276"/>
      <c r="W26" s="276">
        <f>U26*$C$26</f>
        <v>0</v>
      </c>
      <c r="X26" s="276"/>
      <c r="Y26" s="276">
        <f>W26*$C$26</f>
        <v>0</v>
      </c>
      <c r="Z26" s="276"/>
      <c r="AA26" s="276">
        <f>Y26*$C$26</f>
        <v>0</v>
      </c>
      <c r="AB26" s="276"/>
      <c r="AC26" s="276">
        <f>AA26*$C$26</f>
        <v>0</v>
      </c>
      <c r="AD26" s="276"/>
      <c r="AE26" s="276">
        <f>AC26*$C$26</f>
        <v>0</v>
      </c>
      <c r="AF26" s="276"/>
      <c r="AG26" s="276">
        <f>AE26*$C$26</f>
        <v>0</v>
      </c>
    </row>
    <row r="27" spans="1:34" ht="14.25">
      <c r="A27" s="269" t="s">
        <v>2480</v>
      </c>
      <c r="B27" s="269"/>
      <c r="C27" s="299">
        <v>1.0349999999999999</v>
      </c>
      <c r="D27" s="269"/>
      <c r="E27" s="279">
        <f>Application!AC852</f>
        <v>55749</v>
      </c>
      <c r="F27" s="279"/>
      <c r="G27" s="279">
        <f>E27*$C$27</f>
        <v>57700.214999999997</v>
      </c>
      <c r="H27" s="279"/>
      <c r="I27" s="279">
        <f>G27*$C$27</f>
        <v>59719.72252499999</v>
      </c>
      <c r="J27" s="279"/>
      <c r="K27" s="279">
        <f>I27*$C$27</f>
        <v>61809.912813374984</v>
      </c>
      <c r="L27" s="279"/>
      <c r="M27" s="279">
        <f>K27*$C$27</f>
        <v>63973.259761843103</v>
      </c>
      <c r="N27" s="279"/>
      <c r="O27" s="279">
        <f>M27*$C$27</f>
        <v>66212.323853507609</v>
      </c>
      <c r="P27" s="279"/>
      <c r="Q27" s="279">
        <f>O27*$C$27</f>
        <v>68529.755188380368</v>
      </c>
      <c r="R27" s="279"/>
      <c r="S27" s="279">
        <f>Q27*$C$27</f>
        <v>70928.296619973669</v>
      </c>
      <c r="T27" s="279"/>
      <c r="U27" s="279">
        <f>S27*$C$27</f>
        <v>73410.787001672739</v>
      </c>
      <c r="V27" s="279"/>
      <c r="W27" s="279">
        <f>U27*$C$27</f>
        <v>75980.164546731277</v>
      </c>
      <c r="X27" s="279"/>
      <c r="Y27" s="279">
        <f>W27*$C$27</f>
        <v>78639.470305866867</v>
      </c>
      <c r="Z27" s="279"/>
      <c r="AA27" s="279">
        <f>Y27*$C$27</f>
        <v>81391.851766572203</v>
      </c>
      <c r="AB27" s="279"/>
      <c r="AC27" s="279">
        <f>AA27*$C$27</f>
        <v>84240.566578402228</v>
      </c>
      <c r="AD27" s="279"/>
      <c r="AE27" s="279">
        <f>AC27*$C$27</f>
        <v>87188.986408646306</v>
      </c>
      <c r="AF27" s="279"/>
      <c r="AG27" s="279">
        <f>AE27*$C$27</f>
        <v>90240.600932948917</v>
      </c>
    </row>
    <row r="28" spans="1:34" ht="14.25">
      <c r="A28" s="457" t="s">
        <v>2481</v>
      </c>
      <c r="B28" s="269"/>
      <c r="C28" s="299"/>
      <c r="D28" s="269"/>
      <c r="E28" s="279">
        <f>Application!AC853</f>
        <v>21500</v>
      </c>
      <c r="F28" s="279"/>
      <c r="G28" s="279">
        <f>$E$28</f>
        <v>21500</v>
      </c>
      <c r="H28" s="279"/>
      <c r="I28" s="279">
        <f>$E$28</f>
        <v>21500</v>
      </c>
      <c r="J28" s="279"/>
      <c r="K28" s="279">
        <f>$E$28</f>
        <v>21500</v>
      </c>
      <c r="L28" s="279"/>
      <c r="M28" s="279">
        <f>$E$28</f>
        <v>21500</v>
      </c>
      <c r="N28" s="279"/>
      <c r="O28" s="279">
        <f>$E$28</f>
        <v>21500</v>
      </c>
      <c r="P28" s="279"/>
      <c r="Q28" s="279">
        <f>$E$28</f>
        <v>21500</v>
      </c>
      <c r="R28" s="279"/>
      <c r="S28" s="279">
        <f>$E$28</f>
        <v>21500</v>
      </c>
      <c r="T28" s="279"/>
      <c r="U28" s="279">
        <f>$E$28</f>
        <v>21500</v>
      </c>
      <c r="V28" s="279"/>
      <c r="W28" s="279">
        <f>$E$28</f>
        <v>21500</v>
      </c>
      <c r="X28" s="279"/>
      <c r="Y28" s="279">
        <f>$E$28</f>
        <v>21500</v>
      </c>
      <c r="Z28" s="279"/>
      <c r="AA28" s="279">
        <f>$E$28</f>
        <v>21500</v>
      </c>
      <c r="AB28" s="279"/>
      <c r="AC28" s="279">
        <f>$E$28</f>
        <v>21500</v>
      </c>
      <c r="AD28" s="279"/>
      <c r="AE28" s="279">
        <f>$E$28</f>
        <v>21500</v>
      </c>
      <c r="AF28" s="279"/>
      <c r="AG28" s="279">
        <f>$E$28</f>
        <v>21500</v>
      </c>
    </row>
    <row r="29" spans="1:34" ht="14.25">
      <c r="A29" s="457" t="s">
        <v>2482</v>
      </c>
      <c r="B29" s="269"/>
      <c r="C29" s="299"/>
      <c r="D29" s="269"/>
      <c r="E29" s="279">
        <f>Application!AC854</f>
        <v>18138.875999999997</v>
      </c>
      <c r="F29" s="279"/>
      <c r="G29" s="279">
        <f>$E$29</f>
        <v>18138.875999999997</v>
      </c>
      <c r="H29" s="279"/>
      <c r="I29" s="279">
        <f>$E$29</f>
        <v>18138.875999999997</v>
      </c>
      <c r="J29" s="279"/>
      <c r="K29" s="279">
        <f>$E$29</f>
        <v>18138.875999999997</v>
      </c>
      <c r="L29" s="279"/>
      <c r="M29" s="279">
        <f>$E$29</f>
        <v>18138.875999999997</v>
      </c>
      <c r="N29" s="279"/>
      <c r="O29" s="279">
        <f>$E$29</f>
        <v>18138.875999999997</v>
      </c>
      <c r="P29" s="279"/>
      <c r="Q29" s="279">
        <f>$E$29</f>
        <v>18138.875999999997</v>
      </c>
      <c r="R29" s="279"/>
      <c r="S29" s="279">
        <f>$E$29</f>
        <v>18138.875999999997</v>
      </c>
      <c r="T29" s="279"/>
      <c r="U29" s="279">
        <f>$E$29</f>
        <v>18138.875999999997</v>
      </c>
      <c r="V29" s="279"/>
      <c r="W29" s="279">
        <f>$E$29</f>
        <v>18138.875999999997</v>
      </c>
      <c r="X29" s="279"/>
      <c r="Y29" s="279">
        <f>$E$29</f>
        <v>18138.875999999997</v>
      </c>
      <c r="Z29" s="279"/>
      <c r="AA29" s="279">
        <f>$E$29</f>
        <v>18138.875999999997</v>
      </c>
      <c r="AB29" s="279"/>
      <c r="AC29" s="279">
        <f>$E$29</f>
        <v>18138.875999999997</v>
      </c>
      <c r="AD29" s="279"/>
      <c r="AE29" s="279">
        <f>$E$29</f>
        <v>18138.875999999997</v>
      </c>
      <c r="AF29" s="279"/>
      <c r="AG29" s="279">
        <f>$E$29</f>
        <v>18138.875999999997</v>
      </c>
    </row>
    <row r="30" spans="1:34" ht="14.25">
      <c r="A30" s="457" t="s">
        <v>2483</v>
      </c>
      <c r="B30" s="269"/>
      <c r="C30" s="299">
        <v>1.02</v>
      </c>
      <c r="D30" s="269"/>
      <c r="E30" s="279">
        <f>Application!AC855</f>
        <v>5245</v>
      </c>
      <c r="F30" s="279"/>
      <c r="G30" s="279">
        <f>E30*$C$30</f>
        <v>5349.9000000000005</v>
      </c>
      <c r="H30" s="279"/>
      <c r="I30" s="279">
        <f>G30*$C$30</f>
        <v>5456.898000000001</v>
      </c>
      <c r="J30" s="279"/>
      <c r="K30" s="279">
        <f>I30*$C$30</f>
        <v>5566.0359600000011</v>
      </c>
      <c r="L30" s="279"/>
      <c r="M30" s="279">
        <f>K30*$C$30</f>
        <v>5677.3566792000011</v>
      </c>
      <c r="N30" s="279"/>
      <c r="O30" s="279">
        <f>M30*$C$30</f>
        <v>5790.9038127840013</v>
      </c>
      <c r="P30" s="279"/>
      <c r="Q30" s="279">
        <f>O30*$C$30</f>
        <v>5906.7218890396816</v>
      </c>
      <c r="R30" s="279"/>
      <c r="S30" s="279">
        <f>Q30*$C$30</f>
        <v>6024.8563268204753</v>
      </c>
      <c r="T30" s="279"/>
      <c r="U30" s="279">
        <f>S30*$C$30</f>
        <v>6145.3534533568845</v>
      </c>
      <c r="V30" s="279"/>
      <c r="W30" s="279">
        <f>U30*$C$30</f>
        <v>6268.2605224240224</v>
      </c>
      <c r="X30" s="279"/>
      <c r="Y30" s="279">
        <f>W30*$C$30</f>
        <v>6393.6257328725032</v>
      </c>
      <c r="Z30" s="279"/>
      <c r="AA30" s="279">
        <f>Y30*$C$30</f>
        <v>6521.498247529953</v>
      </c>
      <c r="AB30" s="279"/>
      <c r="AC30" s="279">
        <f>AA30*$C$30</f>
        <v>6651.9282124805522</v>
      </c>
      <c r="AD30" s="279"/>
      <c r="AE30" s="279">
        <f>AC30*$C$30</f>
        <v>6784.9667767301635</v>
      </c>
      <c r="AF30" s="279"/>
      <c r="AG30" s="279">
        <f>AE30*$C$30</f>
        <v>6920.6661122647665</v>
      </c>
    </row>
    <row r="31" spans="1:34" ht="14.25">
      <c r="A31" s="457" t="s">
        <v>2484</v>
      </c>
      <c r="B31" s="269"/>
      <c r="C31" s="299">
        <v>1.02</v>
      </c>
      <c r="D31" s="269"/>
      <c r="E31" s="279">
        <f>Application!AC856</f>
        <v>0</v>
      </c>
      <c r="F31" s="279"/>
      <c r="G31" s="279">
        <f>E31*$C$31</f>
        <v>0</v>
      </c>
      <c r="H31" s="279"/>
      <c r="I31" s="279">
        <f>G31*$C$31</f>
        <v>0</v>
      </c>
      <c r="J31" s="279"/>
      <c r="K31" s="279">
        <f>I31*$C$31</f>
        <v>0</v>
      </c>
      <c r="L31" s="279"/>
      <c r="M31" s="279">
        <f>K31*$C$31</f>
        <v>0</v>
      </c>
      <c r="N31" s="279"/>
      <c r="O31" s="279">
        <f>M31*$C$31</f>
        <v>0</v>
      </c>
      <c r="P31" s="279"/>
      <c r="Q31" s="279">
        <f>O31*$C$31</f>
        <v>0</v>
      </c>
      <c r="R31" s="279"/>
      <c r="S31" s="279">
        <f>Q31*$C$31</f>
        <v>0</v>
      </c>
      <c r="T31" s="279"/>
      <c r="U31" s="279">
        <f>S31*$C$31</f>
        <v>0</v>
      </c>
      <c r="V31" s="279"/>
      <c r="W31" s="279">
        <f>U31*$C$31</f>
        <v>0</v>
      </c>
      <c r="X31" s="279"/>
      <c r="Y31" s="279">
        <f>W31*$C$31</f>
        <v>0</v>
      </c>
      <c r="Z31" s="279"/>
      <c r="AA31" s="279">
        <f>Y31*$C$31</f>
        <v>0</v>
      </c>
      <c r="AB31" s="279"/>
      <c r="AC31" s="279">
        <f>AA31*$C$31</f>
        <v>0</v>
      </c>
      <c r="AD31" s="279"/>
      <c r="AE31" s="279">
        <f>AC31*$C$31</f>
        <v>0</v>
      </c>
      <c r="AF31" s="279"/>
      <c r="AG31" s="279">
        <f>AE31*$C$31</f>
        <v>0</v>
      </c>
    </row>
    <row r="32" spans="1:34" ht="14.25">
      <c r="A32" s="269" t="str">
        <f>Application!E857</f>
        <v>Other (Specify):</v>
      </c>
      <c r="B32" s="269"/>
      <c r="C32" s="360">
        <v>1.0349999999999999</v>
      </c>
      <c r="D32" s="269"/>
      <c r="E32" s="279">
        <f>Application!AC857</f>
        <v>0</v>
      </c>
      <c r="F32" s="279"/>
      <c r="G32" s="279">
        <f>E32*$C$32</f>
        <v>0</v>
      </c>
      <c r="H32" s="279"/>
      <c r="I32" s="279">
        <f>G32*$C$32</f>
        <v>0</v>
      </c>
      <c r="J32" s="279"/>
      <c r="K32" s="279">
        <f>I32*$C$32</f>
        <v>0</v>
      </c>
      <c r="L32" s="279"/>
      <c r="M32" s="279">
        <f>K32*$C$32</f>
        <v>0</v>
      </c>
      <c r="N32" s="279"/>
      <c r="O32" s="279">
        <f>M32*$C$32</f>
        <v>0</v>
      </c>
      <c r="P32" s="279"/>
      <c r="Q32" s="279">
        <f>O32*$C$32</f>
        <v>0</v>
      </c>
      <c r="R32" s="279"/>
      <c r="S32" s="279">
        <f>Q32*$C$32</f>
        <v>0</v>
      </c>
      <c r="T32" s="279"/>
      <c r="U32" s="279">
        <f>S32*$C$32</f>
        <v>0</v>
      </c>
      <c r="V32" s="279"/>
      <c r="W32" s="279">
        <f>U32*$C$32</f>
        <v>0</v>
      </c>
      <c r="X32" s="279"/>
      <c r="Y32" s="279">
        <f>W32*$C$32</f>
        <v>0</v>
      </c>
      <c r="Z32" s="279"/>
      <c r="AA32" s="279">
        <f>Y32*$C$32</f>
        <v>0</v>
      </c>
      <c r="AB32" s="279"/>
      <c r="AC32" s="279">
        <f>AA32*$C$32</f>
        <v>0</v>
      </c>
      <c r="AD32" s="279"/>
      <c r="AE32" s="279">
        <f>AC32*$C$32</f>
        <v>0</v>
      </c>
      <c r="AF32" s="279"/>
      <c r="AG32" s="279">
        <f>AE32*$C$32</f>
        <v>0</v>
      </c>
    </row>
    <row r="33" spans="1:35" ht="14.25">
      <c r="A33" s="269" t="str">
        <f>Application!E858</f>
        <v>Other (Specify):</v>
      </c>
      <c r="B33" s="269"/>
      <c r="C33" s="360">
        <v>1.0349999999999999</v>
      </c>
      <c r="D33" s="269"/>
      <c r="E33" s="279">
        <f>Application!AC858</f>
        <v>0</v>
      </c>
      <c r="F33" s="279"/>
      <c r="G33" s="279">
        <f>E33*$C$33</f>
        <v>0</v>
      </c>
      <c r="H33" s="279"/>
      <c r="I33" s="279">
        <f>G33*$C$33</f>
        <v>0</v>
      </c>
      <c r="J33" s="279"/>
      <c r="K33" s="279">
        <f>I33*$C$33</f>
        <v>0</v>
      </c>
      <c r="L33" s="279"/>
      <c r="M33" s="279">
        <f>K33*$C$33</f>
        <v>0</v>
      </c>
      <c r="N33" s="279"/>
      <c r="O33" s="279">
        <f>M33*$C$33</f>
        <v>0</v>
      </c>
      <c r="P33" s="279"/>
      <c r="Q33" s="279">
        <f>O33*$C$33</f>
        <v>0</v>
      </c>
      <c r="R33" s="279"/>
      <c r="S33" s="279">
        <f>Q33*$C$33</f>
        <v>0</v>
      </c>
      <c r="T33" s="279"/>
      <c r="U33" s="279">
        <f>S33*$C$33</f>
        <v>0</v>
      </c>
      <c r="V33" s="279"/>
      <c r="W33" s="279">
        <f>U33*$C$33</f>
        <v>0</v>
      </c>
      <c r="X33" s="279"/>
      <c r="Y33" s="279">
        <f>W33*$C$33</f>
        <v>0</v>
      </c>
      <c r="Z33" s="279"/>
      <c r="AA33" s="279">
        <f>Y33*$C$33</f>
        <v>0</v>
      </c>
      <c r="AB33" s="279"/>
      <c r="AC33" s="279">
        <f>AA33*$C$33</f>
        <v>0</v>
      </c>
      <c r="AD33" s="279"/>
      <c r="AE33" s="279">
        <f>AC33*$C$33</f>
        <v>0</v>
      </c>
      <c r="AF33" s="279"/>
      <c r="AG33" s="279">
        <f>AE33*$C$33</f>
        <v>0</v>
      </c>
    </row>
    <row r="34" spans="1:35" ht="14.25">
      <c r="A34" s="269"/>
      <c r="B34" s="269"/>
      <c r="C34" s="277"/>
      <c r="D34" s="269"/>
      <c r="E34" s="279"/>
      <c r="F34" s="279"/>
      <c r="G34" s="279"/>
      <c r="H34" s="279"/>
      <c r="I34" s="279"/>
      <c r="J34" s="279"/>
      <c r="K34" s="279"/>
      <c r="L34" s="279"/>
      <c r="M34" s="279"/>
      <c r="N34" s="279"/>
      <c r="O34" s="279"/>
      <c r="P34" s="279"/>
      <c r="Q34" s="279"/>
      <c r="R34" s="279"/>
      <c r="S34" s="279"/>
      <c r="T34" s="279"/>
      <c r="U34" s="279"/>
      <c r="V34" s="279"/>
      <c r="W34" s="279"/>
      <c r="X34" s="279"/>
      <c r="Y34" s="279"/>
      <c r="Z34" s="279"/>
      <c r="AA34" s="279"/>
      <c r="AB34" s="279"/>
      <c r="AC34" s="279"/>
      <c r="AD34" s="279"/>
      <c r="AE34" s="279"/>
      <c r="AF34" s="279"/>
      <c r="AG34" s="279"/>
    </row>
    <row r="35" spans="1:35" ht="15">
      <c r="A35" s="280" t="s">
        <v>1575</v>
      </c>
      <c r="B35" s="280"/>
      <c r="C35" s="281"/>
      <c r="D35" s="280"/>
      <c r="E35" s="280">
        <f>SUM(E22:E33)</f>
        <v>581423.87600000005</v>
      </c>
      <c r="F35" s="280"/>
      <c r="G35" s="280">
        <f>SUM(G22:G33)</f>
        <v>600307.67599999998</v>
      </c>
      <c r="H35" s="280"/>
      <c r="I35" s="280">
        <f>SUM(I22:I33)</f>
        <v>619850.83550000004</v>
      </c>
      <c r="J35" s="280"/>
      <c r="K35" s="280">
        <f>SUM(K22:K33)</f>
        <v>640076.40061249991</v>
      </c>
      <c r="L35" s="280"/>
      <c r="M35" s="280">
        <f>SUM(M22:M33)</f>
        <v>661008.2234345373</v>
      </c>
      <c r="N35" s="280"/>
      <c r="O35" s="280">
        <f>SUM(O22:O33)</f>
        <v>682670.9902445582</v>
      </c>
      <c r="P35" s="280"/>
      <c r="Q35" s="280">
        <f>SUM(Q22:Q33)</f>
        <v>705090.25068592594</v>
      </c>
      <c r="R35" s="280"/>
      <c r="S35" s="280">
        <f>SUM(S22:S33)</f>
        <v>728292.44797159755</v>
      </c>
      <c r="T35" s="280"/>
      <c r="U35" s="280">
        <f>SUM(U22:U33)</f>
        <v>752304.95014570118</v>
      </c>
      <c r="V35" s="280"/>
      <c r="W35" s="280">
        <f>SUM(W22:W33)</f>
        <v>777156.08243900037</v>
      </c>
      <c r="X35" s="280"/>
      <c r="Y35" s="280">
        <f>SUM(Y22:Y33)</f>
        <v>802875.16075652896</v>
      </c>
      <c r="Z35" s="280"/>
      <c r="AA35" s="280">
        <f>SUM(AA22:AA33)</f>
        <v>829492.52633701428</v>
      </c>
      <c r="AB35" s="280"/>
      <c r="AC35" s="280">
        <f>SUM(AC22:AC33)</f>
        <v>857039.58162509662</v>
      </c>
      <c r="AD35" s="280"/>
      <c r="AE35" s="280">
        <f>SUM(AE22:AE33)</f>
        <v>885548.82739878783</v>
      </c>
      <c r="AF35" s="280"/>
      <c r="AG35" s="280">
        <f>SUM(AG22:AG33)</f>
        <v>915053.90119609435</v>
      </c>
    </row>
    <row r="36" spans="1:35" ht="14.25">
      <c r="A36" s="269"/>
      <c r="B36" s="269"/>
      <c r="C36" s="277"/>
      <c r="D36" s="26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row>
    <row r="37" spans="1:35" ht="15">
      <c r="A37" s="280" t="s">
        <v>2485</v>
      </c>
      <c r="B37" s="280"/>
      <c r="C37" s="281"/>
      <c r="D37" s="280"/>
      <c r="E37" s="280">
        <f>E11-E35</f>
        <v>446608.17399999988</v>
      </c>
      <c r="F37" s="280"/>
      <c r="G37" s="280">
        <f>G11-G35</f>
        <v>453425.17524999962</v>
      </c>
      <c r="H37" s="280"/>
      <c r="I37" s="280">
        <f>I11-I35</f>
        <v>460225.33703124966</v>
      </c>
      <c r="J37" s="280"/>
      <c r="K37" s="280">
        <f>K11-K35</f>
        <v>467001.6762320312</v>
      </c>
      <c r="L37" s="280"/>
      <c r="M37" s="280">
        <f>M11-M35</f>
        <v>473746.80533110665</v>
      </c>
      <c r="N37" s="280"/>
      <c r="O37" s="280">
        <f>O11-O35</f>
        <v>480452.91424022696</v>
      </c>
      <c r="P37" s="280"/>
      <c r="Q37" s="280">
        <f>Q11-Q35</f>
        <v>487111.75141097873</v>
      </c>
      <c r="R37" s="280"/>
      <c r="S37" s="280">
        <f>S11-S35</f>
        <v>493714.60417772946</v>
      </c>
      <c r="T37" s="280"/>
      <c r="U37" s="280">
        <f>U11-U35</f>
        <v>500252.2783073592</v>
      </c>
      <c r="V37" s="280"/>
      <c r="W37" s="280">
        <f>W11-W35</f>
        <v>506715.07672538643</v>
      </c>
      <c r="X37" s="280"/>
      <c r="Y37" s="280">
        <f>Y11-Y35</f>
        <v>513092.77738696744</v>
      </c>
      <c r="Z37" s="280"/>
      <c r="AA37" s="280">
        <f>AA11-AA35</f>
        <v>519374.61026006914</v>
      </c>
      <c r="AB37" s="280"/>
      <c r="AC37" s="280">
        <f>AC11-AC35</f>
        <v>525549.23338691366</v>
      </c>
      <c r="AD37" s="280"/>
      <c r="AE37" s="280">
        <f>AE11-AE35</f>
        <v>531604.70798852283</v>
      </c>
      <c r="AF37" s="280"/>
      <c r="AG37" s="280">
        <f>AG11-AG35</f>
        <v>537528.47257589863</v>
      </c>
    </row>
    <row r="38" spans="1:35" ht="14.25">
      <c r="A38" s="269"/>
      <c r="B38" s="269"/>
      <c r="C38" s="277"/>
      <c r="D38" s="26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row>
    <row r="39" spans="1:35" ht="15">
      <c r="A39" s="275" t="s">
        <v>2486</v>
      </c>
      <c r="B39" s="269"/>
      <c r="C39" s="277"/>
      <c r="D39" s="26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row>
    <row r="40" spans="1:35" ht="14.25">
      <c r="A40" s="282" t="str">
        <f>Application!C618</f>
        <v>Permanent Loan</v>
      </c>
      <c r="B40" s="283"/>
      <c r="C40" s="277"/>
      <c r="D40" s="269"/>
      <c r="E40" s="276">
        <f>Application!AF618</f>
        <v>385927.35118877701</v>
      </c>
      <c r="F40" s="276"/>
      <c r="G40" s="276">
        <f>$E$40</f>
        <v>385927.35118877701</v>
      </c>
      <c r="H40" s="276"/>
      <c r="I40" s="276">
        <f>$E$40</f>
        <v>385927.35118877701</v>
      </c>
      <c r="J40" s="276"/>
      <c r="K40" s="276">
        <f>$E$40</f>
        <v>385927.35118877701</v>
      </c>
      <c r="L40" s="276"/>
      <c r="M40" s="276">
        <f>$E$40</f>
        <v>385927.35118877701</v>
      </c>
      <c r="N40" s="276"/>
      <c r="O40" s="276">
        <f>$E$40</f>
        <v>385927.35118877701</v>
      </c>
      <c r="P40" s="276"/>
      <c r="Q40" s="276">
        <f>$E$40</f>
        <v>385927.35118877701</v>
      </c>
      <c r="R40" s="276"/>
      <c r="S40" s="276">
        <f>$E$40</f>
        <v>385927.35118877701</v>
      </c>
      <c r="T40" s="276"/>
      <c r="U40" s="276">
        <f>$E$40</f>
        <v>385927.35118877701</v>
      </c>
      <c r="V40" s="276"/>
      <c r="W40" s="276">
        <f>$E$40</f>
        <v>385927.35118877701</v>
      </c>
      <c r="X40" s="276"/>
      <c r="Y40" s="276">
        <f>$E$40</f>
        <v>385927.35118877701</v>
      </c>
      <c r="Z40" s="276"/>
      <c r="AA40" s="276">
        <f>$E$40</f>
        <v>385927.35118877701</v>
      </c>
      <c r="AB40" s="276"/>
      <c r="AC40" s="276">
        <f>$E$40</f>
        <v>385927.35118877701</v>
      </c>
      <c r="AD40" s="276"/>
      <c r="AE40" s="276">
        <f>$E$40</f>
        <v>385927.35118877701</v>
      </c>
      <c r="AF40" s="276"/>
      <c r="AG40" s="276">
        <f>$E$40</f>
        <v>385927.35118877701</v>
      </c>
      <c r="AH40" s="269"/>
      <c r="AI40" s="269"/>
    </row>
    <row r="41" spans="1:35" ht="14.25">
      <c r="A41" s="282"/>
      <c r="B41" s="283"/>
      <c r="C41" s="277"/>
      <c r="D41" s="269"/>
      <c r="E41" s="279"/>
      <c r="F41" s="279"/>
      <c r="G41" s="279">
        <f>$E$41</f>
        <v>0</v>
      </c>
      <c r="H41" s="279"/>
      <c r="I41" s="279">
        <f>$E$41</f>
        <v>0</v>
      </c>
      <c r="J41" s="279"/>
      <c r="K41" s="279">
        <f>$E$41</f>
        <v>0</v>
      </c>
      <c r="L41" s="279"/>
      <c r="M41" s="279">
        <f>$E$41</f>
        <v>0</v>
      </c>
      <c r="N41" s="279"/>
      <c r="O41" s="279">
        <f>$E$41</f>
        <v>0</v>
      </c>
      <c r="P41" s="279"/>
      <c r="Q41" s="279">
        <f>$E$41</f>
        <v>0</v>
      </c>
      <c r="R41" s="279"/>
      <c r="S41" s="279">
        <f>$E$41</f>
        <v>0</v>
      </c>
      <c r="T41" s="279"/>
      <c r="U41" s="279">
        <f>$E$41</f>
        <v>0</v>
      </c>
      <c r="V41" s="279"/>
      <c r="W41" s="279">
        <f>$E$41</f>
        <v>0</v>
      </c>
      <c r="X41" s="279"/>
      <c r="Y41" s="279">
        <f>$E$41</f>
        <v>0</v>
      </c>
      <c r="Z41" s="279"/>
      <c r="AA41" s="279">
        <f>$E$41</f>
        <v>0</v>
      </c>
      <c r="AB41" s="279"/>
      <c r="AC41" s="279">
        <f>$E$41</f>
        <v>0</v>
      </c>
      <c r="AD41" s="279"/>
      <c r="AE41" s="279">
        <f>$E$41</f>
        <v>0</v>
      </c>
      <c r="AF41" s="279"/>
      <c r="AG41" s="279">
        <f>$E$41</f>
        <v>0</v>
      </c>
      <c r="AH41" s="269"/>
      <c r="AI41" s="269"/>
    </row>
    <row r="42" spans="1:35" ht="14.25">
      <c r="A42" s="282"/>
      <c r="B42" s="283"/>
      <c r="C42" s="277"/>
      <c r="D42" s="269"/>
      <c r="E42" s="289"/>
      <c r="F42" s="279"/>
      <c r="G42" s="289">
        <f>$E$42</f>
        <v>0</v>
      </c>
      <c r="H42" s="279"/>
      <c r="I42" s="289">
        <f>$E$42</f>
        <v>0</v>
      </c>
      <c r="J42" s="279"/>
      <c r="K42" s="289">
        <f>$E$42</f>
        <v>0</v>
      </c>
      <c r="L42" s="279"/>
      <c r="M42" s="289">
        <f>$E$42</f>
        <v>0</v>
      </c>
      <c r="N42" s="279"/>
      <c r="O42" s="289">
        <f>$E$42</f>
        <v>0</v>
      </c>
      <c r="P42" s="279"/>
      <c r="Q42" s="289">
        <f>$E$42</f>
        <v>0</v>
      </c>
      <c r="R42" s="279"/>
      <c r="S42" s="289">
        <f>$E$42</f>
        <v>0</v>
      </c>
      <c r="T42" s="279"/>
      <c r="U42" s="289">
        <f>$E$42</f>
        <v>0</v>
      </c>
      <c r="V42" s="279"/>
      <c r="W42" s="289">
        <f>$E$42</f>
        <v>0</v>
      </c>
      <c r="X42" s="279"/>
      <c r="Y42" s="289">
        <f>$E$42</f>
        <v>0</v>
      </c>
      <c r="Z42" s="279"/>
      <c r="AA42" s="289">
        <f>$E$42</f>
        <v>0</v>
      </c>
      <c r="AB42" s="279"/>
      <c r="AC42" s="289">
        <f>$E$42</f>
        <v>0</v>
      </c>
      <c r="AD42" s="279"/>
      <c r="AE42" s="289">
        <f>$E$42</f>
        <v>0</v>
      </c>
      <c r="AF42" s="279"/>
      <c r="AG42" s="289">
        <f>$E$42</f>
        <v>0</v>
      </c>
      <c r="AH42" s="269"/>
      <c r="AI42" s="269"/>
    </row>
    <row r="43" spans="1:35" ht="15">
      <c r="A43" s="280" t="s">
        <v>2487</v>
      </c>
      <c r="B43" s="280"/>
      <c r="C43" s="281"/>
      <c r="D43" s="280"/>
      <c r="E43" s="280">
        <f>SUM(E40:E42)</f>
        <v>385927.35118877701</v>
      </c>
      <c r="F43" s="280"/>
      <c r="G43" s="280">
        <f>SUM(G40:G42)</f>
        <v>385927.35118877701</v>
      </c>
      <c r="H43" s="280"/>
      <c r="I43" s="280">
        <f>SUM(I40:I42)</f>
        <v>385927.35118877701</v>
      </c>
      <c r="J43" s="280"/>
      <c r="K43" s="280">
        <f>SUM(K40:K42)</f>
        <v>385927.35118877701</v>
      </c>
      <c r="L43" s="280"/>
      <c r="M43" s="280">
        <f>SUM(M40:M42)</f>
        <v>385927.35118877701</v>
      </c>
      <c r="N43" s="280"/>
      <c r="O43" s="280">
        <f>SUM(O40:O42)</f>
        <v>385927.35118877701</v>
      </c>
      <c r="P43" s="280"/>
      <c r="Q43" s="280">
        <f>SUM(Q40:Q42)</f>
        <v>385927.35118877701</v>
      </c>
      <c r="R43" s="280"/>
      <c r="S43" s="280">
        <f>SUM(S40:S42)</f>
        <v>385927.35118877701</v>
      </c>
      <c r="T43" s="280"/>
      <c r="U43" s="280">
        <f>SUM(U40:U42)</f>
        <v>385927.35118877701</v>
      </c>
      <c r="V43" s="280"/>
      <c r="W43" s="280">
        <f>SUM(W40:W42)</f>
        <v>385927.35118877701</v>
      </c>
      <c r="X43" s="280"/>
      <c r="Y43" s="280">
        <f>SUM(Y40:Y42)</f>
        <v>385927.35118877701</v>
      </c>
      <c r="Z43" s="280"/>
      <c r="AA43" s="280">
        <f>SUM(AA40:AA42)</f>
        <v>385927.35118877701</v>
      </c>
      <c r="AB43" s="280"/>
      <c r="AC43" s="280">
        <f>SUM(AC40:AC42)</f>
        <v>385927.35118877701</v>
      </c>
      <c r="AD43" s="280"/>
      <c r="AE43" s="280">
        <f>SUM(AE40:AE42)</f>
        <v>385927.35118877701</v>
      </c>
      <c r="AF43" s="280"/>
      <c r="AG43" s="280">
        <f>SUM(AG40:AG42)</f>
        <v>385927.35118877701</v>
      </c>
      <c r="AH43" s="280"/>
      <c r="AI43" s="280"/>
    </row>
    <row r="44" spans="1:35" ht="14.25">
      <c r="A44" s="269"/>
      <c r="B44" s="269"/>
      <c r="C44" s="277"/>
      <c r="D44" s="26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79"/>
      <c r="AF44" s="279"/>
      <c r="AG44" s="279"/>
      <c r="AH44" s="269"/>
      <c r="AI44" s="269"/>
    </row>
    <row r="45" spans="1:35" ht="15">
      <c r="A45" s="280" t="s">
        <v>2488</v>
      </c>
      <c r="B45" s="280"/>
      <c r="C45" s="281"/>
      <c r="D45" s="280"/>
      <c r="E45" s="280">
        <f>E37-E43</f>
        <v>60680.822811222868</v>
      </c>
      <c r="F45" s="280"/>
      <c r="G45" s="280">
        <f>G37-G43</f>
        <v>67497.824061222607</v>
      </c>
      <c r="H45" s="280"/>
      <c r="I45" s="280">
        <f>I37-I43</f>
        <v>74297.985842472641</v>
      </c>
      <c r="J45" s="280"/>
      <c r="K45" s="280">
        <f>K37-K43</f>
        <v>81074.325043254183</v>
      </c>
      <c r="L45" s="280"/>
      <c r="M45" s="280">
        <f>M37-M43</f>
        <v>87819.454142329632</v>
      </c>
      <c r="N45" s="280"/>
      <c r="O45" s="280">
        <f>O37-O43</f>
        <v>94525.56305144995</v>
      </c>
      <c r="P45" s="280"/>
      <c r="Q45" s="280">
        <f>Q37-Q43</f>
        <v>101184.40022220172</v>
      </c>
      <c r="R45" s="280"/>
      <c r="S45" s="280">
        <f>S37-S43</f>
        <v>107787.25298895244</v>
      </c>
      <c r="T45" s="280"/>
      <c r="U45" s="280">
        <f>U37-U43</f>
        <v>114324.92711858219</v>
      </c>
      <c r="V45" s="280"/>
      <c r="W45" s="280">
        <f>W37-W43</f>
        <v>120787.72553660942</v>
      </c>
      <c r="X45" s="280"/>
      <c r="Y45" s="280">
        <f>Y37-Y43</f>
        <v>127165.42619819043</v>
      </c>
      <c r="Z45" s="280"/>
      <c r="AA45" s="280">
        <f>AA37-AA43</f>
        <v>133447.25907129212</v>
      </c>
      <c r="AB45" s="280"/>
      <c r="AC45" s="280">
        <f>AC37-AC43</f>
        <v>139621.88219813665</v>
      </c>
      <c r="AD45" s="280"/>
      <c r="AE45" s="280">
        <f>AE37-AE43</f>
        <v>145677.35679974582</v>
      </c>
      <c r="AF45" s="280"/>
      <c r="AG45" s="280">
        <f>AG37-AG43</f>
        <v>151601.12138712162</v>
      </c>
      <c r="AH45" s="280"/>
      <c r="AI45" s="280"/>
    </row>
    <row r="46" spans="1:35" ht="14.25">
      <c r="A46" s="269"/>
      <c r="B46" s="269"/>
      <c r="C46" s="277"/>
      <c r="D46" s="269"/>
      <c r="E46" s="279"/>
      <c r="F46" s="279"/>
      <c r="G46" s="279"/>
      <c r="H46" s="279"/>
      <c r="I46" s="279"/>
      <c r="J46" s="279"/>
      <c r="K46" s="279"/>
      <c r="L46" s="279"/>
      <c r="M46" s="279"/>
      <c r="N46" s="279"/>
      <c r="O46" s="279"/>
      <c r="P46" s="279"/>
      <c r="Q46" s="279"/>
      <c r="R46" s="279"/>
      <c r="S46" s="279"/>
      <c r="T46" s="279"/>
      <c r="U46" s="279"/>
      <c r="V46" s="279"/>
      <c r="W46" s="279"/>
      <c r="X46" s="279"/>
      <c r="Y46" s="279"/>
      <c r="Z46" s="279"/>
      <c r="AA46" s="279"/>
      <c r="AB46" s="279"/>
      <c r="AC46" s="279"/>
      <c r="AD46" s="279"/>
      <c r="AE46" s="279"/>
      <c r="AF46" s="279"/>
      <c r="AG46" s="279"/>
      <c r="AH46" s="269"/>
      <c r="AI46" s="269"/>
    </row>
    <row r="47" spans="1:35" ht="14.25">
      <c r="A47" s="284" t="s">
        <v>2489</v>
      </c>
      <c r="B47" s="284"/>
      <c r="C47" s="277"/>
      <c r="D47" s="284"/>
      <c r="E47" s="284">
        <f>E45/(E4+E6+E8)</f>
        <v>5.6074887617231124E-2</v>
      </c>
      <c r="F47" s="284"/>
      <c r="G47" s="284">
        <f>G45/(G4+G6+G8)</f>
        <v>6.0853121151243493E-2</v>
      </c>
      <c r="H47" s="284"/>
      <c r="I47" s="284">
        <f>I45/(I4+I6+I8)</f>
        <v>6.5350100618303222E-2</v>
      </c>
      <c r="J47" s="284"/>
      <c r="K47" s="284">
        <f>K45/(K4+K6+K8)</f>
        <v>6.957107217823412E-2</v>
      </c>
      <c r="L47" s="284"/>
      <c r="M47" s="284">
        <f>M45/(M4+M6+M8)</f>
        <v>7.3521138325303922E-2</v>
      </c>
      <c r="N47" s="284"/>
      <c r="O47" s="284">
        <f>O45/(O4+O6+O8)</f>
        <v>7.7205261238831424E-2</v>
      </c>
      <c r="P47" s="284"/>
      <c r="Q47" s="284">
        <f>Q45/(Q4+Q6+Q8)</f>
        <v>8.0628266050570163E-2</v>
      </c>
      <c r="R47" s="284"/>
      <c r="S47" s="284">
        <f>S45/(S4+S6+S8)</f>
        <v>8.3794844030893517E-2</v>
      </c>
      <c r="T47" s="284"/>
      <c r="U47" s="284">
        <f>U45/(U4+U6+U8)</f>
        <v>8.670955569574057E-2</v>
      </c>
      <c r="V47" s="284"/>
      <c r="W47" s="284">
        <f>W45/(W4+W6+W8)</f>
        <v>8.937683383624212E-2</v>
      </c>
      <c r="X47" s="284"/>
      <c r="Y47" s="284">
        <f>Y45/(Y4+Y6+Y8)</f>
        <v>9.1800986472899776E-2</v>
      </c>
      <c r="Z47" s="284"/>
      <c r="AA47" s="284">
        <f>AA45/(AA4+AA6+AA8)</f>
        <v>9.3986199736139114E-2</v>
      </c>
      <c r="AB47" s="284"/>
      <c r="AC47" s="284">
        <f>AC45/(AC4+AC6+AC8)</f>
        <v>9.593654067502172E-2</v>
      </c>
      <c r="AD47" s="284"/>
      <c r="AE47" s="284">
        <f>AE45/(AE4+AE6+AE8)</f>
        <v>9.7655959995848543E-2</v>
      </c>
      <c r="AF47" s="284"/>
      <c r="AG47" s="284">
        <f>AG45/(AG4+AG6+AG8)</f>
        <v>9.9148294732352343E-2</v>
      </c>
      <c r="AH47" s="284"/>
      <c r="AI47" s="284"/>
    </row>
    <row r="48" spans="1:35" ht="14.25">
      <c r="A48" s="284" t="s">
        <v>2490</v>
      </c>
      <c r="B48" s="284"/>
      <c r="C48" s="277"/>
      <c r="D48" s="284"/>
      <c r="E48" s="284">
        <f>E45/E43</f>
        <v>0.1572337970457573</v>
      </c>
      <c r="F48" s="284"/>
      <c r="G48" s="284">
        <f>G45/G43</f>
        <v>0.17489774656631146</v>
      </c>
      <c r="H48" s="284"/>
      <c r="I48" s="284">
        <f>I45/I43</f>
        <v>0.19251806230787114</v>
      </c>
      <c r="J48" s="284"/>
      <c r="K48" s="284">
        <f>K45/K43</f>
        <v>0.21007664990190483</v>
      </c>
      <c r="L48" s="284"/>
      <c r="M48" s="284">
        <f>M45/M43</f>
        <v>0.22755436708960439</v>
      </c>
      <c r="N48" s="284"/>
      <c r="O48" s="284">
        <f>O45/O43</f>
        <v>0.24493097667289357</v>
      </c>
      <c r="P48" s="284"/>
      <c r="Q48" s="284">
        <f>Q45/Q43</f>
        <v>0.2621850975592222</v>
      </c>
      <c r="R48" s="284"/>
      <c r="S48" s="284">
        <f>S45/S43</f>
        <v>0.27929415382696765</v>
      </c>
      <c r="T48" s="284"/>
      <c r="U48" s="284">
        <f>U45/U43</f>
        <v>0.29623432173549147</v>
      </c>
      <c r="V48" s="284"/>
      <c r="W48" s="284">
        <f>W45/W43</f>
        <v>0.31298047460110151</v>
      </c>
      <c r="X48" s="284"/>
      <c r="Y48" s="284">
        <f>Y45/Y43</f>
        <v>0.32950612545724245</v>
      </c>
      <c r="Z48" s="284"/>
      <c r="AA48" s="284">
        <f>AA45/AA43</f>
        <v>0.34578336741418508</v>
      </c>
      <c r="AB48" s="284"/>
      <c r="AC48" s="284">
        <f>AC45/AC43</f>
        <v>0.36178281163036918</v>
      </c>
      <c r="AD48" s="284"/>
      <c r="AE48" s="284">
        <f>AE45/AE43</f>
        <v>0.37747352280426344</v>
      </c>
      <c r="AF48" s="284"/>
      <c r="AG48" s="284">
        <f>AG45/AG43</f>
        <v>0.39282295209225965</v>
      </c>
      <c r="AH48" s="284"/>
      <c r="AI48" s="284"/>
    </row>
    <row r="49" spans="1:35" ht="14.25">
      <c r="A49" s="285" t="s">
        <v>2448</v>
      </c>
      <c r="B49" s="285"/>
      <c r="C49" s="286"/>
      <c r="D49" s="285"/>
      <c r="E49" s="285">
        <f>E37/E43</f>
        <v>1.1572337970457574</v>
      </c>
      <c r="F49" s="285"/>
      <c r="G49" s="285">
        <f>G37/G43</f>
        <v>1.1748977465663115</v>
      </c>
      <c r="H49" s="285"/>
      <c r="I49" s="285">
        <f>I37/I43</f>
        <v>1.1925180623078711</v>
      </c>
      <c r="J49" s="285"/>
      <c r="K49" s="285">
        <f>K37/K43</f>
        <v>1.2100766499019049</v>
      </c>
      <c r="L49" s="285"/>
      <c r="M49" s="285">
        <f>M37/M43</f>
        <v>1.2275543670896043</v>
      </c>
      <c r="N49" s="285"/>
      <c r="O49" s="285">
        <f>O37/O43</f>
        <v>1.2449309766728935</v>
      </c>
      <c r="P49" s="285"/>
      <c r="Q49" s="285">
        <f>Q37/Q43</f>
        <v>1.2621850975592221</v>
      </c>
      <c r="R49" s="285"/>
      <c r="S49" s="285">
        <f>S37/S43</f>
        <v>1.2792941538269675</v>
      </c>
      <c r="T49" s="285"/>
      <c r="U49" s="285">
        <f>U37/U43</f>
        <v>1.2962343217354915</v>
      </c>
      <c r="V49" s="285"/>
      <c r="W49" s="285">
        <f>W37/W43</f>
        <v>1.3129804746011016</v>
      </c>
      <c r="X49" s="285"/>
      <c r="Y49" s="285">
        <f>Y37/Y43</f>
        <v>1.3295061254572424</v>
      </c>
      <c r="Z49" s="285"/>
      <c r="AA49" s="285">
        <f>AA37/AA43</f>
        <v>1.345783367414185</v>
      </c>
      <c r="AB49" s="285"/>
      <c r="AC49" s="285">
        <f>AC37/AC43</f>
        <v>1.3617828116303692</v>
      </c>
      <c r="AD49" s="285"/>
      <c r="AE49" s="285">
        <f>AE37/AE43</f>
        <v>1.3774735228042634</v>
      </c>
      <c r="AF49" s="285"/>
      <c r="AG49" s="285">
        <f>AG37/AG43</f>
        <v>1.3928229520922597</v>
      </c>
      <c r="AH49" s="285"/>
      <c r="AI49" s="285"/>
    </row>
    <row r="50" spans="1:35" ht="14.25">
      <c r="A50" s="287"/>
      <c r="B50" s="287"/>
      <c r="C50" s="288"/>
      <c r="D50" s="287"/>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69"/>
      <c r="AI50" s="269"/>
    </row>
    <row r="51" spans="1:35">
      <c r="A51" s="780" t="s">
        <v>2491</v>
      </c>
      <c r="B51" s="780"/>
      <c r="C51" s="290"/>
      <c r="D51" s="780"/>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780"/>
      <c r="AI51" s="780"/>
    </row>
    <row r="52" spans="1:35">
      <c r="A52" s="780"/>
      <c r="B52" s="780"/>
      <c r="C52" s="290"/>
      <c r="D52" s="780"/>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780"/>
      <c r="AI52" s="780"/>
    </row>
    <row r="53" spans="1:35">
      <c r="A53" s="267" t="s">
        <v>2492</v>
      </c>
      <c r="B53" s="267"/>
      <c r="C53" s="631"/>
      <c r="D53" s="267"/>
      <c r="E53" s="293"/>
      <c r="F53" s="267"/>
      <c r="G53" s="632">
        <f>E53*$C$53</f>
        <v>0</v>
      </c>
      <c r="H53" s="632"/>
      <c r="I53" s="632">
        <f>G53*$C$53</f>
        <v>0</v>
      </c>
      <c r="J53" s="632"/>
      <c r="K53" s="632">
        <f>I53*$C$53</f>
        <v>0</v>
      </c>
      <c r="L53" s="632"/>
      <c r="M53" s="632">
        <f>K53*$C$53</f>
        <v>0</v>
      </c>
      <c r="N53" s="632"/>
      <c r="O53" s="632">
        <f>M53*$C$53</f>
        <v>0</v>
      </c>
      <c r="P53" s="632"/>
      <c r="Q53" s="632">
        <f>O53*$C$53</f>
        <v>0</v>
      </c>
      <c r="R53" s="632"/>
      <c r="S53" s="632">
        <f>Q53*$C$53</f>
        <v>0</v>
      </c>
      <c r="T53" s="632"/>
      <c r="U53" s="632">
        <f>S53*$C$53</f>
        <v>0</v>
      </c>
      <c r="V53" s="632"/>
      <c r="W53" s="632">
        <f>U53*$C$53</f>
        <v>0</v>
      </c>
      <c r="X53" s="632"/>
      <c r="Y53" s="632">
        <f>W53*$C$53</f>
        <v>0</v>
      </c>
      <c r="Z53" s="632"/>
      <c r="AA53" s="632">
        <f>Y53*$C$53</f>
        <v>0</v>
      </c>
      <c r="AB53" s="632"/>
      <c r="AC53" s="632">
        <f>AA53*$C$53</f>
        <v>0</v>
      </c>
      <c r="AD53" s="632"/>
      <c r="AE53" s="632">
        <f>AC53*$C$53</f>
        <v>0</v>
      </c>
      <c r="AF53" s="632"/>
      <c r="AG53" s="632">
        <f>AE53*$C$53</f>
        <v>0</v>
      </c>
      <c r="AH53" s="267"/>
      <c r="AI53" s="267"/>
    </row>
    <row r="54" spans="1:35">
      <c r="A54" s="780" t="s">
        <v>2493</v>
      </c>
      <c r="B54" s="780"/>
      <c r="C54" s="300"/>
      <c r="D54" s="780"/>
      <c r="E54" s="294"/>
      <c r="F54" s="272"/>
      <c r="G54" s="855">
        <f t="shared" ref="G54:AG57" si="14">E54*$C$53</f>
        <v>0</v>
      </c>
      <c r="H54" s="855"/>
      <c r="I54" s="855">
        <f t="shared" si="14"/>
        <v>0</v>
      </c>
      <c r="J54" s="855"/>
      <c r="K54" s="855">
        <f t="shared" si="14"/>
        <v>0</v>
      </c>
      <c r="L54" s="855"/>
      <c r="M54" s="855">
        <f t="shared" si="14"/>
        <v>0</v>
      </c>
      <c r="N54" s="855"/>
      <c r="O54" s="855">
        <f t="shared" si="14"/>
        <v>0</v>
      </c>
      <c r="P54" s="855"/>
      <c r="Q54" s="855">
        <f t="shared" si="14"/>
        <v>0</v>
      </c>
      <c r="R54" s="855"/>
      <c r="S54" s="855">
        <f t="shared" si="14"/>
        <v>0</v>
      </c>
      <c r="T54" s="855"/>
      <c r="U54" s="855">
        <f t="shared" si="14"/>
        <v>0</v>
      </c>
      <c r="V54" s="855"/>
      <c r="W54" s="855">
        <f t="shared" si="14"/>
        <v>0</v>
      </c>
      <c r="X54" s="855"/>
      <c r="Y54" s="855">
        <f t="shared" si="14"/>
        <v>0</v>
      </c>
      <c r="Z54" s="855"/>
      <c r="AA54" s="855">
        <f t="shared" si="14"/>
        <v>0</v>
      </c>
      <c r="AB54" s="855"/>
      <c r="AC54" s="855">
        <f t="shared" si="14"/>
        <v>0</v>
      </c>
      <c r="AD54" s="855"/>
      <c r="AE54" s="855">
        <f t="shared" si="14"/>
        <v>0</v>
      </c>
      <c r="AF54" s="855"/>
      <c r="AG54" s="855">
        <f t="shared" si="14"/>
        <v>0</v>
      </c>
      <c r="AH54" s="272"/>
      <c r="AI54" s="272"/>
    </row>
    <row r="55" spans="1:35">
      <c r="A55" s="780" t="s">
        <v>2494</v>
      </c>
      <c r="B55" s="780"/>
      <c r="C55" s="300"/>
      <c r="D55" s="780"/>
      <c r="E55" s="294"/>
      <c r="F55" s="272"/>
      <c r="G55" s="855">
        <f t="shared" si="14"/>
        <v>0</v>
      </c>
      <c r="H55" s="855"/>
      <c r="I55" s="855">
        <f t="shared" si="14"/>
        <v>0</v>
      </c>
      <c r="J55" s="855"/>
      <c r="K55" s="855">
        <f t="shared" si="14"/>
        <v>0</v>
      </c>
      <c r="L55" s="855"/>
      <c r="M55" s="855">
        <f t="shared" si="14"/>
        <v>0</v>
      </c>
      <c r="N55" s="855"/>
      <c r="O55" s="855">
        <f t="shared" si="14"/>
        <v>0</v>
      </c>
      <c r="P55" s="855"/>
      <c r="Q55" s="855">
        <f t="shared" si="14"/>
        <v>0</v>
      </c>
      <c r="R55" s="855"/>
      <c r="S55" s="855">
        <f t="shared" si="14"/>
        <v>0</v>
      </c>
      <c r="T55" s="855"/>
      <c r="U55" s="855">
        <f t="shared" si="14"/>
        <v>0</v>
      </c>
      <c r="V55" s="855"/>
      <c r="W55" s="855">
        <f t="shared" si="14"/>
        <v>0</v>
      </c>
      <c r="X55" s="855"/>
      <c r="Y55" s="855">
        <f t="shared" si="14"/>
        <v>0</v>
      </c>
      <c r="Z55" s="855"/>
      <c r="AA55" s="855">
        <f t="shared" si="14"/>
        <v>0</v>
      </c>
      <c r="AB55" s="855"/>
      <c r="AC55" s="855">
        <f t="shared" si="14"/>
        <v>0</v>
      </c>
      <c r="AD55" s="855"/>
      <c r="AE55" s="855">
        <f t="shared" si="14"/>
        <v>0</v>
      </c>
      <c r="AF55" s="855"/>
      <c r="AG55" s="855">
        <f t="shared" si="14"/>
        <v>0</v>
      </c>
      <c r="AH55" s="272"/>
      <c r="AI55" s="272"/>
    </row>
    <row r="56" spans="1:35">
      <c r="A56" s="292"/>
      <c r="B56" s="292"/>
      <c r="C56" s="300"/>
      <c r="D56" s="780"/>
      <c r="E56" s="294"/>
      <c r="F56" s="272"/>
      <c r="G56" s="855">
        <f t="shared" si="14"/>
        <v>0</v>
      </c>
      <c r="H56" s="855"/>
      <c r="I56" s="855">
        <f t="shared" si="14"/>
        <v>0</v>
      </c>
      <c r="J56" s="855"/>
      <c r="K56" s="855">
        <f t="shared" si="14"/>
        <v>0</v>
      </c>
      <c r="L56" s="855"/>
      <c r="M56" s="855">
        <f t="shared" si="14"/>
        <v>0</v>
      </c>
      <c r="N56" s="855"/>
      <c r="O56" s="855">
        <f t="shared" si="14"/>
        <v>0</v>
      </c>
      <c r="P56" s="855"/>
      <c r="Q56" s="855">
        <f t="shared" si="14"/>
        <v>0</v>
      </c>
      <c r="R56" s="855"/>
      <c r="S56" s="855">
        <f t="shared" si="14"/>
        <v>0</v>
      </c>
      <c r="T56" s="855"/>
      <c r="U56" s="855">
        <f t="shared" si="14"/>
        <v>0</v>
      </c>
      <c r="V56" s="855"/>
      <c r="W56" s="855">
        <f t="shared" si="14"/>
        <v>0</v>
      </c>
      <c r="X56" s="855"/>
      <c r="Y56" s="855">
        <f t="shared" si="14"/>
        <v>0</v>
      </c>
      <c r="Z56" s="855"/>
      <c r="AA56" s="855">
        <f t="shared" si="14"/>
        <v>0</v>
      </c>
      <c r="AB56" s="855"/>
      <c r="AC56" s="855">
        <f t="shared" si="14"/>
        <v>0</v>
      </c>
      <c r="AD56" s="855"/>
      <c r="AE56" s="855">
        <f t="shared" si="14"/>
        <v>0</v>
      </c>
      <c r="AF56" s="855"/>
      <c r="AG56" s="855">
        <f t="shared" si="14"/>
        <v>0</v>
      </c>
      <c r="AH56" s="272"/>
      <c r="AI56" s="272"/>
    </row>
    <row r="57" spans="1:35">
      <c r="A57" s="292"/>
      <c r="B57" s="292"/>
      <c r="C57" s="300"/>
      <c r="D57" s="780"/>
      <c r="E57" s="298"/>
      <c r="F57" s="272"/>
      <c r="G57" s="854">
        <f t="shared" si="14"/>
        <v>0</v>
      </c>
      <c r="H57" s="855"/>
      <c r="I57" s="854">
        <f t="shared" si="14"/>
        <v>0</v>
      </c>
      <c r="J57" s="855"/>
      <c r="K57" s="854">
        <f t="shared" si="14"/>
        <v>0</v>
      </c>
      <c r="L57" s="855"/>
      <c r="M57" s="854">
        <f t="shared" si="14"/>
        <v>0</v>
      </c>
      <c r="N57" s="855"/>
      <c r="O57" s="854">
        <f t="shared" si="14"/>
        <v>0</v>
      </c>
      <c r="P57" s="855"/>
      <c r="Q57" s="854">
        <f t="shared" si="14"/>
        <v>0</v>
      </c>
      <c r="R57" s="855"/>
      <c r="S57" s="854">
        <f t="shared" si="14"/>
        <v>0</v>
      </c>
      <c r="T57" s="855"/>
      <c r="U57" s="854">
        <f t="shared" si="14"/>
        <v>0</v>
      </c>
      <c r="V57" s="855"/>
      <c r="W57" s="854">
        <f t="shared" si="14"/>
        <v>0</v>
      </c>
      <c r="X57" s="855"/>
      <c r="Y57" s="854">
        <f t="shared" si="14"/>
        <v>0</v>
      </c>
      <c r="Z57" s="855"/>
      <c r="AA57" s="854">
        <f t="shared" si="14"/>
        <v>0</v>
      </c>
      <c r="AB57" s="855"/>
      <c r="AC57" s="854">
        <f t="shared" si="14"/>
        <v>0</v>
      </c>
      <c r="AD57" s="855"/>
      <c r="AE57" s="854">
        <f t="shared" si="14"/>
        <v>0</v>
      </c>
      <c r="AF57" s="855"/>
      <c r="AG57" s="854">
        <f t="shared" si="14"/>
        <v>0</v>
      </c>
      <c r="AH57" s="272"/>
      <c r="AI57" s="272"/>
    </row>
    <row r="58" spans="1:35">
      <c r="A58" s="267" t="s">
        <v>2495</v>
      </c>
      <c r="B58" s="780"/>
      <c r="C58" s="290"/>
      <c r="D58" s="780"/>
      <c r="E58" s="272">
        <f>SUM(E53:E57)</f>
        <v>0</v>
      </c>
      <c r="F58" s="272"/>
      <c r="G58" s="272">
        <f>SUM(G53:G57)</f>
        <v>0</v>
      </c>
      <c r="H58" s="272"/>
      <c r="I58" s="272">
        <f>SUM(I53:I57)</f>
        <v>0</v>
      </c>
      <c r="J58" s="272"/>
      <c r="K58" s="272">
        <f>SUM(K53:K57)</f>
        <v>0</v>
      </c>
      <c r="L58" s="272"/>
      <c r="M58" s="272">
        <f>SUM(M53:M57)</f>
        <v>0</v>
      </c>
      <c r="N58" s="272"/>
      <c r="O58" s="272">
        <f>SUM(O53:O57)</f>
        <v>0</v>
      </c>
      <c r="P58" s="272"/>
      <c r="Q58" s="272">
        <f>SUM(Q53:Q57)</f>
        <v>0</v>
      </c>
      <c r="R58" s="272"/>
      <c r="S58" s="272">
        <f>SUM(S53:S57)</f>
        <v>0</v>
      </c>
      <c r="T58" s="272"/>
      <c r="U58" s="272">
        <f>SUM(U53:U57)</f>
        <v>0</v>
      </c>
      <c r="V58" s="272"/>
      <c r="W58" s="272">
        <f>SUM(W53:W57)</f>
        <v>0</v>
      </c>
      <c r="X58" s="272"/>
      <c r="Y58" s="272">
        <f>SUM(Y53:Y57)</f>
        <v>0</v>
      </c>
      <c r="Z58" s="272"/>
      <c r="AA58" s="272">
        <f>SUM(AA53:AA57)</f>
        <v>0</v>
      </c>
      <c r="AB58" s="272"/>
      <c r="AC58" s="272">
        <f>SUM(AC53:AC57)</f>
        <v>0</v>
      </c>
      <c r="AD58" s="272"/>
      <c r="AE58" s="272">
        <f>SUM(AE53:AE57)</f>
        <v>0</v>
      </c>
      <c r="AF58" s="272"/>
      <c r="AG58" s="272">
        <f>SUM(AG53:AG57)</f>
        <v>0</v>
      </c>
      <c r="AH58" s="272"/>
      <c r="AI58" s="272"/>
    </row>
    <row r="59" spans="1:35">
      <c r="A59" s="267"/>
      <c r="B59" s="780"/>
      <c r="C59" s="290"/>
      <c r="D59" s="780"/>
      <c r="E59" s="272"/>
      <c r="F59" s="272"/>
      <c r="G59" s="272"/>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row>
    <row r="60" spans="1:35">
      <c r="A60" s="267" t="s">
        <v>2496</v>
      </c>
      <c r="B60" s="267"/>
      <c r="C60" s="291"/>
      <c r="D60" s="267"/>
      <c r="E60" s="267">
        <f>E45-E58</f>
        <v>60680.822811222868</v>
      </c>
      <c r="F60" s="267"/>
      <c r="G60" s="267">
        <f>G45-G58</f>
        <v>67497.824061222607</v>
      </c>
      <c r="H60" s="267"/>
      <c r="I60" s="267">
        <f>I45-I58</f>
        <v>74297.985842472641</v>
      </c>
      <c r="J60" s="267"/>
      <c r="K60" s="267">
        <f>K45-K58</f>
        <v>81074.325043254183</v>
      </c>
      <c r="L60" s="267"/>
      <c r="M60" s="267">
        <f>M45-M58</f>
        <v>87819.454142329632</v>
      </c>
      <c r="N60" s="267"/>
      <c r="O60" s="267">
        <f>O45-O58</f>
        <v>94525.56305144995</v>
      </c>
      <c r="P60" s="267"/>
      <c r="Q60" s="267">
        <f>Q45-Q58</f>
        <v>101184.40022220172</v>
      </c>
      <c r="R60" s="267"/>
      <c r="S60" s="267">
        <f>S45-S58</f>
        <v>107787.25298895244</v>
      </c>
      <c r="T60" s="267"/>
      <c r="U60" s="267">
        <f>U45-U58</f>
        <v>114324.92711858219</v>
      </c>
      <c r="V60" s="267"/>
      <c r="W60" s="267">
        <f>W45-W58</f>
        <v>120787.72553660942</v>
      </c>
      <c r="X60" s="267"/>
      <c r="Y60" s="267">
        <f>Y45-Y58</f>
        <v>127165.42619819043</v>
      </c>
      <c r="Z60" s="267"/>
      <c r="AA60" s="267">
        <f>AA45-AA58</f>
        <v>133447.25907129212</v>
      </c>
      <c r="AB60" s="267"/>
      <c r="AC60" s="267">
        <f>AC45-AC58</f>
        <v>139621.88219813665</v>
      </c>
      <c r="AD60" s="267"/>
      <c r="AE60" s="267">
        <f>AE45-AE58</f>
        <v>145677.35679974582</v>
      </c>
      <c r="AF60" s="267"/>
      <c r="AG60" s="267">
        <f>AG45-AG58</f>
        <v>151601.12138712162</v>
      </c>
      <c r="AH60" s="267"/>
      <c r="AI60" s="267"/>
    </row>
    <row r="61" spans="1:35">
      <c r="A61" s="780"/>
      <c r="B61" s="780"/>
      <c r="C61" s="290"/>
      <c r="D61" s="780"/>
      <c r="E61" s="272"/>
      <c r="F61" s="272"/>
      <c r="G61" s="272"/>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row>
    <row r="62" spans="1:35">
      <c r="A62" s="267" t="s">
        <v>2497</v>
      </c>
      <c r="B62" s="267"/>
      <c r="C62" s="634"/>
      <c r="D62" s="267"/>
      <c r="E62" s="293"/>
      <c r="F62" s="267"/>
      <c r="G62" s="633">
        <f>G60*$C$62</f>
        <v>0</v>
      </c>
      <c r="H62" s="267"/>
      <c r="I62" s="633">
        <f>I60*$C$62</f>
        <v>0</v>
      </c>
      <c r="J62" s="267"/>
      <c r="K62" s="633">
        <f>K60*$C$62</f>
        <v>0</v>
      </c>
      <c r="L62" s="267"/>
      <c r="M62" s="633">
        <f>M60*$C$62</f>
        <v>0</v>
      </c>
      <c r="N62" s="267"/>
      <c r="O62" s="633">
        <f>O60*$C$62</f>
        <v>0</v>
      </c>
      <c r="P62" s="267"/>
      <c r="Q62" s="633">
        <f>Q60*$C$62</f>
        <v>0</v>
      </c>
      <c r="R62" s="267"/>
      <c r="S62" s="633">
        <f>S60*$C$62</f>
        <v>0</v>
      </c>
      <c r="T62" s="267"/>
      <c r="U62" s="633">
        <f>U60*$C$62</f>
        <v>0</v>
      </c>
      <c r="V62" s="267"/>
      <c r="W62" s="633">
        <f>W60*$C$62</f>
        <v>0</v>
      </c>
      <c r="X62" s="267"/>
      <c r="Y62" s="633">
        <f>Y60*$C$62</f>
        <v>0</v>
      </c>
      <c r="Z62" s="267"/>
      <c r="AA62" s="633">
        <f>AA60*$C$62</f>
        <v>0</v>
      </c>
      <c r="AB62" s="267"/>
      <c r="AC62" s="633">
        <f>AC60*$C$62</f>
        <v>0</v>
      </c>
      <c r="AD62" s="267"/>
      <c r="AE62" s="633">
        <f>AE60*$C$62</f>
        <v>0</v>
      </c>
      <c r="AF62" s="267"/>
      <c r="AG62" s="633">
        <f>AG60*$C$62</f>
        <v>0</v>
      </c>
      <c r="AH62" s="267"/>
      <c r="AI62" s="267"/>
    </row>
    <row r="63" spans="1:35">
      <c r="A63" s="267"/>
      <c r="B63" s="267"/>
      <c r="C63" s="291"/>
      <c r="D63" s="267"/>
      <c r="E63" s="267"/>
      <c r="F63" s="267"/>
      <c r="G63" s="267"/>
      <c r="H63" s="267"/>
      <c r="I63" s="267"/>
      <c r="J63" s="267"/>
      <c r="K63" s="267"/>
      <c r="L63" s="267"/>
      <c r="M63" s="267"/>
      <c r="N63" s="267"/>
      <c r="O63" s="267"/>
      <c r="P63" s="267"/>
      <c r="Q63" s="267"/>
      <c r="R63" s="267"/>
      <c r="S63" s="267"/>
      <c r="T63" s="267"/>
      <c r="U63" s="267"/>
      <c r="V63" s="267"/>
      <c r="W63" s="267"/>
      <c r="X63" s="267"/>
      <c r="Y63" s="267"/>
      <c r="Z63" s="267"/>
      <c r="AA63" s="267"/>
      <c r="AB63" s="267"/>
      <c r="AC63" s="267"/>
      <c r="AD63" s="267"/>
      <c r="AE63" s="267"/>
      <c r="AF63" s="267"/>
      <c r="AG63" s="267"/>
      <c r="AH63" s="267"/>
      <c r="AI63" s="267"/>
    </row>
    <row r="64" spans="1:35">
      <c r="A64" s="780"/>
      <c r="B64" s="780"/>
      <c r="C64" s="290"/>
      <c r="D64" s="780"/>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row>
    <row r="65" spans="1:35">
      <c r="A65" s="780" t="s">
        <v>2498</v>
      </c>
      <c r="B65" s="780"/>
      <c r="C65" s="635"/>
      <c r="D65" s="780"/>
      <c r="E65" s="272"/>
      <c r="F65" s="272"/>
      <c r="G65" s="272"/>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row>
    <row r="66" spans="1:35">
      <c r="A66" s="293"/>
      <c r="B66" s="293"/>
      <c r="C66" s="291"/>
      <c r="D66" s="267"/>
      <c r="E66" s="293">
        <f>$E60*$C$65</f>
        <v>0</v>
      </c>
      <c r="F66" s="267"/>
      <c r="G66" s="267">
        <f>G60*$C$65</f>
        <v>0</v>
      </c>
      <c r="H66" s="267"/>
      <c r="I66" s="267">
        <f>I60*$C$65</f>
        <v>0</v>
      </c>
      <c r="J66" s="267"/>
      <c r="K66" s="267">
        <f>K60*$C$65</f>
        <v>0</v>
      </c>
      <c r="L66" s="267"/>
      <c r="M66" s="267">
        <f>M60*$C$65</f>
        <v>0</v>
      </c>
      <c r="N66" s="267"/>
      <c r="O66" s="267">
        <f>O60*$C$65</f>
        <v>0</v>
      </c>
      <c r="P66" s="267"/>
      <c r="Q66" s="267">
        <f>Q60*$C$65</f>
        <v>0</v>
      </c>
      <c r="R66" s="267"/>
      <c r="S66" s="267">
        <f>S60*$C$65</f>
        <v>0</v>
      </c>
      <c r="T66" s="267"/>
      <c r="U66" s="267">
        <f>U60*$C$65</f>
        <v>0</v>
      </c>
      <c r="V66" s="267"/>
      <c r="W66" s="267">
        <f>W60*$C$65</f>
        <v>0</v>
      </c>
      <c r="X66" s="267"/>
      <c r="Y66" s="267">
        <f>Y60*$C$65</f>
        <v>0</v>
      </c>
      <c r="Z66" s="267"/>
      <c r="AA66" s="267">
        <f>AA60*$C$65</f>
        <v>0</v>
      </c>
      <c r="AB66" s="267"/>
      <c r="AC66" s="267">
        <f>AC60*$C$65</f>
        <v>0</v>
      </c>
      <c r="AD66" s="267"/>
      <c r="AE66" s="267">
        <f>AE60*$C$65</f>
        <v>0</v>
      </c>
      <c r="AF66" s="267"/>
      <c r="AG66" s="267">
        <f>AG60*$C$65</f>
        <v>0</v>
      </c>
      <c r="AH66" s="267"/>
      <c r="AI66" s="267"/>
    </row>
    <row r="67" spans="1:35">
      <c r="A67" s="294"/>
      <c r="B67" s="294"/>
      <c r="C67" s="274"/>
      <c r="D67" s="272"/>
      <c r="E67" s="294">
        <f>$E60*$C$65</f>
        <v>0</v>
      </c>
      <c r="F67" s="272"/>
      <c r="G67" s="636">
        <f>G60*$C$65</f>
        <v>0</v>
      </c>
      <c r="H67" s="272"/>
      <c r="I67" s="636">
        <f>I60*$C$65</f>
        <v>0</v>
      </c>
      <c r="J67" s="272"/>
      <c r="K67" s="636">
        <f>K60*$C$65</f>
        <v>0</v>
      </c>
      <c r="L67" s="272"/>
      <c r="M67" s="636">
        <f>M60*$C$65</f>
        <v>0</v>
      </c>
      <c r="N67" s="272"/>
      <c r="O67" s="636">
        <f>O60*$C$65</f>
        <v>0</v>
      </c>
      <c r="P67" s="272"/>
      <c r="Q67" s="636">
        <f>Q60*$C$65</f>
        <v>0</v>
      </c>
      <c r="R67" s="272"/>
      <c r="S67" s="636">
        <f>S60*$C$65</f>
        <v>0</v>
      </c>
      <c r="T67" s="272"/>
      <c r="U67" s="636">
        <f>U60*$C$65</f>
        <v>0</v>
      </c>
      <c r="V67" s="272"/>
      <c r="W67" s="636">
        <f>W60*$C$65</f>
        <v>0</v>
      </c>
      <c r="X67" s="272"/>
      <c r="Y67" s="636">
        <f>Y60*$C$65</f>
        <v>0</v>
      </c>
      <c r="Z67" s="272"/>
      <c r="AA67" s="636">
        <f>AA60*$C$65</f>
        <v>0</v>
      </c>
      <c r="AB67" s="272"/>
      <c r="AC67" s="636">
        <f>AC60*$C$65</f>
        <v>0</v>
      </c>
      <c r="AD67" s="272"/>
      <c r="AE67" s="636">
        <f>AE60*$C$65</f>
        <v>0</v>
      </c>
      <c r="AF67" s="272"/>
      <c r="AG67" s="636">
        <f>AG60*$C$65</f>
        <v>0</v>
      </c>
      <c r="AH67" s="272"/>
      <c r="AI67" s="272"/>
    </row>
    <row r="68" spans="1:35">
      <c r="A68" s="293"/>
      <c r="B68" s="293"/>
      <c r="C68" s="291"/>
      <c r="D68" s="267"/>
      <c r="E68" s="293"/>
      <c r="F68" s="267"/>
      <c r="G68" s="636">
        <f>G60*$C$65</f>
        <v>0</v>
      </c>
      <c r="H68" s="267"/>
      <c r="I68" s="636">
        <f>I60*$C$65</f>
        <v>0</v>
      </c>
      <c r="J68" s="267"/>
      <c r="K68" s="636">
        <f>K60*$C$65</f>
        <v>0</v>
      </c>
      <c r="L68" s="267"/>
      <c r="M68" s="636">
        <f>M60*$C$65</f>
        <v>0</v>
      </c>
      <c r="N68" s="267"/>
      <c r="O68" s="636">
        <f>O60*$C$65</f>
        <v>0</v>
      </c>
      <c r="P68" s="267"/>
      <c r="Q68" s="636">
        <f>Q60*$C$65</f>
        <v>0</v>
      </c>
      <c r="R68" s="267"/>
      <c r="S68" s="636">
        <f>S60*$C$65</f>
        <v>0</v>
      </c>
      <c r="T68" s="267"/>
      <c r="U68" s="636">
        <f>U60*$C$65</f>
        <v>0</v>
      </c>
      <c r="V68" s="267"/>
      <c r="W68" s="636">
        <f>W60*$C$65</f>
        <v>0</v>
      </c>
      <c r="X68" s="267"/>
      <c r="Y68" s="636">
        <f>Y60*$C$65</f>
        <v>0</v>
      </c>
      <c r="Z68" s="267"/>
      <c r="AA68" s="636">
        <f>AA60*$C$65</f>
        <v>0</v>
      </c>
      <c r="AB68" s="267"/>
      <c r="AC68" s="636">
        <f>AC60*$C$65</f>
        <v>0</v>
      </c>
      <c r="AD68" s="267"/>
      <c r="AE68" s="636">
        <f>AE60*$C$65</f>
        <v>0</v>
      </c>
      <c r="AF68" s="267"/>
      <c r="AG68" s="636">
        <f>AG60*$C$65</f>
        <v>0</v>
      </c>
      <c r="AH68" s="267"/>
      <c r="AI68" s="267"/>
    </row>
    <row r="69" spans="1:35">
      <c r="A69" s="294"/>
      <c r="B69" s="294"/>
      <c r="C69" s="274"/>
      <c r="D69" s="272"/>
      <c r="E69" s="298"/>
      <c r="F69" s="272"/>
      <c r="G69" s="637">
        <f>G60*$C$65</f>
        <v>0</v>
      </c>
      <c r="H69" s="272"/>
      <c r="I69" s="637">
        <f>I60*$C$65</f>
        <v>0</v>
      </c>
      <c r="J69" s="272"/>
      <c r="K69" s="637">
        <f>K60*$C$65</f>
        <v>0</v>
      </c>
      <c r="L69" s="272"/>
      <c r="M69" s="637">
        <f>M60*$C$65</f>
        <v>0</v>
      </c>
      <c r="N69" s="272"/>
      <c r="O69" s="637">
        <f>O60*$C$65</f>
        <v>0</v>
      </c>
      <c r="P69" s="272"/>
      <c r="Q69" s="637">
        <f>Q60*$C$65</f>
        <v>0</v>
      </c>
      <c r="R69" s="272"/>
      <c r="S69" s="637">
        <f>S60*$C$65</f>
        <v>0</v>
      </c>
      <c r="T69" s="272"/>
      <c r="U69" s="637">
        <f>U60*$C$65</f>
        <v>0</v>
      </c>
      <c r="V69" s="272"/>
      <c r="W69" s="637">
        <f>W60*$C$65</f>
        <v>0</v>
      </c>
      <c r="X69" s="272"/>
      <c r="Y69" s="637">
        <f>Y60*$C$65</f>
        <v>0</v>
      </c>
      <c r="Z69" s="272"/>
      <c r="AA69" s="637">
        <f>AA60*$C$65</f>
        <v>0</v>
      </c>
      <c r="AB69" s="272"/>
      <c r="AC69" s="637">
        <f>AC60*$C$65</f>
        <v>0</v>
      </c>
      <c r="AD69" s="272"/>
      <c r="AE69" s="637">
        <f>AE60*$C$65</f>
        <v>0</v>
      </c>
      <c r="AF69" s="272"/>
      <c r="AG69" s="637">
        <f>AG60*$C$65</f>
        <v>0</v>
      </c>
      <c r="AH69" s="272"/>
      <c r="AI69" s="272"/>
    </row>
    <row r="70" spans="1:35">
      <c r="A70" s="633" t="s">
        <v>2495</v>
      </c>
      <c r="B70" s="272"/>
      <c r="C70" s="274"/>
      <c r="D70" s="272"/>
      <c r="E70" s="267">
        <f>SUM(E66:E69)</f>
        <v>0</v>
      </c>
      <c r="F70" s="267"/>
      <c r="G70" s="267">
        <f>SUM(G66:G69)</f>
        <v>0</v>
      </c>
      <c r="H70" s="267"/>
      <c r="I70" s="267">
        <f>SUM(I66:I69)</f>
        <v>0</v>
      </c>
      <c r="J70" s="267"/>
      <c r="K70" s="267">
        <f>SUM(K66:K69)</f>
        <v>0</v>
      </c>
      <c r="L70" s="267"/>
      <c r="M70" s="267">
        <f>SUM(M66:M69)</f>
        <v>0</v>
      </c>
      <c r="N70" s="267"/>
      <c r="O70" s="267">
        <f>SUM(O66:O69)</f>
        <v>0</v>
      </c>
      <c r="P70" s="267"/>
      <c r="Q70" s="267">
        <f>SUM(Q66:Q69)</f>
        <v>0</v>
      </c>
      <c r="R70" s="267"/>
      <c r="S70" s="267">
        <f>SUM(S66:S69)</f>
        <v>0</v>
      </c>
      <c r="T70" s="267"/>
      <c r="U70" s="267">
        <f>SUM(U66:U69)</f>
        <v>0</v>
      </c>
      <c r="V70" s="267"/>
      <c r="W70" s="267">
        <f>SUM(W66:W69)</f>
        <v>0</v>
      </c>
      <c r="X70" s="267"/>
      <c r="Y70" s="267">
        <f>SUM(Y66:Y69)</f>
        <v>0</v>
      </c>
      <c r="Z70" s="267"/>
      <c r="AA70" s="267">
        <f>SUM(AA66:AA69)</f>
        <v>0</v>
      </c>
      <c r="AB70" s="267"/>
      <c r="AC70" s="267">
        <f>SUM(AC66:AC69)</f>
        <v>0</v>
      </c>
      <c r="AD70" s="267"/>
      <c r="AE70" s="267">
        <f>SUM(AE66:AE69)</f>
        <v>0</v>
      </c>
      <c r="AF70" s="267"/>
      <c r="AG70" s="267">
        <f>SUM(AG66:AG69)</f>
        <v>0</v>
      </c>
      <c r="AH70" s="272"/>
      <c r="AI70" s="272"/>
    </row>
    <row r="71" spans="1:35">
      <c r="A71" s="272"/>
      <c r="B71" s="272"/>
      <c r="C71" s="274"/>
      <c r="D71" s="272"/>
      <c r="E71" s="272"/>
      <c r="F71" s="272"/>
      <c r="G71" s="272"/>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row>
    <row r="72" spans="1:35">
      <c r="A72" s="633" t="s">
        <v>2499</v>
      </c>
      <c r="B72" s="272"/>
      <c r="C72" s="274"/>
      <c r="D72" s="272"/>
      <c r="E72" s="267">
        <f>E60-E62-E70</f>
        <v>60680.822811222868</v>
      </c>
      <c r="F72" s="272"/>
      <c r="G72" s="267">
        <f>G60-G62-G70</f>
        <v>67497.824061222607</v>
      </c>
      <c r="H72" s="272"/>
      <c r="I72" s="267">
        <f>I60-I62-I70</f>
        <v>74297.985842472641</v>
      </c>
      <c r="J72" s="272"/>
      <c r="K72" s="267">
        <f>K60-K62-K70</f>
        <v>81074.325043254183</v>
      </c>
      <c r="L72" s="272"/>
      <c r="M72" s="267">
        <f>M60-M62-M70</f>
        <v>87819.454142329632</v>
      </c>
      <c r="N72" s="272"/>
      <c r="O72" s="267">
        <f>O60-O62-O70</f>
        <v>94525.56305144995</v>
      </c>
      <c r="P72" s="272"/>
      <c r="Q72" s="267">
        <f>Q60-Q62-Q70</f>
        <v>101184.40022220172</v>
      </c>
      <c r="R72" s="272"/>
      <c r="S72" s="267">
        <f>S60-S62-S70</f>
        <v>107787.25298895244</v>
      </c>
      <c r="T72" s="272"/>
      <c r="U72" s="267">
        <f>U60-U62-U70</f>
        <v>114324.92711858219</v>
      </c>
      <c r="V72" s="272"/>
      <c r="W72" s="267">
        <f>W60-W62-W70</f>
        <v>120787.72553660942</v>
      </c>
      <c r="X72" s="272"/>
      <c r="Y72" s="267">
        <f>Y60-Y62-Y70</f>
        <v>127165.42619819043</v>
      </c>
      <c r="Z72" s="272"/>
      <c r="AA72" s="267">
        <f>AA60-AA62-AA70</f>
        <v>133447.25907129212</v>
      </c>
      <c r="AB72" s="272"/>
      <c r="AC72" s="267">
        <f>AC60-AC62-AC70</f>
        <v>139621.88219813665</v>
      </c>
      <c r="AD72" s="272"/>
      <c r="AE72" s="267">
        <f>AE60-AE62-AE70</f>
        <v>145677.35679974582</v>
      </c>
      <c r="AF72" s="272"/>
      <c r="AG72" s="267">
        <f>AG60-AG62-AG70</f>
        <v>151601.12138712162</v>
      </c>
      <c r="AH72" s="272"/>
      <c r="AI72" s="272"/>
    </row>
    <row r="73" spans="1:35">
      <c r="A73" s="272"/>
      <c r="B73" s="272"/>
      <c r="C73" s="274"/>
      <c r="D73" s="272"/>
      <c r="E73" s="267"/>
      <c r="F73" s="272"/>
      <c r="G73" s="272"/>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row>
    <row r="74" spans="1:35">
      <c r="A74" s="272"/>
      <c r="B74" s="272"/>
      <c r="C74" s="274"/>
      <c r="D74" s="272"/>
      <c r="E74" s="267"/>
      <c r="F74" s="272"/>
      <c r="G74" s="272"/>
      <c r="H74" s="272"/>
      <c r="I74" s="272"/>
      <c r="J74" s="272"/>
      <c r="K74" s="272"/>
      <c r="L74" s="272"/>
      <c r="M74" s="272"/>
      <c r="N74" s="272"/>
      <c r="O74" s="272"/>
      <c r="P74" s="272"/>
      <c r="Q74" s="272"/>
      <c r="R74" s="272"/>
      <c r="S74" s="272"/>
      <c r="T74" s="272"/>
      <c r="U74" s="272"/>
      <c r="V74" s="272"/>
      <c r="W74" s="272"/>
      <c r="X74" s="272"/>
      <c r="Y74" s="272"/>
      <c r="Z74" s="272"/>
      <c r="AA74" s="272"/>
      <c r="AB74" s="272"/>
      <c r="AC74" s="272"/>
      <c r="AD74" s="272"/>
      <c r="AE74" s="272"/>
      <c r="AF74" s="272"/>
      <c r="AG74" s="272"/>
      <c r="AH74" s="272"/>
      <c r="AI74" s="272"/>
    </row>
    <row r="75" spans="1:35">
      <c r="A75" s="272" t="s">
        <v>2500</v>
      </c>
      <c r="B75" s="272"/>
      <c r="C75" s="274"/>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row>
    <row r="76" spans="1:35">
      <c r="A76" s="272"/>
      <c r="B76" s="272"/>
      <c r="C76" s="274"/>
      <c r="D76" s="272"/>
      <c r="E76" s="272"/>
      <c r="F76" s="272"/>
      <c r="G76" s="272"/>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row>
    <row r="77" spans="1:35" ht="30" customHeight="1">
      <c r="A77" s="1825" t="s">
        <v>2501</v>
      </c>
      <c r="B77" s="1825"/>
      <c r="C77" s="1825"/>
      <c r="D77" s="1825"/>
      <c r="E77" s="1825"/>
      <c r="F77" s="1825"/>
      <c r="G77" s="1825"/>
      <c r="H77" s="1825"/>
      <c r="I77" s="1825"/>
      <c r="J77" s="1825"/>
      <c r="K77" s="1825"/>
      <c r="L77" s="1825"/>
      <c r="M77" s="1825"/>
      <c r="N77" s="1825"/>
      <c r="O77" s="1825"/>
      <c r="P77" s="1825"/>
      <c r="Q77" s="1825"/>
      <c r="R77" s="1825"/>
      <c r="S77" s="1825"/>
      <c r="T77" s="1825"/>
      <c r="U77" s="1825"/>
      <c r="V77" s="1825"/>
      <c r="W77" s="1825"/>
      <c r="X77" s="1825"/>
      <c r="Y77" s="1825"/>
      <c r="Z77" s="1825"/>
      <c r="AA77" s="1825"/>
      <c r="AB77" s="1825"/>
      <c r="AC77" s="1825"/>
      <c r="AD77" s="1825"/>
      <c r="AE77" s="1825"/>
      <c r="AF77" s="1825"/>
      <c r="AG77" s="1825"/>
      <c r="AH77" s="295"/>
      <c r="AI77" s="295"/>
    </row>
    <row r="78" spans="1:35" hidden="1">
      <c r="A78" s="272"/>
      <c r="B78" s="272"/>
      <c r="C78" s="274"/>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row>
    <row r="79" spans="1:35" hidden="1">
      <c r="C79" s="274"/>
    </row>
    <row r="80" spans="1:35" hidden="1">
      <c r="C80" s="274"/>
    </row>
    <row r="81" spans="3:3" hidden="1">
      <c r="C81" s="274"/>
    </row>
    <row r="82" spans="3:3" hidden="1">
      <c r="C82" s="274"/>
    </row>
    <row r="83" spans="3:3" hidden="1">
      <c r="C83" s="274"/>
    </row>
    <row r="84" spans="3:3" hidden="1">
      <c r="C84" s="274"/>
    </row>
    <row r="85" spans="3:3" hidden="1">
      <c r="C85" s="274"/>
    </row>
    <row r="86" spans="3:3" hidden="1">
      <c r="C86" s="274"/>
    </row>
    <row r="87" spans="3:3" hidden="1">
      <c r="C87" s="274"/>
    </row>
    <row r="88" spans="3:3" hidden="1">
      <c r="C88" s="274"/>
    </row>
    <row r="89" spans="3:3" hidden="1">
      <c r="C89" s="274"/>
    </row>
    <row r="90" spans="3:3" hidden="1">
      <c r="C90" s="274"/>
    </row>
    <row r="91" spans="3:3" hidden="1">
      <c r="C91" s="274"/>
    </row>
    <row r="92" spans="3:3" hidden="1">
      <c r="C92" s="274"/>
    </row>
    <row r="93" spans="3:3" hidden="1">
      <c r="C93" s="274"/>
    </row>
    <row r="94" spans="3:3" hidden="1">
      <c r="C94" s="274"/>
    </row>
    <row r="95" spans="3:3" hidden="1">
      <c r="C95" s="274"/>
    </row>
    <row r="96" spans="3:3" hidden="1">
      <c r="C96" s="274"/>
    </row>
    <row r="97" spans="3:3" hidden="1">
      <c r="C97" s="274"/>
    </row>
    <row r="98" spans="3:3" hidden="1">
      <c r="C98" s="274"/>
    </row>
    <row r="99" spans="3:3" hidden="1">
      <c r="C99" s="274"/>
    </row>
    <row r="100" spans="3:3" hidden="1">
      <c r="C100" s="274"/>
    </row>
    <row r="101" spans="3:3" hidden="1">
      <c r="C101" s="274"/>
    </row>
    <row r="102" spans="3:3" hidden="1">
      <c r="C102" s="274"/>
    </row>
    <row r="103" spans="3:3" hidden="1">
      <c r="C103" s="274"/>
    </row>
    <row r="104" spans="3:3" hidden="1">
      <c r="C104" s="274"/>
    </row>
    <row r="105" spans="3:3" hidden="1">
      <c r="C105" s="274"/>
    </row>
    <row r="106" spans="3:3" hidden="1">
      <c r="C106" s="274"/>
    </row>
    <row r="107" spans="3:3" hidden="1">
      <c r="C107" s="274"/>
    </row>
    <row r="108" spans="3:3" hidden="1">
      <c r="C108" s="274"/>
    </row>
    <row r="109" spans="3:3" hidden="1">
      <c r="C109" s="274"/>
    </row>
    <row r="110" spans="3:3" hidden="1">
      <c r="C110" s="274"/>
    </row>
    <row r="111" spans="3:3" hidden="1">
      <c r="C111" s="274"/>
    </row>
    <row r="112" spans="3:3" hidden="1">
      <c r="C112" s="274"/>
    </row>
    <row r="113" spans="3:3" hidden="1">
      <c r="C113" s="274"/>
    </row>
    <row r="114" spans="3:3" hidden="1">
      <c r="C114" s="274"/>
    </row>
    <row r="115" spans="3:3" hidden="1">
      <c r="C115" s="274"/>
    </row>
    <row r="116" spans="3:3" hidden="1">
      <c r="C116" s="274"/>
    </row>
    <row r="117" spans="3:3" hidden="1">
      <c r="C117" s="274"/>
    </row>
    <row r="118" spans="3:3" hidden="1">
      <c r="C118" s="274"/>
    </row>
    <row r="119" spans="3:3" hidden="1">
      <c r="C119" s="274"/>
    </row>
    <row r="120" spans="3:3" hidden="1">
      <c r="C120" s="274"/>
    </row>
    <row r="121" spans="3:3" hidden="1">
      <c r="C121" s="274"/>
    </row>
    <row r="122" spans="3:3" hidden="1">
      <c r="C122" s="274"/>
    </row>
    <row r="123" spans="3:3" hidden="1">
      <c r="C123" s="274"/>
    </row>
    <row r="124" spans="3:3" hidden="1">
      <c r="C124" s="274"/>
    </row>
    <row r="125" spans="3:3" hidden="1">
      <c r="C125" s="274"/>
    </row>
    <row r="126" spans="3:3" hidden="1">
      <c r="C126" s="274"/>
    </row>
    <row r="127" spans="3:3" hidden="1">
      <c r="C127" s="274"/>
    </row>
    <row r="128" spans="3:3" hidden="1">
      <c r="C128" s="274"/>
    </row>
    <row r="129" spans="3:3" hidden="1">
      <c r="C129" s="274"/>
    </row>
    <row r="130" spans="3:3" hidden="1">
      <c r="C130" s="274"/>
    </row>
    <row r="131" spans="3:3" hidden="1">
      <c r="C131" s="274"/>
    </row>
    <row r="132" spans="3:3" hidden="1">
      <c r="C132" s="274"/>
    </row>
    <row r="133" spans="3:3" hidden="1">
      <c r="C133" s="274"/>
    </row>
    <row r="134" spans="3:3" hidden="1">
      <c r="C134" s="274"/>
    </row>
    <row r="135" spans="3:3" hidden="1">
      <c r="C135" s="274"/>
    </row>
    <row r="136" spans="3:3" hidden="1">
      <c r="C136" s="274"/>
    </row>
    <row r="137" spans="3:3" hidden="1">
      <c r="C137" s="274"/>
    </row>
    <row r="138" spans="3:3" hidden="1">
      <c r="C138" s="274"/>
    </row>
    <row r="139" spans="3:3" hidden="1">
      <c r="C139" s="274"/>
    </row>
    <row r="140" spans="3:3" hidden="1">
      <c r="C140" s="274"/>
    </row>
    <row r="141" spans="3:3" hidden="1">
      <c r="C141" s="274"/>
    </row>
    <row r="142" spans="3:3" hidden="1">
      <c r="C142" s="274"/>
    </row>
    <row r="143" spans="3:3" hidden="1">
      <c r="C143" s="274"/>
    </row>
    <row r="144" spans="3:3" hidden="1">
      <c r="C144" s="274"/>
    </row>
    <row r="145" spans="3:3" hidden="1">
      <c r="C145" s="274"/>
    </row>
    <row r="146" spans="3:3" hidden="1">
      <c r="C146" s="274"/>
    </row>
    <row r="147" spans="3:3" hidden="1">
      <c r="C147" s="274"/>
    </row>
    <row r="148" spans="3:3" hidden="1">
      <c r="C148" s="274"/>
    </row>
    <row r="149" spans="3:3" hidden="1">
      <c r="C149" s="274"/>
    </row>
    <row r="150" spans="3:3" hidden="1">
      <c r="C150" s="274"/>
    </row>
    <row r="151" spans="3:3" hidden="1">
      <c r="C151" s="274"/>
    </row>
    <row r="152" spans="3:3" hidden="1">
      <c r="C152" s="274"/>
    </row>
    <row r="153" spans="3:3" hidden="1">
      <c r="C153" s="274"/>
    </row>
    <row r="154" spans="3:3" hidden="1">
      <c r="C154" s="274"/>
    </row>
    <row r="155" spans="3:3" hidden="1">
      <c r="C155" s="274"/>
    </row>
    <row r="156" spans="3:3" hidden="1">
      <c r="C156" s="274"/>
    </row>
    <row r="157" spans="3:3" hidden="1">
      <c r="C157" s="274"/>
    </row>
    <row r="158" spans="3:3" hidden="1">
      <c r="C158" s="274"/>
    </row>
    <row r="159" spans="3:3" hidden="1">
      <c r="C159" s="274"/>
    </row>
    <row r="160" spans="3:3" hidden="1">
      <c r="C160" s="274"/>
    </row>
    <row r="161" spans="3:3" hidden="1">
      <c r="C161" s="274"/>
    </row>
    <row r="162" spans="3:3" hidden="1">
      <c r="C162" s="274"/>
    </row>
    <row r="163" spans="3:3" hidden="1">
      <c r="C163" s="274"/>
    </row>
    <row r="164" spans="3:3" hidden="1">
      <c r="C164" s="274"/>
    </row>
    <row r="165" spans="3:3" hidden="1">
      <c r="C165" s="274"/>
    </row>
    <row r="166" spans="3:3" hidden="1">
      <c r="C166" s="274"/>
    </row>
    <row r="167" spans="3:3" hidden="1">
      <c r="C167" s="274"/>
    </row>
    <row r="168" spans="3:3" hidden="1">
      <c r="C168" s="274"/>
    </row>
    <row r="169" spans="3:3" hidden="1">
      <c r="C169" s="274"/>
    </row>
    <row r="170" spans="3:3" hidden="1">
      <c r="C170" s="274"/>
    </row>
    <row r="171" spans="3:3" hidden="1">
      <c r="C171" s="274"/>
    </row>
    <row r="172" spans="3:3" hidden="1">
      <c r="C172" s="274"/>
    </row>
    <row r="173" spans="3:3" hidden="1">
      <c r="C173" s="274"/>
    </row>
    <row r="174" spans="3:3" hidden="1">
      <c r="C174" s="274"/>
    </row>
    <row r="175" spans="3:3" hidden="1">
      <c r="C175" s="274"/>
    </row>
    <row r="176" spans="3:3" hidden="1">
      <c r="C176" s="274"/>
    </row>
    <row r="177" spans="3:3" hidden="1">
      <c r="C177" s="274"/>
    </row>
    <row r="178" spans="3:3" hidden="1">
      <c r="C178" s="274"/>
    </row>
    <row r="179" spans="3:3" hidden="1">
      <c r="C179" s="274"/>
    </row>
    <row r="180" spans="3:3" hidden="1">
      <c r="C180" s="274"/>
    </row>
    <row r="181" spans="3:3" hidden="1">
      <c r="C181" s="274"/>
    </row>
    <row r="182" spans="3:3" hidden="1">
      <c r="C182" s="274"/>
    </row>
    <row r="183" spans="3:3" hidden="1">
      <c r="C183" s="274"/>
    </row>
    <row r="184" spans="3:3" hidden="1">
      <c r="C184" s="274"/>
    </row>
    <row r="185" spans="3:3" hidden="1">
      <c r="C185" s="274"/>
    </row>
    <row r="186" spans="3:3" hidden="1">
      <c r="C186" s="274"/>
    </row>
    <row r="187" spans="3:3" hidden="1">
      <c r="C187" s="274"/>
    </row>
    <row r="188" spans="3:3" hidden="1">
      <c r="C188" s="274"/>
    </row>
    <row r="189" spans="3:3" hidden="1">
      <c r="C189" s="274"/>
    </row>
    <row r="190" spans="3:3" hidden="1">
      <c r="C190" s="274"/>
    </row>
    <row r="191" spans="3:3" hidden="1">
      <c r="C191" s="274"/>
    </row>
    <row r="192" spans="3:3" hidden="1">
      <c r="C192" s="274"/>
    </row>
    <row r="193" spans="3:3" hidden="1">
      <c r="C193" s="274"/>
    </row>
    <row r="194" spans="3:3" hidden="1">
      <c r="C194" s="274"/>
    </row>
    <row r="195" spans="3:3" hidden="1">
      <c r="C195" s="274"/>
    </row>
    <row r="196" spans="3:3" hidden="1">
      <c r="C196" s="274"/>
    </row>
    <row r="197" spans="3:3" hidden="1">
      <c r="C197" s="274"/>
    </row>
    <row r="198" spans="3:3" hidden="1">
      <c r="C198" s="274"/>
    </row>
    <row r="199" spans="3:3" hidden="1">
      <c r="C199" s="274"/>
    </row>
    <row r="200" spans="3:3" hidden="1">
      <c r="C200" s="274"/>
    </row>
    <row r="201" spans="3:3" hidden="1">
      <c r="C201" s="274"/>
    </row>
    <row r="202" spans="3:3" hidden="1">
      <c r="C202" s="274"/>
    </row>
    <row r="203" spans="3:3" hidden="1">
      <c r="C203" s="274"/>
    </row>
    <row r="204" spans="3:3" hidden="1">
      <c r="C204" s="274"/>
    </row>
    <row r="205" spans="3:3" hidden="1">
      <c r="C205" s="274"/>
    </row>
    <row r="206" spans="3:3" hidden="1">
      <c r="C206" s="274"/>
    </row>
    <row r="207" spans="3:3" hidden="1">
      <c r="C207" s="274"/>
    </row>
    <row r="208" spans="3:3" hidden="1">
      <c r="C208" s="274"/>
    </row>
    <row r="209" spans="3:3" hidden="1">
      <c r="C209" s="274"/>
    </row>
    <row r="210" spans="3:3" hidden="1">
      <c r="C210" s="274"/>
    </row>
    <row r="211" spans="3:3" hidden="1">
      <c r="C211" s="274"/>
    </row>
    <row r="212" spans="3:3" hidden="1">
      <c r="C212" s="274"/>
    </row>
    <row r="213" spans="3:3" hidden="1">
      <c r="C213" s="274"/>
    </row>
    <row r="214" spans="3:3" hidden="1">
      <c r="C214" s="274"/>
    </row>
    <row r="215" spans="3:3" hidden="1">
      <c r="C215" s="274"/>
    </row>
    <row r="216" spans="3:3" hidden="1">
      <c r="C216" s="274"/>
    </row>
    <row r="217" spans="3:3" hidden="1">
      <c r="C217" s="274"/>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workbookViewId="0">
      <selection activeCell="M24" sqref="M24"/>
    </sheetView>
  </sheetViews>
  <sheetFormatPr defaultColWidth="9.140625" defaultRowHeight="14.25" zeroHeight="1"/>
  <cols>
    <col min="1" max="3" width="15.5703125" style="214" customWidth="1"/>
    <col min="4" max="4" width="3.5703125" style="214" customWidth="1"/>
    <col min="5" max="6" width="15.5703125" style="214" customWidth="1"/>
    <col min="7" max="7" width="3.5703125" style="214" customWidth="1"/>
    <col min="8" max="9" width="15.5703125" style="214" customWidth="1"/>
    <col min="10" max="16383" width="9.140625" style="214"/>
    <col min="16384" max="16384" width="0.42578125" style="214" customWidth="1"/>
  </cols>
  <sheetData>
    <row r="1" spans="1:9">
      <c r="A1" s="1826" t="s">
        <v>2502</v>
      </c>
      <c r="B1" s="1826"/>
      <c r="C1" s="1826"/>
      <c r="D1" s="1826"/>
      <c r="E1" s="1826"/>
      <c r="F1" s="1826"/>
      <c r="G1" s="1826"/>
      <c r="H1" s="1826"/>
      <c r="I1" s="1826"/>
    </row>
    <row r="2" spans="1:9">
      <c r="A2" s="457"/>
      <c r="B2" s="457"/>
      <c r="C2" s="457"/>
      <c r="D2" s="457"/>
      <c r="E2" s="457"/>
      <c r="F2" s="457"/>
      <c r="G2" s="457"/>
      <c r="H2" s="457"/>
      <c r="I2" s="457"/>
    </row>
    <row r="3" spans="1:9" ht="105" customHeight="1">
      <c r="A3" s="458" t="s">
        <v>2503</v>
      </c>
      <c r="B3" s="458" t="s">
        <v>2504</v>
      </c>
      <c r="C3" s="340" t="s">
        <v>2505</v>
      </c>
      <c r="D3" s="457"/>
      <c r="E3" s="340" t="s">
        <v>2506</v>
      </c>
      <c r="F3" s="458" t="s">
        <v>2507</v>
      </c>
      <c r="G3" s="459"/>
      <c r="H3" s="458" t="s">
        <v>2508</v>
      </c>
      <c r="I3" s="458" t="s">
        <v>2509</v>
      </c>
    </row>
    <row r="4" spans="1:9">
      <c r="A4" s="460" t="str">
        <f>Application!$B692</f>
        <v>1 Bedroom</v>
      </c>
      <c r="B4" s="743">
        <f>Application!$G692</f>
        <v>13</v>
      </c>
      <c r="C4" s="460">
        <f>Application!$O692</f>
        <v>765</v>
      </c>
      <c r="D4" s="461"/>
      <c r="E4" s="741">
        <f>[1]EVERYTHING!$Q$35-[1]EVERYTHING!$R$9</f>
        <v>1987</v>
      </c>
      <c r="F4" s="460">
        <f>$E4*$B4</f>
        <v>25831</v>
      </c>
      <c r="G4" s="461"/>
      <c r="H4" s="460">
        <f>IF($E4=0,0,MAX($E4-$C4,0))</f>
        <v>1222</v>
      </c>
      <c r="I4" s="460">
        <f>IF($H4=0,0,($H4*$B4))</f>
        <v>15886</v>
      </c>
    </row>
    <row r="5" spans="1:9">
      <c r="A5" s="460" t="str">
        <f>Application!$B693</f>
        <v>1 Bedroom</v>
      </c>
      <c r="B5" s="742">
        <f>Application!$G693</f>
        <v>8</v>
      </c>
      <c r="C5" s="460">
        <f>Application!$O693</f>
        <v>1320</v>
      </c>
      <c r="D5" s="461"/>
      <c r="E5" s="741"/>
      <c r="F5" s="460">
        <f t="shared" ref="F5:F28" si="0">$E5*$B5</f>
        <v>0</v>
      </c>
      <c r="G5" s="461"/>
      <c r="H5" s="460">
        <f t="shared" ref="H5:H28" si="1">IF($E5=0,0,MAX($E5-$C5,0))</f>
        <v>0</v>
      </c>
      <c r="I5" s="460">
        <f t="shared" ref="I5:I28" si="2">IF($H5=0,0,($H5*$B5))</f>
        <v>0</v>
      </c>
    </row>
    <row r="6" spans="1:9">
      <c r="A6" s="460" t="str">
        <f>Application!$B694</f>
        <v>2 Bedrooms</v>
      </c>
      <c r="B6" s="742">
        <f>Application!$G694</f>
        <v>1</v>
      </c>
      <c r="C6" s="460">
        <f>Application!$O694</f>
        <v>908</v>
      </c>
      <c r="D6" s="461"/>
      <c r="E6" s="741"/>
      <c r="F6" s="460">
        <f t="shared" si="0"/>
        <v>0</v>
      </c>
      <c r="G6" s="461"/>
      <c r="H6" s="460">
        <f t="shared" si="1"/>
        <v>0</v>
      </c>
      <c r="I6" s="460">
        <f t="shared" si="2"/>
        <v>0</v>
      </c>
    </row>
    <row r="7" spans="1:9">
      <c r="A7" s="460" t="str">
        <f>Application!$B695</f>
        <v>2 Bedrooms</v>
      </c>
      <c r="B7" s="742">
        <f>Application!$G695</f>
        <v>8</v>
      </c>
      <c r="C7" s="460">
        <f>Application!$O695</f>
        <v>1885</v>
      </c>
      <c r="D7" s="461"/>
      <c r="E7" s="741"/>
      <c r="F7" s="460">
        <f t="shared" si="0"/>
        <v>0</v>
      </c>
      <c r="G7" s="461"/>
      <c r="H7" s="460">
        <f t="shared" si="1"/>
        <v>0</v>
      </c>
      <c r="I7" s="460">
        <f t="shared" si="2"/>
        <v>0</v>
      </c>
    </row>
    <row r="8" spans="1:9">
      <c r="A8" s="460" t="str">
        <f>Application!$B696</f>
        <v>3 Bedrooms</v>
      </c>
      <c r="B8" s="742">
        <f>Application!$G696</f>
        <v>3</v>
      </c>
      <c r="C8" s="460">
        <f>Application!$O696</f>
        <v>1004</v>
      </c>
      <c r="D8" s="461"/>
      <c r="E8" s="741">
        <f>[1]EVERYTHING!$Q$45-[1]EVERYTHING!$R$20</f>
        <v>3115</v>
      </c>
      <c r="F8" s="460">
        <f t="shared" si="0"/>
        <v>9345</v>
      </c>
      <c r="G8" s="461"/>
      <c r="H8" s="460">
        <f t="shared" si="1"/>
        <v>2111</v>
      </c>
      <c r="I8" s="460">
        <f t="shared" si="2"/>
        <v>6333</v>
      </c>
    </row>
    <row r="9" spans="1:9">
      <c r="A9" s="460" t="str">
        <f>Application!$B697</f>
        <v>3 Bedrooms</v>
      </c>
      <c r="B9" s="742">
        <f>Application!$G697</f>
        <v>1</v>
      </c>
      <c r="C9" s="460">
        <f>Application!$O697</f>
        <v>1774</v>
      </c>
      <c r="D9" s="461"/>
      <c r="E9" s="741">
        <f>[1]EVERYTHING!$Q$46-[1]EVERYTHING!$R$21</f>
        <v>3115</v>
      </c>
      <c r="F9" s="460">
        <f t="shared" si="0"/>
        <v>3115</v>
      </c>
      <c r="G9" s="461"/>
      <c r="H9" s="460">
        <f t="shared" si="1"/>
        <v>1341</v>
      </c>
      <c r="I9" s="460">
        <f t="shared" si="2"/>
        <v>1341</v>
      </c>
    </row>
    <row r="10" spans="1:9">
      <c r="A10" s="460" t="str">
        <f>Application!$B698</f>
        <v>3 Bedrooms</v>
      </c>
      <c r="B10" s="742">
        <f>Application!$G698</f>
        <v>8</v>
      </c>
      <c r="C10" s="460">
        <f>Application!$O698</f>
        <v>2158</v>
      </c>
      <c r="D10" s="461"/>
      <c r="E10" s="741">
        <f>[1]EVERYTHING!$Q$47-[1]EVERYTHING!$R$22</f>
        <v>3115</v>
      </c>
      <c r="F10" s="460">
        <f t="shared" si="0"/>
        <v>24920</v>
      </c>
      <c r="G10" s="461"/>
      <c r="H10" s="460">
        <f t="shared" si="1"/>
        <v>957</v>
      </c>
      <c r="I10" s="460">
        <f t="shared" si="2"/>
        <v>7656</v>
      </c>
    </row>
    <row r="11" spans="1:9">
      <c r="A11" s="460">
        <f>Application!$B699</f>
        <v>0</v>
      </c>
      <c r="B11" s="742">
        <f>Application!$G699</f>
        <v>0</v>
      </c>
      <c r="C11" s="460">
        <f>Application!$O699</f>
        <v>0</v>
      </c>
      <c r="D11" s="461"/>
      <c r="E11" s="741"/>
      <c r="F11" s="460">
        <f t="shared" si="0"/>
        <v>0</v>
      </c>
      <c r="G11" s="461"/>
      <c r="H11" s="460">
        <f t="shared" si="1"/>
        <v>0</v>
      </c>
      <c r="I11" s="460">
        <f t="shared" si="2"/>
        <v>0</v>
      </c>
    </row>
    <row r="12" spans="1:9">
      <c r="A12" s="460">
        <f>Application!$B700</f>
        <v>0</v>
      </c>
      <c r="B12" s="742">
        <f>Application!$G700</f>
        <v>0</v>
      </c>
      <c r="C12" s="460">
        <f>Application!$O700</f>
        <v>0</v>
      </c>
      <c r="D12" s="461"/>
      <c r="E12" s="741"/>
      <c r="F12" s="460">
        <f t="shared" si="0"/>
        <v>0</v>
      </c>
      <c r="G12" s="461"/>
      <c r="H12" s="460">
        <f t="shared" si="1"/>
        <v>0</v>
      </c>
      <c r="I12" s="460">
        <f t="shared" si="2"/>
        <v>0</v>
      </c>
    </row>
    <row r="13" spans="1:9">
      <c r="A13" s="460">
        <f>Application!$B701</f>
        <v>0</v>
      </c>
      <c r="B13" s="742">
        <f>Application!$G701</f>
        <v>0</v>
      </c>
      <c r="C13" s="460">
        <f>Application!$O701</f>
        <v>0</v>
      </c>
      <c r="D13" s="461"/>
      <c r="E13" s="741"/>
      <c r="F13" s="460">
        <f t="shared" si="0"/>
        <v>0</v>
      </c>
      <c r="G13" s="461"/>
      <c r="H13" s="460">
        <f t="shared" si="1"/>
        <v>0</v>
      </c>
      <c r="I13" s="460">
        <f t="shared" si="2"/>
        <v>0</v>
      </c>
    </row>
    <row r="14" spans="1:9">
      <c r="A14" s="460">
        <f>Application!$B702</f>
        <v>0</v>
      </c>
      <c r="B14" s="742">
        <f>Application!$G702</f>
        <v>0</v>
      </c>
      <c r="C14" s="460">
        <f>Application!$O702</f>
        <v>0</v>
      </c>
      <c r="D14" s="461"/>
      <c r="E14" s="741"/>
      <c r="F14" s="460">
        <f t="shared" si="0"/>
        <v>0</v>
      </c>
      <c r="G14" s="461"/>
      <c r="H14" s="460">
        <f t="shared" si="1"/>
        <v>0</v>
      </c>
      <c r="I14" s="460">
        <f t="shared" si="2"/>
        <v>0</v>
      </c>
    </row>
    <row r="15" spans="1:9">
      <c r="A15" s="460">
        <f>Application!$B703</f>
        <v>0</v>
      </c>
      <c r="B15" s="742">
        <f>Application!$G703</f>
        <v>0</v>
      </c>
      <c r="C15" s="460">
        <f>Application!$O703</f>
        <v>0</v>
      </c>
      <c r="D15" s="461"/>
      <c r="E15" s="741"/>
      <c r="F15" s="460">
        <f t="shared" si="0"/>
        <v>0</v>
      </c>
      <c r="G15" s="461"/>
      <c r="H15" s="460">
        <f t="shared" si="1"/>
        <v>0</v>
      </c>
      <c r="I15" s="460">
        <f t="shared" si="2"/>
        <v>0</v>
      </c>
    </row>
    <row r="16" spans="1:9">
      <c r="A16" s="460">
        <f>Application!$B704</f>
        <v>0</v>
      </c>
      <c r="B16" s="742">
        <f>Application!$G704</f>
        <v>0</v>
      </c>
      <c r="C16" s="460">
        <f>Application!$O704</f>
        <v>0</v>
      </c>
      <c r="D16" s="461"/>
      <c r="E16" s="741"/>
      <c r="F16" s="460">
        <f t="shared" si="0"/>
        <v>0</v>
      </c>
      <c r="G16" s="461"/>
      <c r="H16" s="460">
        <f t="shared" si="1"/>
        <v>0</v>
      </c>
      <c r="I16" s="460">
        <f t="shared" si="2"/>
        <v>0</v>
      </c>
    </row>
    <row r="17" spans="1:9">
      <c r="A17" s="460">
        <f>Application!$B705</f>
        <v>0</v>
      </c>
      <c r="B17" s="742">
        <f>Application!$G705</f>
        <v>0</v>
      </c>
      <c r="C17" s="460">
        <f>Application!$O705</f>
        <v>0</v>
      </c>
      <c r="D17" s="461"/>
      <c r="E17" s="741"/>
      <c r="F17" s="460">
        <f t="shared" si="0"/>
        <v>0</v>
      </c>
      <c r="G17" s="461"/>
      <c r="H17" s="460">
        <f t="shared" si="1"/>
        <v>0</v>
      </c>
      <c r="I17" s="460">
        <f t="shared" si="2"/>
        <v>0</v>
      </c>
    </row>
    <row r="18" spans="1:9">
      <c r="A18" s="460">
        <f>Application!$B706</f>
        <v>0</v>
      </c>
      <c r="B18" s="742">
        <f>Application!$G706</f>
        <v>0</v>
      </c>
      <c r="C18" s="460">
        <f>Application!$O706</f>
        <v>0</v>
      </c>
      <c r="D18" s="461"/>
      <c r="E18" s="741"/>
      <c r="F18" s="460">
        <f t="shared" si="0"/>
        <v>0</v>
      </c>
      <c r="G18" s="461"/>
      <c r="H18" s="460">
        <f t="shared" si="1"/>
        <v>0</v>
      </c>
      <c r="I18" s="460">
        <f t="shared" si="2"/>
        <v>0</v>
      </c>
    </row>
    <row r="19" spans="1:9">
      <c r="A19" s="460">
        <f>Application!$B707</f>
        <v>0</v>
      </c>
      <c r="B19" s="742">
        <f>Application!$G707</f>
        <v>0</v>
      </c>
      <c r="C19" s="460">
        <f>Application!$O707</f>
        <v>0</v>
      </c>
      <c r="D19" s="461"/>
      <c r="E19" s="741"/>
      <c r="F19" s="460">
        <f t="shared" si="0"/>
        <v>0</v>
      </c>
      <c r="G19" s="461"/>
      <c r="H19" s="460">
        <f t="shared" si="1"/>
        <v>0</v>
      </c>
      <c r="I19" s="460">
        <f t="shared" si="2"/>
        <v>0</v>
      </c>
    </row>
    <row r="20" spans="1:9">
      <c r="A20" s="460">
        <f>Application!$B708</f>
        <v>0</v>
      </c>
      <c r="B20" s="742">
        <f>Application!$G708</f>
        <v>0</v>
      </c>
      <c r="C20" s="460">
        <f>Application!$O708</f>
        <v>0</v>
      </c>
      <c r="D20" s="461"/>
      <c r="E20" s="741"/>
      <c r="F20" s="460">
        <f t="shared" si="0"/>
        <v>0</v>
      </c>
      <c r="G20" s="461"/>
      <c r="H20" s="460">
        <f t="shared" si="1"/>
        <v>0</v>
      </c>
      <c r="I20" s="460">
        <f t="shared" si="2"/>
        <v>0</v>
      </c>
    </row>
    <row r="21" spans="1:9">
      <c r="A21" s="460">
        <f>Application!$B709</f>
        <v>0</v>
      </c>
      <c r="B21" s="742">
        <f>Application!$G709</f>
        <v>0</v>
      </c>
      <c r="C21" s="460">
        <f>Application!$O709</f>
        <v>0</v>
      </c>
      <c r="D21" s="461"/>
      <c r="E21" s="741"/>
      <c r="F21" s="460">
        <f t="shared" si="0"/>
        <v>0</v>
      </c>
      <c r="G21" s="461"/>
      <c r="H21" s="460">
        <f t="shared" si="1"/>
        <v>0</v>
      </c>
      <c r="I21" s="460">
        <f t="shared" si="2"/>
        <v>0</v>
      </c>
    </row>
    <row r="22" spans="1:9">
      <c r="A22" s="460">
        <f>Application!$B710</f>
        <v>0</v>
      </c>
      <c r="B22" s="742">
        <f>Application!$G710</f>
        <v>0</v>
      </c>
      <c r="C22" s="460">
        <f>Application!$O710</f>
        <v>0</v>
      </c>
      <c r="D22" s="461"/>
      <c r="E22" s="741"/>
      <c r="F22" s="460">
        <f t="shared" si="0"/>
        <v>0</v>
      </c>
      <c r="G22" s="461"/>
      <c r="H22" s="460">
        <f t="shared" si="1"/>
        <v>0</v>
      </c>
      <c r="I22" s="460">
        <f t="shared" si="2"/>
        <v>0</v>
      </c>
    </row>
    <row r="23" spans="1:9">
      <c r="A23" s="460">
        <f>Application!$B711</f>
        <v>0</v>
      </c>
      <c r="B23" s="742">
        <f>Application!$G711</f>
        <v>0</v>
      </c>
      <c r="C23" s="460">
        <f>Application!$O711</f>
        <v>0</v>
      </c>
      <c r="D23" s="461"/>
      <c r="E23" s="741"/>
      <c r="F23" s="460">
        <f t="shared" si="0"/>
        <v>0</v>
      </c>
      <c r="G23" s="461"/>
      <c r="H23" s="460">
        <f t="shared" si="1"/>
        <v>0</v>
      </c>
      <c r="I23" s="460">
        <f t="shared" si="2"/>
        <v>0</v>
      </c>
    </row>
    <row r="24" spans="1:9">
      <c r="A24" s="460">
        <f>Application!$B712</f>
        <v>0</v>
      </c>
      <c r="B24" s="742">
        <f>Application!$G712</f>
        <v>0</v>
      </c>
      <c r="C24" s="460">
        <f>Application!$O712</f>
        <v>0</v>
      </c>
      <c r="D24" s="461"/>
      <c r="E24" s="741"/>
      <c r="F24" s="460">
        <f t="shared" si="0"/>
        <v>0</v>
      </c>
      <c r="G24" s="461"/>
      <c r="H24" s="460">
        <f t="shared" si="1"/>
        <v>0</v>
      </c>
      <c r="I24" s="460">
        <f t="shared" si="2"/>
        <v>0</v>
      </c>
    </row>
    <row r="25" spans="1:9">
      <c r="A25" s="460">
        <f>Application!$B713</f>
        <v>0</v>
      </c>
      <c r="B25" s="742">
        <f>Application!$G713</f>
        <v>0</v>
      </c>
      <c r="C25" s="460">
        <f>Application!$O713</f>
        <v>0</v>
      </c>
      <c r="D25" s="461"/>
      <c r="E25" s="741"/>
      <c r="F25" s="460">
        <f t="shared" si="0"/>
        <v>0</v>
      </c>
      <c r="G25" s="461"/>
      <c r="H25" s="460">
        <f t="shared" si="1"/>
        <v>0</v>
      </c>
      <c r="I25" s="460">
        <f t="shared" si="2"/>
        <v>0</v>
      </c>
    </row>
    <row r="26" spans="1:9">
      <c r="A26" s="460">
        <f>Application!$B714</f>
        <v>0</v>
      </c>
      <c r="B26" s="742">
        <f>Application!$G714</f>
        <v>0</v>
      </c>
      <c r="C26" s="460">
        <f>Application!$O714</f>
        <v>0</v>
      </c>
      <c r="D26" s="461"/>
      <c r="E26" s="741"/>
      <c r="F26" s="460">
        <f t="shared" si="0"/>
        <v>0</v>
      </c>
      <c r="G26" s="461"/>
      <c r="H26" s="460">
        <f t="shared" si="1"/>
        <v>0</v>
      </c>
      <c r="I26" s="460">
        <f t="shared" si="2"/>
        <v>0</v>
      </c>
    </row>
    <row r="27" spans="1:9">
      <c r="A27" s="460">
        <f>Application!$B715</f>
        <v>0</v>
      </c>
      <c r="B27" s="742">
        <f>Application!$G715</f>
        <v>0</v>
      </c>
      <c r="C27" s="460">
        <f>Application!$O715</f>
        <v>0</v>
      </c>
      <c r="D27" s="461"/>
      <c r="E27" s="741"/>
      <c r="F27" s="460">
        <f t="shared" si="0"/>
        <v>0</v>
      </c>
      <c r="G27" s="461"/>
      <c r="H27" s="460">
        <f t="shared" si="1"/>
        <v>0</v>
      </c>
      <c r="I27" s="460">
        <f t="shared" si="2"/>
        <v>0</v>
      </c>
    </row>
    <row r="28" spans="1:9">
      <c r="A28" s="460">
        <f>Application!$B716</f>
        <v>0</v>
      </c>
      <c r="B28" s="742">
        <f>Application!$G716</f>
        <v>0</v>
      </c>
      <c r="C28" s="460">
        <f>Application!$O716</f>
        <v>0</v>
      </c>
      <c r="D28" s="461"/>
      <c r="E28" s="741"/>
      <c r="F28" s="460">
        <f t="shared" si="0"/>
        <v>0</v>
      </c>
      <c r="G28" s="461"/>
      <c r="H28" s="460">
        <f t="shared" si="1"/>
        <v>0</v>
      </c>
      <c r="I28" s="460">
        <f t="shared" si="2"/>
        <v>0</v>
      </c>
    </row>
    <row r="29" spans="1:9">
      <c r="A29" s="457"/>
      <c r="B29" s="457"/>
      <c r="C29" s="461"/>
      <c r="D29" s="461"/>
      <c r="E29" s="461"/>
      <c r="F29" s="461"/>
      <c r="G29" s="461"/>
      <c r="H29" s="461"/>
      <c r="I29" s="457"/>
    </row>
    <row r="30" spans="1:9" ht="15">
      <c r="A30" s="462" t="s">
        <v>2510</v>
      </c>
      <c r="B30" s="463"/>
      <c r="C30" s="464">
        <f>Application!$T$717*12</f>
        <v>702516</v>
      </c>
      <c r="D30" s="461"/>
      <c r="E30" s="461"/>
      <c r="F30" s="464">
        <f>SUM(F4:F28)*12</f>
        <v>758532</v>
      </c>
      <c r="G30" s="465"/>
      <c r="H30" s="463"/>
      <c r="I30" s="464">
        <f>SUM(I4:I28)*12</f>
        <v>374592</v>
      </c>
    </row>
    <row r="31" spans="1:9" ht="15">
      <c r="A31" s="462"/>
      <c r="B31" s="463"/>
      <c r="C31" s="465"/>
      <c r="D31" s="461"/>
      <c r="E31" s="461"/>
      <c r="F31" s="465"/>
      <c r="G31" s="465"/>
      <c r="H31" s="463"/>
      <c r="I31" s="465"/>
    </row>
    <row r="32" spans="1:9">
      <c r="A32" s="457" t="s">
        <v>2511</v>
      </c>
      <c r="B32" s="457"/>
      <c r="C32" s="457"/>
      <c r="D32" s="457"/>
      <c r="E32" s="457"/>
      <c r="F32" s="457"/>
      <c r="G32" s="457"/>
      <c r="H32" s="457"/>
      <c r="I32" s="457"/>
    </row>
    <row r="33" spans="1:9">
      <c r="A33" s="457" t="s">
        <v>2512</v>
      </c>
      <c r="B33" s="457"/>
      <c r="C33" s="457"/>
      <c r="D33" s="457"/>
      <c r="E33" s="457"/>
      <c r="F33" s="457"/>
      <c r="G33" s="457"/>
      <c r="H33" s="457"/>
      <c r="I33" s="457"/>
    </row>
    <row r="34" spans="1:9">
      <c r="A34" s="457" t="s">
        <v>2513</v>
      </c>
      <c r="B34" s="457"/>
      <c r="C34" s="457"/>
      <c r="D34" s="457"/>
      <c r="E34" s="457"/>
      <c r="F34" s="457"/>
      <c r="G34" s="457"/>
      <c r="H34" s="457"/>
      <c r="I34" s="457"/>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8"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election activeCell="O43" sqref="O43"/>
    </sheetView>
  </sheetViews>
  <sheetFormatPr defaultColWidth="9.140625" defaultRowHeight="12.75"/>
  <cols>
    <col min="1" max="16384" width="9.140625" style="244"/>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224" customFormat="1" ht="45" customHeight="1">
      <c r="A1" s="359" t="s">
        <v>2514</v>
      </c>
    </row>
    <row r="2" spans="1:1" ht="15.75">
      <c r="A2" s="357"/>
    </row>
    <row r="3" spans="1:1" ht="15.75">
      <c r="A3" s="358" t="s">
        <v>2515</v>
      </c>
    </row>
    <row r="4" spans="1:1" ht="15.75">
      <c r="A4" s="358" t="s">
        <v>2516</v>
      </c>
    </row>
    <row r="5" spans="1:1" ht="15.75">
      <c r="A5" s="358" t="s">
        <v>2517</v>
      </c>
    </row>
    <row r="6" spans="1:1" ht="15.75">
      <c r="A6" s="358" t="s">
        <v>2518</v>
      </c>
    </row>
    <row r="7" spans="1:1" ht="15.75">
      <c r="A7" s="358" t="s">
        <v>2519</v>
      </c>
    </row>
    <row r="8" spans="1:1" ht="15.75">
      <c r="A8" s="425" t="s">
        <v>2520</v>
      </c>
    </row>
    <row r="9" spans="1:1" ht="15.75">
      <c r="A9" s="358" t="s">
        <v>2521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topLeftCell="A58"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6" t="s">
        <v>2522</v>
      </c>
      <c r="B1" s="1320"/>
      <c r="C1" s="1320"/>
      <c r="D1" s="1320"/>
      <c r="E1" s="1320"/>
      <c r="F1" s="1320"/>
      <c r="G1" s="1320"/>
      <c r="H1" s="1320"/>
      <c r="I1" s="1320"/>
      <c r="J1" s="1320"/>
      <c r="K1" s="1320"/>
      <c r="L1" s="1320"/>
      <c r="M1" s="1320"/>
      <c r="N1" s="1320"/>
      <c r="O1" s="1320"/>
      <c r="P1" s="1320"/>
      <c r="Q1" s="1320"/>
      <c r="R1" s="1320"/>
      <c r="S1" s="1320"/>
      <c r="T1" s="1320"/>
      <c r="U1" s="1320"/>
      <c r="V1" s="1320"/>
      <c r="W1" s="1320"/>
      <c r="X1" s="1320"/>
      <c r="Y1" s="1320"/>
      <c r="Z1" s="1320"/>
      <c r="AA1" s="1320"/>
      <c r="AB1" s="1320"/>
      <c r="AC1" s="1320"/>
      <c r="AD1" s="1320"/>
      <c r="AE1" s="1320"/>
      <c r="AF1" s="1320"/>
      <c r="AG1" s="1320"/>
      <c r="AH1" s="1320"/>
      <c r="AI1" s="1320"/>
      <c r="AJ1" s="1320"/>
      <c r="AK1" s="1320"/>
      <c r="AL1" s="1320"/>
      <c r="AM1" s="1320"/>
      <c r="AN1" s="1320"/>
    </row>
    <row r="2" spans="1:40" ht="12.95" customHeight="1" thickBot="1">
      <c r="A2" s="1321"/>
      <c r="B2" s="1321"/>
      <c r="C2" s="1321"/>
      <c r="D2" s="1321"/>
      <c r="E2" s="1321"/>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321"/>
      <c r="AE2" s="1321"/>
      <c r="AF2" s="1321"/>
      <c r="AG2" s="1321"/>
      <c r="AH2" s="1321"/>
      <c r="AI2" s="1321"/>
      <c r="AJ2" s="1321"/>
      <c r="AK2" s="1321"/>
      <c r="AL2" s="1321"/>
      <c r="AM2" s="1321"/>
      <c r="AN2" s="1321"/>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2.95" customHeight="1"/>
    <row r="5" spans="1:40" ht="12.95" customHeight="1">
      <c r="A5" s="2" t="s">
        <v>854</v>
      </c>
      <c r="C5" s="2" t="s">
        <v>267</v>
      </c>
      <c r="F5" s="2"/>
    </row>
    <row r="6" spans="1:40" ht="12.95" customHeight="1">
      <c r="B6" s="58"/>
    </row>
    <row r="7" spans="1:40" ht="12.95" customHeight="1">
      <c r="B7" s="5"/>
      <c r="C7" s="6"/>
      <c r="D7" s="6"/>
      <c r="E7" s="6"/>
      <c r="F7" s="6"/>
      <c r="G7" s="6"/>
      <c r="H7" s="6"/>
      <c r="I7" s="6"/>
      <c r="J7" s="6"/>
      <c r="K7" s="6"/>
      <c r="L7" s="6"/>
      <c r="M7" s="6"/>
      <c r="N7" s="6"/>
      <c r="O7" s="6"/>
      <c r="P7" s="6"/>
      <c r="Q7" s="6"/>
      <c r="R7" s="6"/>
      <c r="S7" s="6"/>
      <c r="T7" s="1494" t="s">
        <v>2523</v>
      </c>
      <c r="U7" s="1494"/>
      <c r="V7" s="1494"/>
      <c r="W7" s="1494"/>
      <c r="X7" s="1494"/>
      <c r="Y7" s="1494" t="s">
        <v>2524</v>
      </c>
      <c r="Z7" s="1494"/>
      <c r="AA7" s="1494"/>
      <c r="AB7" s="1494"/>
      <c r="AC7" s="1494"/>
      <c r="AD7" s="1494" t="s">
        <v>2525</v>
      </c>
      <c r="AE7" s="1494"/>
      <c r="AF7" s="1494"/>
      <c r="AG7" s="1494"/>
      <c r="AH7" s="1494"/>
      <c r="AI7" s="1494" t="s">
        <v>2526</v>
      </c>
      <c r="AJ7" s="1494"/>
      <c r="AK7" s="1494"/>
      <c r="AL7" s="1494"/>
      <c r="AM7" s="1494"/>
    </row>
    <row r="8" spans="1:40" ht="12.95" customHeight="1">
      <c r="B8" s="146"/>
      <c r="T8" s="1494"/>
      <c r="U8" s="1494"/>
      <c r="V8" s="1494"/>
      <c r="W8" s="1494"/>
      <c r="X8" s="1494"/>
      <c r="Y8" s="1494"/>
      <c r="Z8" s="1494"/>
      <c r="AA8" s="1494"/>
      <c r="AB8" s="1494"/>
      <c r="AC8" s="1494"/>
      <c r="AD8" s="1494"/>
      <c r="AE8" s="1494"/>
      <c r="AF8" s="1494"/>
      <c r="AG8" s="1494"/>
      <c r="AH8" s="1494"/>
      <c r="AI8" s="1494"/>
      <c r="AJ8" s="1494"/>
      <c r="AK8" s="1494"/>
      <c r="AL8" s="1494"/>
      <c r="AM8" s="1494"/>
    </row>
    <row r="9" spans="1:40" ht="12.95" customHeight="1">
      <c r="B9" s="146"/>
      <c r="T9" s="1494"/>
      <c r="U9" s="1494"/>
      <c r="V9" s="1494"/>
      <c r="W9" s="1494"/>
      <c r="X9" s="1494"/>
      <c r="Y9" s="1494"/>
      <c r="Z9" s="1494"/>
      <c r="AA9" s="1494"/>
      <c r="AB9" s="1494"/>
      <c r="AC9" s="1494"/>
      <c r="AD9" s="1494"/>
      <c r="AE9" s="1494"/>
      <c r="AF9" s="1494"/>
      <c r="AG9" s="1494"/>
      <c r="AH9" s="1494"/>
      <c r="AI9" s="1494"/>
      <c r="AJ9" s="1494"/>
      <c r="AK9" s="1494"/>
      <c r="AL9" s="1494"/>
      <c r="AM9" s="1494"/>
    </row>
    <row r="10" spans="1:40" ht="12.95" customHeight="1">
      <c r="B10" s="38"/>
      <c r="C10" s="39"/>
      <c r="D10" s="39"/>
      <c r="E10" s="39"/>
      <c r="F10" s="39"/>
      <c r="G10" s="39"/>
      <c r="H10" s="39"/>
      <c r="I10" s="39"/>
      <c r="J10" s="39"/>
      <c r="K10" s="39"/>
      <c r="L10" s="39"/>
      <c r="M10" s="39"/>
      <c r="N10" s="39"/>
      <c r="O10" s="39"/>
      <c r="P10" s="39"/>
      <c r="Q10" s="39"/>
      <c r="R10" s="39"/>
      <c r="S10" s="39"/>
      <c r="T10" s="1494"/>
      <c r="U10" s="1494"/>
      <c r="V10" s="1494"/>
      <c r="W10" s="1494"/>
      <c r="X10" s="1494"/>
      <c r="Y10" s="1494"/>
      <c r="Z10" s="1494"/>
      <c r="AA10" s="1494"/>
      <c r="AB10" s="1494"/>
      <c r="AC10" s="1494"/>
      <c r="AD10" s="1494"/>
      <c r="AE10" s="1494"/>
      <c r="AF10" s="1494"/>
      <c r="AG10" s="1494"/>
      <c r="AH10" s="1494"/>
      <c r="AI10" s="1494"/>
      <c r="AJ10" s="1494"/>
      <c r="AK10" s="1494"/>
      <c r="AL10" s="1494"/>
      <c r="AM10" s="1494"/>
    </row>
    <row r="11" spans="1:40" ht="12.95" customHeight="1">
      <c r="B11" s="1094" t="s">
        <v>1845</v>
      </c>
      <c r="C11" s="1095"/>
      <c r="D11" s="1095"/>
      <c r="E11" s="1095"/>
      <c r="F11" s="1095"/>
      <c r="G11" s="1095"/>
      <c r="H11" s="1095"/>
      <c r="I11" s="1095"/>
      <c r="J11" s="1095"/>
      <c r="K11" s="1095"/>
      <c r="L11" s="1095"/>
      <c r="M11" s="1095"/>
      <c r="N11" s="1095"/>
      <c r="O11" s="1095"/>
      <c r="P11" s="1095"/>
      <c r="Q11" s="1095"/>
      <c r="R11" s="1095"/>
      <c r="S11" s="1096"/>
      <c r="T11" s="1500">
        <f>IF('Sources and Basis Breakdown'!F105=0,'Sources and Basis Breakdown'!E105,'Sources and Basis Breakdown'!F105)</f>
        <v>36181864.604807153</v>
      </c>
      <c r="U11" s="1495"/>
      <c r="V11" s="1495"/>
      <c r="W11" s="1495"/>
      <c r="X11" s="1495"/>
      <c r="Y11" s="1507">
        <f>IF('Sources and Basis Breakdown'!G105+'Sources and Basis Breakdown'!F105='Sources and Basis Breakdown'!E105,'Sources and Basis Breakdown'!G105,0)</f>
        <v>0</v>
      </c>
      <c r="Z11" s="1495"/>
      <c r="AA11" s="1495"/>
      <c r="AB11" s="1495"/>
      <c r="AC11" s="1495"/>
      <c r="AD11" s="1495">
        <f>IF('Sources and Basis Breakdown'!I105=0,'Sources and Basis Breakdown'!H105,'Sources and Basis Breakdown'!I105)</f>
        <v>0</v>
      </c>
      <c r="AE11" s="1495"/>
      <c r="AF11" s="1495"/>
      <c r="AG11" s="1495"/>
      <c r="AH11" s="1495"/>
      <c r="AI11" s="1495">
        <f>IF('Sources and Basis Breakdown'!I105+'Sources and Basis Breakdown'!J105='Sources and Basis Breakdown'!H105,'Sources and Basis Breakdown'!J105,0)</f>
        <v>0</v>
      </c>
      <c r="AJ11" s="1495"/>
      <c r="AK11" s="1495"/>
      <c r="AL11" s="1495"/>
      <c r="AM11" s="1495"/>
    </row>
    <row r="12" spans="1:40" ht="12.95" customHeight="1">
      <c r="B12" s="1496" t="s">
        <v>1846</v>
      </c>
      <c r="C12" s="979"/>
      <c r="D12" s="979"/>
      <c r="E12" s="979"/>
      <c r="F12" s="979"/>
      <c r="G12" s="979"/>
      <c r="H12" s="979"/>
      <c r="I12" s="979"/>
      <c r="J12" s="979"/>
      <c r="K12" s="979"/>
      <c r="L12" s="979"/>
      <c r="M12" s="979"/>
      <c r="N12" s="979"/>
      <c r="O12" s="979"/>
      <c r="P12" s="979"/>
      <c r="Q12" s="979"/>
      <c r="R12" s="979"/>
      <c r="S12" s="1497"/>
      <c r="T12" s="1503"/>
      <c r="U12" s="1504"/>
      <c r="V12" s="1504"/>
      <c r="W12" s="1504"/>
      <c r="X12" s="1505"/>
      <c r="Y12" s="1503"/>
      <c r="Z12" s="1504"/>
      <c r="AA12" s="1504"/>
      <c r="AB12" s="1504"/>
      <c r="AC12" s="1505"/>
      <c r="AD12" s="1503"/>
      <c r="AE12" s="1504"/>
      <c r="AF12" s="1504"/>
      <c r="AG12" s="1504"/>
      <c r="AH12" s="1505"/>
      <c r="AI12" s="1503"/>
      <c r="AJ12" s="1504"/>
      <c r="AK12" s="1504"/>
      <c r="AL12" s="1504"/>
      <c r="AM12" s="1505"/>
    </row>
    <row r="13" spans="1:40" ht="12.95" customHeight="1">
      <c r="B13" s="7"/>
      <c r="C13" s="1498" t="s">
        <v>1847</v>
      </c>
      <c r="D13" s="1498"/>
      <c r="E13" s="1498"/>
      <c r="F13" s="1498"/>
      <c r="G13" s="1498"/>
      <c r="H13" s="1498"/>
      <c r="I13" s="1498"/>
      <c r="J13" s="1498"/>
      <c r="K13" s="1498"/>
      <c r="L13" s="1498"/>
      <c r="M13" s="1498"/>
      <c r="N13" s="1498"/>
      <c r="O13" s="1498"/>
      <c r="P13" s="1498"/>
      <c r="Q13" s="1498"/>
      <c r="R13" s="1498"/>
      <c r="S13" s="1499"/>
      <c r="T13" s="1501">
        <f>'Basis &amp; Credits'!T13</f>
        <v>814012</v>
      </c>
      <c r="U13" s="1502"/>
      <c r="V13" s="1502"/>
      <c r="W13" s="1502"/>
      <c r="X13" s="1502"/>
      <c r="Y13" s="1501">
        <f>'Basis &amp; Credits'!Y13</f>
        <v>0</v>
      </c>
      <c r="Z13" s="1502"/>
      <c r="AA13" s="1502"/>
      <c r="AB13" s="1502"/>
      <c r="AC13" s="1502"/>
      <c r="AD13" s="1502">
        <f>'Basis &amp; Credits'!AD13</f>
        <v>0</v>
      </c>
      <c r="AE13" s="1502"/>
      <c r="AF13" s="1502"/>
      <c r="AG13" s="1502"/>
      <c r="AH13" s="1502"/>
      <c r="AI13" s="1502">
        <f>'Basis &amp; Credits'!AI13</f>
        <v>0</v>
      </c>
      <c r="AJ13" s="1502"/>
      <c r="AK13" s="1502"/>
      <c r="AL13" s="1502"/>
      <c r="AM13" s="1502"/>
    </row>
    <row r="14" spans="1:40" ht="12.95" customHeight="1">
      <c r="B14" s="7"/>
      <c r="C14" s="1498" t="s">
        <v>1848</v>
      </c>
      <c r="D14" s="1498"/>
      <c r="E14" s="1498"/>
      <c r="F14" s="1498"/>
      <c r="G14" s="1498"/>
      <c r="H14" s="1498"/>
      <c r="I14" s="1498"/>
      <c r="J14" s="1498"/>
      <c r="K14" s="1498"/>
      <c r="L14" s="1498"/>
      <c r="M14" s="1498"/>
      <c r="N14" s="1498"/>
      <c r="O14" s="1498"/>
      <c r="P14" s="1498"/>
      <c r="Q14" s="1498"/>
      <c r="R14" s="1498"/>
      <c r="S14" s="1499"/>
      <c r="T14" s="1060">
        <f>'Basis &amp; Credits'!T14</f>
        <v>0</v>
      </c>
      <c r="U14" s="1079"/>
      <c r="V14" s="1079"/>
      <c r="W14" s="1079"/>
      <c r="X14" s="1079"/>
      <c r="Y14" s="1060">
        <f>'Basis &amp; Credits'!Y14</f>
        <v>0</v>
      </c>
      <c r="Z14" s="1079"/>
      <c r="AA14" s="1079"/>
      <c r="AB14" s="1079"/>
      <c r="AC14" s="1079"/>
      <c r="AD14" s="1079">
        <f>'Basis &amp; Credits'!AD14</f>
        <v>0</v>
      </c>
      <c r="AE14" s="1079"/>
      <c r="AF14" s="1079"/>
      <c r="AG14" s="1079"/>
      <c r="AH14" s="1079"/>
      <c r="AI14" s="1079">
        <f>'Basis &amp; Credits'!AI14</f>
        <v>0</v>
      </c>
      <c r="AJ14" s="1079"/>
      <c r="AK14" s="1079"/>
      <c r="AL14" s="1079"/>
      <c r="AM14" s="1079"/>
    </row>
    <row r="15" spans="1:40" ht="12.95" customHeight="1">
      <c r="B15" s="7"/>
      <c r="C15" s="1498" t="s">
        <v>1849</v>
      </c>
      <c r="D15" s="1498"/>
      <c r="E15" s="1498"/>
      <c r="F15" s="1498"/>
      <c r="G15" s="1498"/>
      <c r="H15" s="1498"/>
      <c r="I15" s="1498"/>
      <c r="J15" s="1498"/>
      <c r="K15" s="1498"/>
      <c r="L15" s="1498"/>
      <c r="M15" s="1498"/>
      <c r="N15" s="1498"/>
      <c r="O15" s="1498"/>
      <c r="P15" s="1498"/>
      <c r="Q15" s="1498"/>
      <c r="R15" s="1498"/>
      <c r="S15" s="1499"/>
      <c r="T15" s="1060">
        <f>'Basis &amp; Credits'!T15</f>
        <v>0</v>
      </c>
      <c r="U15" s="1079"/>
      <c r="V15" s="1079"/>
      <c r="W15" s="1079"/>
      <c r="X15" s="1079"/>
      <c r="Y15" s="1060">
        <f>'Basis &amp; Credits'!Y15</f>
        <v>0</v>
      </c>
      <c r="Z15" s="1079"/>
      <c r="AA15" s="1079"/>
      <c r="AB15" s="1079"/>
      <c r="AC15" s="1079"/>
      <c r="AD15" s="1079">
        <f>'Basis &amp; Credits'!AD15</f>
        <v>0</v>
      </c>
      <c r="AE15" s="1079"/>
      <c r="AF15" s="1079"/>
      <c r="AG15" s="1079"/>
      <c r="AH15" s="1079"/>
      <c r="AI15" s="1079">
        <f>'Basis &amp; Credits'!AI15</f>
        <v>0</v>
      </c>
      <c r="AJ15" s="1079"/>
      <c r="AK15" s="1079"/>
      <c r="AL15" s="1079"/>
      <c r="AM15" s="1079"/>
    </row>
    <row r="16" spans="1:40" ht="12.95" customHeight="1">
      <c r="B16" s="7"/>
      <c r="C16" s="1498" t="s">
        <v>1850</v>
      </c>
      <c r="D16" s="1498"/>
      <c r="E16" s="1498"/>
      <c r="F16" s="1498"/>
      <c r="G16" s="1498"/>
      <c r="H16" s="1498"/>
      <c r="I16" s="1498"/>
      <c r="J16" s="1498"/>
      <c r="K16" s="1498"/>
      <c r="L16" s="1498"/>
      <c r="M16" s="1498"/>
      <c r="N16" s="1498"/>
      <c r="O16" s="1498"/>
      <c r="P16" s="1498"/>
      <c r="Q16" s="1498"/>
      <c r="R16" s="1498"/>
      <c r="S16" s="1499"/>
      <c r="T16" s="1060">
        <f>'Basis &amp; Credits'!T16</f>
        <v>0</v>
      </c>
      <c r="U16" s="1079"/>
      <c r="V16" s="1079"/>
      <c r="W16" s="1079"/>
      <c r="X16" s="1079"/>
      <c r="Y16" s="1060">
        <f>'Basis &amp; Credits'!Y16</f>
        <v>0</v>
      </c>
      <c r="Z16" s="1079"/>
      <c r="AA16" s="1079"/>
      <c r="AB16" s="1079"/>
      <c r="AC16" s="1079"/>
      <c r="AD16" s="1079">
        <f>'Basis &amp; Credits'!AD16</f>
        <v>0</v>
      </c>
      <c r="AE16" s="1079"/>
      <c r="AF16" s="1079"/>
      <c r="AG16" s="1079"/>
      <c r="AH16" s="1079"/>
      <c r="AI16" s="1079">
        <f>'Basis &amp; Credits'!AI16</f>
        <v>0</v>
      </c>
      <c r="AJ16" s="1079"/>
      <c r="AK16" s="1079"/>
      <c r="AL16" s="1079"/>
      <c r="AM16" s="1079"/>
    </row>
    <row r="17" spans="1:39" ht="12.95" customHeight="1">
      <c r="B17" s="7"/>
      <c r="C17" s="1498" t="s">
        <v>1851</v>
      </c>
      <c r="D17" s="1498"/>
      <c r="E17" s="1498"/>
      <c r="F17" s="1498"/>
      <c r="G17" s="1498"/>
      <c r="H17" s="1498"/>
      <c r="I17" s="1498"/>
      <c r="J17" s="1498"/>
      <c r="K17" s="1498"/>
      <c r="L17" s="1498"/>
      <c r="M17" s="1498"/>
      <c r="N17" s="1498"/>
      <c r="O17" s="1498"/>
      <c r="P17" s="1498"/>
      <c r="Q17" s="1498"/>
      <c r="R17" s="1498"/>
      <c r="S17" s="1499"/>
      <c r="T17" s="1060">
        <f>'Basis &amp; Credits'!T17</f>
        <v>0</v>
      </c>
      <c r="U17" s="1079"/>
      <c r="V17" s="1079"/>
      <c r="W17" s="1079"/>
      <c r="X17" s="1079"/>
      <c r="Y17" s="1060">
        <f>'Basis &amp; Credits'!Y17</f>
        <v>0</v>
      </c>
      <c r="Z17" s="1079"/>
      <c r="AA17" s="1079"/>
      <c r="AB17" s="1079"/>
      <c r="AC17" s="1079"/>
      <c r="AD17" s="1079">
        <f>'Basis &amp; Credits'!AD17</f>
        <v>0</v>
      </c>
      <c r="AE17" s="1079"/>
      <c r="AF17" s="1079"/>
      <c r="AG17" s="1079"/>
      <c r="AH17" s="1079"/>
      <c r="AI17" s="1079">
        <f>'Basis &amp; Credits'!AI17</f>
        <v>0</v>
      </c>
      <c r="AJ17" s="1079"/>
      <c r="AK17" s="1079"/>
      <c r="AL17" s="1079"/>
      <c r="AM17" s="1079"/>
    </row>
    <row r="18" spans="1:39" ht="12.95" customHeight="1">
      <c r="B18" s="453"/>
      <c r="C18" s="1498" t="s">
        <v>2527</v>
      </c>
      <c r="D18" s="1498"/>
      <c r="E18" s="1498"/>
      <c r="F18" s="1498"/>
      <c r="G18" s="1498"/>
      <c r="H18" s="1498"/>
      <c r="I18" s="1498"/>
      <c r="J18" s="1498"/>
      <c r="K18" s="1498"/>
      <c r="L18" s="1498"/>
      <c r="M18" s="1498"/>
      <c r="N18" s="1498"/>
      <c r="O18" s="1498"/>
      <c r="P18" s="1498"/>
      <c r="Q18" s="1498"/>
      <c r="R18" s="1498"/>
      <c r="S18" s="1499"/>
      <c r="T18" s="1058">
        <f>'Basis &amp; Credits'!T18</f>
        <v>0</v>
      </c>
      <c r="U18" s="1059"/>
      <c r="V18" s="1059"/>
      <c r="W18" s="1059"/>
      <c r="X18" s="1060"/>
      <c r="Y18" s="1060">
        <f>'Basis &amp; Credits'!Y18</f>
        <v>0</v>
      </c>
      <c r="Z18" s="1079"/>
      <c r="AA18" s="1079"/>
      <c r="AB18" s="1079"/>
      <c r="AC18" s="1079"/>
      <c r="AD18" s="1079">
        <f>'Basis &amp; Credits'!AD18</f>
        <v>0</v>
      </c>
      <c r="AE18" s="1079"/>
      <c r="AF18" s="1079"/>
      <c r="AG18" s="1079"/>
      <c r="AH18" s="1079"/>
      <c r="AI18" s="1079">
        <f>'Basis &amp; Credits'!AI18</f>
        <v>0</v>
      </c>
      <c r="AJ18" s="1079"/>
      <c r="AK18" s="1079"/>
      <c r="AL18" s="1079"/>
      <c r="AM18" s="1079"/>
    </row>
    <row r="19" spans="1:39" ht="12.95" customHeight="1">
      <c r="B19" s="356"/>
      <c r="C19" s="1348" t="str">
        <f>'Basis &amp; Credits'!C19:S19</f>
        <v>Subtract (specify other ineligible amounts):</v>
      </c>
      <c r="D19" s="1348"/>
      <c r="E19" s="1348"/>
      <c r="F19" s="1348"/>
      <c r="G19" s="1348"/>
      <c r="H19" s="1348"/>
      <c r="I19" s="1348"/>
      <c r="J19" s="1348"/>
      <c r="K19" s="1348"/>
      <c r="L19" s="1348"/>
      <c r="M19" s="1348"/>
      <c r="N19" s="1348"/>
      <c r="O19" s="1348"/>
      <c r="P19" s="1348"/>
      <c r="Q19" s="1348"/>
      <c r="R19" s="1348"/>
      <c r="S19" s="1349"/>
      <c r="T19" s="1060">
        <f>'Basis &amp; Credits'!T19</f>
        <v>0</v>
      </c>
      <c r="U19" s="1079"/>
      <c r="V19" s="1079"/>
      <c r="W19" s="1079"/>
      <c r="X19" s="1079"/>
      <c r="Y19" s="1060">
        <f>'Basis &amp; Credits'!Y19</f>
        <v>0</v>
      </c>
      <c r="Z19" s="1079"/>
      <c r="AA19" s="1079"/>
      <c r="AB19" s="1079"/>
      <c r="AC19" s="1079"/>
      <c r="AD19" s="1079">
        <f>'Basis &amp; Credits'!AD19</f>
        <v>0</v>
      </c>
      <c r="AE19" s="1079"/>
      <c r="AF19" s="1079"/>
      <c r="AG19" s="1079"/>
      <c r="AH19" s="1079"/>
      <c r="AI19" s="1079">
        <f>'Basis &amp; Credits'!AI19</f>
        <v>0</v>
      </c>
      <c r="AJ19" s="1079"/>
      <c r="AK19" s="1079"/>
      <c r="AL19" s="1079"/>
      <c r="AM19" s="1079"/>
    </row>
    <row r="20" spans="1:39" ht="12.95" customHeight="1">
      <c r="B20" s="1094" t="s">
        <v>1853</v>
      </c>
      <c r="C20" s="1095"/>
      <c r="D20" s="1095"/>
      <c r="E20" s="1095"/>
      <c r="F20" s="1095"/>
      <c r="G20" s="1095"/>
      <c r="H20" s="1095"/>
      <c r="I20" s="1095"/>
      <c r="J20" s="1095"/>
      <c r="K20" s="1095"/>
      <c r="L20" s="1095"/>
      <c r="M20" s="1095"/>
      <c r="N20" s="1095"/>
      <c r="O20" s="1095"/>
      <c r="P20" s="1095"/>
      <c r="Q20" s="1095"/>
      <c r="R20" s="1095"/>
      <c r="S20" s="1096"/>
      <c r="T20" s="1488">
        <f>SUM(T13:X19)</f>
        <v>814012</v>
      </c>
      <c r="U20" s="1050"/>
      <c r="V20" s="1050"/>
      <c r="W20" s="1050"/>
      <c r="X20" s="1050"/>
      <c r="Y20" s="1488">
        <f>SUM(Y13:AC19)</f>
        <v>0</v>
      </c>
      <c r="Z20" s="1050"/>
      <c r="AA20" s="1050"/>
      <c r="AB20" s="1050"/>
      <c r="AC20" s="1050"/>
      <c r="AD20" s="1050">
        <f>SUM(AD13:AH19)</f>
        <v>0</v>
      </c>
      <c r="AE20" s="1050"/>
      <c r="AF20" s="1050"/>
      <c r="AG20" s="1050"/>
      <c r="AH20" s="1050"/>
      <c r="AI20" s="1050">
        <f>SUM(AI13:AM19)</f>
        <v>0</v>
      </c>
      <c r="AJ20" s="1050"/>
      <c r="AK20" s="1050"/>
      <c r="AL20" s="1050"/>
      <c r="AM20" s="1050"/>
    </row>
    <row r="21" spans="1:39" ht="12.95" customHeight="1">
      <c r="B21" s="1094" t="s">
        <v>1854</v>
      </c>
      <c r="C21" s="1095"/>
      <c r="D21" s="1095"/>
      <c r="E21" s="1095"/>
      <c r="F21" s="1095"/>
      <c r="G21" s="1095"/>
      <c r="H21" s="1095"/>
      <c r="I21" s="1095"/>
      <c r="J21" s="1095"/>
      <c r="K21" s="1095"/>
      <c r="L21" s="1095"/>
      <c r="M21" s="1095"/>
      <c r="N21" s="1095"/>
      <c r="O21" s="1095"/>
      <c r="P21" s="1095"/>
      <c r="Q21" s="1095"/>
      <c r="R21" s="1095"/>
      <c r="S21" s="1096"/>
      <c r="T21" s="1060">
        <f>'Basis &amp; Credits'!E21</f>
        <v>0</v>
      </c>
      <c r="U21" s="1079"/>
      <c r="V21" s="1079"/>
      <c r="W21" s="1079"/>
      <c r="X21" s="1079"/>
      <c r="Y21" s="1060">
        <f>'Basis &amp; Credits'!J21</f>
        <v>0</v>
      </c>
      <c r="Z21" s="1079"/>
      <c r="AA21" s="1079"/>
      <c r="AB21" s="1079"/>
      <c r="AC21" s="1079"/>
      <c r="AD21" s="1079">
        <f>'Basis &amp; Credits'!O21</f>
        <v>0</v>
      </c>
      <c r="AE21" s="1079"/>
      <c r="AF21" s="1079"/>
      <c r="AG21" s="1079"/>
      <c r="AH21" s="1079"/>
      <c r="AI21" s="1079">
        <f>'Basis &amp; Credits'!T21</f>
        <v>15057330</v>
      </c>
      <c r="AJ21" s="1079"/>
      <c r="AK21" s="1079"/>
      <c r="AL21" s="1079"/>
      <c r="AM21" s="1079"/>
    </row>
    <row r="22" spans="1:39" ht="12.95" customHeight="1">
      <c r="B22" s="1094" t="s">
        <v>1855</v>
      </c>
      <c r="C22" s="1095"/>
      <c r="D22" s="1095"/>
      <c r="E22" s="1095"/>
      <c r="F22" s="1095"/>
      <c r="G22" s="1095"/>
      <c r="H22" s="1095"/>
      <c r="I22" s="1095"/>
      <c r="J22" s="1095"/>
      <c r="K22" s="1095"/>
      <c r="L22" s="1095"/>
      <c r="M22" s="1095"/>
      <c r="N22" s="1095"/>
      <c r="O22" s="1095"/>
      <c r="P22" s="1095"/>
      <c r="Q22" s="1095"/>
      <c r="R22" s="1095"/>
      <c r="S22" s="1096"/>
      <c r="T22" s="1489">
        <f>(T20+T21)*-1</f>
        <v>-814012</v>
      </c>
      <c r="U22" s="1490"/>
      <c r="V22" s="1490"/>
      <c r="W22" s="1490"/>
      <c r="X22" s="1490"/>
      <c r="Y22" s="1489">
        <f>(Y20+Y21)*-1</f>
        <v>0</v>
      </c>
      <c r="Z22" s="1490"/>
      <c r="AA22" s="1490"/>
      <c r="AB22" s="1490"/>
      <c r="AC22" s="1490"/>
      <c r="AD22" s="1489">
        <f>(AD20+AD21)*-1</f>
        <v>0</v>
      </c>
      <c r="AE22" s="1490"/>
      <c r="AF22" s="1490"/>
      <c r="AG22" s="1490"/>
      <c r="AH22" s="1490"/>
      <c r="AI22" s="1489">
        <f>(AI20+AI21)*-1</f>
        <v>-15057330</v>
      </c>
      <c r="AJ22" s="1490"/>
      <c r="AK22" s="1490"/>
      <c r="AL22" s="1490"/>
      <c r="AM22" s="1490"/>
    </row>
    <row r="23" spans="1:39" ht="12.95" customHeight="1">
      <c r="B23" s="1094" t="s">
        <v>2528</v>
      </c>
      <c r="C23" s="1095"/>
      <c r="D23" s="1095"/>
      <c r="E23" s="1095"/>
      <c r="F23" s="1095"/>
      <c r="G23" s="1095"/>
      <c r="H23" s="1095"/>
      <c r="I23" s="1095"/>
      <c r="J23" s="1095"/>
      <c r="K23" s="1095"/>
      <c r="L23" s="1095"/>
      <c r="M23" s="1095"/>
      <c r="N23" s="1095"/>
      <c r="O23" s="1095"/>
      <c r="P23" s="1095"/>
      <c r="Q23" s="1095"/>
      <c r="R23" s="1095"/>
      <c r="S23" s="1096"/>
      <c r="T23" s="1488">
        <f>T11+T22</f>
        <v>35367852.604807153</v>
      </c>
      <c r="U23" s="1050"/>
      <c r="V23" s="1050"/>
      <c r="W23" s="1050"/>
      <c r="X23" s="1050"/>
      <c r="Y23" s="1488">
        <f>Y11+Y22</f>
        <v>0</v>
      </c>
      <c r="Z23" s="1050"/>
      <c r="AA23" s="1050"/>
      <c r="AB23" s="1050"/>
      <c r="AC23" s="1050"/>
      <c r="AD23" s="1488">
        <f>AD11+AD22</f>
        <v>0</v>
      </c>
      <c r="AE23" s="1050"/>
      <c r="AF23" s="1050"/>
      <c r="AG23" s="1050"/>
      <c r="AH23" s="1050"/>
      <c r="AI23" s="1488">
        <f>AI11+AI22</f>
        <v>-15057330</v>
      </c>
      <c r="AJ23" s="1050"/>
      <c r="AK23" s="1050"/>
      <c r="AL23" s="1050"/>
      <c r="AM23" s="1050"/>
    </row>
    <row r="24" spans="1:39" ht="12.95" customHeight="1">
      <c r="B24" s="1094" t="s">
        <v>1857</v>
      </c>
      <c r="C24" s="1095"/>
      <c r="D24" s="1095"/>
      <c r="E24" s="1095"/>
      <c r="F24" s="1095"/>
      <c r="G24" s="1095"/>
      <c r="H24" s="1095"/>
      <c r="I24" s="1095"/>
      <c r="J24" s="1095"/>
      <c r="K24" s="1095"/>
      <c r="L24" s="1095"/>
      <c r="M24" s="1095"/>
      <c r="N24" s="1095"/>
      <c r="O24" s="1095"/>
      <c r="P24" s="1095"/>
      <c r="Q24" s="1095"/>
      <c r="R24" s="1095"/>
      <c r="S24" s="1096"/>
      <c r="T24" s="1486">
        <f>Application!AD979</f>
        <v>0</v>
      </c>
      <c r="U24" s="1487"/>
      <c r="V24" s="1487"/>
      <c r="W24" s="1487"/>
      <c r="X24" s="1487"/>
      <c r="Y24" s="1487"/>
      <c r="Z24" s="1487"/>
      <c r="AA24" s="1487"/>
      <c r="AB24" s="1487"/>
      <c r="AC24" s="1487"/>
      <c r="AD24" s="1487"/>
      <c r="AE24" s="1487"/>
      <c r="AF24" s="1487"/>
      <c r="AG24" s="1487"/>
      <c r="AH24" s="1487"/>
      <c r="AI24" s="1487"/>
      <c r="AJ24" s="1487"/>
      <c r="AK24" s="1487"/>
      <c r="AL24" s="1487"/>
      <c r="AM24" s="1488"/>
    </row>
    <row r="25" spans="1:39" ht="12.95" customHeight="1">
      <c r="B25" s="1481" t="s">
        <v>2529</v>
      </c>
      <c r="C25" s="1482"/>
      <c r="D25" s="1482"/>
      <c r="E25" s="1482"/>
      <c r="F25" s="1482"/>
      <c r="G25" s="1482"/>
      <c r="H25" s="1482"/>
      <c r="I25" s="1482"/>
      <c r="J25" s="1482"/>
      <c r="K25" s="1482"/>
      <c r="L25" s="1482"/>
      <c r="M25" s="1482"/>
      <c r="N25" s="1482"/>
      <c r="O25" s="1482"/>
      <c r="P25" s="1482"/>
      <c r="Q25" s="1482"/>
      <c r="R25" s="1482"/>
      <c r="S25" s="1483"/>
      <c r="T25" s="1491">
        <v>1</v>
      </c>
      <c r="U25" s="1492"/>
      <c r="V25" s="1492"/>
      <c r="W25" s="1492"/>
      <c r="X25" s="1493"/>
      <c r="Y25" s="1491">
        <v>1</v>
      </c>
      <c r="Z25" s="1492"/>
      <c r="AA25" s="1492"/>
      <c r="AB25" s="1492"/>
      <c r="AC25" s="1493"/>
      <c r="AD25" s="1491">
        <v>1</v>
      </c>
      <c r="AE25" s="1492"/>
      <c r="AF25" s="1492"/>
      <c r="AG25" s="1492"/>
      <c r="AH25" s="1493"/>
      <c r="AI25" s="1491">
        <v>1</v>
      </c>
      <c r="AJ25" s="1492"/>
      <c r="AK25" s="1492"/>
      <c r="AL25" s="1492"/>
      <c r="AM25" s="1493"/>
    </row>
    <row r="26" spans="1:39" ht="12.95" customHeight="1">
      <c r="B26" s="1094" t="s">
        <v>1859</v>
      </c>
      <c r="C26" s="1095"/>
      <c r="D26" s="1095"/>
      <c r="E26" s="1095"/>
      <c r="F26" s="1095"/>
      <c r="G26" s="1095"/>
      <c r="H26" s="1095"/>
      <c r="I26" s="1095"/>
      <c r="J26" s="1095"/>
      <c r="K26" s="1095"/>
      <c r="L26" s="1095"/>
      <c r="M26" s="1095"/>
      <c r="N26" s="1095"/>
      <c r="O26" s="1095"/>
      <c r="P26" s="1095"/>
      <c r="Q26" s="1095"/>
      <c r="R26" s="1095"/>
      <c r="S26" s="1096"/>
      <c r="T26" s="1136">
        <f>T23*T25</f>
        <v>35367852.604807153</v>
      </c>
      <c r="U26" s="1248"/>
      <c r="V26" s="1248"/>
      <c r="W26" s="1248"/>
      <c r="X26" s="1248"/>
      <c r="Y26" s="1136">
        <f>Y23*Y25</f>
        <v>0</v>
      </c>
      <c r="Z26" s="1248"/>
      <c r="AA26" s="1248"/>
      <c r="AB26" s="1248"/>
      <c r="AC26" s="1248"/>
      <c r="AD26" s="1136">
        <f>AD23*AD25</f>
        <v>0</v>
      </c>
      <c r="AE26" s="1248"/>
      <c r="AF26" s="1248"/>
      <c r="AG26" s="1248"/>
      <c r="AH26" s="1248"/>
      <c r="AI26" s="1136">
        <f>AI23*AI25</f>
        <v>-15057330</v>
      </c>
      <c r="AJ26" s="1248"/>
      <c r="AK26" s="1248"/>
      <c r="AL26" s="1248"/>
      <c r="AM26" s="1248"/>
    </row>
    <row r="27" spans="1:39" ht="12.95" customHeight="1">
      <c r="A27" s="3"/>
      <c r="B27" s="1481" t="s">
        <v>1860</v>
      </c>
      <c r="C27" s="1482"/>
      <c r="D27" s="1482"/>
      <c r="E27" s="1482"/>
      <c r="F27" s="1482"/>
      <c r="G27" s="1482"/>
      <c r="H27" s="1482"/>
      <c r="I27" s="1482"/>
      <c r="J27" s="1482"/>
      <c r="K27" s="1482"/>
      <c r="L27" s="1482"/>
      <c r="M27" s="1482"/>
      <c r="N27" s="1482"/>
      <c r="O27" s="1482"/>
      <c r="P27" s="1482"/>
      <c r="Q27" s="1482"/>
      <c r="R27" s="1482"/>
      <c r="S27" s="1483"/>
      <c r="T27" s="1484">
        <f>Application!AG438</f>
        <v>1</v>
      </c>
      <c r="U27" s="1485"/>
      <c r="V27" s="1485"/>
      <c r="W27" s="1485"/>
      <c r="X27" s="1485"/>
      <c r="Y27" s="1484">
        <f>Application!AG438</f>
        <v>1</v>
      </c>
      <c r="Z27" s="1485"/>
      <c r="AA27" s="1485"/>
      <c r="AB27" s="1485"/>
      <c r="AC27" s="1485"/>
      <c r="AD27" s="1484">
        <f>Application!AG438</f>
        <v>1</v>
      </c>
      <c r="AE27" s="1485"/>
      <c r="AF27" s="1485"/>
      <c r="AG27" s="1485"/>
      <c r="AH27" s="1485"/>
      <c r="AI27" s="1484">
        <f>Application!AG438</f>
        <v>1</v>
      </c>
      <c r="AJ27" s="1485"/>
      <c r="AK27" s="1485"/>
      <c r="AL27" s="1485"/>
      <c r="AM27" s="1485"/>
    </row>
    <row r="28" spans="1:39" ht="12.95" customHeight="1">
      <c r="A28" s="2"/>
      <c r="B28" s="1094" t="s">
        <v>1861</v>
      </c>
      <c r="C28" s="1095"/>
      <c r="D28" s="1095"/>
      <c r="E28" s="1095"/>
      <c r="F28" s="1095"/>
      <c r="G28" s="1095"/>
      <c r="H28" s="1095"/>
      <c r="I28" s="1095"/>
      <c r="J28" s="1095"/>
      <c r="K28" s="1095"/>
      <c r="L28" s="1095"/>
      <c r="M28" s="1095"/>
      <c r="N28" s="1095"/>
      <c r="O28" s="1095"/>
      <c r="P28" s="1095"/>
      <c r="Q28" s="1095"/>
      <c r="R28" s="1095"/>
      <c r="S28" s="1096"/>
      <c r="T28" s="1136">
        <f>IF(ISERROR((T26*T27)),0,(T26*T27))</f>
        <v>35367852.604807153</v>
      </c>
      <c r="U28" s="1248"/>
      <c r="V28" s="1248"/>
      <c r="W28" s="1248"/>
      <c r="X28" s="1248"/>
      <c r="Y28" s="1136">
        <f>IF(ISERROR((Y26*Y27)),0,(Y26*Y27))</f>
        <v>0</v>
      </c>
      <c r="Z28" s="1248"/>
      <c r="AA28" s="1248"/>
      <c r="AB28" s="1248"/>
      <c r="AC28" s="1248"/>
      <c r="AD28" s="1136">
        <f>IF(ISERROR((AD26*AD27)),0,(AD26*AD27))</f>
        <v>0</v>
      </c>
      <c r="AE28" s="1248"/>
      <c r="AF28" s="1248"/>
      <c r="AG28" s="1248"/>
      <c r="AH28" s="1248"/>
      <c r="AI28" s="1136">
        <f>IF(ISERROR((AI26*AI27)),0,(AI26*AI27))</f>
        <v>-15057330</v>
      </c>
      <c r="AJ28" s="1248"/>
      <c r="AK28" s="1248"/>
      <c r="AL28" s="1248"/>
      <c r="AM28" s="1248"/>
    </row>
    <row r="29" spans="1:39" ht="12.95" customHeight="1">
      <c r="B29" s="1094" t="s">
        <v>1862</v>
      </c>
      <c r="C29" s="1095"/>
      <c r="D29" s="1095"/>
      <c r="E29" s="1095"/>
      <c r="F29" s="1095"/>
      <c r="G29" s="1095"/>
      <c r="H29" s="1095"/>
      <c r="I29" s="1095"/>
      <c r="J29" s="1095"/>
      <c r="K29" s="1095"/>
      <c r="L29" s="1095"/>
      <c r="M29" s="1095"/>
      <c r="N29" s="1095"/>
      <c r="O29" s="1095"/>
      <c r="P29" s="1095"/>
      <c r="Q29" s="1095"/>
      <c r="R29" s="1095"/>
      <c r="S29" s="1096"/>
      <c r="T29" s="1486">
        <f>T28+Y28+AD28+AI28</f>
        <v>20310522.604807153</v>
      </c>
      <c r="U29" s="1487"/>
      <c r="V29" s="1487"/>
      <c r="W29" s="1487"/>
      <c r="X29" s="1487"/>
      <c r="Y29" s="1487"/>
      <c r="Z29" s="1487"/>
      <c r="AA29" s="1487"/>
      <c r="AB29" s="1487"/>
      <c r="AC29" s="1487"/>
      <c r="AD29" s="1487"/>
      <c r="AE29" s="1487"/>
      <c r="AF29" s="1487"/>
      <c r="AG29" s="1487"/>
      <c r="AH29" s="1487"/>
      <c r="AI29" s="1487"/>
      <c r="AJ29" s="1487"/>
      <c r="AK29" s="1487"/>
      <c r="AL29" s="1487"/>
      <c r="AM29" s="1488"/>
    </row>
    <row r="30" spans="1:39" ht="12.95" customHeight="1">
      <c r="B30" s="1828"/>
      <c r="C30" s="1828"/>
      <c r="D30" s="1828"/>
      <c r="E30" s="1828"/>
      <c r="F30" s="1828"/>
      <c r="G30" s="1828"/>
      <c r="H30" s="1828"/>
      <c r="I30" s="1828"/>
      <c r="J30" s="1828"/>
      <c r="K30" s="1828"/>
      <c r="L30" s="1828"/>
      <c r="M30" s="1828"/>
      <c r="N30" s="1828"/>
      <c r="O30" s="1828"/>
      <c r="P30" s="1828"/>
      <c r="Q30" s="1828"/>
      <c r="R30" s="1828"/>
      <c r="S30" s="1828"/>
      <c r="T30" s="1828"/>
      <c r="U30" s="1828"/>
      <c r="V30" s="1828"/>
      <c r="W30" s="1828"/>
      <c r="X30" s="1828"/>
      <c r="Y30" s="1828"/>
      <c r="Z30" s="1828"/>
      <c r="AA30" s="1828"/>
      <c r="AB30" s="1828"/>
      <c r="AC30" s="1828"/>
      <c r="AD30" s="1828"/>
      <c r="AE30" s="1828"/>
      <c r="AF30" s="1828"/>
      <c r="AG30" s="1828"/>
      <c r="AH30" s="1828"/>
      <c r="AI30" s="1828"/>
      <c r="AJ30" s="1828"/>
      <c r="AK30" s="1828"/>
      <c r="AL30" s="1828"/>
      <c r="AM30" s="1828"/>
    </row>
    <row r="31" spans="1:39" ht="12.95" customHeight="1">
      <c r="C31" s="246"/>
      <c r="X31" s="836"/>
      <c r="Y31" s="132"/>
      <c r="Z31" s="132"/>
      <c r="AA31" s="132"/>
      <c r="AB31" s="132"/>
      <c r="AC31" s="132"/>
      <c r="AD31" s="132"/>
      <c r="AE31" s="132"/>
      <c r="AF31" s="132"/>
      <c r="AG31" s="132"/>
      <c r="AH31" s="132"/>
    </row>
    <row r="32" spans="1:39" ht="12.95" customHeight="1">
      <c r="C32" s="3"/>
      <c r="X32" s="836"/>
      <c r="Y32" s="132"/>
      <c r="Z32" s="132"/>
      <c r="AA32" s="132"/>
      <c r="AB32" s="132"/>
      <c r="AC32" s="132"/>
      <c r="AD32" s="132"/>
      <c r="AE32" s="132"/>
      <c r="AF32" s="132"/>
      <c r="AG32" s="132"/>
      <c r="AH32" s="132"/>
    </row>
    <row r="33" spans="1:40" ht="12.95" customHeight="1">
      <c r="A33" s="2" t="s">
        <v>889</v>
      </c>
      <c r="C33" s="2" t="s">
        <v>276</v>
      </c>
    </row>
    <row r="34" spans="1:40" ht="12.95" customHeight="1">
      <c r="A34" s="2"/>
      <c r="C34" s="2"/>
    </row>
    <row r="35" spans="1:40" ht="12.95" customHeight="1">
      <c r="B35" s="5"/>
      <c r="C35" s="6"/>
      <c r="D35" s="6"/>
      <c r="E35" s="6"/>
      <c r="F35" s="6"/>
      <c r="G35" s="6"/>
      <c r="H35" s="6"/>
      <c r="I35" s="6"/>
      <c r="J35" s="6"/>
      <c r="K35" s="6"/>
      <c r="L35" s="6"/>
      <c r="M35" s="6"/>
      <c r="N35" s="6"/>
      <c r="O35" s="6"/>
      <c r="P35" s="6"/>
      <c r="Q35" s="6"/>
      <c r="R35" s="6"/>
      <c r="S35" s="6"/>
      <c r="T35" s="6"/>
      <c r="U35" s="6"/>
      <c r="V35" s="6"/>
      <c r="W35" s="6"/>
      <c r="X35" s="44"/>
      <c r="Y35" s="1494" t="s">
        <v>1865</v>
      </c>
      <c r="Z35" s="1494"/>
      <c r="AA35" s="1494"/>
      <c r="AB35" s="1494"/>
      <c r="AC35" s="1494"/>
      <c r="AD35" s="1130" t="s">
        <v>1866</v>
      </c>
      <c r="AE35" s="1130"/>
      <c r="AF35" s="1130"/>
      <c r="AG35" s="1130"/>
      <c r="AH35" s="1130"/>
    </row>
    <row r="36" spans="1:40" ht="12.95" customHeight="1">
      <c r="B36" s="146"/>
      <c r="X36" s="47"/>
      <c r="Y36" s="1494"/>
      <c r="Z36" s="1494"/>
      <c r="AA36" s="1494"/>
      <c r="AB36" s="1494"/>
      <c r="AC36" s="1494"/>
      <c r="AD36" s="1130"/>
      <c r="AE36" s="1130"/>
      <c r="AF36" s="1130"/>
      <c r="AG36" s="1130"/>
      <c r="AH36" s="1130"/>
    </row>
    <row r="37" spans="1:40"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494"/>
      <c r="Z37" s="1494"/>
      <c r="AA37" s="1494"/>
      <c r="AB37" s="1494"/>
      <c r="AC37" s="1494"/>
      <c r="AD37" s="1130"/>
      <c r="AE37" s="1130"/>
      <c r="AF37" s="1130"/>
      <c r="AG37" s="1130"/>
      <c r="AH37" s="1130"/>
    </row>
    <row r="38" spans="1:40" ht="12.95" customHeight="1">
      <c r="A38" s="2"/>
      <c r="B38" s="1094" t="s">
        <v>1861</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6"/>
      <c r="Y38" s="1050">
        <f>IF(T24&gt;=(T23+Y23+AD23+AI23),T28+Y28,0)</f>
        <v>0</v>
      </c>
      <c r="Z38" s="1050"/>
      <c r="AA38" s="1050"/>
      <c r="AB38" s="1050"/>
      <c r="AC38" s="1050"/>
      <c r="AD38" s="1050">
        <f>IF(T24&gt;=(T23+Y23+AD23+AI23),AD28+AI28,0)</f>
        <v>0</v>
      </c>
      <c r="AE38" s="1050"/>
      <c r="AF38" s="1050"/>
      <c r="AG38" s="1050"/>
      <c r="AH38" s="1050"/>
    </row>
    <row r="39" spans="1:40" ht="12.95" customHeight="1">
      <c r="B39" s="1094" t="s">
        <v>2530</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6"/>
      <c r="Y39" s="1827">
        <v>0.09</v>
      </c>
      <c r="Z39" s="1827"/>
      <c r="AA39" s="1827"/>
      <c r="AB39" s="1827"/>
      <c r="AC39" s="1827"/>
      <c r="AD39" s="1525">
        <v>0.04</v>
      </c>
      <c r="AE39" s="1525"/>
      <c r="AF39" s="1525"/>
      <c r="AG39" s="1525"/>
      <c r="AH39" s="1525"/>
    </row>
    <row r="40" spans="1:40" ht="12.95" customHeight="1">
      <c r="A40" s="2"/>
      <c r="B40" s="1094" t="s">
        <v>1868</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6"/>
      <c r="Y40" s="1050">
        <f>ROUND(Y38*Y39,0)</f>
        <v>0</v>
      </c>
      <c r="Z40" s="1050"/>
      <c r="AA40" s="1050"/>
      <c r="AB40" s="1050"/>
      <c r="AC40" s="1050"/>
      <c r="AD40" s="1488">
        <f>ROUND(AD38*AD39,0)</f>
        <v>0</v>
      </c>
      <c r="AE40" s="1050"/>
      <c r="AF40" s="1050"/>
      <c r="AG40" s="1050"/>
      <c r="AH40" s="1050"/>
    </row>
    <row r="41" spans="1:40" ht="12.95" customHeight="1">
      <c r="B41" s="1094" t="s">
        <v>1869</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6"/>
      <c r="Y41" s="1486">
        <f>IF((Y40+AD40)&gt;2500000,2500000,Y40+AD40)</f>
        <v>0</v>
      </c>
      <c r="Z41" s="1487"/>
      <c r="AA41" s="1487"/>
      <c r="AB41" s="1487"/>
      <c r="AC41" s="1487"/>
      <c r="AD41" s="1487"/>
      <c r="AE41" s="1487"/>
      <c r="AF41" s="1487"/>
      <c r="AG41" s="1487"/>
      <c r="AH41" s="1488"/>
    </row>
    <row r="42" spans="1:40" ht="12.95" customHeight="1">
      <c r="A42" s="2"/>
      <c r="B42" s="1515" t="s">
        <v>2531</v>
      </c>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5"/>
      <c r="AI42" s="22"/>
      <c r="AJ42" s="22"/>
      <c r="AK42" s="22"/>
      <c r="AL42" s="22"/>
      <c r="AM42" s="22"/>
      <c r="AN42" s="22"/>
    </row>
    <row r="43" spans="1:40"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K43" s="33" t="s">
        <v>249</v>
      </c>
    </row>
    <row r="44" spans="1:40"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2.95" customHeight="1">
      <c r="A45" s="2" t="s">
        <v>973</v>
      </c>
      <c r="C45" s="2" t="s">
        <v>279</v>
      </c>
    </row>
    <row r="46" spans="1:40" ht="12.95" customHeight="1">
      <c r="D46" s="2" t="s">
        <v>1871</v>
      </c>
      <c r="AB46" s="1111">
        <f>'Sources and Uses Budget'!B104-'Sources and Uses Budget'!$B$15</f>
        <v>40963765.945813194</v>
      </c>
      <c r="AC46" s="1112"/>
      <c r="AD46" s="1112"/>
      <c r="AE46" s="1112"/>
      <c r="AF46" s="1113"/>
    </row>
    <row r="47" spans="1:40" ht="12.95" customHeight="1">
      <c r="D47" s="2" t="s">
        <v>184</v>
      </c>
      <c r="AB47" s="1111">
        <f>Application!AG630-MIN('Sources and Uses Budget'!B15,Application!AG385)</f>
        <v>0</v>
      </c>
      <c r="AC47" s="1112"/>
      <c r="AD47" s="1112"/>
      <c r="AE47" s="1112"/>
      <c r="AF47" s="1113"/>
    </row>
    <row r="48" spans="1:40" ht="12.95" customHeight="1">
      <c r="D48" s="2" t="s">
        <v>1872</v>
      </c>
      <c r="AB48" s="1111">
        <f>AB46-AB47</f>
        <v>40963765.945813194</v>
      </c>
      <c r="AC48" s="1112"/>
      <c r="AD48" s="1112"/>
      <c r="AE48" s="1112"/>
      <c r="AF48" s="1113"/>
    </row>
    <row r="49" spans="1:40" ht="12.95" customHeight="1">
      <c r="D49" s="2" t="s">
        <v>1873</v>
      </c>
      <c r="AA49" s="27"/>
      <c r="AB49" s="1510"/>
      <c r="AC49" s="1511"/>
      <c r="AD49" s="1511"/>
      <c r="AE49" s="1511"/>
      <c r="AF49" s="1512"/>
    </row>
    <row r="50" spans="1:40" s="235" customFormat="1" ht="12.95" customHeight="1">
      <c r="A50"/>
      <c r="B50"/>
      <c r="C50"/>
      <c r="D50"/>
      <c r="E50" s="1519" t="s">
        <v>2532</v>
      </c>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757"/>
      <c r="AB50" s="757"/>
      <c r="AC50" s="757"/>
      <c r="AD50" s="757"/>
      <c r="AE50" s="757"/>
      <c r="AF50" s="757"/>
      <c r="AG50"/>
      <c r="AH50"/>
      <c r="AI50"/>
      <c r="AJ50"/>
      <c r="AK50"/>
      <c r="AL50"/>
      <c r="AM50"/>
      <c r="AN50"/>
    </row>
    <row r="51" spans="1:40" s="235" customFormat="1" ht="12.95" customHeight="1">
      <c r="A51"/>
      <c r="B51"/>
      <c r="C51"/>
      <c r="D51"/>
      <c r="E51" s="1519"/>
      <c r="F51" s="1519"/>
      <c r="G51" s="1519"/>
      <c r="H51" s="1519"/>
      <c r="I51" s="1519"/>
      <c r="J51" s="1519"/>
      <c r="K51" s="1519"/>
      <c r="L51" s="1519"/>
      <c r="M51" s="1519"/>
      <c r="N51" s="1519"/>
      <c r="O51" s="1519"/>
      <c r="P51" s="1519"/>
      <c r="Q51" s="1519"/>
      <c r="R51" s="1519"/>
      <c r="S51" s="1519"/>
      <c r="T51" s="1519"/>
      <c r="U51" s="1519"/>
      <c r="V51" s="1519"/>
      <c r="W51" s="1519"/>
      <c r="X51" s="1519"/>
      <c r="Y51" s="1519"/>
      <c r="Z51" s="1519"/>
      <c r="AA51" s="361"/>
      <c r="AB51" s="361"/>
      <c r="AC51" s="361"/>
      <c r="AD51" s="361"/>
      <c r="AE51" s="361"/>
      <c r="AF51" s="361"/>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1875</v>
      </c>
      <c r="AB53" s="1111">
        <f>ROUND(IF(ISERROR((AB48/AB49)),0,(AB48/AB49)),0)</f>
        <v>0</v>
      </c>
      <c r="AC53" s="1112"/>
      <c r="AD53" s="1112"/>
      <c r="AE53" s="1112"/>
      <c r="AF53" s="1113"/>
    </row>
    <row r="54" spans="1:40" ht="12.95" customHeight="1">
      <c r="D54" s="2" t="s">
        <v>1876</v>
      </c>
      <c r="AB54" s="1111">
        <f>(AB53/10)</f>
        <v>0</v>
      </c>
      <c r="AC54" s="1112"/>
      <c r="AD54" s="1112"/>
      <c r="AE54" s="1112"/>
      <c r="AF54" s="1113"/>
    </row>
    <row r="55" spans="1:40" ht="12.95" customHeight="1">
      <c r="D55" s="2" t="s">
        <v>1877</v>
      </c>
      <c r="AB55" s="1111">
        <f>(IF((Y41&lt;AB54),Y41,AB54))</f>
        <v>0</v>
      </c>
      <c r="AC55" s="1112"/>
      <c r="AD55" s="1112"/>
      <c r="AE55" s="1112"/>
      <c r="AF55" s="1113"/>
    </row>
    <row r="56" spans="1:40" ht="12.95" customHeight="1">
      <c r="D56" s="2" t="s">
        <v>1878</v>
      </c>
      <c r="AB56" s="1111">
        <f>ROUND((10*AB55*AB49),0)</f>
        <v>0</v>
      </c>
      <c r="AC56" s="1112"/>
      <c r="AD56" s="1112"/>
      <c r="AE56" s="1112"/>
      <c r="AF56" s="1113"/>
    </row>
    <row r="57" spans="1:40" ht="12.95" customHeight="1">
      <c r="D57" s="2"/>
      <c r="AB57" s="785"/>
      <c r="AC57" s="785"/>
      <c r="AD57" s="785"/>
      <c r="AE57" s="785"/>
      <c r="AF57" s="785"/>
    </row>
    <row r="58" spans="1:40" ht="12.95" customHeight="1">
      <c r="D58" s="2" t="s">
        <v>1879</v>
      </c>
      <c r="AB58" s="1090">
        <f>AB48-AB56</f>
        <v>40963765.945813194</v>
      </c>
      <c r="AC58" s="1090"/>
      <c r="AD58" s="1090"/>
      <c r="AE58" s="1090"/>
      <c r="AF58" s="1090"/>
    </row>
    <row r="59" spans="1:40" ht="12.95" customHeight="1">
      <c r="D59" s="2"/>
      <c r="F59" s="14" t="str">
        <f>IF(AB58&gt;0,"FUNDING GAP MUST NOT EXCEED ZERO UNLESS REQUESTING STATE CREDITS","")</f>
        <v>FUNDING GAP MUST NOT EXCEED ZERO UNLESS REQUESTING STATE CREDITS</v>
      </c>
      <c r="G59" s="14"/>
      <c r="N59" s="14"/>
      <c r="AB59" s="785"/>
      <c r="AC59" s="785"/>
      <c r="AD59" s="785"/>
      <c r="AE59" s="785"/>
      <c r="AF59" s="785"/>
    </row>
    <row r="60" spans="1:40" ht="12.95" customHeight="1" thickBot="1">
      <c r="A60" s="1522" t="s">
        <v>1880</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2.95" customHeight="1" thickTop="1">
      <c r="A61" s="1118"/>
      <c r="B61" s="1118"/>
      <c r="C61" s="1118"/>
      <c r="D61" s="1118"/>
      <c r="E61" s="1118"/>
      <c r="F61" s="1118"/>
      <c r="G61" s="1118"/>
      <c r="H61" s="1118"/>
      <c r="I61" s="1118"/>
      <c r="J61" s="1118"/>
      <c r="K61" s="1118"/>
      <c r="L61" s="1118"/>
      <c r="M61" s="1118"/>
      <c r="N61" s="1118"/>
      <c r="O61" s="1118"/>
      <c r="P61" s="1118"/>
      <c r="Q61" s="1118"/>
      <c r="R61" s="1118"/>
      <c r="S61" s="1118"/>
      <c r="T61" s="1118"/>
      <c r="U61" s="1118"/>
      <c r="V61" s="1118"/>
      <c r="W61" s="1118"/>
      <c r="X61" s="1118"/>
      <c r="Y61" s="1118"/>
      <c r="Z61" s="1118"/>
      <c r="AA61" s="1118"/>
      <c r="AB61" s="1118"/>
      <c r="AC61" s="1118"/>
      <c r="AD61" s="1118"/>
      <c r="AE61" s="1118"/>
      <c r="AF61" s="1118"/>
      <c r="AG61" s="1118"/>
      <c r="AH61" s="1118"/>
      <c r="AI61" s="1118"/>
      <c r="AJ61" s="1118"/>
      <c r="AK61" s="1118"/>
      <c r="AL61" s="1118"/>
      <c r="AM61" s="1118"/>
      <c r="AN61" s="1118"/>
    </row>
    <row r="62" spans="1:40" ht="12.95" customHeight="1">
      <c r="A62" s="2" t="s">
        <v>994</v>
      </c>
      <c r="C62" s="2" t="s">
        <v>285</v>
      </c>
      <c r="Y62" s="1524" t="s">
        <v>1881</v>
      </c>
      <c r="Z62" s="1524"/>
      <c r="AA62" s="1524"/>
      <c r="AB62" s="1524"/>
      <c r="AC62" s="1524"/>
      <c r="AD62" s="1524" t="s">
        <v>1866</v>
      </c>
      <c r="AE62" s="1524"/>
      <c r="AF62" s="1524"/>
      <c r="AG62" s="1524"/>
      <c r="AH62" s="1524"/>
    </row>
    <row r="63" spans="1:40" ht="12.95" customHeight="1">
      <c r="C63" s="2"/>
      <c r="D63" s="776" t="s">
        <v>1882</v>
      </c>
      <c r="E63" s="783"/>
      <c r="F63" s="783"/>
      <c r="G63" s="783"/>
      <c r="H63" s="783"/>
      <c r="I63" s="783"/>
      <c r="J63" s="783"/>
      <c r="K63" s="783"/>
      <c r="L63" s="783"/>
      <c r="M63" s="783"/>
      <c r="N63" s="783"/>
      <c r="O63" s="783"/>
      <c r="P63" s="783"/>
      <c r="Q63" s="783"/>
      <c r="R63" s="783"/>
      <c r="S63" s="783"/>
      <c r="T63" s="783"/>
      <c r="U63" s="783"/>
      <c r="V63" s="783"/>
      <c r="W63" s="783"/>
      <c r="X63" s="783"/>
      <c r="Y63" s="1050">
        <f>Y28</f>
        <v>0</v>
      </c>
      <c r="Z63" s="1513"/>
      <c r="AA63" s="1513"/>
      <c r="AB63" s="1513"/>
      <c r="AC63" s="1513"/>
      <c r="AD63" s="1050">
        <f>AI28</f>
        <v>-15057330</v>
      </c>
      <c r="AE63" s="1513"/>
      <c r="AF63" s="1513"/>
      <c r="AG63" s="1513"/>
      <c r="AH63" s="1513"/>
    </row>
    <row r="64" spans="1:40" ht="12.95" customHeight="1">
      <c r="C64" s="2"/>
      <c r="E64" s="1523" t="s">
        <v>1883</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32.25" customHeight="1">
      <c r="C65" s="2"/>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2.95" customHeight="1">
      <c r="C66" s="2"/>
      <c r="D66" s="2" t="s">
        <v>1884</v>
      </c>
      <c r="E66" s="816"/>
      <c r="F66" s="816"/>
      <c r="G66" s="816"/>
      <c r="H66" s="816"/>
      <c r="I66" s="816"/>
      <c r="J66" s="816"/>
      <c r="K66" s="816"/>
      <c r="L66" s="816"/>
      <c r="M66" s="816"/>
      <c r="N66" s="816"/>
      <c r="O66" s="816"/>
      <c r="P66" s="816"/>
      <c r="Q66" s="816"/>
      <c r="R66" s="816"/>
      <c r="S66" s="816"/>
      <c r="T66" s="816"/>
      <c r="U66" s="816"/>
      <c r="V66" s="816"/>
      <c r="W66" s="816"/>
      <c r="X66" s="816"/>
      <c r="Y66" s="1509">
        <v>0.3</v>
      </c>
      <c r="Z66" s="1509"/>
      <c r="AA66" s="1509"/>
      <c r="AB66" s="1509"/>
      <c r="AC66" s="1509"/>
      <c r="AD66" s="1509">
        <v>0.13</v>
      </c>
      <c r="AE66" s="1509"/>
      <c r="AF66" s="1509"/>
      <c r="AG66" s="1509"/>
      <c r="AH66" s="1509"/>
    </row>
    <row r="67" spans="1:34" ht="12.95" customHeight="1">
      <c r="C67" s="2"/>
      <c r="D67" s="2" t="s">
        <v>1885</v>
      </c>
      <c r="Y67" s="1050">
        <f>ROUND(Y63*Y66,0)</f>
        <v>0</v>
      </c>
      <c r="Z67" s="1513"/>
      <c r="AA67" s="1513"/>
      <c r="AB67" s="1513"/>
      <c r="AC67" s="1513"/>
      <c r="AD67" s="1050" t="str">
        <f>IF(OR(Application!D211="At-Risk",Application!D211="At-Risk/Located in Rural Census Tract",Application!D214="At-Risk"),ROUND(AD63*AD66,0),"$0")</f>
        <v>$0</v>
      </c>
      <c r="AE67" s="1050"/>
      <c r="AF67" s="1050"/>
      <c r="AG67" s="1050"/>
      <c r="AH67" s="1050"/>
    </row>
    <row r="68" spans="1:34" ht="12.95" customHeight="1">
      <c r="C68" s="2"/>
      <c r="E68" s="2"/>
      <c r="AB68" s="1"/>
      <c r="AC68" s="1"/>
      <c r="AD68" s="1"/>
      <c r="AE68" s="1"/>
      <c r="AF68" s="1"/>
    </row>
    <row r="69" spans="1:34" ht="12.95" customHeight="1">
      <c r="A69" s="2" t="s">
        <v>1009</v>
      </c>
      <c r="C69" s="2" t="s">
        <v>288</v>
      </c>
    </row>
    <row r="70" spans="1:34" ht="12.95" customHeight="1">
      <c r="A70" s="2"/>
      <c r="C70" s="2"/>
      <c r="D70" s="2" t="s">
        <v>1887</v>
      </c>
      <c r="AB70" s="1510"/>
      <c r="AC70" s="1511"/>
      <c r="AD70" s="1511"/>
      <c r="AE70" s="1511"/>
      <c r="AF70" s="1512"/>
    </row>
    <row r="71" spans="1:34" ht="12.95" customHeight="1">
      <c r="A71" s="2"/>
      <c r="C71" s="2"/>
      <c r="D71" s="2"/>
      <c r="E71" s="1514" t="s">
        <v>1888</v>
      </c>
      <c r="F71" s="1514"/>
      <c r="G71" s="1514"/>
      <c r="H71" s="1514"/>
      <c r="I71" s="1514"/>
      <c r="J71" s="1514"/>
      <c r="K71" s="1514"/>
      <c r="L71" s="1514"/>
      <c r="M71" s="1514"/>
      <c r="N71" s="1514"/>
      <c r="O71" s="1514"/>
      <c r="P71" s="1514"/>
      <c r="Q71" s="1514"/>
      <c r="R71" s="1514"/>
      <c r="S71" s="1514"/>
      <c r="T71" s="1514"/>
      <c r="U71" s="1514"/>
      <c r="V71" s="1514"/>
      <c r="W71" s="1514"/>
      <c r="X71" s="1514"/>
      <c r="Y71" s="1514"/>
      <c r="Z71" s="1514"/>
      <c r="AA71" s="188"/>
      <c r="AB71" s="188"/>
      <c r="AC71" s="188"/>
    </row>
    <row r="72" spans="1:34" ht="12.95" customHeight="1">
      <c r="A72" s="2"/>
      <c r="C72" s="2"/>
      <c r="D72" s="2"/>
      <c r="E72" s="1514"/>
      <c r="F72" s="1514"/>
      <c r="G72" s="1514"/>
      <c r="H72" s="1514"/>
      <c r="I72" s="1514"/>
      <c r="J72" s="1514"/>
      <c r="K72" s="1514"/>
      <c r="L72" s="1514"/>
      <c r="M72" s="1514"/>
      <c r="N72" s="1514"/>
      <c r="O72" s="1514"/>
      <c r="P72" s="1514"/>
      <c r="Q72" s="1514"/>
      <c r="R72" s="1514"/>
      <c r="S72" s="1514"/>
      <c r="T72" s="1514"/>
      <c r="U72" s="1514"/>
      <c r="V72" s="1514"/>
      <c r="W72" s="1514"/>
      <c r="X72" s="1514"/>
      <c r="Y72" s="1514"/>
      <c r="Z72" s="1514"/>
      <c r="AA72" s="188"/>
      <c r="AB72" s="188"/>
      <c r="AC72" s="188"/>
    </row>
    <row r="73" spans="1:34" ht="12.95" customHeight="1">
      <c r="A73" s="2"/>
      <c r="C73" s="2"/>
      <c r="D73" s="2"/>
      <c r="E73" s="1514"/>
      <c r="F73" s="1514"/>
      <c r="G73" s="1514"/>
      <c r="H73" s="1514"/>
      <c r="I73" s="1514"/>
      <c r="J73" s="1514"/>
      <c r="K73" s="1514"/>
      <c r="L73" s="1514"/>
      <c r="M73" s="1514"/>
      <c r="N73" s="1514"/>
      <c r="O73" s="1514"/>
      <c r="P73" s="1514"/>
      <c r="Q73" s="1514"/>
      <c r="R73" s="1514"/>
      <c r="S73" s="1514"/>
      <c r="T73" s="1514"/>
      <c r="U73" s="1514"/>
      <c r="V73" s="1514"/>
      <c r="W73" s="1514"/>
      <c r="X73" s="1514"/>
      <c r="Y73" s="1514"/>
      <c r="Z73" s="1514"/>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1889</v>
      </c>
      <c r="AB75" s="1855">
        <f>ROUND(IF(ISERROR((AB58/AB70)),0,(AB58/AB70)),0)</f>
        <v>0</v>
      </c>
      <c r="AC75" s="1855"/>
      <c r="AD75" s="1855"/>
      <c r="AE75" s="1855"/>
      <c r="AF75" s="1855"/>
    </row>
    <row r="76" spans="1:34" ht="12.95" customHeight="1">
      <c r="C76" s="2"/>
      <c r="D76" s="2" t="s">
        <v>1890</v>
      </c>
      <c r="AB76" s="1859">
        <f>IF((Y67+AD67&lt;AB75),Y67+AD67,AB75)</f>
        <v>0</v>
      </c>
      <c r="AC76" s="1860"/>
      <c r="AD76" s="1860"/>
      <c r="AE76" s="1860"/>
      <c r="AF76" s="1861"/>
    </row>
    <row r="77" spans="1:34" ht="12.95" customHeight="1">
      <c r="C77" s="2"/>
      <c r="D77" s="2" t="s">
        <v>1891</v>
      </c>
      <c r="AB77" s="1508">
        <f>AB76*AB70</f>
        <v>0</v>
      </c>
      <c r="AC77" s="1508"/>
      <c r="AD77" s="1508"/>
      <c r="AE77" s="1508"/>
      <c r="AF77" s="1508"/>
    </row>
    <row r="78" spans="1:34" ht="12.95" customHeight="1">
      <c r="C78" s="2"/>
      <c r="D78" s="2"/>
      <c r="AB78" s="456"/>
      <c r="AC78" s="456"/>
      <c r="AD78" s="456"/>
      <c r="AE78" s="456"/>
      <c r="AF78" s="456"/>
    </row>
    <row r="79" spans="1:34" ht="12.95" customHeight="1">
      <c r="D79" s="2" t="s">
        <v>1879</v>
      </c>
      <c r="AB79" s="1090">
        <f>AB48-(AB56+AB77)</f>
        <v>40963765.945813194</v>
      </c>
      <c r="AC79" s="1090"/>
      <c r="AD79" s="1090"/>
      <c r="AE79" s="1090"/>
      <c r="AF79" s="1090"/>
    </row>
    <row r="80" spans="1:34" ht="12.95" customHeight="1">
      <c r="F80" s="14"/>
      <c r="J80" s="14" t="str">
        <f>IF(AB79&gt;0,"FUNDING GAP MUST NOT EXCEED ZERO","")</f>
        <v>FUNDING GAP MUST NOT EXCEED ZERO</v>
      </c>
    </row>
    <row r="81" spans="4:4" ht="12.95" hidden="1" customHeight="1">
      <c r="D81" s="85"/>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06" t="s">
        <v>2533</v>
      </c>
      <c r="B1" s="1320"/>
      <c r="C1" s="1320"/>
      <c r="D1" s="1320"/>
      <c r="E1" s="1320"/>
      <c r="F1" s="1320"/>
      <c r="G1" s="1320"/>
      <c r="H1" s="1320"/>
      <c r="I1" s="1320"/>
      <c r="J1" s="1320"/>
      <c r="K1" s="1320"/>
      <c r="L1" s="1320"/>
      <c r="M1" s="1320"/>
      <c r="N1" s="1320"/>
      <c r="O1" s="1320"/>
      <c r="P1" s="1320"/>
      <c r="Q1" s="1320"/>
      <c r="R1" s="1320"/>
      <c r="S1" s="1320"/>
      <c r="T1" s="1320"/>
      <c r="U1" s="1320"/>
      <c r="V1" s="1320"/>
      <c r="W1" s="1320"/>
      <c r="X1" s="1320"/>
      <c r="Y1" s="1320"/>
      <c r="Z1" s="1320"/>
      <c r="AA1" s="1320"/>
      <c r="AB1" s="1320"/>
      <c r="AC1" s="1320"/>
      <c r="AD1" s="1320"/>
      <c r="AE1" s="1320"/>
      <c r="AF1" s="1320"/>
      <c r="AG1" s="1320"/>
      <c r="AH1" s="1320"/>
      <c r="AI1" s="1320"/>
      <c r="AJ1" s="1320"/>
      <c r="AK1" s="1320"/>
      <c r="AL1" s="1320"/>
      <c r="AM1" s="1320"/>
      <c r="AN1" s="1320"/>
    </row>
    <row r="2" spans="1:40" ht="12.95" customHeight="1" thickBot="1">
      <c r="A2" s="1321"/>
      <c r="B2" s="1321"/>
      <c r="C2" s="1321"/>
      <c r="D2" s="1321"/>
      <c r="E2" s="1321"/>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321"/>
      <c r="AE2" s="1321"/>
      <c r="AF2" s="1321"/>
      <c r="AG2" s="1321"/>
      <c r="AH2" s="1321"/>
      <c r="AI2" s="1321"/>
      <c r="AJ2" s="1321"/>
      <c r="AK2" s="1321"/>
      <c r="AL2" s="1321"/>
      <c r="AM2" s="1321"/>
      <c r="AN2" s="1321"/>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4" spans="1:40" ht="12.95" customHeight="1"/>
    <row r="5" spans="1:40" ht="12.95" customHeight="1">
      <c r="A5" s="2" t="s">
        <v>854</v>
      </c>
      <c r="C5" s="2" t="s">
        <v>267</v>
      </c>
      <c r="F5" s="2"/>
    </row>
    <row r="6" spans="1:40" ht="12.95" customHeight="1">
      <c r="B6" s="58"/>
    </row>
    <row r="7" spans="1:40" ht="12.95" customHeight="1">
      <c r="B7" s="5"/>
      <c r="C7" s="6"/>
      <c r="D7" s="6"/>
      <c r="E7" s="6"/>
      <c r="F7" s="6"/>
      <c r="G7" s="6"/>
      <c r="H7" s="6"/>
      <c r="I7" s="6"/>
      <c r="J7" s="6"/>
      <c r="K7" s="6"/>
      <c r="L7" s="6"/>
      <c r="M7" s="6"/>
      <c r="N7" s="6"/>
      <c r="O7" s="6"/>
      <c r="P7" s="6"/>
      <c r="Q7" s="6"/>
      <c r="R7" s="6"/>
      <c r="S7" s="6"/>
      <c r="T7" s="1494" t="s">
        <v>2523</v>
      </c>
      <c r="U7" s="1494"/>
      <c r="V7" s="1494"/>
      <c r="W7" s="1494"/>
      <c r="X7" s="1494"/>
      <c r="Y7" s="1494" t="s">
        <v>2524</v>
      </c>
      <c r="Z7" s="1494"/>
      <c r="AA7" s="1494"/>
      <c r="AB7" s="1494"/>
      <c r="AC7" s="1494"/>
      <c r="AD7" s="1494" t="s">
        <v>2525</v>
      </c>
      <c r="AE7" s="1494"/>
      <c r="AF7" s="1494"/>
      <c r="AG7" s="1494"/>
      <c r="AH7" s="1494"/>
      <c r="AI7" s="1494" t="s">
        <v>2526</v>
      </c>
      <c r="AJ7" s="1494"/>
      <c r="AK7" s="1494"/>
      <c r="AL7" s="1494"/>
      <c r="AM7" s="1494"/>
    </row>
    <row r="8" spans="1:40" ht="12.95" customHeight="1">
      <c r="B8" s="146"/>
      <c r="T8" s="1494"/>
      <c r="U8" s="1494"/>
      <c r="V8" s="1494"/>
      <c r="W8" s="1494"/>
      <c r="X8" s="1494"/>
      <c r="Y8" s="1494"/>
      <c r="Z8" s="1494"/>
      <c r="AA8" s="1494"/>
      <c r="AB8" s="1494"/>
      <c r="AC8" s="1494"/>
      <c r="AD8" s="1494"/>
      <c r="AE8" s="1494"/>
      <c r="AF8" s="1494"/>
      <c r="AG8" s="1494"/>
      <c r="AH8" s="1494"/>
      <c r="AI8" s="1494"/>
      <c r="AJ8" s="1494"/>
      <c r="AK8" s="1494"/>
      <c r="AL8" s="1494"/>
      <c r="AM8" s="1494"/>
    </row>
    <row r="9" spans="1:40" ht="12.95" customHeight="1">
      <c r="B9" s="146"/>
      <c r="T9" s="1494"/>
      <c r="U9" s="1494"/>
      <c r="V9" s="1494"/>
      <c r="W9" s="1494"/>
      <c r="X9" s="1494"/>
      <c r="Y9" s="1494"/>
      <c r="Z9" s="1494"/>
      <c r="AA9" s="1494"/>
      <c r="AB9" s="1494"/>
      <c r="AC9" s="1494"/>
      <c r="AD9" s="1494"/>
      <c r="AE9" s="1494"/>
      <c r="AF9" s="1494"/>
      <c r="AG9" s="1494"/>
      <c r="AH9" s="1494"/>
      <c r="AI9" s="1494"/>
      <c r="AJ9" s="1494"/>
      <c r="AK9" s="1494"/>
      <c r="AL9" s="1494"/>
      <c r="AM9" s="1494"/>
    </row>
    <row r="10" spans="1:40" ht="40.5" customHeight="1">
      <c r="B10" s="38"/>
      <c r="C10" s="39"/>
      <c r="D10" s="39"/>
      <c r="E10" s="39"/>
      <c r="F10" s="39"/>
      <c r="G10" s="39"/>
      <c r="H10" s="39"/>
      <c r="I10" s="39"/>
      <c r="J10" s="39"/>
      <c r="K10" s="39"/>
      <c r="L10" s="39"/>
      <c r="M10" s="39"/>
      <c r="N10" s="39"/>
      <c r="O10" s="39"/>
      <c r="P10" s="39"/>
      <c r="Q10" s="39"/>
      <c r="R10" s="39"/>
      <c r="S10" s="39"/>
      <c r="T10" s="1494"/>
      <c r="U10" s="1494"/>
      <c r="V10" s="1494"/>
      <c r="W10" s="1494"/>
      <c r="X10" s="1494"/>
      <c r="Y10" s="1494"/>
      <c r="Z10" s="1494"/>
      <c r="AA10" s="1494"/>
      <c r="AB10" s="1494"/>
      <c r="AC10" s="1494"/>
      <c r="AD10" s="1494"/>
      <c r="AE10" s="1494"/>
      <c r="AF10" s="1494"/>
      <c r="AG10" s="1494"/>
      <c r="AH10" s="1494"/>
      <c r="AI10" s="1494"/>
      <c r="AJ10" s="1494"/>
      <c r="AK10" s="1494"/>
      <c r="AL10" s="1494"/>
      <c r="AM10" s="1494"/>
    </row>
    <row r="11" spans="1:40" ht="12.95" customHeight="1">
      <c r="B11" s="1094" t="s">
        <v>1845</v>
      </c>
      <c r="C11" s="1095"/>
      <c r="D11" s="1095"/>
      <c r="E11" s="1095"/>
      <c r="F11" s="1095"/>
      <c r="G11" s="1095"/>
      <c r="H11" s="1095"/>
      <c r="I11" s="1095"/>
      <c r="J11" s="1095"/>
      <c r="K11" s="1095"/>
      <c r="L11" s="1095"/>
      <c r="M11" s="1095"/>
      <c r="N11" s="1095"/>
      <c r="O11" s="1095"/>
      <c r="P11" s="1095"/>
      <c r="Q11" s="1095"/>
      <c r="R11" s="1095"/>
      <c r="S11" s="1096"/>
      <c r="T11" s="1500">
        <f>IF('Sources and Basis Breakdown'!F105=0,'Sources and Basis Breakdown'!E105,'Sources and Basis Breakdown'!F105)</f>
        <v>36181864.604807153</v>
      </c>
      <c r="U11" s="1495"/>
      <c r="V11" s="1495"/>
      <c r="W11" s="1495"/>
      <c r="X11" s="1495"/>
      <c r="Y11" s="1507">
        <f>IF('Sources and Basis Breakdown'!G105+'Sources and Basis Breakdown'!F105='Sources and Basis Breakdown'!E105,'Sources and Basis Breakdown'!G105,0)</f>
        <v>0</v>
      </c>
      <c r="Z11" s="1495"/>
      <c r="AA11" s="1495"/>
      <c r="AB11" s="1495"/>
      <c r="AC11" s="1495"/>
      <c r="AD11" s="1495">
        <f>IF('Sources and Basis Breakdown'!I105=0,'Sources and Basis Breakdown'!H105,'Sources and Basis Breakdown'!I105)</f>
        <v>0</v>
      </c>
      <c r="AE11" s="1495"/>
      <c r="AF11" s="1495"/>
      <c r="AG11" s="1495"/>
      <c r="AH11" s="1495"/>
      <c r="AI11" s="1495">
        <f>IF('Sources and Basis Breakdown'!I105+'Sources and Basis Breakdown'!J105='Sources and Basis Breakdown'!H105,'Sources and Basis Breakdown'!J105,0)</f>
        <v>0</v>
      </c>
      <c r="AJ11" s="1495"/>
      <c r="AK11" s="1495"/>
      <c r="AL11" s="1495"/>
      <c r="AM11" s="1495"/>
    </row>
    <row r="12" spans="1:40" ht="12.95" customHeight="1">
      <c r="B12" s="1496" t="s">
        <v>1846</v>
      </c>
      <c r="C12" s="979"/>
      <c r="D12" s="979"/>
      <c r="E12" s="979"/>
      <c r="F12" s="979"/>
      <c r="G12" s="979"/>
      <c r="H12" s="979"/>
      <c r="I12" s="979"/>
      <c r="J12" s="979"/>
      <c r="K12" s="979"/>
      <c r="L12" s="979"/>
      <c r="M12" s="979"/>
      <c r="N12" s="979"/>
      <c r="O12" s="979"/>
      <c r="P12" s="979"/>
      <c r="Q12" s="979"/>
      <c r="R12" s="979"/>
      <c r="S12" s="1497"/>
      <c r="T12" s="1503"/>
      <c r="U12" s="1504"/>
      <c r="V12" s="1504"/>
      <c r="W12" s="1504"/>
      <c r="X12" s="1505"/>
      <c r="Y12" s="1503"/>
      <c r="Z12" s="1504"/>
      <c r="AA12" s="1504"/>
      <c r="AB12" s="1504"/>
      <c r="AC12" s="1505"/>
      <c r="AD12" s="1503"/>
      <c r="AE12" s="1504"/>
      <c r="AF12" s="1504"/>
      <c r="AG12" s="1504"/>
      <c r="AH12" s="1505"/>
      <c r="AI12" s="1503"/>
      <c r="AJ12" s="1504"/>
      <c r="AK12" s="1504"/>
      <c r="AL12" s="1504"/>
      <c r="AM12" s="1505"/>
    </row>
    <row r="13" spans="1:40" ht="12.95" customHeight="1">
      <c r="B13" s="7"/>
      <c r="C13" s="1498" t="s">
        <v>1847</v>
      </c>
      <c r="D13" s="1498"/>
      <c r="E13" s="1498"/>
      <c r="F13" s="1498"/>
      <c r="G13" s="1498"/>
      <c r="H13" s="1498"/>
      <c r="I13" s="1498"/>
      <c r="J13" s="1498"/>
      <c r="K13" s="1498"/>
      <c r="L13" s="1498"/>
      <c r="M13" s="1498"/>
      <c r="N13" s="1498"/>
      <c r="O13" s="1498"/>
      <c r="P13" s="1498"/>
      <c r="Q13" s="1498"/>
      <c r="R13" s="1498"/>
      <c r="S13" s="1499"/>
      <c r="T13" s="1501">
        <f>'Basis &amp; Credits'!T13</f>
        <v>814012</v>
      </c>
      <c r="U13" s="1502"/>
      <c r="V13" s="1502"/>
      <c r="W13" s="1502"/>
      <c r="X13" s="1502"/>
      <c r="Y13" s="1501">
        <f>'Basis &amp; Credits'!Y13</f>
        <v>0</v>
      </c>
      <c r="Z13" s="1502"/>
      <c r="AA13" s="1502"/>
      <c r="AB13" s="1502"/>
      <c r="AC13" s="1502"/>
      <c r="AD13" s="1502">
        <f>'Basis &amp; Credits'!AD13</f>
        <v>0</v>
      </c>
      <c r="AE13" s="1502"/>
      <c r="AF13" s="1502"/>
      <c r="AG13" s="1502"/>
      <c r="AH13" s="1502"/>
      <c r="AI13" s="1502">
        <f>'Basis &amp; Credits'!AI13</f>
        <v>0</v>
      </c>
      <c r="AJ13" s="1502"/>
      <c r="AK13" s="1502"/>
      <c r="AL13" s="1502"/>
      <c r="AM13" s="1502"/>
    </row>
    <row r="14" spans="1:40" ht="12.95" customHeight="1">
      <c r="B14" s="7"/>
      <c r="C14" s="1498" t="s">
        <v>1848</v>
      </c>
      <c r="D14" s="1498"/>
      <c r="E14" s="1498"/>
      <c r="F14" s="1498"/>
      <c r="G14" s="1498"/>
      <c r="H14" s="1498"/>
      <c r="I14" s="1498"/>
      <c r="J14" s="1498"/>
      <c r="K14" s="1498"/>
      <c r="L14" s="1498"/>
      <c r="M14" s="1498"/>
      <c r="N14" s="1498"/>
      <c r="O14" s="1498"/>
      <c r="P14" s="1498"/>
      <c r="Q14" s="1498"/>
      <c r="R14" s="1498"/>
      <c r="S14" s="1499"/>
      <c r="T14" s="1060">
        <f>'Basis &amp; Credits'!T14</f>
        <v>0</v>
      </c>
      <c r="U14" s="1079"/>
      <c r="V14" s="1079"/>
      <c r="W14" s="1079"/>
      <c r="X14" s="1079"/>
      <c r="Y14" s="1060">
        <f>'Basis &amp; Credits'!Y14</f>
        <v>0</v>
      </c>
      <c r="Z14" s="1079"/>
      <c r="AA14" s="1079"/>
      <c r="AB14" s="1079"/>
      <c r="AC14" s="1079"/>
      <c r="AD14" s="1079">
        <f>'Basis &amp; Credits'!AD14</f>
        <v>0</v>
      </c>
      <c r="AE14" s="1079"/>
      <c r="AF14" s="1079"/>
      <c r="AG14" s="1079"/>
      <c r="AH14" s="1079"/>
      <c r="AI14" s="1079">
        <f>'Basis &amp; Credits'!AI14</f>
        <v>0</v>
      </c>
      <c r="AJ14" s="1079"/>
      <c r="AK14" s="1079"/>
      <c r="AL14" s="1079"/>
      <c r="AM14" s="1079"/>
    </row>
    <row r="15" spans="1:40" ht="12.95" customHeight="1">
      <c r="B15" s="7"/>
      <c r="C15" s="1498" t="s">
        <v>1849</v>
      </c>
      <c r="D15" s="1498"/>
      <c r="E15" s="1498"/>
      <c r="F15" s="1498"/>
      <c r="G15" s="1498"/>
      <c r="H15" s="1498"/>
      <c r="I15" s="1498"/>
      <c r="J15" s="1498"/>
      <c r="K15" s="1498"/>
      <c r="L15" s="1498"/>
      <c r="M15" s="1498"/>
      <c r="N15" s="1498"/>
      <c r="O15" s="1498"/>
      <c r="P15" s="1498"/>
      <c r="Q15" s="1498"/>
      <c r="R15" s="1498"/>
      <c r="S15" s="1499"/>
      <c r="T15" s="1060">
        <f>'Basis &amp; Credits'!T15</f>
        <v>0</v>
      </c>
      <c r="U15" s="1079"/>
      <c r="V15" s="1079"/>
      <c r="W15" s="1079"/>
      <c r="X15" s="1079"/>
      <c r="Y15" s="1060">
        <f>'Basis &amp; Credits'!Y15</f>
        <v>0</v>
      </c>
      <c r="Z15" s="1079"/>
      <c r="AA15" s="1079"/>
      <c r="AB15" s="1079"/>
      <c r="AC15" s="1079"/>
      <c r="AD15" s="1079">
        <f>'Basis &amp; Credits'!AD15</f>
        <v>0</v>
      </c>
      <c r="AE15" s="1079"/>
      <c r="AF15" s="1079"/>
      <c r="AG15" s="1079"/>
      <c r="AH15" s="1079"/>
      <c r="AI15" s="1079">
        <f>'Basis &amp; Credits'!AI15</f>
        <v>0</v>
      </c>
      <c r="AJ15" s="1079"/>
      <c r="AK15" s="1079"/>
      <c r="AL15" s="1079"/>
      <c r="AM15" s="1079"/>
    </row>
    <row r="16" spans="1:40" ht="12.95" customHeight="1">
      <c r="B16" s="7"/>
      <c r="C16" s="1498" t="s">
        <v>1850</v>
      </c>
      <c r="D16" s="1498"/>
      <c r="E16" s="1498"/>
      <c r="F16" s="1498"/>
      <c r="G16" s="1498"/>
      <c r="H16" s="1498"/>
      <c r="I16" s="1498"/>
      <c r="J16" s="1498"/>
      <c r="K16" s="1498"/>
      <c r="L16" s="1498"/>
      <c r="M16" s="1498"/>
      <c r="N16" s="1498"/>
      <c r="O16" s="1498"/>
      <c r="P16" s="1498"/>
      <c r="Q16" s="1498"/>
      <c r="R16" s="1498"/>
      <c r="S16" s="1499"/>
      <c r="T16" s="1060">
        <f>'Basis &amp; Credits'!T16</f>
        <v>0</v>
      </c>
      <c r="U16" s="1079"/>
      <c r="V16" s="1079"/>
      <c r="W16" s="1079"/>
      <c r="X16" s="1079"/>
      <c r="Y16" s="1060">
        <f>'Basis &amp; Credits'!Y16</f>
        <v>0</v>
      </c>
      <c r="Z16" s="1079"/>
      <c r="AA16" s="1079"/>
      <c r="AB16" s="1079"/>
      <c r="AC16" s="1079"/>
      <c r="AD16" s="1079">
        <f>'Basis &amp; Credits'!AD16</f>
        <v>0</v>
      </c>
      <c r="AE16" s="1079"/>
      <c r="AF16" s="1079"/>
      <c r="AG16" s="1079"/>
      <c r="AH16" s="1079"/>
      <c r="AI16" s="1079">
        <f>'Basis &amp; Credits'!AI16</f>
        <v>0</v>
      </c>
      <c r="AJ16" s="1079"/>
      <c r="AK16" s="1079"/>
      <c r="AL16" s="1079"/>
      <c r="AM16" s="1079"/>
    </row>
    <row r="17" spans="1:39" ht="12.95" customHeight="1">
      <c r="B17" s="7"/>
      <c r="C17" s="1498" t="s">
        <v>1851</v>
      </c>
      <c r="D17" s="1498"/>
      <c r="E17" s="1498"/>
      <c r="F17" s="1498"/>
      <c r="G17" s="1498"/>
      <c r="H17" s="1498"/>
      <c r="I17" s="1498"/>
      <c r="J17" s="1498"/>
      <c r="K17" s="1498"/>
      <c r="L17" s="1498"/>
      <c r="M17" s="1498"/>
      <c r="N17" s="1498"/>
      <c r="O17" s="1498"/>
      <c r="P17" s="1498"/>
      <c r="Q17" s="1498"/>
      <c r="R17" s="1498"/>
      <c r="S17" s="1499"/>
      <c r="T17" s="1060">
        <f>'Basis &amp; Credits'!T17</f>
        <v>0</v>
      </c>
      <c r="U17" s="1079"/>
      <c r="V17" s="1079"/>
      <c r="W17" s="1079"/>
      <c r="X17" s="1079"/>
      <c r="Y17" s="1060">
        <f>'Basis &amp; Credits'!Y17</f>
        <v>0</v>
      </c>
      <c r="Z17" s="1079"/>
      <c r="AA17" s="1079"/>
      <c r="AB17" s="1079"/>
      <c r="AC17" s="1079"/>
      <c r="AD17" s="1079">
        <f>'Basis &amp; Credits'!AD17</f>
        <v>0</v>
      </c>
      <c r="AE17" s="1079"/>
      <c r="AF17" s="1079"/>
      <c r="AG17" s="1079"/>
      <c r="AH17" s="1079"/>
      <c r="AI17" s="1079">
        <f>'Basis &amp; Credits'!AI17</f>
        <v>0</v>
      </c>
      <c r="AJ17" s="1079"/>
      <c r="AK17" s="1079"/>
      <c r="AL17" s="1079"/>
      <c r="AM17" s="1079"/>
    </row>
    <row r="18" spans="1:39" ht="12.95" customHeight="1">
      <c r="B18" s="453"/>
      <c r="C18" s="1498" t="s">
        <v>2527</v>
      </c>
      <c r="D18" s="1498"/>
      <c r="E18" s="1498"/>
      <c r="F18" s="1498"/>
      <c r="G18" s="1498"/>
      <c r="H18" s="1498"/>
      <c r="I18" s="1498"/>
      <c r="J18" s="1498"/>
      <c r="K18" s="1498"/>
      <c r="L18" s="1498"/>
      <c r="M18" s="1498"/>
      <c r="N18" s="1498"/>
      <c r="O18" s="1498"/>
      <c r="P18" s="1498"/>
      <c r="Q18" s="1498"/>
      <c r="R18" s="1498"/>
      <c r="S18" s="1499"/>
      <c r="T18" s="1058">
        <f>'Basis &amp; Credits'!T18</f>
        <v>0</v>
      </c>
      <c r="U18" s="1059"/>
      <c r="V18" s="1059"/>
      <c r="W18" s="1059"/>
      <c r="X18" s="1060"/>
      <c r="Y18" s="1060">
        <f>'Basis &amp; Credits'!Y18</f>
        <v>0</v>
      </c>
      <c r="Z18" s="1079"/>
      <c r="AA18" s="1079"/>
      <c r="AB18" s="1079"/>
      <c r="AC18" s="1079"/>
      <c r="AD18" s="1079">
        <f>'Basis &amp; Credits'!AD18</f>
        <v>0</v>
      </c>
      <c r="AE18" s="1079"/>
      <c r="AF18" s="1079"/>
      <c r="AG18" s="1079"/>
      <c r="AH18" s="1079"/>
      <c r="AI18" s="1079">
        <f>'Basis &amp; Credits'!AI18</f>
        <v>0</v>
      </c>
      <c r="AJ18" s="1079"/>
      <c r="AK18" s="1079"/>
      <c r="AL18" s="1079"/>
      <c r="AM18" s="1079"/>
    </row>
    <row r="19" spans="1:39" ht="12.95" customHeight="1">
      <c r="B19" s="356"/>
      <c r="C19" s="1348" t="str">
        <f>'Basis &amp; Credits'!C19:S19</f>
        <v>Subtract (specify other ineligible amounts):</v>
      </c>
      <c r="D19" s="1348"/>
      <c r="E19" s="1348"/>
      <c r="F19" s="1348"/>
      <c r="G19" s="1348"/>
      <c r="H19" s="1348"/>
      <c r="I19" s="1348"/>
      <c r="J19" s="1348"/>
      <c r="K19" s="1348"/>
      <c r="L19" s="1348"/>
      <c r="M19" s="1348"/>
      <c r="N19" s="1348"/>
      <c r="O19" s="1348"/>
      <c r="P19" s="1348"/>
      <c r="Q19" s="1348"/>
      <c r="R19" s="1348"/>
      <c r="S19" s="1349"/>
      <c r="T19" s="1060">
        <f>'Basis &amp; Credits'!T19</f>
        <v>0</v>
      </c>
      <c r="U19" s="1079"/>
      <c r="V19" s="1079"/>
      <c r="W19" s="1079"/>
      <c r="X19" s="1079"/>
      <c r="Y19" s="1060">
        <f>'Basis &amp; Credits'!Y19</f>
        <v>0</v>
      </c>
      <c r="Z19" s="1079"/>
      <c r="AA19" s="1079"/>
      <c r="AB19" s="1079"/>
      <c r="AC19" s="1079"/>
      <c r="AD19" s="1079">
        <f>'Basis &amp; Credits'!AD19</f>
        <v>0</v>
      </c>
      <c r="AE19" s="1079"/>
      <c r="AF19" s="1079"/>
      <c r="AG19" s="1079"/>
      <c r="AH19" s="1079"/>
      <c r="AI19" s="1079">
        <f>'Basis &amp; Credits'!AI19</f>
        <v>0</v>
      </c>
      <c r="AJ19" s="1079"/>
      <c r="AK19" s="1079"/>
      <c r="AL19" s="1079"/>
      <c r="AM19" s="1079"/>
    </row>
    <row r="20" spans="1:39" ht="12.95" customHeight="1">
      <c r="B20" s="1094" t="s">
        <v>1853</v>
      </c>
      <c r="C20" s="1095"/>
      <c r="D20" s="1095"/>
      <c r="E20" s="1095"/>
      <c r="F20" s="1095"/>
      <c r="G20" s="1095"/>
      <c r="H20" s="1095"/>
      <c r="I20" s="1095"/>
      <c r="J20" s="1095"/>
      <c r="K20" s="1095"/>
      <c r="L20" s="1095"/>
      <c r="M20" s="1095"/>
      <c r="N20" s="1095"/>
      <c r="O20" s="1095"/>
      <c r="P20" s="1095"/>
      <c r="Q20" s="1095"/>
      <c r="R20" s="1095"/>
      <c r="S20" s="1096"/>
      <c r="T20" s="1488">
        <f>SUM(T13:X19)</f>
        <v>814012</v>
      </c>
      <c r="U20" s="1050"/>
      <c r="V20" s="1050"/>
      <c r="W20" s="1050"/>
      <c r="X20" s="1050"/>
      <c r="Y20" s="1488">
        <f>SUM(Y13:AC19)</f>
        <v>0</v>
      </c>
      <c r="Z20" s="1050"/>
      <c r="AA20" s="1050"/>
      <c r="AB20" s="1050"/>
      <c r="AC20" s="1050"/>
      <c r="AD20" s="1050">
        <f>SUM(AD13:AH19)</f>
        <v>0</v>
      </c>
      <c r="AE20" s="1050"/>
      <c r="AF20" s="1050"/>
      <c r="AG20" s="1050"/>
      <c r="AH20" s="1050"/>
      <c r="AI20" s="1050">
        <f>SUM(AI13:AM19)</f>
        <v>0</v>
      </c>
      <c r="AJ20" s="1050"/>
      <c r="AK20" s="1050"/>
      <c r="AL20" s="1050"/>
      <c r="AM20" s="1050"/>
    </row>
    <row r="21" spans="1:39" ht="12.95" customHeight="1">
      <c r="B21" s="1094" t="s">
        <v>1854</v>
      </c>
      <c r="C21" s="1095"/>
      <c r="D21" s="1095"/>
      <c r="E21" s="1095"/>
      <c r="F21" s="1095"/>
      <c r="G21" s="1095"/>
      <c r="H21" s="1095"/>
      <c r="I21" s="1095"/>
      <c r="J21" s="1095"/>
      <c r="K21" s="1095"/>
      <c r="L21" s="1095"/>
      <c r="M21" s="1095"/>
      <c r="N21" s="1095"/>
      <c r="O21" s="1095"/>
      <c r="P21" s="1095"/>
      <c r="Q21" s="1095"/>
      <c r="R21" s="1095"/>
      <c r="S21" s="1096"/>
      <c r="T21" s="1060">
        <f>'Basis &amp; Credits'!T21</f>
        <v>15057330</v>
      </c>
      <c r="U21" s="1079"/>
      <c r="V21" s="1079"/>
      <c r="W21" s="1079"/>
      <c r="X21" s="1079"/>
      <c r="Y21" s="1060">
        <f>'Basis &amp; Credits'!Y21</f>
        <v>0</v>
      </c>
      <c r="Z21" s="1079"/>
      <c r="AA21" s="1079"/>
      <c r="AB21" s="1079"/>
      <c r="AC21" s="1079"/>
      <c r="AD21" s="1079">
        <f>'Basis &amp; Credits'!AD21</f>
        <v>0</v>
      </c>
      <c r="AE21" s="1079"/>
      <c r="AF21" s="1079"/>
      <c r="AG21" s="1079"/>
      <c r="AH21" s="1079"/>
      <c r="AI21" s="1079">
        <f>'Basis &amp; Credits'!AI21</f>
        <v>0</v>
      </c>
      <c r="AJ21" s="1079"/>
      <c r="AK21" s="1079"/>
      <c r="AL21" s="1079"/>
      <c r="AM21" s="1079"/>
    </row>
    <row r="22" spans="1:39" ht="12.95" customHeight="1">
      <c r="B22" s="1094" t="s">
        <v>1855</v>
      </c>
      <c r="C22" s="1095"/>
      <c r="D22" s="1095"/>
      <c r="E22" s="1095"/>
      <c r="F22" s="1095"/>
      <c r="G22" s="1095"/>
      <c r="H22" s="1095"/>
      <c r="I22" s="1095"/>
      <c r="J22" s="1095"/>
      <c r="K22" s="1095"/>
      <c r="L22" s="1095"/>
      <c r="M22" s="1095"/>
      <c r="N22" s="1095"/>
      <c r="O22" s="1095"/>
      <c r="P22" s="1095"/>
      <c r="Q22" s="1095"/>
      <c r="R22" s="1095"/>
      <c r="S22" s="1096"/>
      <c r="T22" s="1489">
        <f>(T20+T21)*-1</f>
        <v>-15871342</v>
      </c>
      <c r="U22" s="1490"/>
      <c r="V22" s="1490"/>
      <c r="W22" s="1490"/>
      <c r="X22" s="1490"/>
      <c r="Y22" s="1489">
        <f>(Y20+Y21)*-1</f>
        <v>0</v>
      </c>
      <c r="Z22" s="1490"/>
      <c r="AA22" s="1490"/>
      <c r="AB22" s="1490"/>
      <c r="AC22" s="1490"/>
      <c r="AD22" s="1489">
        <f>(AD20+AD21)*-1</f>
        <v>0</v>
      </c>
      <c r="AE22" s="1490"/>
      <c r="AF22" s="1490"/>
      <c r="AG22" s="1490"/>
      <c r="AH22" s="1490"/>
      <c r="AI22" s="1489">
        <f>(AI20+AI21)*-1</f>
        <v>0</v>
      </c>
      <c r="AJ22" s="1490"/>
      <c r="AK22" s="1490"/>
      <c r="AL22" s="1490"/>
      <c r="AM22" s="1490"/>
    </row>
    <row r="23" spans="1:39" ht="12.95" customHeight="1">
      <c r="B23" s="1094" t="s">
        <v>2528</v>
      </c>
      <c r="C23" s="1095"/>
      <c r="D23" s="1095"/>
      <c r="E23" s="1095"/>
      <c r="F23" s="1095"/>
      <c r="G23" s="1095"/>
      <c r="H23" s="1095"/>
      <c r="I23" s="1095"/>
      <c r="J23" s="1095"/>
      <c r="K23" s="1095"/>
      <c r="L23" s="1095"/>
      <c r="M23" s="1095"/>
      <c r="N23" s="1095"/>
      <c r="O23" s="1095"/>
      <c r="P23" s="1095"/>
      <c r="Q23" s="1095"/>
      <c r="R23" s="1095"/>
      <c r="S23" s="1096"/>
      <c r="T23" s="1488">
        <f>T11+T22</f>
        <v>20310522.604807153</v>
      </c>
      <c r="U23" s="1050"/>
      <c r="V23" s="1050"/>
      <c r="W23" s="1050"/>
      <c r="X23" s="1050"/>
      <c r="Y23" s="1488">
        <f>Y11+Y22</f>
        <v>0</v>
      </c>
      <c r="Z23" s="1050"/>
      <c r="AA23" s="1050"/>
      <c r="AB23" s="1050"/>
      <c r="AC23" s="1050"/>
      <c r="AD23" s="1488">
        <f>AD11+AD22</f>
        <v>0</v>
      </c>
      <c r="AE23" s="1050"/>
      <c r="AF23" s="1050"/>
      <c r="AG23" s="1050"/>
      <c r="AH23" s="1050"/>
      <c r="AI23" s="1488">
        <f>AI11+AI22</f>
        <v>0</v>
      </c>
      <c r="AJ23" s="1050"/>
      <c r="AK23" s="1050"/>
      <c r="AL23" s="1050"/>
      <c r="AM23" s="1050"/>
    </row>
    <row r="24" spans="1:39" ht="12.95" customHeight="1">
      <c r="B24" s="1094" t="s">
        <v>1857</v>
      </c>
      <c r="C24" s="1095"/>
      <c r="D24" s="1095"/>
      <c r="E24" s="1095"/>
      <c r="F24" s="1095"/>
      <c r="G24" s="1095"/>
      <c r="H24" s="1095"/>
      <c r="I24" s="1095"/>
      <c r="J24" s="1095"/>
      <c r="K24" s="1095"/>
      <c r="L24" s="1095"/>
      <c r="M24" s="1095"/>
      <c r="N24" s="1095"/>
      <c r="O24" s="1095"/>
      <c r="P24" s="1095"/>
      <c r="Q24" s="1095"/>
      <c r="R24" s="1095"/>
      <c r="S24" s="1096"/>
      <c r="T24" s="1486">
        <f>Application!AD979</f>
        <v>0</v>
      </c>
      <c r="U24" s="1487"/>
      <c r="V24" s="1487"/>
      <c r="W24" s="1487"/>
      <c r="X24" s="1487"/>
      <c r="Y24" s="1487"/>
      <c r="Z24" s="1487"/>
      <c r="AA24" s="1487"/>
      <c r="AB24" s="1487"/>
      <c r="AC24" s="1487"/>
      <c r="AD24" s="1487"/>
      <c r="AE24" s="1487"/>
      <c r="AF24" s="1487"/>
      <c r="AG24" s="1487"/>
      <c r="AH24" s="1487"/>
      <c r="AI24" s="1487"/>
      <c r="AJ24" s="1487"/>
      <c r="AK24" s="1487"/>
      <c r="AL24" s="1487"/>
      <c r="AM24" s="1488"/>
    </row>
    <row r="25" spans="1:39" ht="12.95" customHeight="1">
      <c r="B25" s="1481" t="s">
        <v>2529</v>
      </c>
      <c r="C25" s="1482"/>
      <c r="D25" s="1482"/>
      <c r="E25" s="1482"/>
      <c r="F25" s="1482"/>
      <c r="G25" s="1482"/>
      <c r="H25" s="1482"/>
      <c r="I25" s="1482"/>
      <c r="J25" s="1482"/>
      <c r="K25" s="1482"/>
      <c r="L25" s="1482"/>
      <c r="M25" s="1482"/>
      <c r="N25" s="1482"/>
      <c r="O25" s="1482"/>
      <c r="P25" s="1482"/>
      <c r="Q25" s="1482"/>
      <c r="R25" s="1482"/>
      <c r="S25" s="1483"/>
      <c r="T25" s="1491">
        <v>1</v>
      </c>
      <c r="U25" s="1492"/>
      <c r="V25" s="1492"/>
      <c r="W25" s="1492"/>
      <c r="X25" s="1492"/>
      <c r="Y25" s="1491">
        <v>1</v>
      </c>
      <c r="Z25" s="1492"/>
      <c r="AA25" s="1492"/>
      <c r="AB25" s="1492"/>
      <c r="AC25" s="1493"/>
      <c r="AD25" s="1491">
        <v>1</v>
      </c>
      <c r="AE25" s="1492"/>
      <c r="AF25" s="1492"/>
      <c r="AG25" s="1492"/>
      <c r="AH25" s="1493"/>
      <c r="AI25" s="1491">
        <v>1</v>
      </c>
      <c r="AJ25" s="1492"/>
      <c r="AK25" s="1492"/>
      <c r="AL25" s="1492"/>
      <c r="AM25" s="1493"/>
    </row>
    <row r="26" spans="1:39" ht="12.95" customHeight="1">
      <c r="B26" s="1094" t="s">
        <v>1859</v>
      </c>
      <c r="C26" s="1095"/>
      <c r="D26" s="1095"/>
      <c r="E26" s="1095"/>
      <c r="F26" s="1095"/>
      <c r="G26" s="1095"/>
      <c r="H26" s="1095"/>
      <c r="I26" s="1095"/>
      <c r="J26" s="1095"/>
      <c r="K26" s="1095"/>
      <c r="L26" s="1095"/>
      <c r="M26" s="1095"/>
      <c r="N26" s="1095"/>
      <c r="O26" s="1095"/>
      <c r="P26" s="1095"/>
      <c r="Q26" s="1095"/>
      <c r="R26" s="1095"/>
      <c r="S26" s="1096"/>
      <c r="T26" s="1136">
        <f>T23*T25</f>
        <v>20310522.604807153</v>
      </c>
      <c r="U26" s="1248"/>
      <c r="V26" s="1248"/>
      <c r="W26" s="1248"/>
      <c r="X26" s="1248"/>
      <c r="Y26" s="1136">
        <f>Y23*Y25</f>
        <v>0</v>
      </c>
      <c r="Z26" s="1248"/>
      <c r="AA26" s="1248"/>
      <c r="AB26" s="1248"/>
      <c r="AC26" s="1248"/>
      <c r="AD26" s="1136">
        <f>AD23*AD25</f>
        <v>0</v>
      </c>
      <c r="AE26" s="1248"/>
      <c r="AF26" s="1248"/>
      <c r="AG26" s="1248"/>
      <c r="AH26" s="1248"/>
      <c r="AI26" s="1136">
        <f>AI23*AI25</f>
        <v>0</v>
      </c>
      <c r="AJ26" s="1248"/>
      <c r="AK26" s="1248"/>
      <c r="AL26" s="1248"/>
      <c r="AM26" s="1248"/>
    </row>
    <row r="27" spans="1:39" ht="12.95" customHeight="1">
      <c r="A27" s="3"/>
      <c r="B27" s="1481" t="s">
        <v>1860</v>
      </c>
      <c r="C27" s="1482"/>
      <c r="D27" s="1482"/>
      <c r="E27" s="1482"/>
      <c r="F27" s="1482"/>
      <c r="G27" s="1482"/>
      <c r="H27" s="1482"/>
      <c r="I27" s="1482"/>
      <c r="J27" s="1482"/>
      <c r="K27" s="1482"/>
      <c r="L27" s="1482"/>
      <c r="M27" s="1482"/>
      <c r="N27" s="1482"/>
      <c r="O27" s="1482"/>
      <c r="P27" s="1482"/>
      <c r="Q27" s="1482"/>
      <c r="R27" s="1482"/>
      <c r="S27" s="1483"/>
      <c r="T27" s="1484">
        <f>Application!AG438</f>
        <v>1</v>
      </c>
      <c r="U27" s="1485"/>
      <c r="V27" s="1485"/>
      <c r="W27" s="1485"/>
      <c r="X27" s="1485"/>
      <c r="Y27" s="1484">
        <f>Application!AG438</f>
        <v>1</v>
      </c>
      <c r="Z27" s="1485"/>
      <c r="AA27" s="1485"/>
      <c r="AB27" s="1485"/>
      <c r="AC27" s="1485"/>
      <c r="AD27" s="1484">
        <f>Application!AG438</f>
        <v>1</v>
      </c>
      <c r="AE27" s="1485"/>
      <c r="AF27" s="1485"/>
      <c r="AG27" s="1485"/>
      <c r="AH27" s="1485"/>
      <c r="AI27" s="1484">
        <f>Application!AG438</f>
        <v>1</v>
      </c>
      <c r="AJ27" s="1485"/>
      <c r="AK27" s="1485"/>
      <c r="AL27" s="1485"/>
      <c r="AM27" s="1485"/>
    </row>
    <row r="28" spans="1:39" ht="12.95" customHeight="1">
      <c r="A28" s="2"/>
      <c r="B28" s="1094" t="s">
        <v>1861</v>
      </c>
      <c r="C28" s="1095"/>
      <c r="D28" s="1095"/>
      <c r="E28" s="1095"/>
      <c r="F28" s="1095"/>
      <c r="G28" s="1095"/>
      <c r="H28" s="1095"/>
      <c r="I28" s="1095"/>
      <c r="J28" s="1095"/>
      <c r="K28" s="1095"/>
      <c r="L28" s="1095"/>
      <c r="M28" s="1095"/>
      <c r="N28" s="1095"/>
      <c r="O28" s="1095"/>
      <c r="P28" s="1095"/>
      <c r="Q28" s="1095"/>
      <c r="R28" s="1095"/>
      <c r="S28" s="1096"/>
      <c r="T28" s="1136">
        <f>IF(ISERROR((T26*T27)),0,(T26*T27))</f>
        <v>20310522.604807153</v>
      </c>
      <c r="U28" s="1248"/>
      <c r="V28" s="1248"/>
      <c r="W28" s="1248"/>
      <c r="X28" s="1248"/>
      <c r="Y28" s="1136">
        <f>IF(ISERROR((Y26*Y27)),0,(Y26*Y27))</f>
        <v>0</v>
      </c>
      <c r="Z28" s="1248"/>
      <c r="AA28" s="1248"/>
      <c r="AB28" s="1248"/>
      <c r="AC28" s="1248"/>
      <c r="AD28" s="1136">
        <f>IF(ISERROR((AD26*AD27)),0,(AD26*AD27))</f>
        <v>0</v>
      </c>
      <c r="AE28" s="1248"/>
      <c r="AF28" s="1248"/>
      <c r="AG28" s="1248"/>
      <c r="AH28" s="1248"/>
      <c r="AI28" s="1136">
        <f>IF(ISERROR((AI26*AI27)),0,(AI26*AI27))</f>
        <v>0</v>
      </c>
      <c r="AJ28" s="1248"/>
      <c r="AK28" s="1248"/>
      <c r="AL28" s="1248"/>
      <c r="AM28" s="1248"/>
    </row>
    <row r="29" spans="1:39" ht="12.95" customHeight="1">
      <c r="B29" s="1094" t="s">
        <v>1862</v>
      </c>
      <c r="C29" s="1095"/>
      <c r="D29" s="1095"/>
      <c r="E29" s="1095"/>
      <c r="F29" s="1095"/>
      <c r="G29" s="1095"/>
      <c r="H29" s="1095"/>
      <c r="I29" s="1095"/>
      <c r="J29" s="1095"/>
      <c r="K29" s="1095"/>
      <c r="L29" s="1095"/>
      <c r="M29" s="1095"/>
      <c r="N29" s="1095"/>
      <c r="O29" s="1095"/>
      <c r="P29" s="1095"/>
      <c r="Q29" s="1095"/>
      <c r="R29" s="1095"/>
      <c r="S29" s="1096"/>
      <c r="T29" s="1486">
        <f>T28+Y28+AD28+AI28</f>
        <v>20310522.604807153</v>
      </c>
      <c r="U29" s="1487"/>
      <c r="V29" s="1487"/>
      <c r="W29" s="1487"/>
      <c r="X29" s="1487"/>
      <c r="Y29" s="1487"/>
      <c r="Z29" s="1487"/>
      <c r="AA29" s="1487"/>
      <c r="AB29" s="1487"/>
      <c r="AC29" s="1487"/>
      <c r="AD29" s="1487"/>
      <c r="AE29" s="1487"/>
      <c r="AF29" s="1487"/>
      <c r="AG29" s="1487"/>
      <c r="AH29" s="1487"/>
      <c r="AI29" s="1487"/>
      <c r="AJ29" s="1487"/>
      <c r="AK29" s="1487"/>
      <c r="AL29" s="1487"/>
      <c r="AM29" s="1488"/>
    </row>
    <row r="30" spans="1:39" ht="12.95" customHeight="1">
      <c r="B30" s="1828"/>
      <c r="C30" s="1828"/>
      <c r="D30" s="1828"/>
      <c r="E30" s="1828"/>
      <c r="F30" s="1828"/>
      <c r="G30" s="1828"/>
      <c r="H30" s="1828"/>
      <c r="I30" s="1828"/>
      <c r="J30" s="1828"/>
      <c r="K30" s="1828"/>
      <c r="L30" s="1828"/>
      <c r="M30" s="1828"/>
      <c r="N30" s="1828"/>
      <c r="O30" s="1828"/>
      <c r="P30" s="1828"/>
      <c r="Q30" s="1828"/>
      <c r="R30" s="1828"/>
      <c r="S30" s="1828"/>
      <c r="T30" s="1828"/>
      <c r="U30" s="1828"/>
      <c r="V30" s="1828"/>
      <c r="W30" s="1828"/>
      <c r="X30" s="1828"/>
      <c r="Y30" s="1828"/>
      <c r="Z30" s="1828"/>
      <c r="AA30" s="1828"/>
      <c r="AB30" s="1828"/>
      <c r="AC30" s="1828"/>
      <c r="AD30" s="1828"/>
      <c r="AE30" s="1828"/>
      <c r="AF30" s="1828"/>
      <c r="AG30" s="1828"/>
      <c r="AH30" s="1828"/>
      <c r="AI30" s="1828"/>
      <c r="AJ30" s="1828"/>
      <c r="AK30" s="1828"/>
      <c r="AL30" s="1828"/>
      <c r="AM30" s="1828"/>
    </row>
    <row r="31" spans="1:39" ht="12.95" customHeight="1">
      <c r="C31" s="246"/>
      <c r="X31" s="836"/>
      <c r="Y31" s="132"/>
      <c r="Z31" s="132"/>
      <c r="AA31" s="132"/>
      <c r="AB31" s="132"/>
      <c r="AC31" s="132"/>
      <c r="AD31" s="132"/>
      <c r="AE31" s="132"/>
      <c r="AF31" s="132"/>
      <c r="AG31" s="132"/>
      <c r="AH31" s="132"/>
    </row>
    <row r="32" spans="1:39" ht="12.95" customHeight="1">
      <c r="C32" s="3"/>
      <c r="X32" s="836"/>
      <c r="Y32" s="132"/>
      <c r="Z32" s="132"/>
      <c r="AA32" s="132"/>
      <c r="AB32" s="132"/>
      <c r="AC32" s="132"/>
      <c r="AD32" s="132"/>
      <c r="AE32" s="132"/>
      <c r="AF32" s="132"/>
      <c r="AG32" s="132"/>
      <c r="AH32" s="132"/>
    </row>
    <row r="33" spans="1:40" ht="12.95" customHeight="1">
      <c r="A33" s="2" t="s">
        <v>889</v>
      </c>
      <c r="C33" s="2" t="s">
        <v>276</v>
      </c>
    </row>
    <row r="34" spans="1:40" ht="12.95" customHeight="1">
      <c r="A34" s="2"/>
      <c r="C34" s="2"/>
    </row>
    <row r="35" spans="1:40" ht="12.95" customHeight="1">
      <c r="B35" s="5"/>
      <c r="C35" s="6"/>
      <c r="D35" s="6"/>
      <c r="E35" s="6"/>
      <c r="F35" s="6"/>
      <c r="G35" s="6"/>
      <c r="H35" s="6"/>
      <c r="I35" s="6"/>
      <c r="J35" s="6"/>
      <c r="K35" s="6"/>
      <c r="L35" s="6"/>
      <c r="M35" s="6"/>
      <c r="N35" s="6"/>
      <c r="O35" s="6"/>
      <c r="P35" s="6"/>
      <c r="Q35" s="6"/>
      <c r="R35" s="6"/>
      <c r="S35" s="6"/>
      <c r="T35" s="6"/>
      <c r="U35" s="6"/>
      <c r="V35" s="6"/>
      <c r="W35" s="6"/>
      <c r="X35" s="44"/>
      <c r="Y35" s="1494" t="s">
        <v>1865</v>
      </c>
      <c r="Z35" s="1494"/>
      <c r="AA35" s="1494"/>
      <c r="AB35" s="1494"/>
      <c r="AC35" s="1494"/>
      <c r="AD35" s="1130" t="s">
        <v>1866</v>
      </c>
      <c r="AE35" s="1130"/>
      <c r="AF35" s="1130"/>
      <c r="AG35" s="1130"/>
      <c r="AH35" s="1130"/>
    </row>
    <row r="36" spans="1:40" ht="12.95" customHeight="1">
      <c r="B36" s="146"/>
      <c r="X36" s="47"/>
      <c r="Y36" s="1494"/>
      <c r="Z36" s="1494"/>
      <c r="AA36" s="1494"/>
      <c r="AB36" s="1494"/>
      <c r="AC36" s="1494"/>
      <c r="AD36" s="1130"/>
      <c r="AE36" s="1130"/>
      <c r="AF36" s="1130"/>
      <c r="AG36" s="1130"/>
      <c r="AH36" s="1130"/>
    </row>
    <row r="37" spans="1:40"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494"/>
      <c r="Z37" s="1494"/>
      <c r="AA37" s="1494"/>
      <c r="AB37" s="1494"/>
      <c r="AC37" s="1494"/>
      <c r="AD37" s="1130"/>
      <c r="AE37" s="1130"/>
      <c r="AF37" s="1130"/>
      <c r="AG37" s="1130"/>
      <c r="AH37" s="1130"/>
    </row>
    <row r="38" spans="1:40" ht="12.95" customHeight="1">
      <c r="A38" s="2"/>
      <c r="B38" s="1094" t="s">
        <v>1861</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6"/>
      <c r="Y38" s="1050">
        <f>IF(T24&gt;=(T23+Y23+AD23+AI23),T28+Y28,0)</f>
        <v>0</v>
      </c>
      <c r="Z38" s="1050"/>
      <c r="AA38" s="1050"/>
      <c r="AB38" s="1050"/>
      <c r="AC38" s="1050"/>
      <c r="AD38" s="1050">
        <f>IF(T24&gt;=(T23+Y23+AD23+AI23),AD28+AI28,0)</f>
        <v>0</v>
      </c>
      <c r="AE38" s="1050"/>
      <c r="AF38" s="1050"/>
      <c r="AG38" s="1050"/>
      <c r="AH38" s="1050"/>
    </row>
    <row r="39" spans="1:40" ht="12.95" customHeight="1">
      <c r="B39" s="1094" t="s">
        <v>2530</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6"/>
      <c r="Y39" s="1827">
        <v>0.09</v>
      </c>
      <c r="Z39" s="1827"/>
      <c r="AA39" s="1827"/>
      <c r="AB39" s="1827"/>
      <c r="AC39" s="1827"/>
      <c r="AD39" s="1827">
        <f>'Basis &amp; Credits'!AD39:AH39</f>
        <v>0.04</v>
      </c>
      <c r="AE39" s="1827"/>
      <c r="AF39" s="1827"/>
      <c r="AG39" s="1827"/>
      <c r="AH39" s="1827"/>
    </row>
    <row r="40" spans="1:40" ht="12.95" customHeight="1">
      <c r="A40" s="2"/>
      <c r="B40" s="1094" t="s">
        <v>1868</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6"/>
      <c r="Y40" s="1050">
        <f>ROUND(Y38*Y39,0)</f>
        <v>0</v>
      </c>
      <c r="Z40" s="1050"/>
      <c r="AA40" s="1050"/>
      <c r="AB40" s="1050"/>
      <c r="AC40" s="1050"/>
      <c r="AD40" s="1488">
        <f>ROUND(AD38*AD39,0)</f>
        <v>0</v>
      </c>
      <c r="AE40" s="1050"/>
      <c r="AF40" s="1050"/>
      <c r="AG40" s="1050"/>
      <c r="AH40" s="1050"/>
    </row>
    <row r="41" spans="1:40" ht="12.95" customHeight="1">
      <c r="B41" s="1094" t="s">
        <v>1869</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6"/>
      <c r="Y41" s="1486">
        <f>IF((Y40+AD40)&gt;2500000,2500000,Y40+AD40)</f>
        <v>0</v>
      </c>
      <c r="Z41" s="1487"/>
      <c r="AA41" s="1487"/>
      <c r="AB41" s="1487"/>
      <c r="AC41" s="1487"/>
      <c r="AD41" s="1487"/>
      <c r="AE41" s="1487"/>
      <c r="AF41" s="1487"/>
      <c r="AG41" s="1487"/>
      <c r="AH41" s="1488"/>
    </row>
    <row r="42" spans="1:40" ht="12.95" customHeight="1">
      <c r="A42" s="2"/>
      <c r="B42" s="1515" t="s">
        <v>2531</v>
      </c>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5"/>
      <c r="AI42" s="22"/>
      <c r="AJ42" s="22"/>
      <c r="AK42" s="22"/>
      <c r="AL42" s="22"/>
      <c r="AM42" s="22"/>
      <c r="AN42" s="22"/>
    </row>
    <row r="43" spans="1:40"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40"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0" ht="12.95" customHeight="1">
      <c r="A45" s="2" t="s">
        <v>973</v>
      </c>
      <c r="C45" s="2" t="s">
        <v>279</v>
      </c>
    </row>
    <row r="46" spans="1:40" ht="12.95" customHeight="1">
      <c r="D46" s="2" t="s">
        <v>1871</v>
      </c>
      <c r="AB46" s="1111">
        <f>'Sources and Uses Budget'!B104-'Sources and Uses Budget'!$B$15</f>
        <v>40963765.945813194</v>
      </c>
      <c r="AC46" s="1112"/>
      <c r="AD46" s="1112"/>
      <c r="AE46" s="1112"/>
      <c r="AF46" s="1113"/>
    </row>
    <row r="47" spans="1:40" ht="12.95" customHeight="1">
      <c r="D47" s="2" t="s">
        <v>184</v>
      </c>
      <c r="AB47" s="1111">
        <f>Application!AG630-MIN('Sources and Uses Budget'!B15,Application!AG385)</f>
        <v>0</v>
      </c>
      <c r="AC47" s="1112"/>
      <c r="AD47" s="1112"/>
      <c r="AE47" s="1112"/>
      <c r="AF47" s="1113"/>
    </row>
    <row r="48" spans="1:40" ht="12.95" customHeight="1">
      <c r="D48" s="2" t="s">
        <v>1872</v>
      </c>
      <c r="AB48" s="1111">
        <f>AB46-AB47</f>
        <v>40963765.945813194</v>
      </c>
      <c r="AC48" s="1112"/>
      <c r="AD48" s="1112"/>
      <c r="AE48" s="1112"/>
      <c r="AF48" s="1113"/>
    </row>
    <row r="49" spans="1:40" ht="12.95" customHeight="1">
      <c r="D49" s="2" t="s">
        <v>1873</v>
      </c>
      <c r="AA49" s="27"/>
      <c r="AB49" s="1510"/>
      <c r="AC49" s="1511"/>
      <c r="AD49" s="1511"/>
      <c r="AE49" s="1511"/>
      <c r="AF49" s="1512"/>
    </row>
    <row r="50" spans="1:40" s="235" customFormat="1" ht="12.95" customHeight="1">
      <c r="A50"/>
      <c r="B50"/>
      <c r="C50"/>
      <c r="D50"/>
      <c r="E50" s="1519" t="s">
        <v>2532</v>
      </c>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757"/>
      <c r="AB50" s="757"/>
      <c r="AC50" s="757"/>
      <c r="AD50" s="757"/>
      <c r="AE50" s="757"/>
      <c r="AF50" s="757"/>
      <c r="AG50"/>
      <c r="AH50"/>
      <c r="AI50"/>
      <c r="AJ50"/>
      <c r="AK50"/>
      <c r="AL50"/>
      <c r="AM50"/>
      <c r="AN50"/>
    </row>
    <row r="51" spans="1:40" s="235" customFormat="1" ht="12.95" customHeight="1">
      <c r="A51"/>
      <c r="B51"/>
      <c r="C51"/>
      <c r="D51"/>
      <c r="E51" s="1519"/>
      <c r="F51" s="1519"/>
      <c r="G51" s="1519"/>
      <c r="H51" s="1519"/>
      <c r="I51" s="1519"/>
      <c r="J51" s="1519"/>
      <c r="K51" s="1519"/>
      <c r="L51" s="1519"/>
      <c r="M51" s="1519"/>
      <c r="N51" s="1519"/>
      <c r="O51" s="1519"/>
      <c r="P51" s="1519"/>
      <c r="Q51" s="1519"/>
      <c r="R51" s="1519"/>
      <c r="S51" s="1519"/>
      <c r="T51" s="1519"/>
      <c r="U51" s="1519"/>
      <c r="V51" s="1519"/>
      <c r="W51" s="1519"/>
      <c r="X51" s="1519"/>
      <c r="Y51" s="1519"/>
      <c r="Z51" s="1519"/>
      <c r="AA51" s="361"/>
      <c r="AB51" s="361"/>
      <c r="AC51" s="361"/>
      <c r="AD51" s="361"/>
      <c r="AE51" s="361"/>
      <c r="AF51" s="361"/>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1875</v>
      </c>
      <c r="AB53" s="1111">
        <f>ROUND(IF(ISERROR((AB48/AB49)),0,(AB48/AB49)),0)</f>
        <v>0</v>
      </c>
      <c r="AC53" s="1112"/>
      <c r="AD53" s="1112"/>
      <c r="AE53" s="1112"/>
      <c r="AF53" s="1113"/>
    </row>
    <row r="54" spans="1:40" ht="12.95" customHeight="1">
      <c r="D54" s="2" t="s">
        <v>1876</v>
      </c>
      <c r="AB54" s="1111">
        <f>(AB53/10)</f>
        <v>0</v>
      </c>
      <c r="AC54" s="1112"/>
      <c r="AD54" s="1112"/>
      <c r="AE54" s="1112"/>
      <c r="AF54" s="1113"/>
    </row>
    <row r="55" spans="1:40" ht="12.95" customHeight="1">
      <c r="D55" s="2" t="s">
        <v>1877</v>
      </c>
      <c r="AB55" s="1516">
        <f>(IF((Y41&lt;AB54),Y41,AB54))</f>
        <v>0</v>
      </c>
      <c r="AC55" s="1517"/>
      <c r="AD55" s="1517"/>
      <c r="AE55" s="1517"/>
      <c r="AF55" s="1518"/>
    </row>
    <row r="56" spans="1:40" ht="12.95" customHeight="1">
      <c r="D56" s="2" t="s">
        <v>1878</v>
      </c>
      <c r="AB56" s="1111">
        <f>ROUND((10*AB55*AB49),0)</f>
        <v>0</v>
      </c>
      <c r="AC56" s="1112"/>
      <c r="AD56" s="1112"/>
      <c r="AE56" s="1112"/>
      <c r="AF56" s="1113"/>
    </row>
    <row r="57" spans="1:40" ht="12.95" customHeight="1">
      <c r="D57" s="2"/>
      <c r="AB57" s="785"/>
      <c r="AC57" s="785"/>
      <c r="AD57" s="785"/>
      <c r="AE57" s="785"/>
      <c r="AF57" s="785"/>
    </row>
    <row r="58" spans="1:40" ht="12.95" customHeight="1">
      <c r="D58" s="2" t="s">
        <v>1879</v>
      </c>
      <c r="AB58" s="1090">
        <f>AB48-AB56</f>
        <v>40963765.945813194</v>
      </c>
      <c r="AC58" s="1090"/>
      <c r="AD58" s="1090"/>
      <c r="AE58" s="1090"/>
      <c r="AF58" s="1090"/>
    </row>
    <row r="59" spans="1:40" ht="12.95" customHeight="1">
      <c r="D59" s="2"/>
      <c r="F59" s="14" t="str">
        <f>IF(AB58&gt;0,"FUNDING GAP MUST NOT EXCEED ZERO UNLESS REQUESTING STATE CREDITS","")</f>
        <v>FUNDING GAP MUST NOT EXCEED ZERO UNLESS REQUESTING STATE CREDITS</v>
      </c>
      <c r="G59" s="14"/>
      <c r="N59" s="14"/>
      <c r="AB59" s="785"/>
      <c r="AC59" s="785"/>
      <c r="AD59" s="785"/>
      <c r="AE59" s="785"/>
      <c r="AF59" s="785"/>
    </row>
    <row r="60" spans="1:40" ht="12.95" customHeight="1" thickBot="1">
      <c r="A60" s="1522" t="s">
        <v>1880</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2.95" customHeight="1" thickTop="1">
      <c r="A61" s="1118"/>
      <c r="B61" s="1118"/>
      <c r="C61" s="1118"/>
      <c r="D61" s="1118"/>
      <c r="E61" s="1118"/>
      <c r="F61" s="1118"/>
      <c r="G61" s="1118"/>
      <c r="H61" s="1118"/>
      <c r="I61" s="1118"/>
      <c r="J61" s="1118"/>
      <c r="K61" s="1118"/>
      <c r="L61" s="1118"/>
      <c r="M61" s="1118"/>
      <c r="N61" s="1118"/>
      <c r="O61" s="1118"/>
      <c r="P61" s="1118"/>
      <c r="Q61" s="1118"/>
      <c r="R61" s="1118"/>
      <c r="S61" s="1118"/>
      <c r="T61" s="1118"/>
      <c r="U61" s="1118"/>
      <c r="V61" s="1118"/>
      <c r="W61" s="1118"/>
      <c r="X61" s="1118"/>
      <c r="Y61" s="1118"/>
      <c r="Z61" s="1118"/>
      <c r="AA61" s="1118"/>
      <c r="AB61" s="1118"/>
      <c r="AC61" s="1118"/>
      <c r="AD61" s="1118"/>
      <c r="AE61" s="1118"/>
      <c r="AF61" s="1118"/>
      <c r="AG61" s="1118"/>
      <c r="AH61" s="1118"/>
      <c r="AI61" s="1118"/>
      <c r="AJ61" s="1118"/>
      <c r="AK61" s="1118"/>
      <c r="AL61" s="1118"/>
      <c r="AM61" s="1118"/>
      <c r="AN61" s="1118"/>
    </row>
    <row r="62" spans="1:40" ht="12.95" customHeight="1">
      <c r="A62" s="2" t="s">
        <v>994</v>
      </c>
      <c r="C62" s="2" t="s">
        <v>285</v>
      </c>
      <c r="Y62" s="1524" t="s">
        <v>1881</v>
      </c>
      <c r="Z62" s="1524"/>
      <c r="AA62" s="1524"/>
      <c r="AB62" s="1524"/>
      <c r="AC62" s="1524"/>
      <c r="AD62" s="1524" t="s">
        <v>1866</v>
      </c>
      <c r="AE62" s="1524"/>
      <c r="AF62" s="1524"/>
      <c r="AG62" s="1524"/>
      <c r="AH62" s="1524"/>
    </row>
    <row r="63" spans="1:40" ht="12.95" customHeight="1">
      <c r="C63" s="2"/>
      <c r="D63" s="776" t="s">
        <v>1882</v>
      </c>
      <c r="E63" s="783"/>
      <c r="F63" s="783"/>
      <c r="G63" s="783"/>
      <c r="H63" s="783"/>
      <c r="I63" s="783"/>
      <c r="J63" s="783"/>
      <c r="K63" s="783"/>
      <c r="L63" s="783"/>
      <c r="M63" s="783"/>
      <c r="N63" s="783"/>
      <c r="O63" s="783"/>
      <c r="P63" s="783"/>
      <c r="Q63" s="783"/>
      <c r="R63" s="783"/>
      <c r="S63" s="783"/>
      <c r="T63" s="783"/>
      <c r="U63" s="783"/>
      <c r="V63" s="783"/>
      <c r="W63" s="783"/>
      <c r="X63" s="783"/>
      <c r="Y63" s="1050">
        <f>Y28</f>
        <v>0</v>
      </c>
      <c r="Z63" s="1513"/>
      <c r="AA63" s="1513"/>
      <c r="AB63" s="1513"/>
      <c r="AC63" s="1513"/>
      <c r="AD63" s="1050">
        <f>AI28</f>
        <v>0</v>
      </c>
      <c r="AE63" s="1513"/>
      <c r="AF63" s="1513"/>
      <c r="AG63" s="1513"/>
      <c r="AH63" s="1513"/>
    </row>
    <row r="64" spans="1:40" ht="12.95" customHeight="1">
      <c r="C64" s="2"/>
      <c r="E64" s="1523" t="s">
        <v>1883</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30.75" customHeight="1">
      <c r="C65" s="2"/>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2.95" customHeight="1">
      <c r="C66" s="2"/>
      <c r="D66" s="2" t="s">
        <v>1884</v>
      </c>
      <c r="E66" s="816"/>
      <c r="F66" s="816"/>
      <c r="G66" s="816"/>
      <c r="H66" s="816"/>
      <c r="I66" s="816"/>
      <c r="J66" s="816"/>
      <c r="K66" s="816"/>
      <c r="L66" s="816"/>
      <c r="M66" s="816"/>
      <c r="N66" s="816"/>
      <c r="O66" s="816"/>
      <c r="P66" s="816"/>
      <c r="Q66" s="816"/>
      <c r="R66" s="816"/>
      <c r="S66" s="816"/>
      <c r="T66" s="816"/>
      <c r="U66" s="816"/>
      <c r="V66" s="816"/>
      <c r="W66" s="816"/>
      <c r="X66" s="816"/>
      <c r="Y66" s="1509">
        <v>0.3</v>
      </c>
      <c r="Z66" s="1509"/>
      <c r="AA66" s="1509"/>
      <c r="AB66" s="1509"/>
      <c r="AC66" s="1509"/>
      <c r="AD66" s="1509">
        <v>0.13</v>
      </c>
      <c r="AE66" s="1509"/>
      <c r="AF66" s="1509"/>
      <c r="AG66" s="1509"/>
      <c r="AH66" s="1509"/>
    </row>
    <row r="67" spans="1:34" ht="12.95" customHeight="1">
      <c r="C67" s="2"/>
      <c r="D67" s="2" t="s">
        <v>1885</v>
      </c>
      <c r="Y67" s="1050">
        <f>ROUND(Y63*Y66,0)</f>
        <v>0</v>
      </c>
      <c r="Z67" s="1513"/>
      <c r="AA67" s="1513"/>
      <c r="AB67" s="1513"/>
      <c r="AC67" s="1513"/>
      <c r="AD67" s="1050" t="str">
        <f>IF(OR(Application!D211="At-Risk",Application!D211="At-Risk/Located in Rural Census Tract",Application!D214="At-Risk"),ROUND(AD63*AD66,0),"$0")</f>
        <v>$0</v>
      </c>
      <c r="AE67" s="1050"/>
      <c r="AF67" s="1050"/>
      <c r="AG67" s="1050"/>
      <c r="AH67" s="1050"/>
    </row>
    <row r="68" spans="1:34" ht="12.95" customHeight="1">
      <c r="C68" s="2"/>
      <c r="E68" s="2"/>
      <c r="AB68" s="1"/>
      <c r="AC68" s="1"/>
      <c r="AD68" s="1"/>
      <c r="AE68" s="1"/>
      <c r="AF68" s="1"/>
    </row>
    <row r="69" spans="1:34" ht="12.95" customHeight="1">
      <c r="A69" s="2" t="s">
        <v>1009</v>
      </c>
      <c r="C69" s="2" t="s">
        <v>288</v>
      </c>
    </row>
    <row r="70" spans="1:34" ht="12.95" customHeight="1">
      <c r="A70" s="2"/>
      <c r="C70" s="2"/>
      <c r="D70" s="2" t="s">
        <v>1887</v>
      </c>
      <c r="AB70" s="1510"/>
      <c r="AC70" s="1511"/>
      <c r="AD70" s="1511"/>
      <c r="AE70" s="1511"/>
      <c r="AF70" s="1512"/>
    </row>
    <row r="71" spans="1:34" ht="12.95" customHeight="1">
      <c r="A71" s="2"/>
      <c r="C71" s="2"/>
      <c r="D71" s="2"/>
      <c r="E71" s="1514" t="s">
        <v>1888</v>
      </c>
      <c r="F71" s="1514"/>
      <c r="G71" s="1514"/>
      <c r="H71" s="1514"/>
      <c r="I71" s="1514"/>
      <c r="J71" s="1514"/>
      <c r="K71" s="1514"/>
      <c r="L71" s="1514"/>
      <c r="M71" s="1514"/>
      <c r="N71" s="1514"/>
      <c r="O71" s="1514"/>
      <c r="P71" s="1514"/>
      <c r="Q71" s="1514"/>
      <c r="R71" s="1514"/>
      <c r="S71" s="1514"/>
      <c r="T71" s="1514"/>
      <c r="U71" s="1514"/>
      <c r="V71" s="1514"/>
      <c r="W71" s="1514"/>
      <c r="X71" s="1514"/>
      <c r="Y71" s="1514"/>
      <c r="Z71" s="1514"/>
      <c r="AA71" s="188"/>
      <c r="AB71" s="188"/>
      <c r="AC71" s="188"/>
    </row>
    <row r="72" spans="1:34" ht="12.95" customHeight="1">
      <c r="A72" s="2"/>
      <c r="C72" s="2"/>
      <c r="D72" s="2"/>
      <c r="E72" s="1514"/>
      <c r="F72" s="1514"/>
      <c r="G72" s="1514"/>
      <c r="H72" s="1514"/>
      <c r="I72" s="1514"/>
      <c r="J72" s="1514"/>
      <c r="K72" s="1514"/>
      <c r="L72" s="1514"/>
      <c r="M72" s="1514"/>
      <c r="N72" s="1514"/>
      <c r="O72" s="1514"/>
      <c r="P72" s="1514"/>
      <c r="Q72" s="1514"/>
      <c r="R72" s="1514"/>
      <c r="S72" s="1514"/>
      <c r="T72" s="1514"/>
      <c r="U72" s="1514"/>
      <c r="V72" s="1514"/>
      <c r="W72" s="1514"/>
      <c r="X72" s="1514"/>
      <c r="Y72" s="1514"/>
      <c r="Z72" s="1514"/>
      <c r="AA72" s="188"/>
      <c r="AB72" s="188"/>
      <c r="AC72" s="188"/>
    </row>
    <row r="73" spans="1:34" ht="12.95" customHeight="1">
      <c r="A73" s="2"/>
      <c r="C73" s="2"/>
      <c r="D73" s="2"/>
      <c r="E73" s="1514"/>
      <c r="F73" s="1514"/>
      <c r="G73" s="1514"/>
      <c r="H73" s="1514"/>
      <c r="I73" s="1514"/>
      <c r="J73" s="1514"/>
      <c r="K73" s="1514"/>
      <c r="L73" s="1514"/>
      <c r="M73" s="1514"/>
      <c r="N73" s="1514"/>
      <c r="O73" s="1514"/>
      <c r="P73" s="1514"/>
      <c r="Q73" s="1514"/>
      <c r="R73" s="1514"/>
      <c r="S73" s="1514"/>
      <c r="T73" s="1514"/>
      <c r="U73" s="1514"/>
      <c r="V73" s="1514"/>
      <c r="W73" s="1514"/>
      <c r="X73" s="1514"/>
      <c r="Y73" s="1514"/>
      <c r="Z73" s="1514"/>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1889</v>
      </c>
      <c r="AB75" s="1855">
        <f>ROUND(IF(ISERROR((AB58/AB70)),0,(AB58/AB70)),0)</f>
        <v>0</v>
      </c>
      <c r="AC75" s="1855"/>
      <c r="AD75" s="1855"/>
      <c r="AE75" s="1855"/>
      <c r="AF75" s="1855"/>
    </row>
    <row r="76" spans="1:34" ht="12.95" customHeight="1">
      <c r="C76" s="2"/>
      <c r="D76" s="2" t="s">
        <v>1890</v>
      </c>
      <c r="AB76" s="1859">
        <f>IF((Y67+AD67&lt;AB75),Y67+AD67,AB75)</f>
        <v>0</v>
      </c>
      <c r="AC76" s="1860"/>
      <c r="AD76" s="1860"/>
      <c r="AE76" s="1860"/>
      <c r="AF76" s="1861"/>
    </row>
    <row r="77" spans="1:34" ht="12.95" customHeight="1">
      <c r="C77" s="2"/>
      <c r="D77" s="2" t="s">
        <v>1891</v>
      </c>
      <c r="AB77" s="1508">
        <f>AB76*AB70</f>
        <v>0</v>
      </c>
      <c r="AC77" s="1508"/>
      <c r="AD77" s="1508"/>
      <c r="AE77" s="1508"/>
      <c r="AF77" s="1508"/>
    </row>
    <row r="78" spans="1:34" ht="12.95" customHeight="1">
      <c r="C78" s="2"/>
      <c r="D78" s="2"/>
      <c r="AB78" s="456"/>
      <c r="AC78" s="456"/>
      <c r="AD78" s="456"/>
      <c r="AE78" s="456"/>
      <c r="AF78" s="456"/>
    </row>
    <row r="79" spans="1:34" ht="12.95" customHeight="1">
      <c r="D79" s="2" t="s">
        <v>1879</v>
      </c>
      <c r="AB79" s="1090">
        <f>AB48-(AB56+AB77)</f>
        <v>40963765.945813194</v>
      </c>
      <c r="AC79" s="1090"/>
      <c r="AD79" s="1090"/>
      <c r="AE79" s="1090"/>
      <c r="AF79" s="1090"/>
    </row>
    <row r="80" spans="1:34" ht="12.95" customHeight="1">
      <c r="F80" s="14"/>
      <c r="J80" s="14" t="str">
        <f>IF(AB79&gt;0,"FUNDING GAP MUST NOT EXCEED ZERO","")</f>
        <v>FUNDING GAP MUST NOT EXCEED ZERO</v>
      </c>
    </row>
    <row r="81" spans="4:4" ht="12.95" hidden="1" customHeight="1">
      <c r="D81" s="85"/>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topLeftCell="A18" workbookViewId="0">
      <selection activeCell="B5" sqref="B5"/>
    </sheetView>
  </sheetViews>
  <sheetFormatPr defaultColWidth="0" defaultRowHeight="12" customHeight="1" zeroHeight="1"/>
  <cols>
    <col min="1" max="1" width="35.5703125" style="241" customWidth="1"/>
    <col min="2" max="2" width="14.5703125" style="255" customWidth="1"/>
    <col min="3" max="4" width="14.5703125" style="242" customWidth="1"/>
    <col min="5" max="5" width="14.5703125" style="255" customWidth="1"/>
    <col min="6" max="6" width="50.5703125" style="242" customWidth="1"/>
    <col min="7" max="7" width="9.140625" style="242" customWidth="1"/>
    <col min="8" max="8" width="0.42578125" style="242" hidden="1" customWidth="1"/>
    <col min="9" max="16383" width="11.42578125" style="242" hidden="1"/>
    <col min="16384" max="16384" width="0.42578125" style="242" customWidth="1"/>
  </cols>
  <sheetData>
    <row r="1" spans="1:7" ht="18" customHeight="1">
      <c r="A1" s="504" t="s">
        <v>2534</v>
      </c>
      <c r="G1" s="427"/>
    </row>
    <row r="2" spans="1:7" ht="12.75">
      <c r="A2" s="195" t="s">
        <v>2535</v>
      </c>
      <c r="B2" s="163"/>
      <c r="C2" s="236"/>
      <c r="D2" s="236"/>
      <c r="E2" s="163"/>
      <c r="F2" s="237"/>
      <c r="G2" s="237"/>
    </row>
    <row r="3" spans="1:7" s="428" customFormat="1" ht="80.25" customHeight="1">
      <c r="A3" s="243"/>
      <c r="B3" s="238" t="s">
        <v>2536</v>
      </c>
      <c r="C3" s="238" t="s">
        <v>2537</v>
      </c>
      <c r="D3" s="238" t="s">
        <v>2538</v>
      </c>
      <c r="E3" s="238" t="s">
        <v>2539</v>
      </c>
      <c r="F3" s="807" t="s">
        <v>2540</v>
      </c>
      <c r="G3" s="238"/>
    </row>
    <row r="4" spans="1:7" s="429" customFormat="1" ht="12.75">
      <c r="A4" s="687" t="s">
        <v>1722</v>
      </c>
      <c r="B4" s="239"/>
      <c r="C4" s="239"/>
      <c r="D4" s="239"/>
      <c r="E4" s="239"/>
      <c r="F4" s="239"/>
      <c r="G4" s="239"/>
    </row>
    <row r="5" spans="1:7" s="429" customFormat="1" ht="12.75">
      <c r="A5" s="688" t="s">
        <v>2541</v>
      </c>
      <c r="B5" s="915">
        <f>'Sources and Uses Budget'!C4</f>
        <v>1954994</v>
      </c>
      <c r="C5" s="915">
        <f>'Sources and Uses Budget'!C4</f>
        <v>1954994</v>
      </c>
      <c r="D5" s="915">
        <f>'Sources and Uses Budget'!C4</f>
        <v>1954994</v>
      </c>
      <c r="E5" s="916">
        <f>C5-B5</f>
        <v>0</v>
      </c>
      <c r="F5" s="917"/>
      <c r="G5" s="917"/>
    </row>
    <row r="6" spans="1:7" s="429" customFormat="1" ht="12.75">
      <c r="A6" s="688" t="s">
        <v>2542</v>
      </c>
      <c r="B6" s="915">
        <f>'Sources and Uses Budget'!C5</f>
        <v>106455</v>
      </c>
      <c r="C6" s="915">
        <f>'Sources and Uses Budget'!C5</f>
        <v>106455</v>
      </c>
      <c r="D6" s="915">
        <f>'Sources and Uses Budget'!C5</f>
        <v>106455</v>
      </c>
      <c r="E6" s="916">
        <f t="shared" ref="E6:E73" si="0">C6-B6</f>
        <v>0</v>
      </c>
      <c r="F6" s="917"/>
      <c r="G6" s="917"/>
    </row>
    <row r="7" spans="1:7" s="429" customFormat="1" ht="12.75">
      <c r="A7" s="688" t="s">
        <v>1725</v>
      </c>
      <c r="B7" s="915">
        <f>'Sources and Uses Budget'!C6</f>
        <v>29848</v>
      </c>
      <c r="C7" s="915">
        <f>'Sources and Uses Budget'!C6</f>
        <v>29848</v>
      </c>
      <c r="D7" s="915">
        <f>'Sources and Uses Budget'!C6</f>
        <v>29848</v>
      </c>
      <c r="E7" s="916">
        <f t="shared" si="0"/>
        <v>0</v>
      </c>
      <c r="F7" s="917"/>
      <c r="G7" s="917"/>
    </row>
    <row r="8" spans="1:7" s="429" customFormat="1" ht="12.75">
      <c r="A8" s="688" t="s">
        <v>1726</v>
      </c>
      <c r="B8" s="915">
        <f>'Sources and Uses Budget'!C7</f>
        <v>0</v>
      </c>
      <c r="C8" s="915">
        <f>'Sources and Uses Budget'!C7</f>
        <v>0</v>
      </c>
      <c r="D8" s="915">
        <f>'Sources and Uses Budget'!C7</f>
        <v>0</v>
      </c>
      <c r="E8" s="916">
        <f t="shared" si="0"/>
        <v>0</v>
      </c>
      <c r="F8" s="917"/>
      <c r="G8" s="917"/>
    </row>
    <row r="9" spans="1:7" s="429" customFormat="1" ht="12.75">
      <c r="A9" s="689" t="s">
        <v>2543</v>
      </c>
      <c r="B9" s="916">
        <f>SUM(B5:B8)</f>
        <v>2091297</v>
      </c>
      <c r="C9" s="916">
        <f>SUM(C5:C8)</f>
        <v>2091297</v>
      </c>
      <c r="D9" s="916">
        <f>SUM(D5:D8)</f>
        <v>2091297</v>
      </c>
      <c r="E9" s="916">
        <f t="shared" si="0"/>
        <v>0</v>
      </c>
      <c r="F9" s="917"/>
      <c r="G9" s="917"/>
    </row>
    <row r="10" spans="1:7" s="429" customFormat="1" ht="12.75">
      <c r="A10" s="688" t="s">
        <v>2544</v>
      </c>
      <c r="B10" s="915">
        <f>'Sources and Uses Budget'!C9</f>
        <v>0</v>
      </c>
      <c r="C10" s="915">
        <f>'Sources and Uses Budget'!C9</f>
        <v>0</v>
      </c>
      <c r="D10" s="915">
        <f>'Sources and Uses Budget'!C9</f>
        <v>0</v>
      </c>
      <c r="E10" s="916">
        <f t="shared" si="0"/>
        <v>0</v>
      </c>
      <c r="F10" s="917"/>
      <c r="G10" s="917"/>
    </row>
    <row r="11" spans="1:7" s="429" customFormat="1" ht="12.75">
      <c r="A11" s="688" t="s">
        <v>2545</v>
      </c>
      <c r="B11" s="915">
        <f>'Sources and Uses Budget'!C10</f>
        <v>288901</v>
      </c>
      <c r="C11" s="915">
        <f>'Sources and Uses Budget'!C10</f>
        <v>288901</v>
      </c>
      <c r="D11" s="915">
        <f>'Sources and Uses Budget'!C10</f>
        <v>288901</v>
      </c>
      <c r="E11" s="916">
        <f t="shared" si="0"/>
        <v>0</v>
      </c>
      <c r="F11" s="917"/>
      <c r="G11" s="917"/>
    </row>
    <row r="12" spans="1:7" s="429" customFormat="1" ht="12.75">
      <c r="A12" s="689" t="s">
        <v>1730</v>
      </c>
      <c r="B12" s="916">
        <f>SUM(B10:B11)</f>
        <v>288901</v>
      </c>
      <c r="C12" s="916">
        <f>SUM(C10:C11)</f>
        <v>288901</v>
      </c>
      <c r="D12" s="916">
        <f>SUM(D10:D11)</f>
        <v>288901</v>
      </c>
      <c r="E12" s="916">
        <f t="shared" si="0"/>
        <v>0</v>
      </c>
      <c r="F12" s="917"/>
      <c r="G12" s="917"/>
    </row>
    <row r="13" spans="1:7" s="429" customFormat="1" ht="12.75">
      <c r="A13" s="689" t="s">
        <v>1731</v>
      </c>
      <c r="B13" s="916">
        <f>SUM(B9+B12)</f>
        <v>2380198</v>
      </c>
      <c r="C13" s="916">
        <f>SUM(C9+C12)</f>
        <v>2380198</v>
      </c>
      <c r="D13" s="916">
        <f>SUM(D9+D12)</f>
        <v>2380198</v>
      </c>
      <c r="E13" s="916">
        <f t="shared" si="0"/>
        <v>0</v>
      </c>
      <c r="F13" s="917"/>
      <c r="G13" s="917"/>
    </row>
    <row r="14" spans="1:7" s="429" customFormat="1" ht="12.75">
      <c r="A14" s="690" t="s">
        <v>1732</v>
      </c>
      <c r="B14" s="915">
        <f>'Sources and Uses Budget'!C13</f>
        <v>120000</v>
      </c>
      <c r="C14" s="915">
        <f>'Sources and Uses Budget'!C13</f>
        <v>120000</v>
      </c>
      <c r="D14" s="915">
        <f>'Sources and Uses Budget'!C13</f>
        <v>120000</v>
      </c>
      <c r="E14" s="916">
        <f t="shared" si="0"/>
        <v>0</v>
      </c>
      <c r="F14" s="917"/>
      <c r="G14" s="917"/>
    </row>
    <row r="15" spans="1:7" s="429" customFormat="1" ht="24">
      <c r="A15" s="688" t="s">
        <v>1733</v>
      </c>
      <c r="B15" s="915">
        <f>'Sources and Uses Budget'!C14</f>
        <v>0</v>
      </c>
      <c r="C15" s="915">
        <f>'Sources and Uses Budget'!C14</f>
        <v>0</v>
      </c>
      <c r="D15" s="915">
        <f>'Sources and Uses Budget'!C14</f>
        <v>0</v>
      </c>
      <c r="E15" s="916">
        <f t="shared" si="0"/>
        <v>0</v>
      </c>
      <c r="F15" s="917"/>
      <c r="G15" s="917"/>
    </row>
    <row r="16" spans="1:7" s="429" customFormat="1" ht="12.75">
      <c r="A16" s="688" t="s">
        <v>1734</v>
      </c>
      <c r="B16" s="915">
        <f>'Sources and Uses Budget'!C15</f>
        <v>0</v>
      </c>
      <c r="C16" s="915">
        <f>'Sources and Uses Budget'!C15</f>
        <v>0</v>
      </c>
      <c r="D16" s="915">
        <f>'Sources and Uses Budget'!C15</f>
        <v>0</v>
      </c>
      <c r="E16" s="916">
        <f t="shared" si="0"/>
        <v>0</v>
      </c>
      <c r="F16" s="917"/>
      <c r="G16" s="917"/>
    </row>
    <row r="17" spans="1:7" s="429" customFormat="1" ht="12.75">
      <c r="A17" s="687" t="s">
        <v>1735</v>
      </c>
      <c r="B17" s="239"/>
      <c r="C17" s="239"/>
      <c r="D17" s="239"/>
      <c r="E17" s="239"/>
      <c r="F17" s="239"/>
      <c r="G17" s="239"/>
    </row>
    <row r="18" spans="1:7" s="429" customFormat="1" ht="12.75">
      <c r="A18" s="174" t="s">
        <v>1736</v>
      </c>
      <c r="B18" s="915">
        <f>'Sources and Uses Budget'!C17</f>
        <v>0</v>
      </c>
      <c r="C18" s="915">
        <f>'Sources and Uses Budget'!C17</f>
        <v>0</v>
      </c>
      <c r="D18" s="915">
        <f>'Sources and Uses Budget'!C17</f>
        <v>0</v>
      </c>
      <c r="E18" s="916">
        <f t="shared" si="0"/>
        <v>0</v>
      </c>
      <c r="F18" s="917"/>
      <c r="G18" s="917"/>
    </row>
    <row r="19" spans="1:7" s="429" customFormat="1" ht="12.75">
      <c r="A19" s="174" t="s">
        <v>1737</v>
      </c>
      <c r="B19" s="915">
        <f>'Sources and Uses Budget'!C18</f>
        <v>0</v>
      </c>
      <c r="C19" s="915">
        <f>'Sources and Uses Budget'!C18</f>
        <v>0</v>
      </c>
      <c r="D19" s="915">
        <f>'Sources and Uses Budget'!C18</f>
        <v>0</v>
      </c>
      <c r="E19" s="916">
        <f t="shared" ref="E19:E26" si="1">C19-B19</f>
        <v>0</v>
      </c>
      <c r="F19" s="917"/>
      <c r="G19" s="917"/>
    </row>
    <row r="20" spans="1:7" s="429" customFormat="1" ht="12.75">
      <c r="A20" s="174" t="s">
        <v>1738</v>
      </c>
      <c r="B20" s="915">
        <f>'Sources and Uses Budget'!C19</f>
        <v>0</v>
      </c>
      <c r="C20" s="915">
        <f>'Sources and Uses Budget'!C19</f>
        <v>0</v>
      </c>
      <c r="D20" s="915">
        <f>'Sources and Uses Budget'!C19</f>
        <v>0</v>
      </c>
      <c r="E20" s="916">
        <f t="shared" si="1"/>
        <v>0</v>
      </c>
      <c r="F20" s="917"/>
      <c r="G20" s="917"/>
    </row>
    <row r="21" spans="1:7" s="429" customFormat="1" ht="12.75">
      <c r="A21" s="174" t="s">
        <v>1739</v>
      </c>
      <c r="B21" s="915">
        <f>'Sources and Uses Budget'!C20</f>
        <v>0</v>
      </c>
      <c r="C21" s="915">
        <f>'Sources and Uses Budget'!C20</f>
        <v>0</v>
      </c>
      <c r="D21" s="915">
        <f>'Sources and Uses Budget'!C20</f>
        <v>0</v>
      </c>
      <c r="E21" s="916">
        <f t="shared" si="1"/>
        <v>0</v>
      </c>
      <c r="F21" s="917"/>
      <c r="G21" s="917"/>
    </row>
    <row r="22" spans="1:7" s="429" customFormat="1" ht="12.75">
      <c r="A22" s="174" t="s">
        <v>1740</v>
      </c>
      <c r="B22" s="915">
        <f>'Sources and Uses Budget'!C21</f>
        <v>0</v>
      </c>
      <c r="C22" s="915">
        <f>'Sources and Uses Budget'!C21</f>
        <v>0</v>
      </c>
      <c r="D22" s="915">
        <f>'Sources and Uses Budget'!C21</f>
        <v>0</v>
      </c>
      <c r="E22" s="916">
        <f t="shared" si="1"/>
        <v>0</v>
      </c>
      <c r="F22" s="917"/>
      <c r="G22" s="917"/>
    </row>
    <row r="23" spans="1:7" s="429" customFormat="1" ht="12.75">
      <c r="A23" s="174" t="s">
        <v>1741</v>
      </c>
      <c r="B23" s="915">
        <f>'Sources and Uses Budget'!C22</f>
        <v>0</v>
      </c>
      <c r="C23" s="915">
        <f>'Sources and Uses Budget'!C22</f>
        <v>0</v>
      </c>
      <c r="D23" s="915">
        <f>'Sources and Uses Budget'!C22</f>
        <v>0</v>
      </c>
      <c r="E23" s="916">
        <f t="shared" si="1"/>
        <v>0</v>
      </c>
      <c r="F23" s="917"/>
      <c r="G23" s="917"/>
    </row>
    <row r="24" spans="1:7" s="429" customFormat="1" ht="12.75">
      <c r="A24" s="174" t="s">
        <v>1742</v>
      </c>
      <c r="B24" s="915">
        <f>'Sources and Uses Budget'!C23</f>
        <v>0</v>
      </c>
      <c r="C24" s="915">
        <f>'Sources and Uses Budget'!C23</f>
        <v>0</v>
      </c>
      <c r="D24" s="915">
        <f>'Sources and Uses Budget'!C23</f>
        <v>0</v>
      </c>
      <c r="E24" s="916">
        <f t="shared" si="1"/>
        <v>0</v>
      </c>
      <c r="F24" s="917"/>
      <c r="G24" s="917"/>
    </row>
    <row r="25" spans="1:7" s="429" customFormat="1" ht="12.75">
      <c r="A25" s="185" t="s">
        <v>1743</v>
      </c>
      <c r="B25" s="915">
        <f>'Sources and Uses Budget'!C24</f>
        <v>0</v>
      </c>
      <c r="C25" s="915">
        <f>'Sources and Uses Budget'!C24</f>
        <v>0</v>
      </c>
      <c r="D25" s="915">
        <f>'Sources and Uses Budget'!C24</f>
        <v>0</v>
      </c>
      <c r="E25" s="916">
        <f t="shared" si="1"/>
        <v>0</v>
      </c>
      <c r="F25" s="917"/>
      <c r="G25" s="917"/>
    </row>
    <row r="26" spans="1:7" s="429" customFormat="1" ht="12.75">
      <c r="A26" s="185" t="s">
        <v>1744</v>
      </c>
      <c r="B26" s="915">
        <f>'Sources and Uses Budget'!C25</f>
        <v>0</v>
      </c>
      <c r="C26" s="915">
        <f>'Sources and Uses Budget'!C25</f>
        <v>0</v>
      </c>
      <c r="D26" s="915">
        <f>'Sources and Uses Budget'!C25</f>
        <v>0</v>
      </c>
      <c r="E26" s="916">
        <f t="shared" si="1"/>
        <v>0</v>
      </c>
      <c r="F26" s="917"/>
      <c r="G26" s="917"/>
    </row>
    <row r="27" spans="1:7" s="429" customFormat="1" ht="12.75">
      <c r="A27" s="240" t="s">
        <v>1745</v>
      </c>
      <c r="B27" s="918">
        <f>'Sources and Uses Budget'!C26</f>
        <v>0</v>
      </c>
      <c r="C27" s="918">
        <f>'Sources and Uses Budget'!C26</f>
        <v>0</v>
      </c>
      <c r="D27" s="918">
        <f>'Sources and Uses Budget'!C26</f>
        <v>0</v>
      </c>
      <c r="E27" s="916">
        <f>C27-B27</f>
        <v>0</v>
      </c>
      <c r="F27" s="917"/>
      <c r="G27" s="917"/>
    </row>
    <row r="28" spans="1:7" s="429" customFormat="1" ht="12.75">
      <c r="A28" s="691" t="s">
        <v>1746</v>
      </c>
      <c r="B28" s="915">
        <f>'Sources and Uses Budget'!C27</f>
        <v>0</v>
      </c>
      <c r="C28" s="915">
        <f>'Sources and Uses Budget'!C27</f>
        <v>0</v>
      </c>
      <c r="D28" s="915">
        <f>'Sources and Uses Budget'!C27</f>
        <v>0</v>
      </c>
      <c r="E28" s="916">
        <f>C28-B28</f>
        <v>0</v>
      </c>
      <c r="F28" s="917"/>
      <c r="G28" s="917"/>
    </row>
    <row r="29" spans="1:7" s="429" customFormat="1" ht="12.75">
      <c r="A29" s="687" t="s">
        <v>1747</v>
      </c>
      <c r="B29" s="239"/>
      <c r="C29" s="239"/>
      <c r="D29" s="239"/>
      <c r="E29" s="239"/>
      <c r="F29" s="239"/>
      <c r="G29" s="239"/>
    </row>
    <row r="30" spans="1:7" s="429" customFormat="1" ht="12.75">
      <c r="A30" s="174" t="s">
        <v>1736</v>
      </c>
      <c r="B30" s="915">
        <f>'Sources and Uses Budget'!C29</f>
        <v>497013</v>
      </c>
      <c r="C30" s="915">
        <f>'Sources and Uses Budget'!C29</f>
        <v>497013</v>
      </c>
      <c r="D30" s="915">
        <f>'Sources and Uses Budget'!C29</f>
        <v>497013</v>
      </c>
      <c r="E30" s="916">
        <f t="shared" si="0"/>
        <v>0</v>
      </c>
      <c r="F30" s="917"/>
      <c r="G30" s="917"/>
    </row>
    <row r="31" spans="1:7" s="429" customFormat="1" ht="12.75">
      <c r="A31" s="174" t="s">
        <v>1737</v>
      </c>
      <c r="B31" s="915">
        <f>'Sources and Uses Budget'!C30</f>
        <v>16743042.521987051</v>
      </c>
      <c r="C31" s="915">
        <f>'Sources and Uses Budget'!C30</f>
        <v>16743042.521987051</v>
      </c>
      <c r="D31" s="915">
        <f>'Sources and Uses Budget'!C30</f>
        <v>16743042.521987051</v>
      </c>
      <c r="E31" s="916">
        <f t="shared" si="0"/>
        <v>0</v>
      </c>
      <c r="F31" s="917"/>
      <c r="G31" s="917"/>
    </row>
    <row r="32" spans="1:7" s="429" customFormat="1" ht="12.75">
      <c r="A32" s="174" t="s">
        <v>1738</v>
      </c>
      <c r="B32" s="915">
        <f>'Sources and Uses Budget'!C31</f>
        <v>1282815.6000000001</v>
      </c>
      <c r="C32" s="915">
        <f>'Sources and Uses Budget'!C31</f>
        <v>1282815.6000000001</v>
      </c>
      <c r="D32" s="915">
        <f>'Sources and Uses Budget'!C31</f>
        <v>1282815.6000000001</v>
      </c>
      <c r="E32" s="916">
        <f t="shared" si="0"/>
        <v>0</v>
      </c>
      <c r="F32" s="917"/>
      <c r="G32" s="917"/>
    </row>
    <row r="33" spans="1:7" s="429" customFormat="1" ht="12.75">
      <c r="A33" s="174" t="s">
        <v>1739</v>
      </c>
      <c r="B33" s="915">
        <f>'Sources and Uses Budget'!C32</f>
        <v>485053.3848215249</v>
      </c>
      <c r="C33" s="915">
        <f>'Sources and Uses Budget'!C32</f>
        <v>485053.3848215249</v>
      </c>
      <c r="D33" s="915">
        <f>'Sources and Uses Budget'!C32</f>
        <v>485053.3848215249</v>
      </c>
      <c r="E33" s="916">
        <f t="shared" si="0"/>
        <v>0</v>
      </c>
      <c r="F33" s="917"/>
      <c r="G33" s="917"/>
    </row>
    <row r="34" spans="1:7" s="429" customFormat="1" ht="12.75">
      <c r="A34" s="174" t="s">
        <v>1740</v>
      </c>
      <c r="B34" s="915">
        <f>'Sources and Uses Budget'!C33</f>
        <v>485053.3848215249</v>
      </c>
      <c r="C34" s="915">
        <f>'Sources and Uses Budget'!C33</f>
        <v>485053.3848215249</v>
      </c>
      <c r="D34" s="915">
        <f>'Sources and Uses Budget'!C33</f>
        <v>485053.3848215249</v>
      </c>
      <c r="E34" s="916">
        <f t="shared" si="0"/>
        <v>0</v>
      </c>
      <c r="F34" s="917"/>
      <c r="G34" s="917"/>
    </row>
    <row r="35" spans="1:7" s="429" customFormat="1" ht="12.75">
      <c r="A35" s="174" t="s">
        <v>1741</v>
      </c>
      <c r="B35" s="915">
        <f>'Sources and Uses Budget'!C34</f>
        <v>4025345.5397753455</v>
      </c>
      <c r="C35" s="915">
        <f>'Sources and Uses Budget'!C34</f>
        <v>4025345.5397753455</v>
      </c>
      <c r="D35" s="915">
        <f>'Sources and Uses Budget'!C34</f>
        <v>4025345.5397753455</v>
      </c>
      <c r="E35" s="916">
        <f t="shared" si="0"/>
        <v>0</v>
      </c>
      <c r="F35" s="917"/>
      <c r="G35" s="917"/>
    </row>
    <row r="36" spans="1:7" s="429" customFormat="1" ht="12.75">
      <c r="A36" s="174" t="s">
        <v>1742</v>
      </c>
      <c r="B36" s="915">
        <f>'Sources and Uses Budget'!C35</f>
        <v>433312.18919359823</v>
      </c>
      <c r="C36" s="915">
        <f>'Sources and Uses Budget'!C35</f>
        <v>433312.18919359823</v>
      </c>
      <c r="D36" s="915">
        <f>'Sources and Uses Budget'!C35</f>
        <v>433312.18919359823</v>
      </c>
      <c r="E36" s="916">
        <f t="shared" si="0"/>
        <v>0</v>
      </c>
      <c r="F36" s="917"/>
      <c r="G36" s="917"/>
    </row>
    <row r="37" spans="1:7" s="429" customFormat="1" ht="12.75">
      <c r="A37" s="174" t="s">
        <v>1743</v>
      </c>
      <c r="B37" s="915">
        <f>'Sources and Uses Budget'!C36</f>
        <v>525000</v>
      </c>
      <c r="C37" s="915">
        <f>'Sources and Uses Budget'!C36</f>
        <v>525000</v>
      </c>
      <c r="D37" s="915">
        <f>'Sources and Uses Budget'!C36</f>
        <v>525000</v>
      </c>
      <c r="E37" s="916">
        <f t="shared" si="0"/>
        <v>0</v>
      </c>
      <c r="F37" s="917"/>
      <c r="G37" s="917"/>
    </row>
    <row r="38" spans="1:7" s="429" customFormat="1" ht="12.75">
      <c r="A38" s="185" t="s">
        <v>1744</v>
      </c>
      <c r="B38" s="915">
        <f>'Sources and Uses Budget'!C37</f>
        <v>624538.14</v>
      </c>
      <c r="C38" s="915">
        <f>'Sources and Uses Budget'!C37</f>
        <v>624538.14</v>
      </c>
      <c r="D38" s="915">
        <f>'Sources and Uses Budget'!C37</f>
        <v>624538.14</v>
      </c>
      <c r="E38" s="916">
        <f>C38-B38</f>
        <v>0</v>
      </c>
      <c r="F38" s="917"/>
      <c r="G38" s="917"/>
    </row>
    <row r="39" spans="1:7" s="429" customFormat="1" ht="12.75">
      <c r="A39" s="691" t="s">
        <v>1749</v>
      </c>
      <c r="B39" s="918">
        <f>'Sources and Uses Budget'!C38</f>
        <v>25101173.760599051</v>
      </c>
      <c r="C39" s="918">
        <f>'Sources and Uses Budget'!C38</f>
        <v>25101173.760599051</v>
      </c>
      <c r="D39" s="918">
        <f>'Sources and Uses Budget'!C38</f>
        <v>25101173.760599051</v>
      </c>
      <c r="E39" s="916">
        <f>C39-B39</f>
        <v>0</v>
      </c>
      <c r="F39" s="917"/>
      <c r="G39" s="917"/>
    </row>
    <row r="40" spans="1:7" s="429" customFormat="1" ht="12.75">
      <c r="A40" s="687" t="s">
        <v>1750</v>
      </c>
      <c r="B40" s="239"/>
      <c r="C40" s="239"/>
      <c r="D40" s="239"/>
      <c r="E40" s="239"/>
      <c r="F40" s="239"/>
      <c r="G40" s="239"/>
    </row>
    <row r="41" spans="1:7" s="429" customFormat="1" ht="12.75">
      <c r="A41" s="692" t="s">
        <v>1751</v>
      </c>
      <c r="B41" s="915">
        <f>'Sources and Uses Budget'!C40</f>
        <v>1058087.8</v>
      </c>
      <c r="C41" s="915">
        <f>'Sources and Uses Budget'!C40</f>
        <v>1058087.8</v>
      </c>
      <c r="D41" s="915">
        <f>'Sources and Uses Budget'!C40</f>
        <v>1058087.8</v>
      </c>
      <c r="E41" s="916">
        <f>C41-B41</f>
        <v>0</v>
      </c>
      <c r="F41" s="917"/>
      <c r="G41" s="917"/>
    </row>
    <row r="42" spans="1:7" s="429" customFormat="1" ht="12.75">
      <c r="A42" s="692" t="s">
        <v>1752</v>
      </c>
      <c r="B42" s="915">
        <f>'Sources and Uses Budget'!C41</f>
        <v>0</v>
      </c>
      <c r="C42" s="915">
        <f>'Sources and Uses Budget'!C41</f>
        <v>0</v>
      </c>
      <c r="D42" s="915">
        <f>'Sources and Uses Budget'!C41</f>
        <v>0</v>
      </c>
      <c r="E42" s="916">
        <f>C42-B42</f>
        <v>0</v>
      </c>
      <c r="F42" s="917"/>
      <c r="G42" s="917"/>
    </row>
    <row r="43" spans="1:7" s="429" customFormat="1" ht="12" customHeight="1">
      <c r="A43" s="691" t="s">
        <v>1753</v>
      </c>
      <c r="B43" s="918">
        <f>'Sources and Uses Budget'!C42</f>
        <v>1058087.8</v>
      </c>
      <c r="C43" s="918">
        <f>'Sources and Uses Budget'!C42</f>
        <v>1058087.8</v>
      </c>
      <c r="D43" s="918">
        <f>'Sources and Uses Budget'!C42</f>
        <v>1058087.8</v>
      </c>
      <c r="E43" s="916">
        <f>C43-B43</f>
        <v>0</v>
      </c>
      <c r="F43" s="917"/>
      <c r="G43" s="917"/>
    </row>
    <row r="44" spans="1:7" s="429" customFormat="1" ht="12.75">
      <c r="A44" s="691" t="s">
        <v>1754</v>
      </c>
      <c r="B44" s="915">
        <f>'Sources and Uses Budget'!C43</f>
        <v>335000</v>
      </c>
      <c r="C44" s="915">
        <f>'Sources and Uses Budget'!C43</f>
        <v>335000</v>
      </c>
      <c r="D44" s="915">
        <f>'Sources and Uses Budget'!C43</f>
        <v>335000</v>
      </c>
      <c r="E44" s="916">
        <f>C44-B44</f>
        <v>0</v>
      </c>
      <c r="F44" s="917"/>
      <c r="G44" s="917"/>
    </row>
    <row r="45" spans="1:7" s="429" customFormat="1" ht="12.75">
      <c r="A45" s="170" t="s">
        <v>1755</v>
      </c>
      <c r="B45" s="239"/>
      <c r="C45" s="239"/>
      <c r="D45" s="239"/>
      <c r="E45" s="239"/>
      <c r="F45" s="239"/>
      <c r="G45" s="239"/>
    </row>
    <row r="46" spans="1:7" s="429" customFormat="1" ht="12" customHeight="1">
      <c r="A46" s="174" t="s">
        <v>1756</v>
      </c>
      <c r="B46" s="915">
        <f>'Sources and Uses Budget'!C45</f>
        <v>2397937.1566535127</v>
      </c>
      <c r="C46" s="915">
        <f>'Sources and Uses Budget'!C45</f>
        <v>2397937.1566535127</v>
      </c>
      <c r="D46" s="915">
        <f>'Sources and Uses Budget'!C45</f>
        <v>2397937.1566535127</v>
      </c>
      <c r="E46" s="916">
        <f t="shared" si="0"/>
        <v>0</v>
      </c>
      <c r="F46" s="917"/>
      <c r="G46" s="917"/>
    </row>
    <row r="47" spans="1:7" s="429" customFormat="1" ht="12.75">
      <c r="A47" s="174" t="s">
        <v>1757</v>
      </c>
      <c r="B47" s="915">
        <f>'Sources and Uses Budget'!C46</f>
        <v>191834.97253228101</v>
      </c>
      <c r="C47" s="915">
        <f>'Sources and Uses Budget'!C46</f>
        <v>191834.97253228101</v>
      </c>
      <c r="D47" s="915">
        <f>'Sources and Uses Budget'!C46</f>
        <v>191834.97253228101</v>
      </c>
      <c r="E47" s="916">
        <f t="shared" si="0"/>
        <v>0</v>
      </c>
      <c r="F47" s="917"/>
      <c r="G47" s="917"/>
    </row>
    <row r="48" spans="1:7" s="429" customFormat="1" ht="12.75">
      <c r="A48" s="174" t="s">
        <v>1758</v>
      </c>
      <c r="B48" s="915">
        <f>'Sources and Uses Budget'!C47</f>
        <v>0</v>
      </c>
      <c r="C48" s="915">
        <f>'Sources and Uses Budget'!C47</f>
        <v>0</v>
      </c>
      <c r="D48" s="915">
        <f>'Sources and Uses Budget'!C47</f>
        <v>0</v>
      </c>
      <c r="E48" s="916">
        <f t="shared" si="0"/>
        <v>0</v>
      </c>
      <c r="F48" s="917"/>
      <c r="G48" s="917"/>
    </row>
    <row r="49" spans="1:7" s="429" customFormat="1" ht="12.75">
      <c r="A49" s="174" t="s">
        <v>1759</v>
      </c>
      <c r="B49" s="915">
        <f>'Sources and Uses Budget'!C48</f>
        <v>0</v>
      </c>
      <c r="C49" s="915">
        <f>'Sources and Uses Budget'!C48</f>
        <v>0</v>
      </c>
      <c r="D49" s="915">
        <f>'Sources and Uses Budget'!C48</f>
        <v>0</v>
      </c>
      <c r="E49" s="916">
        <f t="shared" si="0"/>
        <v>0</v>
      </c>
      <c r="F49" s="917"/>
      <c r="G49" s="917"/>
    </row>
    <row r="50" spans="1:7" s="429" customFormat="1" ht="12.75">
      <c r="A50" s="174" t="s">
        <v>1760</v>
      </c>
      <c r="B50" s="915">
        <f>'Sources and Uses Budget'!C49</f>
        <v>80000</v>
      </c>
      <c r="C50" s="915">
        <f>'Sources and Uses Budget'!C49</f>
        <v>80000</v>
      </c>
      <c r="D50" s="915">
        <f>'Sources and Uses Budget'!C49</f>
        <v>80000</v>
      </c>
      <c r="E50" s="916">
        <f t="shared" si="0"/>
        <v>0</v>
      </c>
      <c r="F50" s="917"/>
      <c r="G50" s="917"/>
    </row>
    <row r="51" spans="1:7" s="429" customFormat="1" ht="12.75">
      <c r="A51" s="174" t="s">
        <v>1761</v>
      </c>
      <c r="B51" s="915">
        <f>'Sources and Uses Budget'!C50</f>
        <v>300000</v>
      </c>
      <c r="C51" s="915">
        <f>'Sources and Uses Budget'!C50</f>
        <v>300000</v>
      </c>
      <c r="D51" s="915">
        <f>'Sources and Uses Budget'!C50</f>
        <v>300000</v>
      </c>
      <c r="E51" s="916">
        <f t="shared" si="0"/>
        <v>0</v>
      </c>
      <c r="F51" s="917"/>
      <c r="G51" s="917"/>
    </row>
    <row r="52" spans="1:7" s="430" customFormat="1" ht="12.75">
      <c r="A52" s="174" t="s">
        <v>1762</v>
      </c>
      <c r="B52" s="915">
        <f>'Sources and Uses Budget'!C51</f>
        <v>950000</v>
      </c>
      <c r="C52" s="915">
        <f>'Sources and Uses Budget'!C51</f>
        <v>950000</v>
      </c>
      <c r="D52" s="915">
        <f>'Sources and Uses Budget'!C51</f>
        <v>950000</v>
      </c>
      <c r="E52" s="916">
        <f t="shared" si="0"/>
        <v>0</v>
      </c>
      <c r="F52" s="917"/>
      <c r="G52" s="917"/>
    </row>
    <row r="53" spans="1:7" s="429" customFormat="1" ht="12.75">
      <c r="A53" s="181" t="s">
        <v>1744</v>
      </c>
      <c r="B53" s="915">
        <f>'Sources and Uses Budget'!C52</f>
        <v>35000</v>
      </c>
      <c r="C53" s="915">
        <f>'Sources and Uses Budget'!C52</f>
        <v>35000</v>
      </c>
      <c r="D53" s="915">
        <f>'Sources and Uses Budget'!C52</f>
        <v>35000</v>
      </c>
      <c r="E53" s="916">
        <f t="shared" si="0"/>
        <v>0</v>
      </c>
      <c r="F53" s="917"/>
      <c r="G53" s="917"/>
    </row>
    <row r="54" spans="1:7" s="429" customFormat="1" ht="12.75">
      <c r="A54" s="178" t="s">
        <v>1764</v>
      </c>
      <c r="B54" s="918">
        <f>'Sources and Uses Budget'!C53</f>
        <v>3954772.1291857939</v>
      </c>
      <c r="C54" s="918">
        <f>'Sources and Uses Budget'!C53</f>
        <v>3954772.1291857939</v>
      </c>
      <c r="D54" s="918">
        <f>'Sources and Uses Budget'!C53</f>
        <v>3954772.1291857939</v>
      </c>
      <c r="E54" s="916">
        <f t="shared" si="0"/>
        <v>0</v>
      </c>
      <c r="F54" s="917"/>
      <c r="G54" s="917"/>
    </row>
    <row r="55" spans="1:7" s="429" customFormat="1" ht="12" customHeight="1">
      <c r="A55" s="687" t="s">
        <v>1326</v>
      </c>
      <c r="B55" s="239"/>
      <c r="C55" s="239"/>
      <c r="D55" s="239"/>
      <c r="E55" s="239"/>
      <c r="F55" s="239"/>
      <c r="G55" s="239"/>
    </row>
    <row r="56" spans="1:7" s="429" customFormat="1" ht="12.75">
      <c r="A56" s="692" t="s">
        <v>1765</v>
      </c>
      <c r="B56" s="915">
        <f>'Sources and Uses Budget'!C55</f>
        <v>45280</v>
      </c>
      <c r="C56" s="915">
        <f>'Sources and Uses Budget'!C55</f>
        <v>45280</v>
      </c>
      <c r="D56" s="915">
        <f>'Sources and Uses Budget'!C55</f>
        <v>45280</v>
      </c>
      <c r="E56" s="916">
        <f t="shared" si="0"/>
        <v>0</v>
      </c>
      <c r="F56" s="917"/>
      <c r="G56" s="917"/>
    </row>
    <row r="57" spans="1:7" s="429" customFormat="1" ht="12.75">
      <c r="A57" s="692" t="s">
        <v>1758</v>
      </c>
      <c r="B57" s="915">
        <f>'Sources and Uses Budget'!C56</f>
        <v>0</v>
      </c>
      <c r="C57" s="915">
        <f>'Sources and Uses Budget'!C56</f>
        <v>0</v>
      </c>
      <c r="D57" s="915">
        <f>'Sources and Uses Budget'!C56</f>
        <v>0</v>
      </c>
      <c r="E57" s="916">
        <f t="shared" si="0"/>
        <v>0</v>
      </c>
      <c r="F57" s="917"/>
      <c r="G57" s="917"/>
    </row>
    <row r="58" spans="1:7" s="429" customFormat="1" ht="12.75">
      <c r="A58" s="692" t="s">
        <v>1760</v>
      </c>
      <c r="B58" s="915">
        <f>'Sources and Uses Budget'!C57</f>
        <v>25000</v>
      </c>
      <c r="C58" s="915">
        <f>'Sources and Uses Budget'!C57</f>
        <v>25000</v>
      </c>
      <c r="D58" s="915">
        <f>'Sources and Uses Budget'!C57</f>
        <v>25000</v>
      </c>
      <c r="E58" s="916">
        <f t="shared" si="0"/>
        <v>0</v>
      </c>
      <c r="F58" s="917"/>
      <c r="G58" s="917"/>
    </row>
    <row r="59" spans="1:7" s="429" customFormat="1" ht="12.75">
      <c r="A59" s="692" t="s">
        <v>1761</v>
      </c>
      <c r="B59" s="915">
        <f>'Sources and Uses Budget'!C58</f>
        <v>0</v>
      </c>
      <c r="C59" s="915">
        <f>'Sources and Uses Budget'!C58</f>
        <v>0</v>
      </c>
      <c r="D59" s="915">
        <f>'Sources and Uses Budget'!C58</f>
        <v>0</v>
      </c>
      <c r="E59" s="916">
        <f t="shared" si="0"/>
        <v>0</v>
      </c>
      <c r="F59" s="917"/>
      <c r="G59" s="917"/>
    </row>
    <row r="60" spans="1:7" s="429" customFormat="1" ht="12.75">
      <c r="A60" s="692" t="s">
        <v>1762</v>
      </c>
      <c r="B60" s="915">
        <f>'Sources and Uses Budget'!C59</f>
        <v>0</v>
      </c>
      <c r="C60" s="915">
        <f>'Sources and Uses Budget'!C59</f>
        <v>0</v>
      </c>
      <c r="D60" s="915">
        <f>'Sources and Uses Budget'!C59</f>
        <v>0</v>
      </c>
      <c r="E60" s="916">
        <f t="shared" si="0"/>
        <v>0</v>
      </c>
      <c r="F60" s="917"/>
      <c r="G60" s="917"/>
    </row>
    <row r="61" spans="1:7" s="429" customFormat="1" ht="13.9" customHeight="1">
      <c r="A61" s="693" t="s">
        <v>1744</v>
      </c>
      <c r="B61" s="915">
        <f>'Sources and Uses Budget'!C60</f>
        <v>25000</v>
      </c>
      <c r="C61" s="915">
        <f>'Sources and Uses Budget'!C60</f>
        <v>25000</v>
      </c>
      <c r="D61" s="915">
        <f>'Sources and Uses Budget'!C60</f>
        <v>25000</v>
      </c>
      <c r="E61" s="916">
        <f t="shared" si="0"/>
        <v>0</v>
      </c>
      <c r="F61" s="917"/>
      <c r="G61" s="917"/>
    </row>
    <row r="62" spans="1:7" s="429" customFormat="1" ht="12.75">
      <c r="A62" s="691" t="s">
        <v>1767</v>
      </c>
      <c r="B62" s="918">
        <f>'Sources and Uses Budget'!C61</f>
        <v>95280</v>
      </c>
      <c r="C62" s="918">
        <f>'Sources and Uses Budget'!C61</f>
        <v>95280</v>
      </c>
      <c r="D62" s="918">
        <f>'Sources and Uses Budget'!C61</f>
        <v>95280</v>
      </c>
      <c r="E62" s="916">
        <f t="shared" si="0"/>
        <v>0</v>
      </c>
      <c r="F62" s="917"/>
      <c r="G62" s="917"/>
    </row>
    <row r="63" spans="1:7" s="429" customFormat="1" ht="12.75">
      <c r="A63" s="694" t="s">
        <v>1768</v>
      </c>
      <c r="B63" s="918">
        <f>'Sources and Uses Budget'!C62</f>
        <v>33044511.689784847</v>
      </c>
      <c r="C63" s="918">
        <f>'Sources and Uses Budget'!C62</f>
        <v>33044511.689784847</v>
      </c>
      <c r="D63" s="918">
        <f>'Sources and Uses Budget'!C62</f>
        <v>33044511.689784847</v>
      </c>
      <c r="E63" s="916">
        <f t="shared" si="0"/>
        <v>0</v>
      </c>
      <c r="F63" s="917"/>
      <c r="G63" s="917"/>
    </row>
    <row r="64" spans="1:7" s="429" customFormat="1" ht="24">
      <c r="A64" s="170" t="s">
        <v>1769</v>
      </c>
      <c r="B64" s="239"/>
      <c r="C64" s="239"/>
      <c r="D64" s="239"/>
      <c r="E64" s="239"/>
      <c r="F64" s="239"/>
      <c r="G64" s="239"/>
    </row>
    <row r="65" spans="1:7" s="429" customFormat="1" ht="12.75">
      <c r="A65" s="174" t="s">
        <v>1770</v>
      </c>
      <c r="B65" s="915">
        <f>'Sources and Uses Budget'!C64</f>
        <v>70000</v>
      </c>
      <c r="C65" s="915">
        <f>'Sources and Uses Budget'!C64</f>
        <v>70000</v>
      </c>
      <c r="D65" s="915">
        <f>'Sources and Uses Budget'!C64</f>
        <v>70000</v>
      </c>
      <c r="E65" s="916">
        <f t="shared" si="0"/>
        <v>0</v>
      </c>
      <c r="F65" s="917"/>
      <c r="G65" s="917"/>
    </row>
    <row r="66" spans="1:7" s="429" customFormat="1" ht="24">
      <c r="A66" s="174" t="s">
        <v>1771</v>
      </c>
      <c r="B66" s="915">
        <f>'Sources and Uses Budget'!C65</f>
        <v>0</v>
      </c>
      <c r="C66" s="915">
        <f>'Sources and Uses Budget'!C65</f>
        <v>0</v>
      </c>
      <c r="D66" s="915">
        <f>'Sources and Uses Budget'!C65</f>
        <v>0</v>
      </c>
      <c r="E66" s="916">
        <f t="shared" si="0"/>
        <v>0</v>
      </c>
      <c r="F66" s="917"/>
      <c r="G66" s="917"/>
    </row>
    <row r="67" spans="1:7" s="429" customFormat="1" ht="24">
      <c r="A67" s="174" t="s">
        <v>1772</v>
      </c>
      <c r="B67" s="915">
        <f>'Sources and Uses Budget'!C66</f>
        <v>0</v>
      </c>
      <c r="C67" s="915">
        <f>'Sources and Uses Budget'!C66</f>
        <v>0</v>
      </c>
      <c r="D67" s="915">
        <f>'Sources and Uses Budget'!C66</f>
        <v>0</v>
      </c>
      <c r="E67" s="916">
        <f t="shared" si="0"/>
        <v>0</v>
      </c>
      <c r="F67" s="917"/>
      <c r="G67" s="917"/>
    </row>
    <row r="68" spans="1:7" s="429" customFormat="1" ht="12.75">
      <c r="A68" s="174" t="s">
        <v>1773</v>
      </c>
      <c r="B68" s="915">
        <f>'Sources and Uses Budget'!C67</f>
        <v>0</v>
      </c>
      <c r="C68" s="915">
        <f>'Sources and Uses Budget'!C67</f>
        <v>0</v>
      </c>
      <c r="D68" s="915">
        <f>'Sources and Uses Budget'!C67</f>
        <v>0</v>
      </c>
      <c r="E68" s="916">
        <f t="shared" si="0"/>
        <v>0</v>
      </c>
      <c r="F68" s="917"/>
      <c r="G68" s="917"/>
    </row>
    <row r="69" spans="1:7" s="429" customFormat="1" ht="12.75">
      <c r="A69" s="185" t="s">
        <v>2546</v>
      </c>
      <c r="B69" s="915">
        <f>'Sources and Uses Budget'!C68</f>
        <v>95000</v>
      </c>
      <c r="C69" s="915">
        <f>'Sources and Uses Budget'!C68</f>
        <v>95000</v>
      </c>
      <c r="D69" s="915">
        <f>'Sources and Uses Budget'!C68</f>
        <v>95000</v>
      </c>
      <c r="E69" s="916">
        <f t="shared" si="0"/>
        <v>0</v>
      </c>
      <c r="F69" s="917"/>
      <c r="G69" s="917"/>
    </row>
    <row r="70" spans="1:7" s="429" customFormat="1" ht="12.75">
      <c r="A70" s="178" t="s">
        <v>1775</v>
      </c>
      <c r="B70" s="918">
        <f>'Sources and Uses Budget'!C69</f>
        <v>165000</v>
      </c>
      <c r="C70" s="918">
        <f>'Sources and Uses Budget'!C69</f>
        <v>165000</v>
      </c>
      <c r="D70" s="918">
        <f>'Sources and Uses Budget'!C69</f>
        <v>165000</v>
      </c>
      <c r="E70" s="916">
        <f t="shared" si="0"/>
        <v>0</v>
      </c>
      <c r="F70" s="917"/>
      <c r="G70" s="917"/>
    </row>
    <row r="71" spans="1:7" s="429" customFormat="1" ht="12.75">
      <c r="A71" s="687" t="s">
        <v>1776</v>
      </c>
      <c r="B71" s="239"/>
      <c r="C71" s="239"/>
      <c r="D71" s="239"/>
      <c r="E71" s="239"/>
      <c r="F71" s="239"/>
      <c r="G71" s="239"/>
    </row>
    <row r="72" spans="1:7" s="429" customFormat="1" ht="12.75">
      <c r="A72" s="692" t="s">
        <v>1777</v>
      </c>
      <c r="B72" s="915">
        <f>'Sources and Uses Budget'!C71</f>
        <v>0</v>
      </c>
      <c r="C72" s="915">
        <f>'Sources and Uses Budget'!C71</f>
        <v>0</v>
      </c>
      <c r="D72" s="915">
        <f>'Sources and Uses Budget'!C71</f>
        <v>0</v>
      </c>
      <c r="E72" s="916">
        <f t="shared" si="0"/>
        <v>0</v>
      </c>
      <c r="F72" s="917"/>
      <c r="G72" s="917"/>
    </row>
    <row r="73" spans="1:7" s="429" customFormat="1" ht="12.75">
      <c r="A73" s="692" t="s">
        <v>1778</v>
      </c>
      <c r="B73" s="915">
        <f>'Sources and Uses Budget'!C72</f>
        <v>0</v>
      </c>
      <c r="C73" s="915">
        <f>'Sources and Uses Budget'!C72</f>
        <v>0</v>
      </c>
      <c r="D73" s="915">
        <f>'Sources and Uses Budget'!C72</f>
        <v>0</v>
      </c>
      <c r="E73" s="916">
        <f t="shared" si="0"/>
        <v>0</v>
      </c>
      <c r="F73" s="917"/>
      <c r="G73" s="917"/>
    </row>
    <row r="74" spans="1:7" s="429" customFormat="1" ht="12.75">
      <c r="A74" s="695" t="s">
        <v>1779</v>
      </c>
      <c r="B74" s="915">
        <f>'Sources and Uses Budget'!C73</f>
        <v>0</v>
      </c>
      <c r="C74" s="915">
        <f>'Sources and Uses Budget'!C73</f>
        <v>0</v>
      </c>
      <c r="D74" s="915">
        <f>'Sources and Uses Budget'!C73</f>
        <v>0</v>
      </c>
      <c r="E74" s="916">
        <f>C74-B74</f>
        <v>0</v>
      </c>
      <c r="F74" s="917"/>
      <c r="G74" s="917"/>
    </row>
    <row r="75" spans="1:7" s="429" customFormat="1" ht="12.75">
      <c r="A75" s="692" t="s">
        <v>1780</v>
      </c>
      <c r="B75" s="915">
        <f>'Sources and Uses Budget'!C74</f>
        <v>483675.61359438853</v>
      </c>
      <c r="C75" s="915">
        <f>'Sources and Uses Budget'!C74</f>
        <v>483675.61359438853</v>
      </c>
      <c r="D75" s="915">
        <f>'Sources and Uses Budget'!C74</f>
        <v>483675.61359438853</v>
      </c>
      <c r="E75" s="916">
        <f>C75-B75</f>
        <v>0</v>
      </c>
      <c r="F75" s="917"/>
      <c r="G75" s="917"/>
    </row>
    <row r="76" spans="1:7" s="429" customFormat="1" ht="12.75">
      <c r="A76" s="696" t="s">
        <v>1744</v>
      </c>
      <c r="B76" s="915">
        <f>'Sources and Uses Budget'!C75</f>
        <v>0</v>
      </c>
      <c r="C76" s="915">
        <f>'Sources and Uses Budget'!C75</f>
        <v>0</v>
      </c>
      <c r="D76" s="915">
        <f>'Sources and Uses Budget'!C75</f>
        <v>0</v>
      </c>
      <c r="E76" s="916">
        <f>C76-B76</f>
        <v>0</v>
      </c>
      <c r="F76" s="917"/>
      <c r="G76" s="917"/>
    </row>
    <row r="77" spans="1:7" s="429" customFormat="1" ht="12.75">
      <c r="A77" s="691" t="s">
        <v>1781</v>
      </c>
      <c r="B77" s="918">
        <f>'Sources and Uses Budget'!C76</f>
        <v>483675.61359438853</v>
      </c>
      <c r="C77" s="918">
        <f>'Sources and Uses Budget'!C76</f>
        <v>483675.61359438853</v>
      </c>
      <c r="D77" s="918">
        <f>'Sources and Uses Budget'!C76</f>
        <v>483675.61359438853</v>
      </c>
      <c r="E77" s="916">
        <f>C77-B77</f>
        <v>0</v>
      </c>
      <c r="F77" s="917"/>
      <c r="G77" s="917"/>
    </row>
    <row r="78" spans="1:7" s="429" customFormat="1" ht="12.75">
      <c r="A78" s="687" t="s">
        <v>1782</v>
      </c>
      <c r="B78" s="239"/>
      <c r="C78" s="239"/>
      <c r="D78" s="239"/>
      <c r="E78" s="239"/>
      <c r="F78" s="239"/>
      <c r="G78" s="239"/>
    </row>
    <row r="79" spans="1:7" s="429" customFormat="1" ht="13.9" customHeight="1">
      <c r="A79" s="692" t="s">
        <v>1783</v>
      </c>
      <c r="B79" s="915">
        <f>'Sources and Uses Budget'!C78</f>
        <v>1227202.0810299523</v>
      </c>
      <c r="C79" s="915">
        <f>'Sources and Uses Budget'!C78</f>
        <v>1227202.0810299523</v>
      </c>
      <c r="D79" s="915">
        <f>'Sources and Uses Budget'!C78</f>
        <v>1227202.0810299523</v>
      </c>
      <c r="E79" s="916">
        <f t="shared" ref="E79:E105" si="2">C79-B79</f>
        <v>0</v>
      </c>
      <c r="F79" s="917"/>
      <c r="G79" s="917"/>
    </row>
    <row r="80" spans="1:7" s="429" customFormat="1" ht="12.75">
      <c r="A80" s="692" t="s">
        <v>1784</v>
      </c>
      <c r="B80" s="915">
        <f>'Sources and Uses Budget'!C79</f>
        <v>677231.1237639999</v>
      </c>
      <c r="C80" s="915">
        <f>'Sources and Uses Budget'!C79</f>
        <v>677231.1237639999</v>
      </c>
      <c r="D80" s="915">
        <f>'Sources and Uses Budget'!C79</f>
        <v>677231.1237639999</v>
      </c>
      <c r="E80" s="916">
        <f t="shared" si="2"/>
        <v>0</v>
      </c>
      <c r="F80" s="917"/>
      <c r="G80" s="917"/>
    </row>
    <row r="81" spans="1:7" s="429" customFormat="1" ht="12.75">
      <c r="A81" s="691" t="s">
        <v>1785</v>
      </c>
      <c r="B81" s="918">
        <f>'Sources and Uses Budget'!C80</f>
        <v>1904433.2047939522</v>
      </c>
      <c r="C81" s="918">
        <f>'Sources and Uses Budget'!C80</f>
        <v>1904433.2047939522</v>
      </c>
      <c r="D81" s="918">
        <f>'Sources and Uses Budget'!C80</f>
        <v>1904433.2047939522</v>
      </c>
      <c r="E81" s="916">
        <f t="shared" si="2"/>
        <v>0</v>
      </c>
      <c r="F81" s="917"/>
      <c r="G81" s="917"/>
    </row>
    <row r="82" spans="1:7" s="429" customFormat="1" ht="12.75">
      <c r="A82" s="687" t="s">
        <v>1786</v>
      </c>
      <c r="B82" s="239"/>
      <c r="C82" s="239"/>
      <c r="D82" s="239"/>
      <c r="E82" s="239"/>
      <c r="F82" s="239"/>
      <c r="G82" s="239"/>
    </row>
    <row r="83" spans="1:7" s="429" customFormat="1" ht="12.75">
      <c r="A83" s="174" t="s">
        <v>1787</v>
      </c>
      <c r="B83" s="915">
        <f>'Sources and Uses Budget'!C82</f>
        <v>116273.24764</v>
      </c>
      <c r="C83" s="915">
        <f>'Sources and Uses Budget'!C82</f>
        <v>116273.24764</v>
      </c>
      <c r="D83" s="915">
        <f>'Sources and Uses Budget'!C82</f>
        <v>116273.24764</v>
      </c>
      <c r="E83" s="916">
        <f t="shared" si="2"/>
        <v>0</v>
      </c>
      <c r="F83" s="917"/>
      <c r="G83" s="917"/>
    </row>
    <row r="84" spans="1:7" s="429" customFormat="1" ht="12.75">
      <c r="A84" s="174" t="s">
        <v>1788</v>
      </c>
      <c r="B84" s="915">
        <f>'Sources and Uses Budget'!C83</f>
        <v>93070</v>
      </c>
      <c r="C84" s="915">
        <f>'Sources and Uses Budget'!C83</f>
        <v>93070</v>
      </c>
      <c r="D84" s="915">
        <f>'Sources and Uses Budget'!C83</f>
        <v>93070</v>
      </c>
      <c r="E84" s="916">
        <f t="shared" si="2"/>
        <v>0</v>
      </c>
      <c r="F84" s="917"/>
      <c r="G84" s="917"/>
    </row>
    <row r="85" spans="1:7" s="429" customFormat="1" ht="12.75">
      <c r="A85" s="174" t="s">
        <v>1789</v>
      </c>
      <c r="B85" s="915">
        <f>'Sources and Uses Budget'!C84</f>
        <v>1164320</v>
      </c>
      <c r="C85" s="915">
        <f>'Sources and Uses Budget'!C84</f>
        <v>1164320</v>
      </c>
      <c r="D85" s="915">
        <f>'Sources and Uses Budget'!C84</f>
        <v>1164320</v>
      </c>
      <c r="E85" s="916">
        <f t="shared" si="2"/>
        <v>0</v>
      </c>
      <c r="F85" s="917"/>
      <c r="G85" s="917"/>
    </row>
    <row r="86" spans="1:7" s="429" customFormat="1" ht="12.75">
      <c r="A86" s="174" t="s">
        <v>1790</v>
      </c>
      <c r="B86" s="915">
        <f>'Sources and Uses Budget'!C85</f>
        <v>739377.19</v>
      </c>
      <c r="C86" s="915">
        <f>'Sources and Uses Budget'!C85</f>
        <v>739377.19</v>
      </c>
      <c r="D86" s="915">
        <f>'Sources and Uses Budget'!C85</f>
        <v>739377.19</v>
      </c>
      <c r="E86" s="916">
        <f t="shared" si="2"/>
        <v>0</v>
      </c>
      <c r="F86" s="917"/>
      <c r="G86" s="917"/>
    </row>
    <row r="87" spans="1:7" s="429" customFormat="1" ht="12.75">
      <c r="A87" s="174" t="s">
        <v>1791</v>
      </c>
      <c r="B87" s="915">
        <f>'Sources and Uses Budget'!C86</f>
        <v>0</v>
      </c>
      <c r="C87" s="915">
        <f>'Sources and Uses Budget'!C86</f>
        <v>0</v>
      </c>
      <c r="D87" s="915">
        <f>'Sources and Uses Budget'!C86</f>
        <v>0</v>
      </c>
      <c r="E87" s="916">
        <f t="shared" si="2"/>
        <v>0</v>
      </c>
      <c r="F87" s="917"/>
      <c r="G87" s="917"/>
    </row>
    <row r="88" spans="1:7" s="429" customFormat="1" ht="12.75">
      <c r="A88" s="174" t="s">
        <v>1792</v>
      </c>
      <c r="B88" s="915">
        <f>'Sources and Uses Budget'!C87</f>
        <v>95000</v>
      </c>
      <c r="C88" s="915">
        <f>'Sources and Uses Budget'!C87</f>
        <v>95000</v>
      </c>
      <c r="D88" s="915">
        <f>'Sources and Uses Budget'!C87</f>
        <v>95000</v>
      </c>
      <c r="E88" s="916">
        <f t="shared" si="2"/>
        <v>0</v>
      </c>
      <c r="F88" s="917"/>
      <c r="G88" s="917"/>
    </row>
    <row r="89" spans="1:7" s="429" customFormat="1" ht="12.75">
      <c r="A89" s="174" t="s">
        <v>1793</v>
      </c>
      <c r="B89" s="915">
        <f>'Sources and Uses Budget'!C88</f>
        <v>80000</v>
      </c>
      <c r="C89" s="915">
        <f>'Sources and Uses Budget'!C88</f>
        <v>80000</v>
      </c>
      <c r="D89" s="915">
        <f>'Sources and Uses Budget'!C88</f>
        <v>80000</v>
      </c>
      <c r="E89" s="916">
        <f t="shared" si="2"/>
        <v>0</v>
      </c>
      <c r="F89" s="917"/>
      <c r="G89" s="917"/>
    </row>
    <row r="90" spans="1:7" s="429" customFormat="1" ht="12.75">
      <c r="A90" s="174" t="s">
        <v>1794</v>
      </c>
      <c r="B90" s="915">
        <f>'Sources and Uses Budget'!C89</f>
        <v>36800</v>
      </c>
      <c r="C90" s="915">
        <f>'Sources and Uses Budget'!C89</f>
        <v>36800</v>
      </c>
      <c r="D90" s="915">
        <f>'Sources and Uses Budget'!C89</f>
        <v>36800</v>
      </c>
      <c r="E90" s="916">
        <f t="shared" si="2"/>
        <v>0</v>
      </c>
      <c r="F90" s="917"/>
      <c r="G90" s="917"/>
    </row>
    <row r="91" spans="1:7" s="429" customFormat="1" ht="12.75">
      <c r="A91" s="185" t="s">
        <v>1795</v>
      </c>
      <c r="B91" s="915">
        <f>'Sources and Uses Budget'!C90</f>
        <v>0</v>
      </c>
      <c r="C91" s="915">
        <f>'Sources and Uses Budget'!C90</f>
        <v>0</v>
      </c>
      <c r="D91" s="915">
        <f>'Sources and Uses Budget'!C90</f>
        <v>0</v>
      </c>
      <c r="E91" s="916">
        <f t="shared" si="2"/>
        <v>0</v>
      </c>
      <c r="F91" s="917"/>
      <c r="G91" s="917"/>
    </row>
    <row r="92" spans="1:7" s="429" customFormat="1" ht="12.75">
      <c r="A92" s="185" t="s">
        <v>1796</v>
      </c>
      <c r="B92" s="915">
        <f>'Sources and Uses Budget'!C91</f>
        <v>12800</v>
      </c>
      <c r="C92" s="915">
        <f>'Sources and Uses Budget'!C91</f>
        <v>12800</v>
      </c>
      <c r="D92" s="915">
        <f>'Sources and Uses Budget'!C91</f>
        <v>12800</v>
      </c>
      <c r="E92" s="916">
        <f t="shared" si="2"/>
        <v>0</v>
      </c>
      <c r="F92" s="917"/>
      <c r="G92" s="917"/>
    </row>
    <row r="93" spans="1:7" s="429" customFormat="1" ht="12.75">
      <c r="A93" s="181" t="s">
        <v>1744</v>
      </c>
      <c r="B93" s="915">
        <f>'Sources and Uses Budget'!C92</f>
        <v>303505</v>
      </c>
      <c r="C93" s="915">
        <f>'Sources and Uses Budget'!C92</f>
        <v>303505</v>
      </c>
      <c r="D93" s="915">
        <f>'Sources and Uses Budget'!C92</f>
        <v>303505</v>
      </c>
      <c r="E93" s="916">
        <f t="shared" si="2"/>
        <v>0</v>
      </c>
      <c r="F93" s="917"/>
      <c r="G93" s="917"/>
    </row>
    <row r="94" spans="1:7" s="429" customFormat="1" ht="12.75">
      <c r="A94" s="181" t="s">
        <v>1744</v>
      </c>
      <c r="B94" s="915">
        <f>'Sources and Uses Budget'!C93</f>
        <v>125000</v>
      </c>
      <c r="C94" s="915">
        <f>'Sources and Uses Budget'!C93</f>
        <v>125000</v>
      </c>
      <c r="D94" s="915">
        <f>'Sources and Uses Budget'!C93</f>
        <v>125000</v>
      </c>
      <c r="E94" s="916">
        <f t="shared" si="2"/>
        <v>0</v>
      </c>
      <c r="F94" s="917"/>
      <c r="G94" s="917"/>
    </row>
    <row r="95" spans="1:7" s="429" customFormat="1" ht="12.75">
      <c r="A95" s="181" t="s">
        <v>1744</v>
      </c>
      <c r="B95" s="915">
        <f>'Sources and Uses Budget'!C94</f>
        <v>400000</v>
      </c>
      <c r="C95" s="915">
        <f>'Sources and Uses Budget'!C94</f>
        <v>400000</v>
      </c>
      <c r="D95" s="915">
        <f>'Sources and Uses Budget'!C94</f>
        <v>400000</v>
      </c>
      <c r="E95" s="916">
        <f t="shared" si="2"/>
        <v>0</v>
      </c>
      <c r="F95" s="917"/>
      <c r="G95" s="917"/>
    </row>
    <row r="96" spans="1:7" s="429" customFormat="1" ht="12.75">
      <c r="A96" s="178" t="s">
        <v>1800</v>
      </c>
      <c r="B96" s="918">
        <f>'Sources and Uses Budget'!C95</f>
        <v>3166145.4376400001</v>
      </c>
      <c r="C96" s="918">
        <f>'Sources and Uses Budget'!C95</f>
        <v>3166145.4376400001</v>
      </c>
      <c r="D96" s="918">
        <f>'Sources and Uses Budget'!C95</f>
        <v>3166145.4376400001</v>
      </c>
      <c r="E96" s="916">
        <f t="shared" si="2"/>
        <v>0</v>
      </c>
      <c r="F96" s="917"/>
      <c r="G96" s="917"/>
    </row>
    <row r="97" spans="1:7" s="429" customFormat="1" ht="12.75">
      <c r="A97" s="178" t="s">
        <v>1801</v>
      </c>
      <c r="B97" s="918">
        <f>'Sources and Uses Budget'!C96</f>
        <v>38763765.945813194</v>
      </c>
      <c r="C97" s="918">
        <f>'Sources and Uses Budget'!C96</f>
        <v>38763765.945813194</v>
      </c>
      <c r="D97" s="918">
        <f>'Sources and Uses Budget'!C96</f>
        <v>38763765.945813194</v>
      </c>
      <c r="E97" s="916">
        <f t="shared" si="2"/>
        <v>0</v>
      </c>
      <c r="F97" s="917"/>
      <c r="G97" s="917"/>
    </row>
    <row r="98" spans="1:7" s="429" customFormat="1" ht="12.75">
      <c r="A98" s="687" t="s">
        <v>1802</v>
      </c>
      <c r="B98" s="239"/>
      <c r="C98" s="239"/>
      <c r="D98" s="239"/>
      <c r="E98" s="239"/>
      <c r="F98" s="239"/>
      <c r="G98" s="239"/>
    </row>
    <row r="99" spans="1:7" s="429" customFormat="1" ht="12.75">
      <c r="A99" s="174" t="s">
        <v>1803</v>
      </c>
      <c r="B99" s="915">
        <f>'Sources and Uses Budget'!C98</f>
        <v>2200000</v>
      </c>
      <c r="C99" s="915">
        <f>'Sources and Uses Budget'!C98</f>
        <v>2200000</v>
      </c>
      <c r="D99" s="915">
        <f>'Sources and Uses Budget'!C98</f>
        <v>2200000</v>
      </c>
      <c r="E99" s="916">
        <f t="shared" si="2"/>
        <v>0</v>
      </c>
      <c r="F99" s="917"/>
      <c r="G99" s="917"/>
    </row>
    <row r="100" spans="1:7" s="429" customFormat="1" ht="12" customHeight="1">
      <c r="A100" s="174" t="s">
        <v>2547</v>
      </c>
      <c r="B100" s="915">
        <f>'Sources and Uses Budget'!C99</f>
        <v>0</v>
      </c>
      <c r="C100" s="915">
        <f>'Sources and Uses Budget'!C99</f>
        <v>0</v>
      </c>
      <c r="D100" s="915">
        <f>'Sources and Uses Budget'!C99</f>
        <v>0</v>
      </c>
      <c r="E100" s="916">
        <f t="shared" si="2"/>
        <v>0</v>
      </c>
      <c r="F100" s="917"/>
      <c r="G100" s="917"/>
    </row>
    <row r="101" spans="1:7" s="429" customFormat="1" ht="12.75">
      <c r="A101" s="174" t="s">
        <v>1805</v>
      </c>
      <c r="B101" s="915">
        <f>'Sources and Uses Budget'!C100</f>
        <v>0</v>
      </c>
      <c r="C101" s="915">
        <f>'Sources and Uses Budget'!C100</f>
        <v>0</v>
      </c>
      <c r="D101" s="915">
        <f>'Sources and Uses Budget'!C100</f>
        <v>0</v>
      </c>
      <c r="E101" s="916">
        <f t="shared" si="2"/>
        <v>0</v>
      </c>
      <c r="F101" s="917"/>
      <c r="G101" s="917"/>
    </row>
    <row r="102" spans="1:7" s="429" customFormat="1" ht="12.75">
      <c r="A102" s="174" t="s">
        <v>2548</v>
      </c>
      <c r="B102" s="915">
        <f>'Sources and Uses Budget'!C101</f>
        <v>0</v>
      </c>
      <c r="C102" s="915">
        <f>'Sources and Uses Budget'!C101</f>
        <v>0</v>
      </c>
      <c r="D102" s="915">
        <f>'Sources and Uses Budget'!C101</f>
        <v>0</v>
      </c>
      <c r="E102" s="916">
        <f t="shared" si="2"/>
        <v>0</v>
      </c>
      <c r="F102" s="917"/>
      <c r="G102" s="917"/>
    </row>
    <row r="103" spans="1:7" s="429" customFormat="1" ht="12.75">
      <c r="A103" s="693" t="s">
        <v>1744</v>
      </c>
      <c r="B103" s="915">
        <f>'Sources and Uses Budget'!C102</f>
        <v>0</v>
      </c>
      <c r="C103" s="915">
        <f>'Sources and Uses Budget'!C102</f>
        <v>0</v>
      </c>
      <c r="D103" s="915">
        <f>'Sources and Uses Budget'!C102</f>
        <v>0</v>
      </c>
      <c r="E103" s="916">
        <f t="shared" si="2"/>
        <v>0</v>
      </c>
      <c r="F103" s="917"/>
      <c r="G103" s="917"/>
    </row>
    <row r="104" spans="1:7" s="429" customFormat="1" ht="12.75">
      <c r="A104" s="691" t="s">
        <v>1807</v>
      </c>
      <c r="B104" s="918">
        <f>'Sources and Uses Budget'!C103</f>
        <v>2200000</v>
      </c>
      <c r="C104" s="918">
        <f>'Sources and Uses Budget'!C103</f>
        <v>2200000</v>
      </c>
      <c r="D104" s="918">
        <f>'Sources and Uses Budget'!C103</f>
        <v>2200000</v>
      </c>
      <c r="E104" s="916">
        <f t="shared" si="2"/>
        <v>0</v>
      </c>
      <c r="F104" s="917"/>
      <c r="G104" s="917"/>
    </row>
    <row r="105" spans="1:7" s="429" customFormat="1" ht="12.75">
      <c r="A105" s="691" t="s">
        <v>2549</v>
      </c>
      <c r="B105" s="918">
        <f>'Sources and Uses Budget'!C104</f>
        <v>40963765.945813194</v>
      </c>
      <c r="C105" s="918">
        <f>'Sources and Uses Budget'!C104</f>
        <v>40963765.945813194</v>
      </c>
      <c r="D105" s="918">
        <f>'Sources and Uses Budget'!C104</f>
        <v>40963765.945813194</v>
      </c>
      <c r="E105" s="916">
        <f t="shared" si="2"/>
        <v>0</v>
      </c>
      <c r="F105" s="917"/>
      <c r="G105" s="919"/>
    </row>
    <row r="106" spans="1:7" s="429" customFormat="1" ht="12.75">
      <c r="A106" s="243" t="s">
        <v>2550</v>
      </c>
      <c r="B106" s="906"/>
      <c r="C106" s="920"/>
      <c r="D106" s="921"/>
      <c r="E106" s="922"/>
      <c r="F106" s="923"/>
      <c r="G106" s="924"/>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7" workbookViewId="0">
      <selection activeCell="C82" sqref="C82"/>
    </sheetView>
  </sheetViews>
  <sheetFormatPr defaultColWidth="0" defaultRowHeight="12.75" zeroHeight="1"/>
  <cols>
    <col min="1" max="10" width="9.140625" customWidth="1"/>
    <col min="11" max="16384" width="8.85546875" hidden="1"/>
  </cols>
  <sheetData>
    <row r="1" spans="1:10" ht="14.25" customHeight="1"/>
    <row r="2" spans="1:10" ht="15.75">
      <c r="A2" s="943" t="s">
        <v>307</v>
      </c>
      <c r="B2" s="1829"/>
      <c r="C2" s="1829"/>
      <c r="D2" s="1829"/>
      <c r="E2" s="1829"/>
      <c r="F2" s="1829"/>
      <c r="G2" s="1829"/>
      <c r="H2" s="1829"/>
      <c r="I2" s="1829"/>
      <c r="J2" s="1829"/>
    </row>
    <row r="3" spans="1:10" ht="15">
      <c r="A3" s="944" t="s">
        <v>308</v>
      </c>
      <c r="B3" s="1829"/>
      <c r="C3" s="1829"/>
      <c r="D3" s="1829"/>
      <c r="E3" s="1829"/>
      <c r="F3" s="1829"/>
      <c r="G3" s="1829"/>
      <c r="H3" s="1829"/>
      <c r="I3" s="1829"/>
      <c r="J3" s="1829"/>
    </row>
    <row r="4" spans="1:10"/>
    <row r="5" spans="1:10" ht="12.75" customHeight="1">
      <c r="A5" s="947" t="s">
        <v>309</v>
      </c>
      <c r="B5" s="947"/>
      <c r="C5" s="947"/>
      <c r="D5" s="947"/>
      <c r="E5" s="947"/>
      <c r="F5" s="947"/>
      <c r="G5" s="947"/>
      <c r="H5" s="947"/>
      <c r="I5" s="947"/>
      <c r="J5" s="947"/>
    </row>
    <row r="6" spans="1:10">
      <c r="A6" s="947"/>
      <c r="B6" s="947"/>
      <c r="C6" s="947"/>
      <c r="D6" s="947"/>
      <c r="E6" s="947"/>
      <c r="F6" s="947"/>
      <c r="G6" s="947"/>
      <c r="H6" s="947"/>
      <c r="I6" s="947"/>
      <c r="J6" s="947"/>
    </row>
    <row r="7" spans="1:10">
      <c r="A7" s="812"/>
      <c r="B7" s="812"/>
      <c r="C7" s="812"/>
      <c r="D7" s="812"/>
      <c r="E7" s="812"/>
      <c r="F7" s="812"/>
      <c r="G7" s="812"/>
      <c r="H7" s="812"/>
      <c r="I7" s="812"/>
      <c r="J7" s="812"/>
    </row>
    <row r="8" spans="1:10">
      <c r="A8" s="33" t="s">
        <v>310</v>
      </c>
      <c r="B8" s="812"/>
      <c r="C8" s="812"/>
      <c r="D8" s="812"/>
      <c r="E8" s="812"/>
      <c r="F8" s="812"/>
      <c r="G8" s="812"/>
      <c r="H8" s="812"/>
      <c r="I8" s="812"/>
      <c r="J8" s="812"/>
    </row>
    <row r="9" spans="1:10">
      <c r="A9" s="224"/>
      <c r="B9" s="224"/>
      <c r="C9" s="224"/>
      <c r="D9" s="224"/>
      <c r="E9" s="224"/>
      <c r="F9" s="224"/>
      <c r="G9" s="224"/>
      <c r="H9" s="224"/>
      <c r="I9" s="224"/>
      <c r="J9" s="224"/>
    </row>
    <row r="10" spans="1:10" s="932" customFormat="1">
      <c r="A10" s="932" t="s">
        <v>311</v>
      </c>
    </row>
    <row r="11" spans="1:10" s="932" customFormat="1" ht="12.75" customHeight="1"/>
    <row r="12" spans="1:10" s="932" customFormat="1" ht="12.75" customHeight="1"/>
    <row r="13" spans="1:10" s="932" customFormat="1" ht="12.75" customHeight="1"/>
    <row r="14" spans="1:10" s="932" customFormat="1" ht="12.75" customHeight="1"/>
    <row r="15" spans="1:10"/>
    <row r="16" spans="1:10" ht="12.75" customHeight="1">
      <c r="A16" s="945" t="s">
        <v>312</v>
      </c>
      <c r="B16" s="945"/>
      <c r="C16" s="945"/>
      <c r="D16" s="945"/>
      <c r="E16" s="945"/>
      <c r="F16" s="945"/>
      <c r="G16" s="945"/>
      <c r="H16" s="945"/>
      <c r="I16" s="945"/>
      <c r="J16" s="945"/>
    </row>
    <row r="17" spans="1:10" ht="12.75" customHeight="1">
      <c r="A17" s="945"/>
      <c r="B17" s="945"/>
      <c r="C17" s="945"/>
      <c r="D17" s="945"/>
      <c r="E17" s="945"/>
      <c r="F17" s="945"/>
      <c r="G17" s="945"/>
      <c r="H17" s="945"/>
      <c r="I17" s="945"/>
      <c r="J17" s="945"/>
    </row>
    <row r="18" spans="1:10">
      <c r="A18" s="945"/>
      <c r="B18" s="945"/>
      <c r="C18" s="945"/>
      <c r="D18" s="945"/>
      <c r="E18" s="945"/>
      <c r="F18" s="945"/>
      <c r="G18" s="945"/>
      <c r="H18" s="945"/>
      <c r="I18" s="945"/>
      <c r="J18" s="945"/>
    </row>
    <row r="19" spans="1:10">
      <c r="A19" s="946"/>
      <c r="B19" s="946"/>
      <c r="C19" s="946"/>
      <c r="D19" s="946"/>
      <c r="E19" s="946"/>
      <c r="F19" s="946"/>
      <c r="G19" s="946"/>
      <c r="H19" s="946"/>
      <c r="I19" s="946"/>
      <c r="J19" s="946"/>
    </row>
    <row r="20" spans="1:10">
      <c r="A20" s="946"/>
      <c r="B20" s="946"/>
      <c r="C20" s="946"/>
      <c r="D20" s="946"/>
      <c r="E20" s="946"/>
      <c r="F20" s="946"/>
      <c r="G20" s="946"/>
      <c r="H20" s="946"/>
      <c r="I20" s="946"/>
      <c r="J20" s="946"/>
    </row>
    <row r="21" spans="1:10">
      <c r="A21" s="946"/>
      <c r="B21" s="946"/>
      <c r="C21" s="946"/>
      <c r="D21" s="946"/>
      <c r="E21" s="946"/>
      <c r="F21" s="946"/>
      <c r="G21" s="946"/>
      <c r="H21" s="946"/>
      <c r="I21" s="946"/>
      <c r="J21" s="946"/>
    </row>
    <row r="22" spans="1:10">
      <c r="A22" s="33" t="s">
        <v>313</v>
      </c>
      <c r="B22" s="224"/>
      <c r="C22" s="224"/>
      <c r="D22" s="224"/>
      <c r="E22" s="224"/>
      <c r="F22" s="224"/>
      <c r="G22" s="224"/>
      <c r="H22" s="224"/>
      <c r="I22" s="224"/>
      <c r="J22" s="224"/>
    </row>
    <row r="23" spans="1:10" ht="15">
      <c r="A23" s="757" t="s">
        <v>249</v>
      </c>
      <c r="B23" s="757"/>
      <c r="C23" s="757"/>
      <c r="D23" s="757"/>
      <c r="E23" s="757"/>
      <c r="F23" s="757"/>
      <c r="G23" s="757"/>
      <c r="H23" s="757"/>
      <c r="I23" s="757"/>
      <c r="J23" s="733"/>
    </row>
    <row r="24" spans="1:10">
      <c r="A24" s="1830" t="s">
        <v>314</v>
      </c>
      <c r="B24" s="1829"/>
      <c r="C24" s="1829"/>
      <c r="D24" s="1829"/>
      <c r="E24" s="182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5" t="s">
        <v>315</v>
      </c>
      <c r="B61" s="946"/>
      <c r="C61" s="946"/>
      <c r="D61" s="946"/>
      <c r="E61" s="946"/>
      <c r="F61" s="946"/>
      <c r="G61" s="946"/>
      <c r="H61" s="946"/>
      <c r="I61" s="946"/>
      <c r="J61" s="946"/>
    </row>
    <row r="62" spans="1:10">
      <c r="A62" s="946"/>
      <c r="B62" s="946"/>
      <c r="C62" s="946"/>
      <c r="D62" s="946"/>
      <c r="E62" s="946"/>
      <c r="F62" s="946"/>
      <c r="G62" s="946"/>
      <c r="H62" s="946"/>
      <c r="I62" s="946"/>
      <c r="J62" s="946"/>
    </row>
    <row r="63" spans="1:10">
      <c r="A63" s="946"/>
      <c r="B63" s="946"/>
      <c r="C63" s="946"/>
      <c r="D63" s="946"/>
      <c r="E63" s="946"/>
      <c r="F63" s="946"/>
      <c r="G63" s="946"/>
      <c r="H63" s="946"/>
      <c r="I63" s="946"/>
      <c r="J63" s="946"/>
    </row>
    <row r="64" spans="1:10"/>
    <row r="65" spans="1:9">
      <c r="A65" s="33" t="s">
        <v>314</v>
      </c>
    </row>
    <row r="66" spans="1:9"/>
    <row r="67" spans="1:9"/>
    <row r="68" spans="1:9"/>
    <row r="69" spans="1:9"/>
    <row r="70" spans="1:9"/>
    <row r="71" spans="1:9"/>
    <row r="72" spans="1:9"/>
    <row r="73" spans="1:9"/>
    <row r="74" spans="1:9"/>
    <row r="75" spans="1:9"/>
    <row r="76" spans="1:9">
      <c r="A76" s="942" t="s">
        <v>316</v>
      </c>
      <c r="B76" s="942"/>
      <c r="C76" s="942"/>
      <c r="D76" s="942"/>
      <c r="E76" s="942"/>
      <c r="F76" s="942"/>
      <c r="G76" s="942"/>
      <c r="H76" s="942"/>
      <c r="I76" s="942"/>
    </row>
    <row r="77" spans="1:9">
      <c r="A77" s="941" t="s">
        <v>317</v>
      </c>
      <c r="B77" s="941"/>
      <c r="C77" s="941"/>
      <c r="D77" s="941"/>
      <c r="E77" s="941"/>
      <c r="F77" s="507"/>
    </row>
    <row r="78" spans="1:9">
      <c r="A78" s="941" t="s">
        <v>318</v>
      </c>
      <c r="B78" s="941"/>
      <c r="C78" s="941"/>
      <c r="D78" s="941"/>
      <c r="E78" s="941"/>
      <c r="F78" s="507"/>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748" zoomScale="86" workbookViewId="0">
      <selection activeCell="B771" sqref="B771"/>
    </sheetView>
  </sheetViews>
  <sheetFormatPr defaultColWidth="0" defaultRowHeight="13.7" customHeight="1" zeroHeight="1"/>
  <cols>
    <col min="1" max="1" width="1.5703125" style="9" customWidth="1"/>
    <col min="2" max="2" width="13.5703125" style="9" customWidth="1"/>
    <col min="3" max="3" width="2.5703125" style="9" customWidth="1"/>
    <col min="4" max="5" width="3.5703125" style="4" customWidth="1"/>
    <col min="6" max="6" width="67" style="4" customWidth="1"/>
    <col min="7" max="7" width="3.28515625" style="4" customWidth="1"/>
    <col min="8" max="8" width="2.5703125" hidden="1" customWidth="1"/>
    <col min="9" max="9" width="14" hidden="1" customWidth="1"/>
    <col min="10" max="16383" width="8.85546875" hidden="1"/>
    <col min="16384" max="16384" width="0.28515625" hidden="1" customWidth="1"/>
  </cols>
  <sheetData>
    <row r="1" spans="1:9" ht="13.7" customHeight="1">
      <c r="A1" s="801"/>
      <c r="B1" s="801"/>
      <c r="C1" s="801"/>
      <c r="D1" s="33"/>
      <c r="E1" s="33"/>
      <c r="F1" s="33"/>
      <c r="G1" s="33"/>
    </row>
    <row r="2" spans="1:9" ht="12.75">
      <c r="A2" s="988" t="s">
        <v>319</v>
      </c>
      <c r="B2" s="988"/>
      <c r="C2" s="1829"/>
      <c r="D2" s="1829"/>
      <c r="E2" s="1829"/>
      <c r="F2" s="1829"/>
      <c r="G2" s="1829"/>
      <c r="I2" t="s">
        <v>320</v>
      </c>
    </row>
    <row r="3" spans="1:9" ht="12.75">
      <c r="A3" s="778"/>
      <c r="B3" s="778"/>
      <c r="C3"/>
      <c r="D3"/>
      <c r="E3"/>
      <c r="F3"/>
      <c r="G3"/>
      <c r="I3" s="33" t="s">
        <v>321</v>
      </c>
    </row>
    <row r="4" spans="1:9" ht="12.75">
      <c r="A4" s="989" t="s">
        <v>322</v>
      </c>
      <c r="B4" s="989"/>
      <c r="C4" s="1831"/>
      <c r="D4" s="1831"/>
      <c r="E4" s="1831"/>
      <c r="F4" s="1831"/>
      <c r="G4" s="1831"/>
      <c r="I4" s="33" t="s">
        <v>323</v>
      </c>
    </row>
    <row r="5" spans="1:9" ht="12.75">
      <c r="A5" s="989" t="s">
        <v>324</v>
      </c>
      <c r="B5" s="989"/>
      <c r="C5" s="1831"/>
      <c r="D5" s="1831"/>
      <c r="E5" s="1831"/>
      <c r="F5" s="1831"/>
      <c r="G5" s="1831"/>
      <c r="I5" t="s">
        <v>325</v>
      </c>
    </row>
    <row r="6" spans="1:9" ht="13.7" customHeight="1">
      <c r="A6" s="801"/>
      <c r="B6" s="801"/>
      <c r="C6" s="801"/>
      <c r="D6" s="33"/>
      <c r="E6" s="33"/>
      <c r="F6" s="33"/>
      <c r="G6" s="33"/>
    </row>
    <row r="7" spans="1:9" ht="12.75">
      <c r="A7" s="988" t="s">
        <v>326</v>
      </c>
      <c r="B7" s="988"/>
      <c r="C7" s="990"/>
      <c r="D7" s="990"/>
      <c r="E7" s="990"/>
      <c r="F7" s="990"/>
      <c r="G7" s="990"/>
    </row>
    <row r="8" spans="1:9" ht="12.75">
      <c r="A8" s="988" t="s">
        <v>327</v>
      </c>
      <c r="B8" s="988"/>
      <c r="C8" s="990"/>
      <c r="D8" s="990"/>
      <c r="E8" s="990"/>
      <c r="F8" s="990"/>
      <c r="G8" s="990"/>
    </row>
    <row r="9" spans="1:9" ht="12.75">
      <c r="A9" s="759"/>
      <c r="B9" s="759"/>
      <c r="C9" s="778"/>
      <c r="D9" s="778"/>
      <c r="E9" s="778"/>
      <c r="F9" s="778"/>
      <c r="G9" s="778"/>
    </row>
    <row r="10" spans="1:9" ht="12.75">
      <c r="A10" s="979" t="s">
        <v>328</v>
      </c>
      <c r="B10" s="979"/>
      <c r="C10" s="979"/>
      <c r="D10" s="979"/>
      <c r="E10" s="979"/>
      <c r="F10" s="979"/>
      <c r="G10" s="979"/>
    </row>
    <row r="11" spans="1:9" ht="12.75">
      <c r="A11" s="778"/>
      <c r="B11" s="778"/>
      <c r="C11" s="801"/>
      <c r="D11" s="33"/>
      <c r="E11" s="33"/>
      <c r="F11" s="33"/>
      <c r="G11" s="33"/>
    </row>
    <row r="12" spans="1:9" ht="13.7" customHeight="1">
      <c r="A12" s="801"/>
      <c r="B12" s="801"/>
      <c r="C12" s="778"/>
      <c r="D12" s="991" t="s">
        <v>329</v>
      </c>
      <c r="E12" s="991"/>
      <c r="F12" s="991"/>
      <c r="G12" s="466"/>
    </row>
    <row r="13" spans="1:9" ht="12.75">
      <c r="A13" s="801"/>
      <c r="B13" s="801"/>
      <c r="C13" s="778"/>
      <c r="D13" s="991"/>
      <c r="E13" s="991"/>
      <c r="F13" s="991"/>
      <c r="G13" s="466"/>
    </row>
    <row r="14" spans="1:9" ht="12.75">
      <c r="A14" s="140"/>
      <c r="B14" s="140"/>
      <c r="C14" s="140"/>
      <c r="D14" s="950" t="s">
        <v>330</v>
      </c>
      <c r="E14" s="950"/>
      <c r="F14" s="950"/>
      <c r="G14" s="33"/>
    </row>
    <row r="15" spans="1:9" ht="12.75">
      <c r="A15" s="140"/>
      <c r="B15" s="140"/>
      <c r="C15" s="140"/>
      <c r="D15" s="33"/>
      <c r="E15" s="33"/>
      <c r="F15" s="33"/>
      <c r="G15" s="33"/>
    </row>
    <row r="16" spans="1:9" ht="14.45" customHeight="1">
      <c r="A16" s="201"/>
      <c r="B16" s="797" t="s">
        <v>323</v>
      </c>
      <c r="C16" s="140"/>
      <c r="D16" s="928" t="s">
        <v>331</v>
      </c>
      <c r="E16" s="928"/>
      <c r="F16" s="928"/>
      <c r="G16" s="757"/>
    </row>
    <row r="17" spans="1:7" ht="14.45" customHeight="1">
      <c r="A17" s="201"/>
      <c r="B17" s="801"/>
      <c r="C17" s="140"/>
      <c r="D17" s="928"/>
      <c r="E17" s="928"/>
      <c r="F17" s="928"/>
      <c r="G17" s="757"/>
    </row>
    <row r="18" spans="1:7" ht="12.75">
      <c r="A18" s="140"/>
      <c r="B18" s="801"/>
      <c r="C18" s="140"/>
      <c r="D18" s="928"/>
      <c r="E18" s="928"/>
      <c r="F18" s="928"/>
      <c r="G18" s="757"/>
    </row>
    <row r="19" spans="1:7" ht="12.75">
      <c r="A19" s="140"/>
      <c r="B19" s="801"/>
      <c r="C19" s="140"/>
      <c r="D19" s="753"/>
      <c r="E19" s="776" t="s">
        <v>332</v>
      </c>
      <c r="F19" s="753"/>
      <c r="G19" s="757"/>
    </row>
    <row r="20" spans="1:7" ht="12.75">
      <c r="A20" s="140"/>
      <c r="B20" s="140"/>
      <c r="C20" s="140"/>
      <c r="D20" s="33"/>
      <c r="E20" s="33"/>
      <c r="F20" s="33"/>
      <c r="G20" s="33"/>
    </row>
    <row r="21" spans="1:7" ht="14.25">
      <c r="A21" s="201"/>
      <c r="B21" s="797" t="s">
        <v>323</v>
      </c>
      <c r="C21" s="801"/>
      <c r="D21" s="928" t="s">
        <v>333</v>
      </c>
      <c r="E21" s="928"/>
      <c r="F21" s="928"/>
      <c r="G21" s="33"/>
    </row>
    <row r="22" spans="1:7" ht="12.75">
      <c r="A22" s="801"/>
      <c r="B22" s="801"/>
      <c r="C22" s="801"/>
      <c r="D22" s="928"/>
      <c r="E22" s="928"/>
      <c r="F22" s="928"/>
      <c r="G22" s="33"/>
    </row>
    <row r="23" spans="1:7" ht="12.75">
      <c r="A23" s="801"/>
      <c r="B23" s="801"/>
      <c r="C23" s="801"/>
      <c r="D23" s="771"/>
      <c r="E23" s="67" t="s">
        <v>334</v>
      </c>
      <c r="F23" s="771"/>
      <c r="G23" s="33"/>
    </row>
    <row r="24" spans="1:7" ht="14.25">
      <c r="A24" s="201"/>
      <c r="B24" s="201"/>
      <c r="C24" s="801"/>
      <c r="D24" s="760"/>
      <c r="E24" s="33"/>
      <c r="F24" s="33"/>
      <c r="G24" s="33"/>
    </row>
    <row r="25" spans="1:7" ht="14.25">
      <c r="A25" s="201"/>
      <c r="B25" s="797" t="s">
        <v>325</v>
      </c>
      <c r="C25" s="801"/>
      <c r="D25" s="928" t="s">
        <v>335</v>
      </c>
      <c r="E25" s="928"/>
      <c r="F25" s="928"/>
      <c r="G25" s="33"/>
    </row>
    <row r="26" spans="1:7" ht="14.25">
      <c r="A26" s="201"/>
      <c r="B26" s="201"/>
      <c r="C26" s="801"/>
      <c r="D26" s="928"/>
      <c r="E26" s="928"/>
      <c r="F26" s="928"/>
      <c r="G26" s="33"/>
    </row>
    <row r="27" spans="1:7" ht="14.25">
      <c r="A27" s="201"/>
      <c r="B27" s="201"/>
      <c r="C27" s="801"/>
      <c r="D27" s="760"/>
      <c r="E27" s="33"/>
      <c r="F27" s="33"/>
      <c r="G27" s="33"/>
    </row>
    <row r="28" spans="1:7" ht="14.25" customHeight="1">
      <c r="A28" s="201"/>
      <c r="B28" s="797" t="s">
        <v>323</v>
      </c>
      <c r="C28" s="801"/>
      <c r="D28" s="928" t="s">
        <v>336</v>
      </c>
      <c r="E28" s="928"/>
      <c r="F28" s="928"/>
      <c r="G28" s="33"/>
    </row>
    <row r="29" spans="1:7" ht="14.25">
      <c r="A29" s="201"/>
      <c r="B29" s="201"/>
      <c r="C29" s="801"/>
      <c r="D29" s="928"/>
      <c r="E29" s="928"/>
      <c r="F29" s="928"/>
      <c r="G29" s="33"/>
    </row>
    <row r="30" spans="1:7" ht="14.25">
      <c r="A30" s="201"/>
      <c r="B30" s="201"/>
      <c r="C30" s="801"/>
      <c r="D30" s="928"/>
      <c r="E30" s="928"/>
      <c r="F30" s="928"/>
      <c r="G30" s="33"/>
    </row>
    <row r="31" spans="1:7" ht="14.25">
      <c r="A31" s="201"/>
      <c r="B31" s="201"/>
      <c r="C31" s="801"/>
      <c r="D31" s="928"/>
      <c r="E31" s="928"/>
      <c r="F31" s="928"/>
      <c r="G31" s="33"/>
    </row>
    <row r="32" spans="1:7" ht="14.25">
      <c r="A32" s="201"/>
      <c r="B32" s="201"/>
      <c r="C32" s="801"/>
      <c r="D32" s="928"/>
      <c r="E32" s="928"/>
      <c r="F32" s="928"/>
      <c r="G32" s="33"/>
    </row>
    <row r="33" spans="1:6" ht="14.25">
      <c r="A33" s="201"/>
      <c r="B33" s="201"/>
      <c r="C33" s="801"/>
      <c r="D33" s="437"/>
      <c r="E33" s="33"/>
      <c r="F33" s="467"/>
    </row>
    <row r="34" spans="1:6" ht="14.45" customHeight="1">
      <c r="A34" s="201"/>
      <c r="B34" s="797" t="s">
        <v>323</v>
      </c>
      <c r="C34" s="801"/>
      <c r="D34" s="928" t="s">
        <v>337</v>
      </c>
      <c r="E34" s="928"/>
      <c r="F34" s="928"/>
    </row>
    <row r="35" spans="1:6" ht="14.25">
      <c r="A35" s="201"/>
      <c r="B35" s="201"/>
      <c r="C35" s="801"/>
      <c r="D35" s="928"/>
      <c r="E35" s="928"/>
      <c r="F35" s="928"/>
    </row>
    <row r="36" spans="1:6" ht="14.25">
      <c r="A36" s="201"/>
      <c r="B36" s="201"/>
      <c r="C36" s="801"/>
      <c r="D36" s="758"/>
      <c r="E36" s="758"/>
      <c r="F36" s="758"/>
    </row>
    <row r="37" spans="1:6" ht="14.25">
      <c r="A37" s="201"/>
      <c r="B37" s="797" t="s">
        <v>323</v>
      </c>
      <c r="C37" s="801"/>
      <c r="D37" s="928" t="s">
        <v>338</v>
      </c>
      <c r="E37" s="928"/>
      <c r="F37" s="928"/>
    </row>
    <row r="38" spans="1:6" ht="14.25">
      <c r="A38" s="201"/>
      <c r="B38" s="201"/>
      <c r="C38" s="801"/>
      <c r="D38" s="928"/>
      <c r="E38" s="928"/>
      <c r="F38" s="928"/>
    </row>
    <row r="39" spans="1:6" ht="14.25">
      <c r="A39" s="201"/>
      <c r="B39" s="201"/>
      <c r="C39" s="801"/>
      <c r="D39" s="928"/>
      <c r="E39" s="928"/>
      <c r="F39" s="928"/>
    </row>
    <row r="40" spans="1:6" ht="14.25">
      <c r="A40" s="201"/>
      <c r="B40" s="201"/>
      <c r="C40" s="801"/>
      <c r="D40" s="928"/>
      <c r="E40" s="928"/>
      <c r="F40" s="928"/>
    </row>
    <row r="41" spans="1:6" ht="14.25">
      <c r="A41" s="201"/>
      <c r="B41" s="201"/>
      <c r="C41" s="801"/>
      <c r="D41" s="928"/>
      <c r="E41" s="928"/>
      <c r="F41" s="928"/>
    </row>
    <row r="42" spans="1:6" ht="14.25">
      <c r="A42" s="201"/>
      <c r="B42" s="201"/>
      <c r="C42" s="801"/>
      <c r="D42" s="928"/>
      <c r="E42" s="928"/>
      <c r="F42" s="928"/>
    </row>
    <row r="43" spans="1:6" ht="14.25">
      <c r="A43" s="201"/>
      <c r="B43" s="201"/>
      <c r="C43" s="801"/>
      <c r="D43" s="928"/>
      <c r="E43" s="928"/>
      <c r="F43" s="928"/>
    </row>
    <row r="44" spans="1:6" ht="14.25">
      <c r="A44" s="201"/>
      <c r="B44" s="201"/>
      <c r="C44" s="801"/>
      <c r="D44" s="928"/>
      <c r="E44" s="928"/>
      <c r="F44" s="928"/>
    </row>
    <row r="45" spans="1:6" ht="14.25">
      <c r="A45" s="201"/>
      <c r="B45" s="201"/>
      <c r="C45" s="801"/>
      <c r="D45" s="753"/>
      <c r="E45" s="753"/>
      <c r="F45" s="753"/>
    </row>
    <row r="46" spans="1:6" ht="14.45" customHeight="1">
      <c r="A46" s="201"/>
      <c r="B46" s="797" t="s">
        <v>325</v>
      </c>
      <c r="C46" s="801"/>
      <c r="D46" s="928" t="s">
        <v>339</v>
      </c>
      <c r="E46" s="928"/>
      <c r="F46" s="928"/>
    </row>
    <row r="47" spans="1:6" ht="14.25">
      <c r="A47" s="201"/>
      <c r="B47" s="201"/>
      <c r="C47" s="801"/>
      <c r="D47" s="928"/>
      <c r="E47" s="928"/>
      <c r="F47" s="928"/>
    </row>
    <row r="48" spans="1:6" ht="14.25">
      <c r="A48" s="201"/>
      <c r="B48" s="201"/>
      <c r="C48" s="801"/>
      <c r="D48" s="928"/>
      <c r="E48" s="928"/>
      <c r="F48" s="928"/>
    </row>
    <row r="49" spans="1:6" ht="14.25">
      <c r="A49" s="201"/>
      <c r="B49" s="201"/>
      <c r="C49" s="801"/>
      <c r="D49" s="928"/>
      <c r="E49" s="928"/>
      <c r="F49" s="928"/>
    </row>
    <row r="50" spans="1:6" ht="14.25">
      <c r="A50" s="201"/>
      <c r="B50" s="201"/>
      <c r="C50" s="801"/>
      <c r="D50" s="928"/>
      <c r="E50" s="928"/>
      <c r="F50" s="928"/>
    </row>
    <row r="51" spans="1:6" ht="14.25">
      <c r="A51" s="201"/>
      <c r="B51" s="201"/>
      <c r="C51" s="801"/>
      <c r="D51" s="760"/>
      <c r="E51" s="33"/>
      <c r="F51" s="33"/>
    </row>
    <row r="52" spans="1:6" ht="14.25">
      <c r="A52" s="201"/>
      <c r="B52" s="797" t="s">
        <v>323</v>
      </c>
      <c r="C52" s="801"/>
      <c r="D52" s="928" t="s">
        <v>340</v>
      </c>
      <c r="E52" s="928"/>
      <c r="F52" s="928"/>
    </row>
    <row r="53" spans="1:6" ht="14.25">
      <c r="A53" s="201"/>
      <c r="B53" s="201"/>
      <c r="C53" s="801"/>
      <c r="D53" s="928"/>
      <c r="E53" s="928"/>
      <c r="F53" s="928"/>
    </row>
    <row r="54" spans="1:6" ht="14.25">
      <c r="A54" s="201"/>
      <c r="B54" s="201"/>
      <c r="C54" s="801"/>
      <c r="D54" s="928"/>
      <c r="E54" s="928"/>
      <c r="F54" s="928"/>
    </row>
    <row r="55" spans="1:6" ht="14.25">
      <c r="A55" s="201"/>
      <c r="B55" s="201"/>
      <c r="C55" s="801"/>
      <c r="D55" s="928"/>
      <c r="E55" s="928"/>
      <c r="F55" s="928"/>
    </row>
    <row r="56" spans="1:6" ht="14.25">
      <c r="A56" s="201"/>
      <c r="B56" s="201"/>
      <c r="C56" s="801"/>
      <c r="D56" s="928"/>
      <c r="E56" s="928"/>
      <c r="F56" s="928"/>
    </row>
    <row r="57" spans="1:6" ht="15" customHeight="1">
      <c r="A57" s="201"/>
      <c r="B57" s="201"/>
      <c r="C57" s="801"/>
      <c r="D57" s="928"/>
      <c r="E57" s="928"/>
      <c r="F57" s="928"/>
    </row>
    <row r="58" spans="1:6" ht="14.25">
      <c r="A58" s="201"/>
      <c r="B58" s="201"/>
      <c r="C58" s="801"/>
      <c r="D58"/>
      <c r="E58" s="33"/>
      <c r="F58" s="33"/>
    </row>
    <row r="59" spans="1:6" ht="14.25">
      <c r="A59" s="201"/>
      <c r="B59" s="797" t="s">
        <v>325</v>
      </c>
      <c r="C59" s="801"/>
      <c r="D59" s="928" t="s">
        <v>341</v>
      </c>
      <c r="E59" s="928"/>
      <c r="F59" s="928"/>
    </row>
    <row r="60" spans="1:6" ht="14.25">
      <c r="A60" s="201"/>
      <c r="B60" s="201"/>
      <c r="C60" s="801"/>
      <c r="D60" s="928"/>
      <c r="E60" s="928"/>
      <c r="F60" s="928"/>
    </row>
    <row r="61" spans="1:6" ht="14.25">
      <c r="A61" s="201"/>
      <c r="B61" s="201"/>
      <c r="C61" s="801"/>
      <c r="D61" s="928"/>
      <c r="E61" s="928"/>
      <c r="F61" s="928"/>
    </row>
    <row r="62" spans="1:6" ht="14.25">
      <c r="A62" s="201"/>
      <c r="B62" s="201"/>
      <c r="C62" s="801"/>
      <c r="D62" s="928"/>
      <c r="E62" s="928"/>
      <c r="F62" s="928"/>
    </row>
    <row r="63" spans="1:6" ht="17.25" customHeight="1">
      <c r="A63" s="201"/>
      <c r="B63" s="201"/>
      <c r="C63" s="801"/>
      <c r="D63" s="928"/>
      <c r="E63" s="928"/>
      <c r="F63" s="928"/>
    </row>
    <row r="64" spans="1:6" ht="14.25" customHeight="1">
      <c r="A64" s="201"/>
      <c r="B64" s="797" t="s">
        <v>325</v>
      </c>
      <c r="C64" s="801"/>
      <c r="D64" s="928" t="s">
        <v>342</v>
      </c>
      <c r="E64" s="928"/>
      <c r="F64" s="928"/>
    </row>
    <row r="65" spans="1:6" ht="15" customHeight="1">
      <c r="A65" s="201"/>
      <c r="B65" s="201"/>
      <c r="C65" s="801"/>
      <c r="D65" s="928"/>
      <c r="E65" s="928"/>
      <c r="F65" s="928"/>
    </row>
    <row r="66" spans="1:6" ht="21.6" customHeight="1">
      <c r="A66" s="201"/>
      <c r="B66" s="201"/>
      <c r="C66" s="801"/>
      <c r="D66" s="928"/>
      <c r="E66" s="928"/>
      <c r="F66" s="928"/>
    </row>
    <row r="67" spans="1:6" ht="14.25">
      <c r="A67" s="201"/>
      <c r="B67" s="201"/>
      <c r="C67" s="801"/>
      <c r="D67" s="33"/>
      <c r="E67" s="33"/>
      <c r="F67" s="33"/>
    </row>
    <row r="68" spans="1:6" ht="14.25" customHeight="1">
      <c r="A68" s="201"/>
      <c r="B68" s="797" t="s">
        <v>323</v>
      </c>
      <c r="C68" s="801"/>
      <c r="D68" s="928" t="s">
        <v>343</v>
      </c>
      <c r="E68" s="928"/>
      <c r="F68" s="928"/>
    </row>
    <row r="69" spans="1:6" ht="12.75">
      <c r="A69" s="801"/>
      <c r="B69" s="801"/>
      <c r="C69" s="801"/>
      <c r="D69" s="928"/>
      <c r="E69" s="928"/>
      <c r="F69" s="928"/>
    </row>
    <row r="70" spans="1:6" ht="12.75">
      <c r="A70" s="801"/>
      <c r="B70" s="801"/>
      <c r="C70" s="801"/>
      <c r="D70" s="928"/>
      <c r="E70" s="928"/>
      <c r="F70" s="928"/>
    </row>
    <row r="71" spans="1:6" ht="14.25">
      <c r="A71" s="201"/>
      <c r="B71" s="201"/>
      <c r="C71" s="801"/>
      <c r="D71" s="758"/>
      <c r="E71" s="776" t="s">
        <v>332</v>
      </c>
      <c r="F71" s="758"/>
    </row>
    <row r="72" spans="1:6" ht="14.25">
      <c r="A72" s="201"/>
      <c r="B72" s="201"/>
      <c r="C72" s="801"/>
      <c r="D72" s="33"/>
      <c r="E72" s="33"/>
      <c r="F72" s="33"/>
    </row>
    <row r="73" spans="1:6" ht="14.25">
      <c r="A73" s="201"/>
      <c r="B73" s="797" t="s">
        <v>325</v>
      </c>
      <c r="C73" s="801"/>
      <c r="D73" s="928" t="s">
        <v>344</v>
      </c>
      <c r="E73" s="928"/>
      <c r="F73" s="928"/>
    </row>
    <row r="74" spans="1:6" ht="12.75">
      <c r="A74" s="801"/>
      <c r="B74" s="801"/>
      <c r="C74" s="801"/>
      <c r="D74" s="928"/>
      <c r="E74" s="928"/>
      <c r="F74" s="928"/>
    </row>
    <row r="75" spans="1:6" ht="12.75">
      <c r="A75" s="801"/>
      <c r="B75" s="801"/>
      <c r="C75" s="801"/>
      <c r="D75" s="928"/>
      <c r="E75" s="928"/>
      <c r="F75" s="928"/>
    </row>
    <row r="76" spans="1:6" ht="12.75">
      <c r="A76" s="801"/>
      <c r="B76" s="801"/>
      <c r="C76" s="801"/>
      <c r="D76" s="33"/>
      <c r="E76" s="33"/>
      <c r="F76" s="33"/>
    </row>
    <row r="77" spans="1:6" ht="14.25">
      <c r="A77" s="201" t="s">
        <v>249</v>
      </c>
      <c r="B77" s="797" t="s">
        <v>325</v>
      </c>
      <c r="C77" s="801"/>
      <c r="D77" s="928" t="s">
        <v>345</v>
      </c>
      <c r="E77" s="928"/>
      <c r="F77" s="928"/>
    </row>
    <row r="78" spans="1:6" ht="12.75">
      <c r="A78" s="801"/>
      <c r="B78" s="801"/>
      <c r="C78" s="801"/>
      <c r="D78" s="928"/>
      <c r="E78" s="928"/>
      <c r="F78" s="928"/>
    </row>
    <row r="79" spans="1:6" ht="12.75">
      <c r="A79" s="801"/>
      <c r="B79" s="801"/>
      <c r="C79" s="801"/>
      <c r="D79" s="33"/>
      <c r="E79" s="33"/>
      <c r="F79" s="33"/>
    </row>
    <row r="80" spans="1:6" ht="14.25">
      <c r="A80" s="201" t="s">
        <v>249</v>
      </c>
      <c r="B80" s="797" t="s">
        <v>325</v>
      </c>
      <c r="C80" s="801"/>
      <c r="D80" s="928" t="s">
        <v>346</v>
      </c>
      <c r="E80" s="928"/>
      <c r="F80" s="928"/>
    </row>
    <row r="81" spans="1:7" ht="12.75">
      <c r="A81" s="801"/>
      <c r="B81" s="801"/>
      <c r="C81" s="801"/>
      <c r="D81" s="928"/>
      <c r="E81" s="928"/>
      <c r="F81" s="928"/>
      <c r="G81" s="33"/>
    </row>
    <row r="82" spans="1:7" ht="12.75">
      <c r="A82" s="801"/>
      <c r="B82" s="801"/>
      <c r="C82" s="801"/>
      <c r="D82" s="928"/>
      <c r="E82" s="928"/>
      <c r="F82" s="928"/>
      <c r="G82" s="33"/>
    </row>
    <row r="83" spans="1:7" ht="12.75">
      <c r="A83" s="801"/>
      <c r="B83" s="801"/>
      <c r="C83" s="801"/>
      <c r="D83" s="760"/>
      <c r="E83" s="33"/>
      <c r="F83" s="33"/>
      <c r="G83" s="33"/>
    </row>
    <row r="84" spans="1:7" ht="14.25">
      <c r="A84" s="201" t="s">
        <v>249</v>
      </c>
      <c r="B84" s="797" t="s">
        <v>325</v>
      </c>
      <c r="C84" s="801"/>
      <c r="D84" s="928" t="s">
        <v>347</v>
      </c>
      <c r="E84" s="928"/>
      <c r="F84" s="928"/>
      <c r="G84" s="33"/>
    </row>
    <row r="85" spans="1:7" ht="12.75">
      <c r="A85" s="801"/>
      <c r="B85" s="801"/>
      <c r="C85" s="801"/>
      <c r="D85" s="928"/>
      <c r="E85" s="928"/>
      <c r="F85" s="928"/>
      <c r="G85" s="33"/>
    </row>
    <row r="86" spans="1:7" ht="12.75">
      <c r="A86" s="801"/>
      <c r="B86" s="801"/>
      <c r="C86" s="801"/>
      <c r="D86" s="33"/>
      <c r="E86" s="33"/>
      <c r="F86" s="33"/>
      <c r="G86" s="33"/>
    </row>
    <row r="87" spans="1:7" ht="12.75">
      <c r="A87" s="979" t="s">
        <v>348</v>
      </c>
      <c r="B87" s="979"/>
      <c r="C87" s="979"/>
      <c r="D87" s="979"/>
      <c r="E87" s="979"/>
      <c r="F87" s="979"/>
      <c r="G87" s="979"/>
    </row>
    <row r="88" spans="1:7" ht="12.75">
      <c r="A88" s="801"/>
      <c r="B88" s="801"/>
      <c r="C88" s="801"/>
      <c r="D88" s="33"/>
      <c r="E88"/>
      <c r="F88"/>
      <c r="G88"/>
    </row>
    <row r="89" spans="1:7" ht="13.7" customHeight="1">
      <c r="A89" s="801"/>
      <c r="B89" s="801"/>
      <c r="C89" s="451"/>
      <c r="D89" s="955" t="s">
        <v>349</v>
      </c>
      <c r="E89" s="955"/>
      <c r="F89" s="955"/>
      <c r="G89"/>
    </row>
    <row r="90" spans="1:7" ht="13.7" customHeight="1">
      <c r="A90" s="760"/>
      <c r="B90" s="760"/>
      <c r="C90" s="801"/>
      <c r="D90" s="928" t="s">
        <v>350</v>
      </c>
      <c r="E90" s="928"/>
      <c r="F90" s="928"/>
      <c r="G90"/>
    </row>
    <row r="91" spans="1:7" ht="12.75">
      <c r="A91" s="760"/>
      <c r="B91" s="760"/>
      <c r="C91" s="801"/>
      <c r="D91" s="33"/>
      <c r="E91"/>
      <c r="F91"/>
      <c r="G91"/>
    </row>
    <row r="92" spans="1:7" ht="14.25" customHeight="1">
      <c r="A92" s="201"/>
      <c r="B92" s="797" t="s">
        <v>323</v>
      </c>
      <c r="C92" s="801"/>
      <c r="D92" s="928" t="s">
        <v>351</v>
      </c>
      <c r="E92" s="928"/>
      <c r="F92" s="928"/>
      <c r="G92"/>
    </row>
    <row r="93" spans="1:7" ht="14.45" customHeight="1">
      <c r="A93" s="201"/>
      <c r="B93" s="801"/>
      <c r="C93" s="801"/>
      <c r="D93" s="928"/>
      <c r="E93" s="928"/>
      <c r="F93" s="928"/>
      <c r="G93"/>
    </row>
    <row r="94" spans="1:7" ht="14.25">
      <c r="A94" s="201"/>
      <c r="B94" s="201"/>
      <c r="C94" s="801"/>
      <c r="D94" s="928"/>
      <c r="E94" s="928"/>
      <c r="F94" s="928"/>
      <c r="G94"/>
    </row>
    <row r="95" spans="1:7" ht="14.25">
      <c r="A95" s="201"/>
      <c r="B95" s="201"/>
      <c r="C95" s="801"/>
      <c r="D95" s="928"/>
      <c r="E95" s="928"/>
      <c r="F95" s="928"/>
      <c r="G95"/>
    </row>
    <row r="96" spans="1:7" ht="14.25">
      <c r="A96" s="201"/>
      <c r="B96" s="201"/>
      <c r="C96" s="801"/>
      <c r="D96" s="928"/>
      <c r="E96" s="928"/>
      <c r="F96" s="928"/>
      <c r="G96"/>
    </row>
    <row r="97" spans="1:7" ht="14.25">
      <c r="A97" s="201"/>
      <c r="B97" s="201"/>
      <c r="C97" s="801"/>
      <c r="D97" s="928"/>
      <c r="E97" s="928"/>
      <c r="F97" s="928"/>
      <c r="G97"/>
    </row>
    <row r="98" spans="1:7" ht="14.25">
      <c r="A98" s="201"/>
      <c r="B98" s="201"/>
      <c r="C98" s="801"/>
      <c r="D98" s="928"/>
      <c r="E98" s="928"/>
      <c r="F98" s="928"/>
      <c r="G98"/>
    </row>
    <row r="99" spans="1:7" ht="14.25">
      <c r="A99" s="201"/>
      <c r="B99" s="201"/>
      <c r="C99" s="801"/>
      <c r="D99" s="928"/>
      <c r="E99" s="928"/>
      <c r="F99" s="928"/>
      <c r="G99"/>
    </row>
    <row r="100" spans="1:7" ht="14.25">
      <c r="A100" s="201"/>
      <c r="B100" s="201"/>
      <c r="C100" s="801"/>
      <c r="D100" s="928"/>
      <c r="E100" s="928"/>
      <c r="F100" s="928"/>
      <c r="G100"/>
    </row>
    <row r="101" spans="1:7" ht="14.45" customHeight="1">
      <c r="A101" s="201"/>
      <c r="B101" s="797" t="s">
        <v>325</v>
      </c>
      <c r="C101" s="801"/>
      <c r="D101" s="973" t="s">
        <v>352</v>
      </c>
      <c r="E101" s="973"/>
      <c r="F101" s="973"/>
      <c r="G101"/>
    </row>
    <row r="102" spans="1:7" ht="14.25">
      <c r="A102" s="201"/>
      <c r="B102" s="201"/>
      <c r="C102" s="801"/>
      <c r="D102" s="973"/>
      <c r="E102" s="973"/>
      <c r="F102" s="973"/>
      <c r="G102"/>
    </row>
    <row r="103" spans="1:7" ht="14.25">
      <c r="A103" s="201"/>
      <c r="B103" s="201"/>
      <c r="C103" s="801"/>
      <c r="D103" s="973"/>
      <c r="E103" s="973"/>
      <c r="F103" s="973"/>
      <c r="G103"/>
    </row>
    <row r="104" spans="1:7" ht="14.25">
      <c r="A104" s="201"/>
      <c r="B104" s="201"/>
      <c r="C104" s="801"/>
      <c r="D104" s="973"/>
      <c r="E104" s="973"/>
      <c r="F104" s="973"/>
      <c r="G104"/>
    </row>
    <row r="105" spans="1:7" ht="14.25">
      <c r="A105" s="201"/>
      <c r="B105" s="201"/>
      <c r="C105" s="801"/>
      <c r="D105" s="973"/>
      <c r="E105" s="973"/>
      <c r="F105" s="973"/>
      <c r="G105"/>
    </row>
    <row r="106" spans="1:7" ht="14.25">
      <c r="A106" s="201"/>
      <c r="B106" s="201"/>
      <c r="C106" s="801"/>
      <c r="D106" s="973"/>
      <c r="E106" s="973"/>
      <c r="F106" s="973"/>
      <c r="G106"/>
    </row>
    <row r="107" spans="1:7" ht="14.25">
      <c r="A107" s="201"/>
      <c r="B107" s="201"/>
      <c r="C107" s="801"/>
      <c r="D107" s="973"/>
      <c r="E107" s="973"/>
      <c r="F107" s="973"/>
      <c r="G107"/>
    </row>
    <row r="108" spans="1:7" ht="14.25">
      <c r="A108" s="201"/>
      <c r="B108" s="201"/>
      <c r="C108" s="801"/>
      <c r="D108" s="973"/>
      <c r="E108" s="973"/>
      <c r="F108" s="973"/>
      <c r="G108"/>
    </row>
    <row r="109" spans="1:7" ht="14.25">
      <c r="A109" s="201"/>
      <c r="B109" s="201"/>
      <c r="C109" s="801"/>
      <c r="D109" s="973"/>
      <c r="E109" s="973"/>
      <c r="F109" s="973"/>
      <c r="G109"/>
    </row>
    <row r="110" spans="1:7" ht="14.25">
      <c r="A110" s="201"/>
      <c r="B110" s="201"/>
      <c r="C110" s="801"/>
      <c r="D110" s="973"/>
      <c r="E110" s="973"/>
      <c r="F110" s="973"/>
      <c r="G110"/>
    </row>
    <row r="111" spans="1:7" ht="14.25">
      <c r="A111" s="201"/>
      <c r="B111" s="201"/>
      <c r="C111" s="801"/>
      <c r="D111" s="973"/>
      <c r="E111" s="973"/>
      <c r="F111" s="973"/>
      <c r="G111"/>
    </row>
    <row r="112" spans="1:7" ht="14.25">
      <c r="A112" s="201"/>
      <c r="B112" s="201"/>
      <c r="C112" s="801"/>
      <c r="D112" s="973"/>
      <c r="E112" s="973"/>
      <c r="F112" s="973"/>
      <c r="G112"/>
    </row>
    <row r="113" spans="1:7" ht="14.25">
      <c r="A113" s="201"/>
      <c r="B113" s="201"/>
      <c r="C113" s="801"/>
      <c r="D113" s="973"/>
      <c r="E113" s="973"/>
      <c r="F113" s="973"/>
      <c r="G113"/>
    </row>
    <row r="114" spans="1:7" ht="14.25">
      <c r="A114" s="201"/>
      <c r="B114" s="797" t="s">
        <v>325</v>
      </c>
      <c r="C114" s="801"/>
      <c r="D114" s="928" t="s">
        <v>353</v>
      </c>
      <c r="E114" s="928"/>
      <c r="F114" s="928"/>
      <c r="G114"/>
    </row>
    <row r="115" spans="1:7" ht="14.25">
      <c r="A115" s="201"/>
      <c r="B115" s="201"/>
      <c r="C115" s="801"/>
      <c r="D115" s="928"/>
      <c r="E115" s="928"/>
      <c r="F115" s="928"/>
      <c r="G115"/>
    </row>
    <row r="116" spans="1:7" ht="14.25">
      <c r="A116" s="201"/>
      <c r="B116" s="201"/>
      <c r="C116" s="801"/>
      <c r="D116" s="928"/>
      <c r="E116" s="928"/>
      <c r="F116" s="928"/>
      <c r="G116"/>
    </row>
    <row r="117" spans="1:7" ht="14.25">
      <c r="A117" s="201"/>
      <c r="B117" s="201"/>
      <c r="C117" s="801"/>
      <c r="D117" s="928"/>
      <c r="E117" s="928"/>
      <c r="F117" s="928"/>
      <c r="G117"/>
    </row>
    <row r="118" spans="1:7" ht="14.25">
      <c r="A118" s="201"/>
      <c r="B118" s="201"/>
      <c r="C118" s="801"/>
      <c r="D118" s="928"/>
      <c r="E118" s="928"/>
      <c r="F118" s="928"/>
      <c r="G118"/>
    </row>
    <row r="119" spans="1:7" ht="14.25">
      <c r="A119" s="201"/>
      <c r="B119" s="201"/>
      <c r="C119" s="801"/>
      <c r="D119" s="928"/>
      <c r="E119" s="928"/>
      <c r="F119" s="928"/>
      <c r="G119"/>
    </row>
    <row r="120" spans="1:7" ht="14.25">
      <c r="A120" s="201"/>
      <c r="B120" s="201"/>
      <c r="C120" s="801"/>
      <c r="D120" s="928"/>
      <c r="E120" s="928"/>
      <c r="F120" s="928"/>
      <c r="G120"/>
    </row>
    <row r="121" spans="1:7" ht="14.25">
      <c r="A121" s="201"/>
      <c r="B121" s="201"/>
      <c r="C121" s="801"/>
      <c r="D121" s="928"/>
      <c r="E121" s="928"/>
      <c r="F121" s="928"/>
      <c r="G121"/>
    </row>
    <row r="122" spans="1:7" ht="12.75" customHeight="1">
      <c r="A122" s="201"/>
      <c r="B122" s="797" t="s">
        <v>323</v>
      </c>
      <c r="C122" s="801"/>
      <c r="D122" s="928" t="s">
        <v>354</v>
      </c>
      <c r="E122" s="928"/>
      <c r="F122" s="928"/>
      <c r="G122" s="33"/>
    </row>
    <row r="123" spans="1:7" ht="12.75">
      <c r="A123" s="801"/>
      <c r="B123" s="801"/>
      <c r="C123" s="801"/>
      <c r="D123" s="928"/>
      <c r="E123" s="928"/>
      <c r="F123" s="928"/>
      <c r="G123" s="33"/>
    </row>
    <row r="124" spans="1:7" ht="12.75">
      <c r="A124" s="801"/>
      <c r="B124" s="801"/>
      <c r="C124" s="801"/>
      <c r="D124" s="928"/>
      <c r="E124" s="928"/>
      <c r="F124" s="928"/>
      <c r="G124" s="33"/>
    </row>
    <row r="125" spans="1:7" ht="12.75">
      <c r="A125" s="801"/>
      <c r="B125" s="801"/>
      <c r="C125" s="801"/>
      <c r="D125" s="928"/>
      <c r="E125" s="928"/>
      <c r="F125" s="928"/>
      <c r="G125" s="33"/>
    </row>
    <row r="126" spans="1:7" ht="26.85" customHeight="1">
      <c r="A126" s="801"/>
      <c r="B126" s="801"/>
      <c r="C126" s="801"/>
      <c r="D126" s="928"/>
      <c r="E126" s="928"/>
      <c r="F126" s="928"/>
      <c r="G126" s="33"/>
    </row>
    <row r="127" spans="1:7" ht="12.75">
      <c r="A127" s="801"/>
      <c r="B127" s="801"/>
      <c r="C127" s="801"/>
      <c r="D127" s="33"/>
      <c r="E127" s="33"/>
      <c r="F127" s="33"/>
      <c r="G127" s="33"/>
    </row>
    <row r="128" spans="1:7" ht="14.25">
      <c r="A128" s="201"/>
      <c r="B128" s="797" t="s">
        <v>323</v>
      </c>
      <c r="C128" s="801"/>
      <c r="D128" s="928" t="s">
        <v>355</v>
      </c>
      <c r="E128" s="928"/>
      <c r="F128" s="928"/>
      <c r="G128" s="33"/>
    </row>
    <row r="129" spans="1:7" s="235" customFormat="1" ht="13.9" customHeight="1">
      <c r="A129" s="857"/>
      <c r="B129" s="857"/>
      <c r="C129" s="857"/>
      <c r="D129" s="928"/>
      <c r="E129" s="928"/>
      <c r="F129" s="928"/>
      <c r="G129" s="858"/>
    </row>
    <row r="130" spans="1:7" ht="13.9" customHeight="1">
      <c r="A130" s="801"/>
      <c r="B130" s="801"/>
      <c r="C130" s="801"/>
      <c r="D130" s="928"/>
      <c r="E130" s="928"/>
      <c r="F130" s="928"/>
      <c r="G130" s="33"/>
    </row>
    <row r="131" spans="1:7" ht="13.9" customHeight="1">
      <c r="A131" s="801"/>
      <c r="B131" s="801"/>
      <c r="C131" s="801"/>
      <c r="D131" s="928"/>
      <c r="E131" s="928"/>
      <c r="F131" s="928"/>
      <c r="G131" s="33"/>
    </row>
    <row r="132" spans="1:7" ht="13.9" customHeight="1">
      <c r="A132" s="801"/>
      <c r="B132" s="801"/>
      <c r="C132" s="801"/>
      <c r="D132" s="928"/>
      <c r="E132" s="928"/>
      <c r="F132" s="928"/>
      <c r="G132" s="33"/>
    </row>
    <row r="133" spans="1:7" ht="13.9" customHeight="1">
      <c r="A133" s="801"/>
      <c r="B133" s="801"/>
      <c r="C133" s="801"/>
      <c r="D133" s="928"/>
      <c r="E133" s="928"/>
      <c r="F133" s="928"/>
      <c r="G133" s="33"/>
    </row>
    <row r="134" spans="1:7" ht="13.9" customHeight="1">
      <c r="A134" s="801"/>
      <c r="B134" s="801"/>
      <c r="C134" s="801"/>
      <c r="D134" s="928"/>
      <c r="E134" s="928"/>
      <c r="F134" s="928"/>
      <c r="G134"/>
    </row>
    <row r="135" spans="1:7" ht="13.9" customHeight="1">
      <c r="A135" s="801"/>
      <c r="B135" s="801"/>
      <c r="C135" s="801"/>
      <c r="D135" s="928"/>
      <c r="E135" s="928"/>
      <c r="F135" s="928"/>
      <c r="G135"/>
    </row>
    <row r="136" spans="1:7" ht="13.9" customHeight="1">
      <c r="A136" s="801"/>
      <c r="B136" s="801"/>
      <c r="C136" s="801"/>
      <c r="D136" s="928"/>
      <c r="E136" s="928"/>
      <c r="F136" s="928"/>
      <c r="G136"/>
    </row>
    <row r="137" spans="1:7" ht="13.9" customHeight="1">
      <c r="A137" s="801"/>
      <c r="B137" s="801"/>
      <c r="C137" s="801"/>
      <c r="D137" s="928"/>
      <c r="E137" s="928"/>
      <c r="F137" s="928"/>
      <c r="G137"/>
    </row>
    <row r="138" spans="1:7" ht="17.25" customHeight="1">
      <c r="A138" s="801"/>
      <c r="B138" s="801"/>
      <c r="C138" s="801"/>
      <c r="D138" s="928"/>
      <c r="E138" s="928"/>
      <c r="F138" s="928"/>
      <c r="G138"/>
    </row>
    <row r="139" spans="1:7" ht="25.5" hidden="1" customHeight="1">
      <c r="A139" s="801"/>
      <c r="B139" s="801"/>
      <c r="C139" s="801"/>
      <c r="D139" s="928"/>
      <c r="E139" s="928"/>
      <c r="F139" s="928"/>
      <c r="G139"/>
    </row>
    <row r="140" spans="1:7" ht="13.9" customHeight="1">
      <c r="A140" s="801"/>
      <c r="B140" s="801"/>
      <c r="C140" s="801"/>
      <c r="D140" s="33"/>
      <c r="E140" s="33"/>
      <c r="F140" s="33"/>
      <c r="G140"/>
    </row>
    <row r="141" spans="1:7" ht="13.9" customHeight="1">
      <c r="A141" s="801"/>
      <c r="B141" s="797" t="s">
        <v>325</v>
      </c>
      <c r="C141" s="801"/>
      <c r="D141" s="928" t="s">
        <v>356</v>
      </c>
      <c r="E141" s="928"/>
      <c r="F141" s="928"/>
      <c r="G141"/>
    </row>
    <row r="142" spans="1:7" ht="13.9" customHeight="1">
      <c r="A142" s="801"/>
      <c r="B142" s="801"/>
      <c r="C142" s="801"/>
      <c r="D142" s="928"/>
      <c r="E142" s="928"/>
      <c r="F142" s="928"/>
      <c r="G142"/>
    </row>
    <row r="143" spans="1:7" ht="13.9" customHeight="1">
      <c r="A143" s="801"/>
      <c r="B143" s="801"/>
      <c r="C143" s="801"/>
      <c r="D143" s="928"/>
      <c r="E143" s="928"/>
      <c r="F143" s="928"/>
      <c r="G143"/>
    </row>
    <row r="144" spans="1:7" ht="13.9" customHeight="1">
      <c r="A144" s="801"/>
      <c r="B144" s="801"/>
      <c r="C144" s="801"/>
      <c r="D144" s="928"/>
      <c r="E144" s="928"/>
      <c r="F144" s="928"/>
      <c r="G144"/>
    </row>
    <row r="145" spans="1:7" ht="13.9" customHeight="1">
      <c r="A145" s="801"/>
      <c r="B145" s="801"/>
      <c r="C145" s="801"/>
      <c r="D145" s="928"/>
      <c r="E145" s="928"/>
      <c r="F145" s="928"/>
      <c r="G145"/>
    </row>
    <row r="146" spans="1:7" ht="13.9" customHeight="1">
      <c r="A146" s="815"/>
      <c r="B146" s="815"/>
      <c r="C146" s="801"/>
      <c r="D146" s="928"/>
      <c r="E146" s="928"/>
      <c r="F146" s="928"/>
      <c r="G146"/>
    </row>
    <row r="147" spans="1:7" ht="13.9" customHeight="1">
      <c r="A147" s="815"/>
      <c r="B147" s="815"/>
      <c r="C147" s="801"/>
      <c r="D147" s="928"/>
      <c r="E147" s="928"/>
      <c r="F147" s="928"/>
      <c r="G147"/>
    </row>
    <row r="148" spans="1:7" ht="13.9" customHeight="1">
      <c r="A148" s="815"/>
      <c r="B148" s="815"/>
      <c r="C148" s="801"/>
      <c r="D148" s="928"/>
      <c r="E148" s="928"/>
      <c r="F148" s="928"/>
      <c r="G148"/>
    </row>
    <row r="149" spans="1:7" ht="13.9" customHeight="1">
      <c r="A149" s="815"/>
      <c r="B149" s="815"/>
      <c r="C149" s="801"/>
      <c r="D149" s="928"/>
      <c r="E149" s="928"/>
      <c r="F149" s="928"/>
      <c r="G149"/>
    </row>
    <row r="150" spans="1:7" ht="13.9" customHeight="1">
      <c r="A150" s="815"/>
      <c r="B150" s="815"/>
      <c r="C150" s="801"/>
      <c r="D150" s="928"/>
      <c r="E150" s="928"/>
      <c r="F150" s="928"/>
      <c r="G150"/>
    </row>
    <row r="151" spans="1:7" ht="13.9" customHeight="1">
      <c r="A151" s="815"/>
      <c r="B151" s="815"/>
      <c r="C151" s="801"/>
      <c r="D151" s="928"/>
      <c r="E151" s="928"/>
      <c r="F151" s="928"/>
      <c r="G151"/>
    </row>
    <row r="152" spans="1:7" ht="13.9" customHeight="1">
      <c r="A152" s="815"/>
      <c r="B152" s="815"/>
      <c r="C152" s="801"/>
      <c r="D152" s="928"/>
      <c r="E152" s="928"/>
      <c r="F152" s="928"/>
      <c r="G152"/>
    </row>
    <row r="153" spans="1:7" ht="13.9" customHeight="1">
      <c r="A153" s="815"/>
      <c r="B153" s="815"/>
      <c r="C153" s="801"/>
      <c r="D153" s="928"/>
      <c r="E153" s="928"/>
      <c r="F153" s="928"/>
      <c r="G153"/>
    </row>
    <row r="154" spans="1:7" ht="13.9" customHeight="1">
      <c r="A154" s="815"/>
      <c r="B154" s="815"/>
      <c r="C154" s="801"/>
      <c r="D154" s="928"/>
      <c r="E154" s="928"/>
      <c r="F154" s="928"/>
      <c r="G154"/>
    </row>
    <row r="155" spans="1:7" ht="13.9" customHeight="1">
      <c r="A155" s="815"/>
      <c r="B155" s="815"/>
      <c r="C155" s="801"/>
      <c r="D155" s="928"/>
      <c r="E155" s="928"/>
      <c r="F155" s="928"/>
      <c r="G155"/>
    </row>
    <row r="156" spans="1:7" ht="13.9" customHeight="1">
      <c r="A156" s="815"/>
      <c r="B156" s="815"/>
      <c r="C156" s="801"/>
      <c r="D156" s="928"/>
      <c r="E156" s="928"/>
      <c r="F156" s="928"/>
      <c r="G156"/>
    </row>
    <row r="157" spans="1:7" ht="13.9" customHeight="1">
      <c r="A157" s="815"/>
      <c r="B157" s="815"/>
      <c r="C157" s="801"/>
      <c r="D157" s="928"/>
      <c r="E157" s="928"/>
      <c r="F157" s="928"/>
      <c r="G157"/>
    </row>
    <row r="158" spans="1:7" ht="13.9" customHeight="1">
      <c r="A158" s="815"/>
      <c r="B158" s="815"/>
      <c r="C158" s="801"/>
      <c r="D158" s="928"/>
      <c r="E158" s="928"/>
      <c r="F158" s="928"/>
      <c r="G158"/>
    </row>
    <row r="159" spans="1:7" ht="13.9" customHeight="1">
      <c r="A159" s="815"/>
      <c r="B159" s="815"/>
      <c r="C159" s="801"/>
      <c r="D159" s="975" t="s">
        <v>357</v>
      </c>
      <c r="E159" s="975"/>
      <c r="F159" s="975"/>
      <c r="G159"/>
    </row>
    <row r="160" spans="1:7" ht="13.9" customHeight="1">
      <c r="A160" s="815"/>
      <c r="B160" s="815"/>
      <c r="C160" s="801"/>
      <c r="D160" s="760"/>
      <c r="E160" s="33"/>
      <c r="F160" s="33"/>
      <c r="G160"/>
    </row>
    <row r="161" spans="1:7" ht="13.9" customHeight="1">
      <c r="A161" s="201"/>
      <c r="B161" s="797" t="s">
        <v>323</v>
      </c>
      <c r="C161" s="801"/>
      <c r="D161" s="973" t="s">
        <v>358</v>
      </c>
      <c r="E161" s="974"/>
      <c r="F161" s="974"/>
      <c r="G161"/>
    </row>
    <row r="162" spans="1:7" ht="13.9" customHeight="1">
      <c r="A162" s="201"/>
      <c r="B162" s="815"/>
      <c r="C162" s="801"/>
      <c r="D162" s="974"/>
      <c r="E162" s="974"/>
      <c r="F162" s="974"/>
      <c r="G162"/>
    </row>
    <row r="163" spans="1:7" ht="13.9" customHeight="1">
      <c r="A163" s="815"/>
      <c r="B163" s="815"/>
      <c r="C163" s="801"/>
      <c r="D163" s="974"/>
      <c r="E163" s="974"/>
      <c r="F163" s="974"/>
      <c r="G163"/>
    </row>
    <row r="164" spans="1:7" ht="13.9" customHeight="1">
      <c r="A164" s="815"/>
      <c r="B164" s="815"/>
      <c r="C164" s="801"/>
      <c r="D164" s="760"/>
      <c r="E164" s="33"/>
      <c r="F164" s="33"/>
      <c r="G164"/>
    </row>
    <row r="165" spans="1:7" ht="13.9" customHeight="1">
      <c r="A165" s="201"/>
      <c r="B165" s="797" t="s">
        <v>323</v>
      </c>
      <c r="C165" s="801"/>
      <c r="D165" s="974" t="s">
        <v>359</v>
      </c>
      <c r="E165" s="974"/>
      <c r="F165" s="974"/>
      <c r="G165"/>
    </row>
    <row r="166" spans="1:7" ht="13.9" customHeight="1">
      <c r="A166" s="815"/>
      <c r="B166" s="815"/>
      <c r="C166" s="801"/>
      <c r="D166" s="974"/>
      <c r="E166" s="974"/>
      <c r="F166" s="974"/>
      <c r="G166" s="33"/>
    </row>
    <row r="167" spans="1:7" ht="13.9" customHeight="1">
      <c r="A167" s="815"/>
      <c r="B167" s="815"/>
      <c r="C167" s="801"/>
      <c r="D167" s="974"/>
      <c r="E167" s="974"/>
      <c r="F167" s="974"/>
      <c r="G167" s="33"/>
    </row>
    <row r="168" spans="1:7" ht="13.9" customHeight="1">
      <c r="A168" s="815"/>
      <c r="B168" s="815"/>
      <c r="C168" s="801"/>
      <c r="D168" s="974"/>
      <c r="E168" s="974"/>
      <c r="F168" s="974"/>
      <c r="G168" s="33"/>
    </row>
    <row r="169" spans="1:7" ht="13.9" customHeight="1">
      <c r="A169" s="815"/>
      <c r="B169" s="815"/>
      <c r="C169" s="801"/>
      <c r="D169" s="760"/>
      <c r="E169" s="33"/>
      <c r="F169" s="33"/>
      <c r="G169" s="33"/>
    </row>
    <row r="170" spans="1:7" ht="13.9" customHeight="1">
      <c r="A170" s="263"/>
      <c r="B170" s="797" t="s">
        <v>325</v>
      </c>
      <c r="C170" s="263"/>
      <c r="D170" s="977" t="s">
        <v>360</v>
      </c>
      <c r="E170" s="977"/>
      <c r="F170" s="977"/>
      <c r="G170" s="780"/>
    </row>
    <row r="171" spans="1:7" ht="13.9" customHeight="1">
      <c r="A171" s="263"/>
      <c r="B171" s="263"/>
      <c r="C171" s="263"/>
      <c r="D171" s="977"/>
      <c r="E171" s="977"/>
      <c r="F171" s="977"/>
      <c r="G171" s="780"/>
    </row>
    <row r="172" spans="1:7" ht="13.9" customHeight="1">
      <c r="A172" s="263"/>
      <c r="B172" s="263"/>
      <c r="C172" s="263"/>
      <c r="D172" s="977"/>
      <c r="E172" s="977"/>
      <c r="F172" s="977"/>
      <c r="G172" s="780"/>
    </row>
    <row r="173" spans="1:7" ht="12.75">
      <c r="A173" s="263"/>
      <c r="B173" s="263"/>
      <c r="C173" s="263"/>
      <c r="D173" s="265"/>
      <c r="E173" s="780"/>
      <c r="F173" s="780"/>
      <c r="G173" s="780"/>
    </row>
    <row r="174" spans="1:7" ht="12.75">
      <c r="A174" s="979" t="s">
        <v>361</v>
      </c>
      <c r="B174" s="979"/>
      <c r="C174" s="979"/>
      <c r="D174" s="979"/>
      <c r="E174" s="979"/>
      <c r="F174" s="979"/>
      <c r="G174" s="979"/>
    </row>
    <row r="175" spans="1:7" ht="12.75">
      <c r="A175" s="801"/>
      <c r="B175" s="801"/>
      <c r="C175" s="801"/>
      <c r="D175" s="760"/>
      <c r="E175" s="33"/>
      <c r="F175" s="33"/>
      <c r="G175" s="33"/>
    </row>
    <row r="176" spans="1:7" ht="12.75">
      <c r="A176" s="801"/>
      <c r="B176" s="801"/>
      <c r="C176" s="451"/>
      <c r="D176" s="976" t="s">
        <v>362</v>
      </c>
      <c r="E176" s="976"/>
      <c r="F176" s="976"/>
      <c r="G176" s="33"/>
    </row>
    <row r="177" spans="1:6" ht="12.75">
      <c r="A177" s="778"/>
      <c r="B177" s="778"/>
      <c r="C177" s="778"/>
      <c r="D177" s="978" t="s">
        <v>363</v>
      </c>
      <c r="E177" s="978"/>
      <c r="F177" s="978"/>
    </row>
    <row r="178" spans="1:6" ht="12.75">
      <c r="A178" s="140"/>
      <c r="B178" s="140"/>
      <c r="C178" s="140"/>
      <c r="D178" s="33"/>
      <c r="E178" s="33"/>
      <c r="F178" s="33"/>
    </row>
    <row r="179" spans="1:6" ht="14.25">
      <c r="A179" s="201"/>
      <c r="B179" s="797" t="s">
        <v>323</v>
      </c>
      <c r="C179" s="801"/>
      <c r="D179" s="958" t="s">
        <v>364</v>
      </c>
      <c r="E179" s="958"/>
      <c r="F179" s="958"/>
    </row>
    <row r="180" spans="1:6" ht="14.25">
      <c r="A180" s="201"/>
      <c r="B180" s="801"/>
      <c r="C180" s="801"/>
      <c r="D180" s="771"/>
      <c r="E180" s="771"/>
      <c r="F180" s="771"/>
    </row>
    <row r="181" spans="1:6" ht="14.25">
      <c r="A181" s="201"/>
      <c r="B181" s="797" t="s">
        <v>325</v>
      </c>
      <c r="C181" s="801"/>
      <c r="D181" s="958" t="s">
        <v>365</v>
      </c>
      <c r="E181" s="958"/>
      <c r="F181" s="958"/>
    </row>
    <row r="182" spans="1:6" ht="14.25">
      <c r="A182" s="201"/>
      <c r="B182" s="801"/>
      <c r="C182" s="801"/>
      <c r="D182" s="771"/>
      <c r="E182" s="771"/>
      <c r="F182" s="771"/>
    </row>
    <row r="183" spans="1:6" ht="14.25">
      <c r="A183" s="201"/>
      <c r="B183" s="797" t="s">
        <v>325</v>
      </c>
      <c r="C183" s="801"/>
      <c r="D183" s="980" t="s">
        <v>366</v>
      </c>
      <c r="E183" s="980"/>
      <c r="F183" s="980"/>
    </row>
    <row r="184" spans="1:6" ht="13.7" customHeight="1">
      <c r="A184" s="201"/>
      <c r="B184" s="801"/>
      <c r="C184" s="801"/>
      <c r="D184" s="33" t="s">
        <v>14</v>
      </c>
      <c r="E184" s="928" t="s">
        <v>367</v>
      </c>
      <c r="F184" s="928"/>
    </row>
    <row r="185" spans="1:6" ht="14.25">
      <c r="A185" s="201"/>
      <c r="B185" s="801"/>
      <c r="C185" s="801"/>
      <c r="D185" s="758"/>
      <c r="E185" s="928"/>
      <c r="F185" s="928"/>
    </row>
    <row r="186" spans="1:6" ht="14.25">
      <c r="A186" s="201"/>
      <c r="B186" s="801"/>
      <c r="C186" s="801"/>
      <c r="D186" s="758"/>
      <c r="E186" s="928"/>
      <c r="F186" s="928"/>
    </row>
    <row r="187" spans="1:6" ht="14.25">
      <c r="A187" s="201"/>
      <c r="B187" s="801"/>
      <c r="C187" s="801"/>
      <c r="D187"/>
      <c r="E187" s="928"/>
      <c r="F187" s="928"/>
    </row>
    <row r="188" spans="1:6" ht="13.7" customHeight="1">
      <c r="A188" s="201"/>
      <c r="B188" s="801"/>
      <c r="C188" s="801"/>
      <c r="D188" s="758" t="s">
        <v>27</v>
      </c>
      <c r="E188" s="928" t="s">
        <v>368</v>
      </c>
      <c r="F188" s="928"/>
    </row>
    <row r="189" spans="1:6" ht="13.7" customHeight="1">
      <c r="A189" s="201"/>
      <c r="B189" s="801"/>
      <c r="C189" s="801"/>
      <c r="D189" s="758"/>
      <c r="E189" s="928"/>
      <c r="F189" s="928"/>
    </row>
    <row r="190" spans="1:6" ht="13.7" customHeight="1">
      <c r="A190" s="201"/>
      <c r="B190" s="801"/>
      <c r="C190" s="801"/>
      <c r="D190" s="758"/>
      <c r="E190" s="928"/>
      <c r="F190" s="928"/>
    </row>
    <row r="191" spans="1:6" ht="13.7" customHeight="1">
      <c r="A191" s="201"/>
      <c r="B191" s="801"/>
      <c r="C191" s="801"/>
      <c r="D191" s="758"/>
      <c r="E191" s="928"/>
      <c r="F191" s="928"/>
    </row>
    <row r="192" spans="1:6" ht="13.7" customHeight="1">
      <c r="A192" s="201"/>
      <c r="B192" s="801"/>
      <c r="C192" s="801"/>
      <c r="D192" s="758"/>
      <c r="E192" s="928"/>
      <c r="F192" s="928"/>
    </row>
    <row r="193" spans="1:7" ht="14.25">
      <c r="A193" s="201"/>
      <c r="B193" s="801"/>
      <c r="C193" s="801"/>
      <c r="D193"/>
      <c r="E193" s="928"/>
      <c r="F193" s="928"/>
      <c r="G193" s="33"/>
    </row>
    <row r="194" spans="1:7" ht="14.25">
      <c r="A194" s="201"/>
      <c r="B194" s="801"/>
      <c r="C194" s="801"/>
      <c r="D194"/>
      <c r="E194" s="928"/>
      <c r="F194" s="928"/>
      <c r="G194" s="33"/>
    </row>
    <row r="195" spans="1:7" ht="12.75">
      <c r="A195" s="801"/>
      <c r="B195" s="801"/>
      <c r="C195" s="801"/>
      <c r="D195" s="33"/>
      <c r="E195" s="33"/>
      <c r="F195" s="33"/>
      <c r="G195" s="33"/>
    </row>
    <row r="196" spans="1:7" ht="14.25">
      <c r="A196" s="201"/>
      <c r="B196" s="797" t="s">
        <v>325</v>
      </c>
      <c r="C196" s="801"/>
      <c r="D196" s="928" t="s">
        <v>369</v>
      </c>
      <c r="E196" s="928"/>
      <c r="F196" s="928"/>
      <c r="G196" s="33"/>
    </row>
    <row r="197" spans="1:7" ht="14.25">
      <c r="A197" s="201"/>
      <c r="B197" s="201"/>
      <c r="C197" s="801"/>
      <c r="D197" s="928"/>
      <c r="E197" s="928"/>
      <c r="F197" s="928"/>
      <c r="G197" s="33"/>
    </row>
    <row r="198" spans="1:7" ht="14.25">
      <c r="A198" s="201"/>
      <c r="B198" s="201"/>
      <c r="C198" s="801"/>
      <c r="D198" s="928"/>
      <c r="E198" s="928"/>
      <c r="F198" s="928"/>
      <c r="G198" s="33"/>
    </row>
    <row r="199" spans="1:7" ht="14.25">
      <c r="A199" s="201"/>
      <c r="B199" s="201"/>
      <c r="C199" s="801"/>
      <c r="D199" s="928"/>
      <c r="E199" s="928"/>
      <c r="F199" s="928"/>
      <c r="G199" s="33"/>
    </row>
    <row r="200" spans="1:7" ht="12.75">
      <c r="A200" s="801"/>
      <c r="B200" s="801"/>
      <c r="C200" s="801"/>
      <c r="D200" s="975" t="s">
        <v>370</v>
      </c>
      <c r="E200" s="975"/>
      <c r="F200" s="975"/>
      <c r="G200" s="33"/>
    </row>
    <row r="201" spans="1:7" ht="12.75">
      <c r="A201" s="801"/>
      <c r="B201" s="801"/>
      <c r="C201" s="801"/>
      <c r="D201" s="770"/>
      <c r="E201" s="770"/>
      <c r="F201" s="770"/>
      <c r="G201" s="33"/>
    </row>
    <row r="202" spans="1:7" ht="14.25">
      <c r="A202" s="201"/>
      <c r="B202" s="797" t="s">
        <v>325</v>
      </c>
      <c r="C202" s="801"/>
      <c r="D202" s="950" t="s">
        <v>371</v>
      </c>
      <c r="E202" s="950"/>
      <c r="F202" s="950"/>
      <c r="G202" s="33"/>
    </row>
    <row r="203" spans="1:7" ht="12.75">
      <c r="A203" s="801"/>
      <c r="B203" s="801"/>
      <c r="C203" s="801"/>
      <c r="D203" s="33"/>
      <c r="E203" s="33"/>
      <c r="F203" s="33"/>
      <c r="G203" s="33"/>
    </row>
    <row r="204" spans="1:7" ht="12.75">
      <c r="A204" s="979" t="s">
        <v>372</v>
      </c>
      <c r="B204" s="979"/>
      <c r="C204" s="979"/>
      <c r="D204" s="979"/>
      <c r="E204" s="979"/>
      <c r="F204" s="979"/>
      <c r="G204" s="979"/>
    </row>
    <row r="205" spans="1:7" ht="12.75">
      <c r="A205" s="801"/>
      <c r="B205" s="801"/>
      <c r="C205" s="801"/>
      <c r="D205" s="33"/>
      <c r="E205" s="33"/>
      <c r="F205" s="33"/>
      <c r="G205" s="33"/>
    </row>
    <row r="206" spans="1:7" ht="12.75">
      <c r="A206" s="801"/>
      <c r="B206" s="801"/>
      <c r="C206" s="452"/>
      <c r="D206" s="976" t="s">
        <v>373</v>
      </c>
      <c r="E206" s="976"/>
      <c r="F206" s="976"/>
      <c r="G206" s="33"/>
    </row>
    <row r="207" spans="1:7" ht="12.75">
      <c r="A207" s="754"/>
      <c r="B207" s="754"/>
      <c r="C207" s="452"/>
      <c r="D207" s="976" t="s">
        <v>374</v>
      </c>
      <c r="E207" s="976"/>
      <c r="F207" s="976"/>
      <c r="G207" s="33"/>
    </row>
    <row r="208" spans="1:7" ht="12.75">
      <c r="A208" s="778"/>
      <c r="B208" s="778"/>
      <c r="C208" s="778"/>
      <c r="D208" s="958" t="s">
        <v>375</v>
      </c>
      <c r="E208" s="958"/>
      <c r="F208" s="958"/>
      <c r="G208" s="33"/>
    </row>
    <row r="209" spans="1:6" ht="12.75">
      <c r="A209" s="778"/>
      <c r="B209" s="778"/>
      <c r="C209" s="778"/>
      <c r="D209" s="33"/>
      <c r="E209" s="33"/>
      <c r="F209" s="33"/>
    </row>
    <row r="210" spans="1:6" ht="12.75">
      <c r="A210" s="778"/>
      <c r="B210" s="778"/>
      <c r="C210" s="778"/>
      <c r="D210" s="928" t="s">
        <v>376</v>
      </c>
      <c r="E210" s="928"/>
      <c r="F210" s="928"/>
    </row>
    <row r="211" spans="1:6" ht="12.75">
      <c r="A211" s="778"/>
      <c r="B211" s="778"/>
      <c r="C211" s="778"/>
      <c r="D211" s="928"/>
      <c r="E211" s="928"/>
      <c r="F211" s="928"/>
    </row>
    <row r="212" spans="1:6" ht="12.75">
      <c r="A212" s="778"/>
      <c r="B212" s="778"/>
      <c r="C212" s="778"/>
      <c r="D212" s="928"/>
      <c r="E212" s="928"/>
      <c r="F212" s="928"/>
    </row>
    <row r="213" spans="1:6" ht="12.75">
      <c r="A213" s="778"/>
      <c r="B213" s="778"/>
      <c r="C213" s="778"/>
      <c r="D213" s="928"/>
      <c r="E213" s="928"/>
      <c r="F213" s="928"/>
    </row>
    <row r="214" spans="1:6" ht="12.75">
      <c r="A214" s="778"/>
      <c r="B214" s="778"/>
      <c r="C214" s="778"/>
      <c r="D214" s="33"/>
      <c r="E214" s="33"/>
      <c r="F214" s="33"/>
    </row>
    <row r="215" spans="1:6" ht="12.75">
      <c r="A215" s="778"/>
      <c r="B215" s="778"/>
      <c r="C215" s="778"/>
      <c r="D215" s="928" t="s">
        <v>377</v>
      </c>
      <c r="E215" s="928"/>
      <c r="F215" s="928"/>
    </row>
    <row r="216" spans="1:6" ht="12.75">
      <c r="A216" s="778"/>
      <c r="B216" s="778"/>
      <c r="C216" s="778"/>
      <c r="D216" s="928"/>
      <c r="E216" s="928"/>
      <c r="F216" s="928"/>
    </row>
    <row r="217" spans="1:6" ht="12.75">
      <c r="A217" s="778"/>
      <c r="B217" s="778"/>
      <c r="C217" s="778"/>
      <c r="D217" s="928"/>
      <c r="E217" s="928"/>
      <c r="F217" s="928"/>
    </row>
    <row r="218" spans="1:6" ht="12.75">
      <c r="A218" s="778"/>
      <c r="B218" s="778"/>
      <c r="C218" s="778"/>
      <c r="D218" s="928"/>
      <c r="E218" s="928"/>
      <c r="F218" s="928"/>
    </row>
    <row r="219" spans="1:6" ht="12.75">
      <c r="A219" s="778"/>
      <c r="B219" s="778"/>
      <c r="C219" s="778"/>
      <c r="D219" s="928"/>
      <c r="E219" s="928"/>
      <c r="F219" s="928"/>
    </row>
    <row r="220" spans="1:6" ht="12.75">
      <c r="A220" s="778"/>
      <c r="B220" s="778"/>
      <c r="C220" s="778"/>
      <c r="D220" s="928"/>
      <c r="E220" s="928"/>
      <c r="F220" s="928"/>
    </row>
    <row r="221" spans="1:6" ht="12.75">
      <c r="A221" s="140"/>
      <c r="B221" s="140"/>
      <c r="C221" s="140"/>
      <c r="D221" s="33"/>
      <c r="E221" s="33"/>
      <c r="F221" s="33"/>
    </row>
    <row r="222" spans="1:6" ht="14.45" customHeight="1">
      <c r="A222" s="201"/>
      <c r="B222" s="797" t="s">
        <v>323</v>
      </c>
      <c r="C222" s="140"/>
      <c r="D222" s="950" t="s">
        <v>378</v>
      </c>
      <c r="E222" s="950"/>
      <c r="F222" s="950"/>
    </row>
    <row r="223" spans="1:6" ht="14.25">
      <c r="A223" s="201"/>
      <c r="B223" s="801"/>
      <c r="C223" s="140"/>
      <c r="D223" s="958" t="s">
        <v>379</v>
      </c>
      <c r="E223" s="958"/>
      <c r="F223" s="958"/>
    </row>
    <row r="224" spans="1:6" ht="14.25">
      <c r="A224" s="201"/>
      <c r="B224" s="201"/>
      <c r="C224" s="140"/>
      <c r="D224" s="67" t="s">
        <v>380</v>
      </c>
      <c r="E224" s="984" t="s">
        <v>381</v>
      </c>
      <c r="F224" s="984"/>
    </row>
    <row r="225" spans="1:6" ht="12.75">
      <c r="A225" s="801"/>
      <c r="B225" s="801"/>
      <c r="C225" s="801"/>
      <c r="D225" s="958" t="s">
        <v>382</v>
      </c>
      <c r="E225" s="958"/>
      <c r="F225" s="958"/>
    </row>
    <row r="226" spans="1:6" ht="12.75">
      <c r="A226" s="801"/>
      <c r="B226" s="801"/>
      <c r="C226" s="801"/>
      <c r="D226" s="33"/>
      <c r="E226" s="33"/>
      <c r="F226" s="33"/>
    </row>
    <row r="227" spans="1:6" ht="14.25">
      <c r="A227" s="201"/>
      <c r="B227" s="797" t="s">
        <v>325</v>
      </c>
      <c r="C227" s="801"/>
      <c r="D227" s="958" t="s">
        <v>383</v>
      </c>
      <c r="E227" s="958"/>
      <c r="F227" s="958"/>
    </row>
    <row r="228" spans="1:6" ht="14.25">
      <c r="A228" s="201"/>
      <c r="B228" s="801"/>
      <c r="C228" s="801"/>
      <c r="D228" s="950" t="s">
        <v>379</v>
      </c>
      <c r="E228" s="950"/>
      <c r="F228" s="950"/>
    </row>
    <row r="229" spans="1:6" ht="14.25">
      <c r="A229" s="201"/>
      <c r="B229" s="201"/>
      <c r="C229" s="801"/>
      <c r="D229" s="769" t="s">
        <v>384</v>
      </c>
      <c r="E229" s="984" t="s">
        <v>385</v>
      </c>
      <c r="F229" s="984"/>
    </row>
    <row r="230" spans="1:6" ht="12.75">
      <c r="A230" s="801"/>
      <c r="B230" s="801"/>
      <c r="C230" s="801"/>
      <c r="D230" s="958" t="s">
        <v>386</v>
      </c>
      <c r="E230" s="958"/>
      <c r="F230" s="958"/>
    </row>
    <row r="231" spans="1:6" ht="12.75">
      <c r="A231" s="801"/>
      <c r="B231" s="801"/>
      <c r="C231" s="801"/>
      <c r="D231" s="33"/>
      <c r="E231" s="33"/>
      <c r="F231" s="33"/>
    </row>
    <row r="232" spans="1:6" ht="14.25">
      <c r="A232" s="201"/>
      <c r="B232" s="797" t="s">
        <v>325</v>
      </c>
      <c r="C232" s="801"/>
      <c r="D232" s="958" t="s">
        <v>387</v>
      </c>
      <c r="E232" s="958"/>
      <c r="F232" s="958"/>
    </row>
    <row r="233" spans="1:6" ht="14.25">
      <c r="A233" s="201"/>
      <c r="B233" s="801"/>
      <c r="C233" s="801"/>
      <c r="D233" s="760" t="s">
        <v>379</v>
      </c>
      <c r="E233" s="33"/>
      <c r="F233" s="33"/>
    </row>
    <row r="234" spans="1:6" ht="14.25">
      <c r="A234" s="201"/>
      <c r="B234" s="201"/>
      <c r="C234" s="801"/>
      <c r="D234" s="769" t="s">
        <v>380</v>
      </c>
      <c r="E234" s="984" t="s">
        <v>388</v>
      </c>
      <c r="F234" s="984"/>
    </row>
    <row r="235" spans="1:6" ht="14.25">
      <c r="A235" s="201"/>
      <c r="B235" s="201"/>
      <c r="C235" s="801"/>
      <c r="D235" s="928" t="s">
        <v>389</v>
      </c>
      <c r="E235" s="928"/>
      <c r="F235" s="928"/>
    </row>
    <row r="236" spans="1:6" ht="12.75">
      <c r="A236" s="801"/>
      <c r="B236" s="801"/>
      <c r="C236" s="801"/>
      <c r="D236" s="928"/>
      <c r="E236" s="928"/>
      <c r="F236" s="928"/>
    </row>
    <row r="237" spans="1:6" ht="12.75">
      <c r="A237" s="801"/>
      <c r="B237" s="801"/>
      <c r="C237" s="801"/>
      <c r="D237" s="928"/>
      <c r="E237" s="928"/>
      <c r="F237" s="928"/>
    </row>
    <row r="238" spans="1:6" ht="12.75">
      <c r="A238" s="801"/>
      <c r="B238" s="801"/>
      <c r="C238" s="801"/>
      <c r="D238" s="928"/>
      <c r="E238" s="928"/>
      <c r="F238" s="928"/>
    </row>
    <row r="239" spans="1:6" ht="12.75">
      <c r="A239" s="801"/>
      <c r="B239" s="801"/>
      <c r="C239" s="801"/>
      <c r="D239" s="928"/>
      <c r="E239" s="928"/>
      <c r="F239" s="928"/>
    </row>
    <row r="240" spans="1:6" ht="12.75">
      <c r="A240" s="801"/>
      <c r="B240" s="801"/>
      <c r="C240" s="801"/>
      <c r="D240" s="928" t="s">
        <v>390</v>
      </c>
      <c r="E240" s="928"/>
      <c r="F240" s="928"/>
    </row>
    <row r="241" spans="1:6" ht="12.75">
      <c r="A241" s="801"/>
      <c r="B241" s="801"/>
      <c r="C241" s="801"/>
      <c r="D241" s="760"/>
      <c r="E241" s="33"/>
      <c r="F241" s="33"/>
    </row>
    <row r="242" spans="1:6" ht="14.25">
      <c r="A242" s="201"/>
      <c r="B242" s="797" t="s">
        <v>325</v>
      </c>
      <c r="C242" s="801"/>
      <c r="D242" s="958" t="s">
        <v>391</v>
      </c>
      <c r="E242" s="958"/>
      <c r="F242" s="958"/>
    </row>
    <row r="243" spans="1:6" ht="14.25">
      <c r="A243" s="201"/>
      <c r="B243" s="801"/>
      <c r="C243" s="801"/>
      <c r="D243" s="958" t="s">
        <v>379</v>
      </c>
      <c r="E243" s="958"/>
      <c r="F243" s="958"/>
    </row>
    <row r="244" spans="1:6" ht="14.25">
      <c r="A244" s="201"/>
      <c r="B244" s="201"/>
      <c r="C244" s="801"/>
      <c r="D244" s="769" t="s">
        <v>380</v>
      </c>
      <c r="E244" s="984" t="s">
        <v>392</v>
      </c>
      <c r="F244" s="984"/>
    </row>
    <row r="245" spans="1:6" ht="12.75">
      <c r="A245" s="801"/>
      <c r="B245" s="801"/>
      <c r="C245" s="801"/>
      <c r="D245" s="958" t="s">
        <v>393</v>
      </c>
      <c r="E245" s="958"/>
      <c r="F245" s="958"/>
    </row>
    <row r="246" spans="1:6" ht="12.75">
      <c r="A246" s="801"/>
      <c r="B246" s="801"/>
      <c r="C246" s="801"/>
      <c r="D246" s="771"/>
      <c r="E246" s="771"/>
      <c r="F246" s="771"/>
    </row>
    <row r="247" spans="1:6" ht="14.25">
      <c r="A247" s="201"/>
      <c r="B247" s="797" t="s">
        <v>325</v>
      </c>
      <c r="C247" s="801"/>
      <c r="D247" s="958" t="s">
        <v>394</v>
      </c>
      <c r="E247" s="958"/>
      <c r="F247" s="958"/>
    </row>
    <row r="248" spans="1:6" ht="14.25">
      <c r="A248" s="201"/>
      <c r="B248" s="801"/>
      <c r="C248" s="801"/>
      <c r="D248" s="958" t="s">
        <v>379</v>
      </c>
      <c r="E248" s="958"/>
      <c r="F248" s="958"/>
    </row>
    <row r="249" spans="1:6" ht="14.25">
      <c r="A249" s="201"/>
      <c r="B249" s="201"/>
      <c r="C249" s="801"/>
      <c r="D249" s="769" t="s">
        <v>380</v>
      </c>
      <c r="E249" s="984" t="s">
        <v>395</v>
      </c>
      <c r="F249" s="984"/>
    </row>
    <row r="250" spans="1:6" ht="12.75">
      <c r="A250" s="801"/>
      <c r="B250" s="801"/>
      <c r="C250" s="801"/>
      <c r="D250" s="958" t="s">
        <v>396</v>
      </c>
      <c r="E250" s="958"/>
      <c r="F250" s="958"/>
    </row>
    <row r="251" spans="1:6" ht="12.75">
      <c r="A251" s="801"/>
      <c r="B251" s="801"/>
      <c r="C251" s="801"/>
      <c r="D251" s="760"/>
      <c r="E251" s="33"/>
      <c r="F251" s="33"/>
    </row>
    <row r="252" spans="1:6" ht="14.25">
      <c r="A252" s="201"/>
      <c r="B252" s="797" t="s">
        <v>325</v>
      </c>
      <c r="C252" s="801"/>
      <c r="D252" s="771" t="s">
        <v>397</v>
      </c>
      <c r="E252" s="771"/>
      <c r="F252" s="771"/>
    </row>
    <row r="253" spans="1:6" ht="14.25">
      <c r="A253" s="201"/>
      <c r="B253"/>
      <c r="C253" s="801"/>
      <c r="D253" s="928" t="s">
        <v>398</v>
      </c>
      <c r="E253" s="928"/>
      <c r="F253" s="928"/>
    </row>
    <row r="254" spans="1:6" ht="14.25">
      <c r="A254" s="201"/>
      <c r="B254" s="801"/>
      <c r="C254" s="801"/>
      <c r="D254" s="928"/>
      <c r="E254" s="928"/>
      <c r="F254" s="928"/>
    </row>
    <row r="255" spans="1:6" ht="14.25">
      <c r="A255" s="201"/>
      <c r="B255" s="801"/>
      <c r="C255" s="801"/>
      <c r="D255" s="928"/>
      <c r="E255" s="928"/>
      <c r="F255" s="928"/>
    </row>
    <row r="256" spans="1:6" ht="14.25">
      <c r="A256" s="201"/>
      <c r="B256" s="801"/>
      <c r="C256" s="801"/>
      <c r="D256" s="753"/>
      <c r="E256" s="753"/>
      <c r="F256" s="753"/>
    </row>
    <row r="257" spans="1:7" ht="14.25">
      <c r="A257" s="201"/>
      <c r="B257" s="797" t="s">
        <v>325</v>
      </c>
      <c r="C257" s="801"/>
      <c r="D257" s="958" t="s">
        <v>399</v>
      </c>
      <c r="E257" s="958"/>
      <c r="F257" s="958"/>
      <c r="G257" s="33"/>
    </row>
    <row r="258" spans="1:7" ht="14.25">
      <c r="A258" s="201"/>
      <c r="B258" s="801"/>
      <c r="C258" s="801"/>
      <c r="D258" s="771"/>
      <c r="E258" s="771"/>
      <c r="F258" s="771"/>
      <c r="G258" s="33"/>
    </row>
    <row r="259" spans="1:7" ht="12.75">
      <c r="A259" s="979" t="s">
        <v>400</v>
      </c>
      <c r="B259" s="979"/>
      <c r="C259" s="979"/>
      <c r="D259" s="979"/>
      <c r="E259" s="979"/>
      <c r="F259" s="979"/>
      <c r="G259" s="979"/>
    </row>
    <row r="260" spans="1:7" ht="12.75">
      <c r="A260" s="801"/>
      <c r="B260" s="801"/>
      <c r="C260" s="801"/>
      <c r="D260" s="760"/>
      <c r="E260" s="33"/>
      <c r="F260" s="33"/>
      <c r="G260" s="33"/>
    </row>
    <row r="261" spans="1:7" ht="12.75">
      <c r="A261" s="801"/>
      <c r="B261" s="801"/>
      <c r="C261" s="451"/>
      <c r="D261" s="951" t="s">
        <v>401</v>
      </c>
      <c r="E261" s="951"/>
      <c r="F261" s="951"/>
      <c r="G261" s="33"/>
    </row>
    <row r="262" spans="1:7" ht="12.75">
      <c r="A262" s="778"/>
      <c r="B262" s="778"/>
      <c r="C262" s="778"/>
      <c r="D262" s="950" t="s">
        <v>402</v>
      </c>
      <c r="E262" s="950"/>
      <c r="F262" s="950"/>
      <c r="G262" s="33"/>
    </row>
    <row r="263" spans="1:7" ht="12.75">
      <c r="A263" s="815"/>
      <c r="B263" s="815"/>
      <c r="C263" s="815"/>
      <c r="D263" s="2"/>
      <c r="E263" s="33"/>
      <c r="F263" s="33"/>
      <c r="G263" s="33"/>
    </row>
    <row r="264" spans="1:7" ht="12.75">
      <c r="A264" s="815"/>
      <c r="B264" s="801"/>
      <c r="C264" s="815"/>
      <c r="D264" s="951" t="s">
        <v>403</v>
      </c>
      <c r="E264" s="951"/>
      <c r="F264" s="951"/>
      <c r="G264"/>
    </row>
    <row r="265" spans="1:7" ht="14.45" customHeight="1">
      <c r="A265" s="201"/>
      <c r="B265" s="797" t="s">
        <v>323</v>
      </c>
      <c r="C265" s="685"/>
      <c r="D265" s="968" t="s">
        <v>404</v>
      </c>
      <c r="E265" s="968"/>
      <c r="F265" s="968"/>
      <c r="G265"/>
    </row>
    <row r="266" spans="1:7" ht="14.25">
      <c r="A266" s="201"/>
      <c r="B266" s="686"/>
      <c r="C266" s="685"/>
      <c r="D266" s="968"/>
      <c r="E266" s="968"/>
      <c r="F266" s="968"/>
      <c r="G266"/>
    </row>
    <row r="267" spans="1:7" ht="14.25">
      <c r="A267" s="201"/>
      <c r="B267" s="686"/>
      <c r="C267" s="685"/>
      <c r="D267" s="968"/>
      <c r="E267" s="968"/>
      <c r="F267" s="968"/>
      <c r="G267"/>
    </row>
    <row r="268" spans="1:7" ht="14.45" customHeight="1">
      <c r="A268" s="201"/>
      <c r="B268" s="686"/>
      <c r="C268" s="685"/>
      <c r="D268" s="968"/>
      <c r="E268" s="968"/>
      <c r="F268" s="968"/>
      <c r="G268"/>
    </row>
    <row r="269" spans="1:7" ht="14.25">
      <c r="A269" s="201"/>
      <c r="B269" s="686"/>
      <c r="C269" s="685"/>
      <c r="D269" s="766"/>
      <c r="E269" s="766"/>
      <c r="F269" s="766"/>
      <c r="G269"/>
    </row>
    <row r="270" spans="1:7" ht="14.25">
      <c r="A270" s="201"/>
      <c r="B270" s="797" t="s">
        <v>323</v>
      </c>
      <c r="C270" s="685"/>
      <c r="D270" s="968" t="s">
        <v>405</v>
      </c>
      <c r="E270" s="968"/>
      <c r="F270" s="968"/>
      <c r="G270"/>
    </row>
    <row r="271" spans="1:7" ht="14.25">
      <c r="A271" s="201"/>
      <c r="B271" s="686"/>
      <c r="C271" s="685"/>
      <c r="D271" s="968"/>
      <c r="E271" s="968"/>
      <c r="F271" s="968"/>
      <c r="G271"/>
    </row>
    <row r="272" spans="1:7" ht="14.25">
      <c r="A272" s="201"/>
      <c r="B272" s="686"/>
      <c r="C272" s="685"/>
      <c r="D272" s="968"/>
      <c r="E272" s="968"/>
      <c r="F272" s="968"/>
      <c r="G272"/>
    </row>
    <row r="273" spans="1:7" ht="14.25">
      <c r="A273" s="201"/>
      <c r="B273" s="686"/>
      <c r="C273" s="685"/>
      <c r="D273" s="968"/>
      <c r="E273" s="968"/>
      <c r="F273" s="968"/>
      <c r="G273"/>
    </row>
    <row r="274" spans="1:7" ht="14.25">
      <c r="A274" s="201"/>
      <c r="B274" s="686"/>
      <c r="C274" s="685"/>
      <c r="D274" s="968"/>
      <c r="E274" s="968"/>
      <c r="F274" s="968"/>
      <c r="G274"/>
    </row>
    <row r="275" spans="1:7" ht="14.25">
      <c r="A275" s="201"/>
      <c r="B275" s="686"/>
      <c r="C275" s="685"/>
      <c r="D275" s="766"/>
      <c r="E275" s="766"/>
      <c r="F275" s="766"/>
      <c r="G275"/>
    </row>
    <row r="276" spans="1:7" ht="14.25">
      <c r="A276" s="201"/>
      <c r="B276" s="686"/>
      <c r="C276" s="685"/>
      <c r="D276" s="968" t="s">
        <v>406</v>
      </c>
      <c r="E276" s="968"/>
      <c r="F276" s="968"/>
      <c r="G276"/>
    </row>
    <row r="277" spans="1:7" ht="14.25">
      <c r="A277" s="201"/>
      <c r="B277" s="686"/>
      <c r="C277" s="685"/>
      <c r="D277" s="968"/>
      <c r="E277" s="968"/>
      <c r="F277" s="968"/>
      <c r="G277"/>
    </row>
    <row r="278" spans="1:7" ht="14.25">
      <c r="A278" s="201"/>
      <c r="B278" s="686"/>
      <c r="C278" s="685"/>
      <c r="D278" s="968"/>
      <c r="E278" s="968"/>
      <c r="F278" s="968"/>
      <c r="G278"/>
    </row>
    <row r="279" spans="1:7" ht="14.25">
      <c r="A279" s="201"/>
      <c r="B279" s="686"/>
      <c r="C279" s="685"/>
      <c r="D279" s="968"/>
      <c r="E279" s="968"/>
      <c r="F279" s="968"/>
      <c r="G279"/>
    </row>
    <row r="280" spans="1:7" ht="14.25">
      <c r="A280" s="201"/>
      <c r="B280" s="686"/>
      <c r="C280" s="685"/>
      <c r="D280" s="968"/>
      <c r="E280" s="968"/>
      <c r="F280" s="968"/>
      <c r="G280"/>
    </row>
    <row r="281" spans="1:7" ht="14.25">
      <c r="A281" s="201"/>
      <c r="B281" s="201"/>
      <c r="C281" s="801"/>
      <c r="D281" s="758"/>
      <c r="E281" s="758"/>
      <c r="F281" s="758"/>
      <c r="G281"/>
    </row>
    <row r="282" spans="1:7" s="324" customFormat="1" ht="14.45" customHeight="1">
      <c r="A282" s="215"/>
      <c r="B282" s="797" t="s">
        <v>323</v>
      </c>
      <c r="C282" s="618"/>
      <c r="D282" s="948" t="s">
        <v>407</v>
      </c>
      <c r="E282" s="948"/>
      <c r="F282" s="948"/>
      <c r="G282" s="619"/>
    </row>
    <row r="283" spans="1:7" s="324" customFormat="1" ht="14.25">
      <c r="A283" s="215"/>
      <c r="B283" s="618"/>
      <c r="C283" s="618"/>
      <c r="D283" s="948"/>
      <c r="E283" s="948"/>
      <c r="F283" s="948"/>
      <c r="G283" s="619"/>
    </row>
    <row r="284" spans="1:7" s="324" customFormat="1" ht="14.25">
      <c r="A284" s="215"/>
      <c r="B284" s="618"/>
      <c r="C284" s="618"/>
      <c r="D284" s="948"/>
      <c r="E284" s="948"/>
      <c r="F284" s="948"/>
      <c r="G284" s="619"/>
    </row>
    <row r="285" spans="1:7" s="324" customFormat="1" ht="12.75">
      <c r="A285" s="618"/>
      <c r="B285" s="618"/>
      <c r="C285" s="618"/>
      <c r="D285" s="726"/>
      <c r="E285" s="727" t="s">
        <v>408</v>
      </c>
      <c r="F285" s="726"/>
      <c r="G285" s="619"/>
    </row>
    <row r="286" spans="1:7" ht="14.25">
      <c r="A286" s="201"/>
      <c r="B286" s="201"/>
      <c r="C286" s="801"/>
      <c r="D286" s="760"/>
      <c r="E286"/>
      <c r="F286"/>
      <c r="G286"/>
    </row>
    <row r="287" spans="1:7" ht="14.25">
      <c r="A287" s="201"/>
      <c r="B287" s="797" t="s">
        <v>323</v>
      </c>
      <c r="C287" s="801"/>
      <c r="D287" s="950" t="s">
        <v>409</v>
      </c>
      <c r="E287" s="950"/>
      <c r="F287" s="950"/>
      <c r="G287"/>
    </row>
    <row r="288" spans="1:7" ht="14.25">
      <c r="A288" s="201"/>
      <c r="B288" s="201"/>
      <c r="C288" s="801"/>
      <c r="D288" s="950" t="s">
        <v>410</v>
      </c>
      <c r="E288" s="950"/>
      <c r="F288" s="950"/>
      <c r="G288"/>
    </row>
    <row r="289" spans="1:7" ht="14.25">
      <c r="A289" s="201"/>
      <c r="B289" s="201"/>
      <c r="C289" s="801"/>
      <c r="D289" s="2" t="s">
        <v>411</v>
      </c>
      <c r="E289" s="727" t="s">
        <v>412</v>
      </c>
      <c r="F289" s="2"/>
      <c r="G289" s="33"/>
    </row>
    <row r="290" spans="1:7" ht="12.75">
      <c r="A290" s="801"/>
      <c r="B290" s="801"/>
      <c r="C290" s="801"/>
      <c r="D290" s="859"/>
      <c r="E290" s="33"/>
      <c r="F290" s="33"/>
      <c r="G290" s="33"/>
    </row>
    <row r="291" spans="1:7" ht="14.25">
      <c r="A291" s="201"/>
      <c r="B291" s="797" t="s">
        <v>323</v>
      </c>
      <c r="C291" s="801"/>
      <c r="D291" s="928" t="s">
        <v>413</v>
      </c>
      <c r="E291" s="928"/>
      <c r="F291" s="928"/>
      <c r="G291" s="33"/>
    </row>
    <row r="292" spans="1:7" ht="14.25">
      <c r="A292" s="201"/>
      <c r="B292" s="201"/>
      <c r="C292" s="801"/>
      <c r="D292" s="928"/>
      <c r="E292" s="928"/>
      <c r="F292" s="928"/>
      <c r="G292" s="33"/>
    </row>
    <row r="293" spans="1:7" ht="12.75">
      <c r="A293" s="801"/>
      <c r="B293" s="801"/>
      <c r="C293" s="801"/>
      <c r="D293" s="859"/>
      <c r="E293" s="33"/>
      <c r="F293" s="33"/>
      <c r="G293" s="33"/>
    </row>
    <row r="294" spans="1:7" ht="12.75">
      <c r="A294" s="979" t="s">
        <v>414</v>
      </c>
      <c r="B294" s="979"/>
      <c r="C294" s="979"/>
      <c r="D294" s="979"/>
      <c r="E294" s="979"/>
      <c r="F294" s="979"/>
      <c r="G294" s="979"/>
    </row>
    <row r="295" spans="1:7" ht="12.75">
      <c r="A295" s="801"/>
      <c r="B295" s="801"/>
      <c r="C295" s="801"/>
      <c r="D295" s="859"/>
      <c r="E295" s="33"/>
      <c r="F295" s="33"/>
      <c r="G295" s="33"/>
    </row>
    <row r="296" spans="1:7" ht="12.75">
      <c r="A296" s="801"/>
      <c r="B296" s="801"/>
      <c r="C296" s="451"/>
      <c r="D296" s="951" t="s">
        <v>415</v>
      </c>
      <c r="E296" s="951"/>
      <c r="F296" s="951"/>
      <c r="G296" s="33"/>
    </row>
    <row r="297" spans="1:7" ht="12.75">
      <c r="A297" s="778"/>
      <c r="B297" s="778"/>
      <c r="C297" s="778"/>
      <c r="D297" s="760"/>
      <c r="E297" s="33"/>
      <c r="F297" s="33"/>
      <c r="G297" s="33"/>
    </row>
    <row r="298" spans="1:7" ht="12.75">
      <c r="A298" s="140"/>
      <c r="B298" s="140"/>
      <c r="C298" s="140"/>
      <c r="D298" s="951" t="s">
        <v>416</v>
      </c>
      <c r="E298" s="951"/>
      <c r="F298" s="951"/>
      <c r="G298" s="33"/>
    </row>
    <row r="299" spans="1:7" ht="14.45" customHeight="1">
      <c r="A299" s="201"/>
      <c r="B299" s="797" t="s">
        <v>325</v>
      </c>
      <c r="C299" s="801"/>
      <c r="D299" s="928" t="s">
        <v>417</v>
      </c>
      <c r="E299" s="928"/>
      <c r="F299" s="928"/>
      <c r="G299" s="33"/>
    </row>
    <row r="300" spans="1:7" ht="12.75">
      <c r="A300" s="801"/>
      <c r="B300" s="801"/>
      <c r="C300" s="801"/>
      <c r="D300" s="928"/>
      <c r="E300" s="928"/>
      <c r="F300" s="928"/>
      <c r="G300" s="33"/>
    </row>
    <row r="301" spans="1:7" ht="12.75">
      <c r="A301" s="801"/>
      <c r="B301" s="801"/>
      <c r="C301" s="801"/>
      <c r="D301" s="928"/>
      <c r="E301" s="928"/>
      <c r="F301" s="928"/>
      <c r="G301" s="33"/>
    </row>
    <row r="302" spans="1:7" ht="12.75">
      <c r="A302" s="801"/>
      <c r="B302" s="801"/>
      <c r="C302" s="801"/>
      <c r="D302" s="753"/>
      <c r="E302" s="753"/>
      <c r="F302" s="753"/>
      <c r="G302" s="33"/>
    </row>
    <row r="303" spans="1:7" s="324" customFormat="1" ht="14.45" customHeight="1">
      <c r="A303" s="215"/>
      <c r="B303" s="797" t="s">
        <v>325</v>
      </c>
      <c r="C303" s="618"/>
      <c r="D303" s="948" t="s">
        <v>418</v>
      </c>
      <c r="E303" s="948"/>
      <c r="F303" s="948"/>
      <c r="G303" s="619"/>
    </row>
    <row r="304" spans="1:7" s="324" customFormat="1" ht="12.75">
      <c r="A304" s="618"/>
      <c r="B304" s="618"/>
      <c r="C304" s="618"/>
      <c r="D304" s="948"/>
      <c r="E304" s="948"/>
      <c r="F304" s="948"/>
      <c r="G304" s="619"/>
    </row>
    <row r="305" spans="1:7" s="324" customFormat="1" ht="12.75">
      <c r="A305" s="618"/>
      <c r="B305" s="618"/>
      <c r="C305" s="618"/>
      <c r="D305" s="948"/>
      <c r="E305" s="948"/>
      <c r="F305" s="948"/>
      <c r="G305" s="619"/>
    </row>
    <row r="306" spans="1:7" s="324" customFormat="1" ht="12.75">
      <c r="A306" s="618"/>
      <c r="B306" s="618"/>
      <c r="C306" s="618"/>
      <c r="E306" s="266" t="s">
        <v>419</v>
      </c>
      <c r="F306" s="266"/>
      <c r="G306" s="619"/>
    </row>
    <row r="307" spans="1:7" ht="12.75">
      <c r="A307" s="801"/>
      <c r="B307" s="801"/>
      <c r="C307" s="801"/>
      <c r="D307" s="860"/>
      <c r="E307" s="33"/>
      <c r="F307" s="33"/>
      <c r="G307" s="33"/>
    </row>
    <row r="308" spans="1:7" ht="12.75">
      <c r="A308" s="979" t="s">
        <v>420</v>
      </c>
      <c r="B308" s="979"/>
      <c r="C308" s="979"/>
      <c r="D308" s="979"/>
      <c r="E308" s="979"/>
      <c r="F308" s="979"/>
      <c r="G308" s="979"/>
    </row>
    <row r="309" spans="1:7" ht="12.75">
      <c r="A309" s="801"/>
      <c r="B309" s="801"/>
      <c r="C309" s="801"/>
      <c r="D309" s="860"/>
      <c r="E309" s="33"/>
      <c r="F309" s="33"/>
      <c r="G309" s="33"/>
    </row>
    <row r="310" spans="1:7" ht="12.75">
      <c r="A310" s="801"/>
      <c r="B310" s="801"/>
      <c r="C310" s="778"/>
      <c r="D310" s="955" t="s">
        <v>421</v>
      </c>
      <c r="E310" s="955"/>
      <c r="F310" s="955"/>
      <c r="G310" s="33"/>
    </row>
    <row r="311" spans="1:7" ht="12.75">
      <c r="A311" s="801"/>
      <c r="B311" s="801"/>
      <c r="C311" s="778"/>
      <c r="D311" s="955"/>
      <c r="E311" s="955"/>
      <c r="F311" s="955"/>
      <c r="G311" s="33"/>
    </row>
    <row r="312" spans="1:7" ht="12.75">
      <c r="A312" s="140"/>
      <c r="B312" s="140"/>
      <c r="C312" s="140"/>
      <c r="D312" s="2"/>
      <c r="E312" s="33"/>
      <c r="F312" s="33"/>
      <c r="G312" s="33"/>
    </row>
    <row r="313" spans="1:7" ht="12.75">
      <c r="A313" s="801"/>
      <c r="B313" s="801"/>
      <c r="C313" s="140"/>
      <c r="D313" s="951" t="s">
        <v>422</v>
      </c>
      <c r="E313" s="951"/>
      <c r="F313" s="951"/>
      <c r="G313" s="33"/>
    </row>
    <row r="314" spans="1:7" ht="14.25">
      <c r="A314" s="201"/>
      <c r="B314" s="201"/>
      <c r="C314" s="801"/>
      <c r="D314" s="971" t="s">
        <v>423</v>
      </c>
      <c r="E314" s="971"/>
      <c r="F314" s="971"/>
      <c r="G314" s="33"/>
    </row>
    <row r="315" spans="1:7" ht="12" customHeight="1">
      <c r="A315" s="801"/>
      <c r="B315" s="801"/>
      <c r="C315" s="801"/>
      <c r="D315" s="33"/>
      <c r="E315" s="33"/>
      <c r="F315" s="33"/>
      <c r="G315" s="33"/>
    </row>
    <row r="316" spans="1:7" ht="14.45" customHeight="1">
      <c r="A316" s="201"/>
      <c r="B316" s="797" t="s">
        <v>325</v>
      </c>
      <c r="C316" s="801"/>
      <c r="D316" s="928" t="s">
        <v>424</v>
      </c>
      <c r="E316" s="928"/>
      <c r="F316" s="928"/>
      <c r="G316" s="33"/>
    </row>
    <row r="317" spans="1:7" ht="14.25">
      <c r="A317" s="201"/>
      <c r="B317" s="201"/>
      <c r="C317" s="801"/>
      <c r="D317" s="928"/>
      <c r="E317" s="928"/>
      <c r="F317" s="928"/>
      <c r="G317" s="33"/>
    </row>
    <row r="318" spans="1:7" ht="12.75">
      <c r="A318" s="801"/>
      <c r="B318" s="801"/>
      <c r="C318" s="801"/>
      <c r="D318" s="33"/>
      <c r="E318" s="33"/>
      <c r="F318" s="33"/>
      <c r="G318" s="33"/>
    </row>
    <row r="319" spans="1:7" ht="14.45" customHeight="1">
      <c r="A319" s="201"/>
      <c r="B319" s="797" t="s">
        <v>325</v>
      </c>
      <c r="C319" s="801"/>
      <c r="D319" s="928" t="s">
        <v>425</v>
      </c>
      <c r="E319" s="928"/>
      <c r="F319" s="928"/>
      <c r="G319" s="33"/>
    </row>
    <row r="320" spans="1:7" ht="14.25">
      <c r="A320" s="201"/>
      <c r="B320" s="201"/>
      <c r="C320" s="801"/>
      <c r="D320" s="928"/>
      <c r="E320" s="928"/>
      <c r="F320" s="928"/>
      <c r="G320" s="33"/>
    </row>
    <row r="321" spans="1:7" ht="14.25">
      <c r="A321" s="201"/>
      <c r="B321" s="201"/>
      <c r="C321" s="801"/>
      <c r="D321" s="928"/>
      <c r="E321" s="928"/>
      <c r="F321" s="928"/>
      <c r="G321" s="33"/>
    </row>
    <row r="322" spans="1:7" ht="12.75">
      <c r="A322" s="801"/>
      <c r="B322" s="801"/>
      <c r="C322" s="801"/>
      <c r="D322" s="760"/>
      <c r="E322"/>
      <c r="F322"/>
      <c r="G322"/>
    </row>
    <row r="323" spans="1:7" ht="14.25">
      <c r="A323" s="201"/>
      <c r="B323" s="797" t="s">
        <v>325</v>
      </c>
      <c r="C323" s="801"/>
      <c r="D323" s="928" t="s">
        <v>426</v>
      </c>
      <c r="E323" s="928"/>
      <c r="F323" s="928"/>
      <c r="G323" s="33"/>
    </row>
    <row r="324" spans="1:7" ht="14.25">
      <c r="A324" s="201"/>
      <c r="B324" s="201"/>
      <c r="C324" s="801"/>
      <c r="D324" s="928"/>
      <c r="E324" s="928"/>
      <c r="F324" s="928"/>
      <c r="G324" s="33"/>
    </row>
    <row r="325" spans="1:7" ht="12.75">
      <c r="A325" s="815"/>
      <c r="B325" s="815"/>
      <c r="C325" s="801"/>
      <c r="D325" s="760"/>
      <c r="E325" s="33"/>
      <c r="F325" s="33"/>
      <c r="G325" s="33"/>
    </row>
    <row r="326" spans="1:7" ht="12.75">
      <c r="A326" s="979" t="s">
        <v>427</v>
      </c>
      <c r="B326" s="979"/>
      <c r="C326" s="979"/>
      <c r="D326" s="979"/>
      <c r="E326" s="979"/>
      <c r="F326" s="979"/>
      <c r="G326" s="979"/>
    </row>
    <row r="327" spans="1:7" ht="12.75">
      <c r="A327" s="815"/>
      <c r="B327" s="815"/>
      <c r="C327" s="801"/>
      <c r="D327" s="760"/>
      <c r="E327" s="33"/>
      <c r="F327" s="33"/>
      <c r="G327"/>
    </row>
    <row r="328" spans="1:7" ht="12.75">
      <c r="A328" s="801"/>
      <c r="B328" s="801"/>
      <c r="C328" s="815"/>
      <c r="D328" s="951" t="s">
        <v>428</v>
      </c>
      <c r="E328" s="951"/>
      <c r="F328" s="951"/>
      <c r="G328"/>
    </row>
    <row r="329" spans="1:7" ht="12.75">
      <c r="A329" s="801"/>
      <c r="B329" s="801"/>
      <c r="C329" s="815"/>
      <c r="D329" s="950" t="s">
        <v>429</v>
      </c>
      <c r="E329" s="950"/>
      <c r="F329" s="950"/>
      <c r="G329"/>
    </row>
    <row r="330" spans="1:7" ht="12.75">
      <c r="A330" s="801"/>
      <c r="B330" s="801"/>
      <c r="C330" s="815"/>
      <c r="D330" s="133"/>
      <c r="E330" s="33"/>
      <c r="F330" s="33"/>
      <c r="G330"/>
    </row>
    <row r="331" spans="1:7" ht="12.75">
      <c r="A331" s="801"/>
      <c r="B331" s="797" t="s">
        <v>325</v>
      </c>
      <c r="C331" s="801"/>
      <c r="D331" s="950" t="s">
        <v>430</v>
      </c>
      <c r="E331" s="950"/>
      <c r="F331" s="950"/>
      <c r="G331"/>
    </row>
    <row r="332" spans="1:7" ht="14.25">
      <c r="A332" s="201"/>
      <c r="B332" s="201"/>
      <c r="C332" s="801"/>
      <c r="D332" s="764"/>
      <c r="E332" s="33"/>
      <c r="F332" s="33"/>
      <c r="G332"/>
    </row>
    <row r="333" spans="1:7" ht="14.25">
      <c r="A333" s="201"/>
      <c r="B333" s="797" t="s">
        <v>325</v>
      </c>
      <c r="C333" s="801"/>
      <c r="D333" s="950" t="s">
        <v>431</v>
      </c>
      <c r="E333" s="950"/>
      <c r="F333" s="950"/>
      <c r="G333"/>
    </row>
    <row r="334" spans="1:7" ht="12.75">
      <c r="A334" s="801"/>
      <c r="B334" s="801"/>
      <c r="C334" s="801"/>
      <c r="D334" s="33"/>
      <c r="E334" s="33"/>
      <c r="F334" s="33"/>
      <c r="G334"/>
    </row>
    <row r="335" spans="1:7" ht="14.45" customHeight="1">
      <c r="A335" s="201"/>
      <c r="B335" s="797" t="s">
        <v>325</v>
      </c>
      <c r="C335" s="801"/>
      <c r="D335" s="928" t="s">
        <v>432</v>
      </c>
      <c r="E335" s="928"/>
      <c r="F335" s="928"/>
      <c r="G335"/>
    </row>
    <row r="336" spans="1:7" ht="14.25">
      <c r="A336" s="201"/>
      <c r="B336" s="201"/>
      <c r="C336" s="801"/>
      <c r="D336" s="928"/>
      <c r="E336" s="928"/>
      <c r="F336" s="928"/>
      <c r="G336"/>
    </row>
    <row r="337" spans="1:7" ht="14.25">
      <c r="A337" s="201"/>
      <c r="B337" s="201"/>
      <c r="C337" s="801"/>
      <c r="D337" s="928"/>
      <c r="E337" s="928"/>
      <c r="F337" s="928"/>
      <c r="G337"/>
    </row>
    <row r="338" spans="1:7" ht="14.25">
      <c r="A338" s="201"/>
      <c r="B338" s="201"/>
      <c r="C338" s="801"/>
      <c r="D338" s="928"/>
      <c r="E338" s="928"/>
      <c r="F338" s="928"/>
      <c r="G338"/>
    </row>
    <row r="339" spans="1:7" ht="14.25">
      <c r="A339" s="201"/>
      <c r="B339" s="201"/>
      <c r="C339" s="801"/>
      <c r="D339" s="928"/>
      <c r="E339" s="928"/>
      <c r="F339" s="928"/>
      <c r="G339"/>
    </row>
    <row r="340" spans="1:7" ht="14.25">
      <c r="A340" s="201"/>
      <c r="B340" s="201"/>
      <c r="C340" s="801"/>
      <c r="D340" s="928"/>
      <c r="E340" s="928"/>
      <c r="F340" s="928"/>
      <c r="G340"/>
    </row>
    <row r="341" spans="1:7" ht="14.25">
      <c r="A341" s="201"/>
      <c r="B341" s="201"/>
      <c r="C341" s="801"/>
      <c r="D341" s="928"/>
      <c r="E341" s="928"/>
      <c r="F341" s="928"/>
      <c r="G341"/>
    </row>
    <row r="342" spans="1:7" ht="14.25">
      <c r="A342" s="201"/>
      <c r="B342" s="201"/>
      <c r="C342" s="801"/>
      <c r="D342" s="928"/>
      <c r="E342" s="928"/>
      <c r="F342" s="928"/>
      <c r="G342"/>
    </row>
    <row r="343" spans="1:7" ht="14.25">
      <c r="A343" s="201"/>
      <c r="B343" s="201"/>
      <c r="C343" s="801"/>
      <c r="D343" s="928"/>
      <c r="E343" s="928"/>
      <c r="F343" s="928"/>
      <c r="G343" s="33"/>
    </row>
    <row r="344" spans="1:7" ht="14.25">
      <c r="A344" s="201"/>
      <c r="B344" s="201"/>
      <c r="C344" s="801"/>
      <c r="D344" s="928"/>
      <c r="E344" s="928"/>
      <c r="F344" s="928"/>
      <c r="G344" s="33"/>
    </row>
    <row r="345" spans="1:7" ht="14.25">
      <c r="A345" s="201"/>
      <c r="B345" s="201"/>
      <c r="C345" s="801"/>
      <c r="D345" s="928"/>
      <c r="E345" s="928"/>
      <c r="F345" s="928"/>
      <c r="G345" s="33"/>
    </row>
    <row r="346" spans="1:7" ht="14.25">
      <c r="A346" s="201"/>
      <c r="B346" s="201"/>
      <c r="C346" s="801"/>
      <c r="D346" s="928"/>
      <c r="E346" s="928"/>
      <c r="F346" s="928"/>
      <c r="G346" s="33"/>
    </row>
    <row r="347" spans="1:7" ht="14.25">
      <c r="A347" s="201"/>
      <c r="B347" s="201"/>
      <c r="C347" s="801"/>
      <c r="D347" s="928"/>
      <c r="E347" s="928"/>
      <c r="F347" s="928"/>
      <c r="G347" s="33"/>
    </row>
    <row r="348" spans="1:7" ht="14.25">
      <c r="A348" s="201"/>
      <c r="B348" s="201"/>
      <c r="C348" s="801"/>
      <c r="D348" s="928"/>
      <c r="E348" s="928"/>
      <c r="F348" s="928"/>
      <c r="G348" s="33"/>
    </row>
    <row r="349" spans="1:7" ht="14.25">
      <c r="A349" s="201"/>
      <c r="B349" s="201"/>
      <c r="C349" s="801"/>
      <c r="D349" s="928"/>
      <c r="E349" s="928"/>
      <c r="F349" s="928"/>
      <c r="G349" s="33"/>
    </row>
    <row r="350" spans="1:7" ht="12.75">
      <c r="A350" s="801"/>
      <c r="B350" s="801"/>
      <c r="C350" s="801"/>
      <c r="D350" s="33"/>
      <c r="E350" s="33"/>
      <c r="F350" s="33"/>
      <c r="G350" s="33"/>
    </row>
    <row r="351" spans="1:7" ht="14.45" customHeight="1">
      <c r="A351" s="201"/>
      <c r="B351" s="797" t="s">
        <v>325</v>
      </c>
      <c r="C351" s="801"/>
      <c r="D351" s="928" t="s">
        <v>433</v>
      </c>
      <c r="E351" s="928"/>
      <c r="F351" s="928"/>
      <c r="G351" s="33"/>
    </row>
    <row r="352" spans="1:7" ht="12.75">
      <c r="A352" s="801"/>
      <c r="B352" s="801"/>
      <c r="C352" s="801"/>
      <c r="D352" s="928"/>
      <c r="E352" s="928"/>
      <c r="F352" s="928"/>
      <c r="G352" s="33"/>
    </row>
    <row r="353" spans="1:6" ht="12.75">
      <c r="A353" s="801"/>
      <c r="B353" s="801"/>
      <c r="C353" s="801"/>
      <c r="D353" s="928"/>
      <c r="E353" s="928"/>
      <c r="F353" s="928"/>
    </row>
    <row r="354" spans="1:6" ht="12.75">
      <c r="A354" s="801"/>
      <c r="B354" s="801"/>
      <c r="C354" s="801"/>
      <c r="D354" s="928"/>
      <c r="E354" s="928"/>
      <c r="F354" s="928"/>
    </row>
    <row r="355" spans="1:6" ht="12.75">
      <c r="A355" s="801"/>
      <c r="B355" s="801"/>
      <c r="C355" s="801"/>
      <c r="D355" s="928"/>
      <c r="E355" s="928"/>
      <c r="F355" s="928"/>
    </row>
    <row r="356" spans="1:6" ht="12.75">
      <c r="A356" s="801"/>
      <c r="B356" s="801"/>
      <c r="C356" s="801"/>
      <c r="D356" s="928"/>
      <c r="E356" s="928"/>
      <c r="F356" s="928"/>
    </row>
    <row r="357" spans="1:6" ht="12.75">
      <c r="A357" s="801"/>
      <c r="B357" s="801"/>
      <c r="C357" s="801"/>
      <c r="D357" s="928"/>
      <c r="E357" s="928"/>
      <c r="F357" s="928"/>
    </row>
    <row r="358" spans="1:6" ht="12.75">
      <c r="A358" s="801"/>
      <c r="B358" s="801"/>
      <c r="C358" s="801"/>
      <c r="D358" s="928"/>
      <c r="E358" s="928"/>
      <c r="F358" s="928"/>
    </row>
    <row r="359" spans="1:6" ht="12.75">
      <c r="A359" s="801"/>
      <c r="B359" s="801"/>
      <c r="C359" s="801"/>
      <c r="D359" s="928"/>
      <c r="E359" s="928"/>
      <c r="F359" s="928"/>
    </row>
    <row r="360" spans="1:6" ht="12.75">
      <c r="A360" s="801"/>
      <c r="B360" s="801"/>
      <c r="C360" s="801"/>
      <c r="D360" s="33"/>
      <c r="E360" s="760"/>
      <c r="F360" s="760"/>
    </row>
    <row r="361" spans="1:6" ht="14.25" customHeight="1">
      <c r="A361" s="201"/>
      <c r="B361" s="797" t="s">
        <v>325</v>
      </c>
      <c r="C361" s="801"/>
      <c r="D361" s="947" t="s">
        <v>434</v>
      </c>
      <c r="E361" s="947"/>
      <c r="F361" s="947"/>
    </row>
    <row r="362" spans="1:6" ht="12.75">
      <c r="A362" s="801"/>
      <c r="B362" s="801"/>
      <c r="C362" s="801"/>
      <c r="D362" s="947"/>
      <c r="E362" s="947"/>
      <c r="F362" s="947"/>
    </row>
    <row r="363" spans="1:6" ht="12.75">
      <c r="A363" s="801"/>
      <c r="B363" s="801"/>
      <c r="C363" s="801"/>
      <c r="D363" s="947"/>
      <c r="E363" s="947"/>
      <c r="F363" s="947"/>
    </row>
    <row r="364" spans="1:6" ht="12.75">
      <c r="A364" s="801"/>
      <c r="B364" s="801"/>
      <c r="C364" s="801"/>
      <c r="D364" s="947"/>
      <c r="E364" s="947"/>
      <c r="F364" s="947"/>
    </row>
    <row r="365" spans="1:6" ht="12.75">
      <c r="A365" s="801"/>
      <c r="B365" s="801"/>
      <c r="C365" s="801"/>
      <c r="D365" s="947"/>
      <c r="E365" s="947"/>
      <c r="F365" s="947"/>
    </row>
    <row r="366" spans="1:6" ht="12.75">
      <c r="A366" s="801"/>
      <c r="B366" s="801"/>
      <c r="C366" s="801"/>
      <c r="D366" s="758"/>
      <c r="E366" s="67" t="s">
        <v>435</v>
      </c>
      <c r="F366" s="758"/>
    </row>
    <row r="367" spans="1:6" ht="13.5" thickBot="1">
      <c r="A367" s="801"/>
      <c r="B367" s="801"/>
      <c r="C367" s="801"/>
      <c r="D367" s="603"/>
      <c r="E367" s="861"/>
      <c r="F367" s="861"/>
    </row>
    <row r="368" spans="1:6" ht="14.25" thickTop="1" thickBot="1">
      <c r="A368" s="801"/>
      <c r="B368" s="801"/>
      <c r="C368" s="801"/>
      <c r="D368" s="992" t="s">
        <v>436</v>
      </c>
      <c r="E368" s="992"/>
      <c r="F368" s="992"/>
    </row>
    <row r="369" spans="1:6" ht="13.5" thickTop="1">
      <c r="A369" s="801"/>
      <c r="B369" s="801"/>
      <c r="C369" s="801"/>
      <c r="D369" s="993" t="s">
        <v>437</v>
      </c>
      <c r="E369" s="993"/>
      <c r="F369" s="993"/>
    </row>
    <row r="370" spans="1:6" ht="12.75">
      <c r="A370" s="801"/>
      <c r="B370" s="801"/>
      <c r="C370" s="801"/>
      <c r="D370" s="760"/>
      <c r="E370" s="33"/>
      <c r="F370" s="33"/>
    </row>
    <row r="371" spans="1:6" ht="14.25">
      <c r="A371" s="201"/>
      <c r="B371" s="797" t="s">
        <v>325</v>
      </c>
      <c r="C371" s="780"/>
      <c r="D371" s="964" t="s">
        <v>438</v>
      </c>
      <c r="E371" s="964"/>
      <c r="F371" s="964"/>
    </row>
    <row r="372" spans="1:6" ht="14.25">
      <c r="A372" s="201"/>
      <c r="B372" s="201"/>
      <c r="C372" s="780"/>
      <c r="D372" s="764"/>
      <c r="E372" s="33"/>
      <c r="F372" s="33"/>
    </row>
    <row r="373" spans="1:6" ht="14.25">
      <c r="A373" s="201"/>
      <c r="B373" s="797" t="s">
        <v>325</v>
      </c>
      <c r="C373" s="780"/>
      <c r="D373" s="940" t="s">
        <v>439</v>
      </c>
      <c r="E373" s="982"/>
      <c r="F373" s="982"/>
    </row>
    <row r="374" spans="1:6" ht="14.25">
      <c r="A374" s="201"/>
      <c r="B374" s="201"/>
      <c r="C374" s="780"/>
      <c r="D374" s="982"/>
      <c r="E374" s="982"/>
      <c r="F374" s="982"/>
    </row>
    <row r="375" spans="1:6" ht="14.25">
      <c r="A375" s="201"/>
      <c r="B375" s="201"/>
      <c r="C375" s="780"/>
      <c r="D375" s="982"/>
      <c r="E375" s="982"/>
      <c r="F375" s="982"/>
    </row>
    <row r="376" spans="1:6" ht="14.25">
      <c r="A376" s="201"/>
      <c r="B376" s="201"/>
      <c r="C376" s="780"/>
      <c r="D376" s="982"/>
      <c r="E376" s="982"/>
      <c r="F376" s="982"/>
    </row>
    <row r="377" spans="1:6" ht="14.25">
      <c r="A377" s="201"/>
      <c r="B377" s="201"/>
      <c r="C377" s="780"/>
      <c r="D377" s="982"/>
      <c r="E377" s="982"/>
      <c r="F377" s="982"/>
    </row>
    <row r="378" spans="1:6" ht="14.25">
      <c r="A378" s="201"/>
      <c r="B378" s="201"/>
      <c r="C378" s="780"/>
      <c r="D378" s="982"/>
      <c r="E378" s="982"/>
      <c r="F378" s="982"/>
    </row>
    <row r="379" spans="1:6" ht="14.25">
      <c r="A379" s="201"/>
      <c r="B379" s="201"/>
      <c r="C379" s="780"/>
      <c r="D379" s="982"/>
      <c r="E379" s="982"/>
      <c r="F379" s="982"/>
    </row>
    <row r="380" spans="1:6" ht="14.25">
      <c r="A380" s="201"/>
      <c r="B380" s="201"/>
      <c r="C380" s="780"/>
      <c r="D380" s="982"/>
      <c r="E380" s="982"/>
      <c r="F380" s="982"/>
    </row>
    <row r="381" spans="1:6" ht="14.25">
      <c r="A381" s="201"/>
      <c r="B381" s="201"/>
      <c r="C381" s="780"/>
      <c r="D381" s="982"/>
      <c r="E381" s="982"/>
      <c r="F381" s="982"/>
    </row>
    <row r="382" spans="1:6" ht="14.25">
      <c r="A382" s="201"/>
      <c r="B382" s="201"/>
      <c r="C382" s="780"/>
      <c r="D382" s="982"/>
      <c r="E382" s="982"/>
      <c r="F382" s="982"/>
    </row>
    <row r="383" spans="1:6" ht="14.25">
      <c r="A383" s="201"/>
      <c r="B383" s="201"/>
      <c r="C383" s="780"/>
      <c r="D383" s="773"/>
      <c r="E383" s="773"/>
      <c r="F383" s="773"/>
    </row>
    <row r="384" spans="1:6" ht="14.25">
      <c r="A384" s="201"/>
      <c r="B384" s="797" t="s">
        <v>325</v>
      </c>
      <c r="C384" s="780"/>
      <c r="D384" s="982" t="s">
        <v>440</v>
      </c>
      <c r="E384" s="982"/>
      <c r="F384" s="982"/>
    </row>
    <row r="385" spans="1:6" ht="12.75">
      <c r="A385" s="780"/>
      <c r="B385" s="780"/>
      <c r="C385" s="780"/>
      <c r="D385" s="982"/>
      <c r="E385" s="982"/>
      <c r="F385" s="982"/>
    </row>
    <row r="386" spans="1:6" ht="12.75">
      <c r="A386" s="780"/>
      <c r="B386" s="780"/>
      <c r="C386" s="780"/>
      <c r="D386" s="982"/>
      <c r="E386" s="982"/>
      <c r="F386" s="982"/>
    </row>
    <row r="387" spans="1:6" ht="12.75">
      <c r="A387" s="780"/>
      <c r="B387" s="780"/>
      <c r="C387" s="780"/>
      <c r="D387" s="982"/>
      <c r="E387" s="982"/>
      <c r="F387" s="982"/>
    </row>
    <row r="388" spans="1:6" ht="12.75">
      <c r="A388" s="780"/>
      <c r="B388" s="780"/>
      <c r="C388" s="780"/>
      <c r="D388" s="773"/>
      <c r="E388" s="773"/>
      <c r="F388" s="773"/>
    </row>
    <row r="389" spans="1:6" ht="12.75">
      <c r="A389" s="780"/>
      <c r="B389" s="780"/>
      <c r="C389" s="780"/>
      <c r="D389" s="982" t="s">
        <v>441</v>
      </c>
      <c r="E389" s="982"/>
      <c r="F389" s="982"/>
    </row>
    <row r="390" spans="1:6" ht="12.75">
      <c r="A390" s="780"/>
      <c r="B390" s="780"/>
      <c r="C390" s="780"/>
      <c r="D390" s="982"/>
      <c r="E390" s="982"/>
      <c r="F390" s="982"/>
    </row>
    <row r="391" spans="1:6" ht="12.75">
      <c r="A391" s="780"/>
      <c r="B391" s="780"/>
      <c r="C391" s="780"/>
      <c r="D391" s="982"/>
      <c r="E391" s="982"/>
      <c r="F391" s="982"/>
    </row>
    <row r="392" spans="1:6" ht="12.75">
      <c r="A392" s="780"/>
      <c r="B392" s="780"/>
      <c r="C392" s="780"/>
      <c r="D392" s="982"/>
      <c r="E392" s="982"/>
      <c r="F392" s="982"/>
    </row>
    <row r="393" spans="1:6" ht="12.75">
      <c r="A393" s="780"/>
      <c r="B393" s="780"/>
      <c r="C393" s="780"/>
      <c r="D393" s="982"/>
      <c r="E393" s="982"/>
      <c r="F393" s="982"/>
    </row>
    <row r="394" spans="1:6" ht="12.75">
      <c r="A394" s="780"/>
      <c r="B394" s="780"/>
      <c r="C394" s="780"/>
      <c r="D394" s="982"/>
      <c r="E394" s="982"/>
      <c r="F394" s="982"/>
    </row>
    <row r="395" spans="1:6" ht="12.75">
      <c r="A395" s="780"/>
      <c r="B395" s="780"/>
      <c r="C395" s="780"/>
      <c r="D395" s="982"/>
      <c r="E395" s="982"/>
      <c r="F395" s="982"/>
    </row>
    <row r="396" spans="1:6" ht="12.75">
      <c r="A396" s="780"/>
      <c r="B396" s="780"/>
      <c r="C396" s="780"/>
      <c r="D396" s="982"/>
      <c r="E396" s="982"/>
      <c r="F396" s="982"/>
    </row>
    <row r="397" spans="1:6" ht="12.75">
      <c r="A397" s="780"/>
      <c r="B397" s="780"/>
      <c r="C397" s="780"/>
      <c r="D397" s="982"/>
      <c r="E397" s="982"/>
      <c r="F397" s="982"/>
    </row>
    <row r="398" spans="1:6" ht="13.7" customHeight="1">
      <c r="A398" s="780"/>
      <c r="B398" s="780"/>
      <c r="C398" s="780"/>
      <c r="D398" s="982" t="s">
        <v>442</v>
      </c>
      <c r="E398" s="982"/>
      <c r="F398" s="982"/>
    </row>
    <row r="399" spans="1:6" ht="13.7" customHeight="1">
      <c r="A399" s="780"/>
      <c r="B399" s="780"/>
      <c r="C399" s="780"/>
      <c r="D399" s="982"/>
      <c r="E399" s="982"/>
      <c r="F399" s="982"/>
    </row>
    <row r="400" spans="1:6" ht="13.7" customHeight="1">
      <c r="A400" s="780"/>
      <c r="B400" s="780"/>
      <c r="C400" s="780"/>
      <c r="D400" s="982"/>
      <c r="E400" s="982"/>
      <c r="F400" s="982"/>
    </row>
    <row r="401" spans="1:6" ht="13.7" customHeight="1">
      <c r="A401" s="780"/>
      <c r="B401" s="780"/>
      <c r="C401" s="780"/>
      <c r="D401" s="982"/>
      <c r="E401" s="982"/>
      <c r="F401" s="982"/>
    </row>
    <row r="402" spans="1:6" ht="13.7" customHeight="1">
      <c r="A402" s="780"/>
      <c r="B402" s="780"/>
      <c r="C402" s="780"/>
      <c r="D402" s="982"/>
      <c r="E402" s="982"/>
      <c r="F402" s="982"/>
    </row>
    <row r="403" spans="1:6" ht="13.7" customHeight="1">
      <c r="A403" s="780"/>
      <c r="B403" s="780"/>
      <c r="C403" s="780"/>
      <c r="D403" s="982"/>
      <c r="E403" s="982"/>
      <c r="F403" s="982"/>
    </row>
    <row r="404" spans="1:6" ht="13.7" customHeight="1">
      <c r="A404" s="780"/>
      <c r="B404" s="780"/>
      <c r="C404" s="780"/>
      <c r="D404" s="982"/>
      <c r="E404" s="982"/>
      <c r="F404" s="982"/>
    </row>
    <row r="405" spans="1:6" ht="13.7" customHeight="1">
      <c r="A405" s="780"/>
      <c r="B405" s="780"/>
      <c r="C405" s="780"/>
      <c r="D405" s="982"/>
      <c r="E405" s="982"/>
      <c r="F405" s="982"/>
    </row>
    <row r="406" spans="1:6" ht="13.7" customHeight="1">
      <c r="A406" s="780"/>
      <c r="B406" s="780"/>
      <c r="C406" s="780"/>
      <c r="D406" s="982"/>
      <c r="E406" s="982"/>
      <c r="F406" s="982"/>
    </row>
    <row r="407" spans="1:6" ht="13.7" customHeight="1">
      <c r="A407" s="780"/>
      <c r="B407" s="780"/>
      <c r="C407" s="780"/>
      <c r="D407" s="982"/>
      <c r="E407" s="982"/>
      <c r="F407" s="982"/>
    </row>
    <row r="408" spans="1:6" ht="13.7" customHeight="1">
      <c r="A408" s="780"/>
      <c r="B408" s="780"/>
      <c r="C408" s="780"/>
      <c r="D408" s="982"/>
      <c r="E408" s="982"/>
      <c r="F408" s="982"/>
    </row>
    <row r="409" spans="1:6" ht="13.7" customHeight="1">
      <c r="A409" s="780"/>
      <c r="B409" s="780"/>
      <c r="C409" s="780"/>
      <c r="D409" s="982"/>
      <c r="E409" s="982"/>
      <c r="F409" s="982"/>
    </row>
    <row r="410" spans="1:6" ht="13.7" customHeight="1">
      <c r="A410" s="780"/>
      <c r="B410" s="780"/>
      <c r="C410" s="780"/>
      <c r="D410" s="982"/>
      <c r="E410" s="982"/>
      <c r="F410" s="982"/>
    </row>
    <row r="411" spans="1:6" ht="13.7" customHeight="1">
      <c r="A411" s="780"/>
      <c r="B411" s="780"/>
      <c r="C411" s="780"/>
      <c r="D411" s="982"/>
      <c r="E411" s="982"/>
      <c r="F411" s="982"/>
    </row>
    <row r="412" spans="1:6" ht="13.7" customHeight="1">
      <c r="A412" s="780"/>
      <c r="B412" s="780"/>
      <c r="C412" s="780"/>
      <c r="D412" s="982"/>
      <c r="E412" s="982"/>
      <c r="F412" s="982"/>
    </row>
    <row r="413" spans="1:6" ht="13.7" customHeight="1">
      <c r="A413" s="780"/>
      <c r="B413" s="780"/>
      <c r="C413" s="780"/>
      <c r="D413" s="982"/>
      <c r="E413" s="982"/>
      <c r="F413" s="982"/>
    </row>
    <row r="414" spans="1:6" ht="13.7" customHeight="1">
      <c r="A414" s="780"/>
      <c r="B414" s="780"/>
      <c r="C414" s="780"/>
      <c r="D414" s="982"/>
      <c r="E414" s="982"/>
      <c r="F414" s="982"/>
    </row>
    <row r="415" spans="1:6" ht="13.7" customHeight="1">
      <c r="A415" s="780"/>
      <c r="B415" s="780"/>
      <c r="C415" s="780"/>
      <c r="D415" s="982"/>
      <c r="E415" s="982"/>
      <c r="F415" s="982"/>
    </row>
    <row r="416" spans="1:6" ht="12.75">
      <c r="A416" s="780"/>
      <c r="B416" s="780"/>
      <c r="C416" s="780"/>
      <c r="D416" s="764"/>
      <c r="E416" s="33"/>
      <c r="F416" s="33"/>
    </row>
    <row r="417" spans="1:6" ht="13.7" customHeight="1">
      <c r="A417" s="780"/>
      <c r="B417" s="797" t="s">
        <v>325</v>
      </c>
      <c r="C417" s="780"/>
      <c r="D417" s="982" t="s">
        <v>443</v>
      </c>
      <c r="E417" s="982"/>
      <c r="F417" s="982"/>
    </row>
    <row r="418" spans="1:6" ht="12.75">
      <c r="A418" s="780"/>
      <c r="B418" s="780"/>
      <c r="C418" s="780"/>
      <c r="D418" s="982"/>
      <c r="E418" s="982"/>
      <c r="F418" s="982"/>
    </row>
    <row r="419" spans="1:6" ht="12.75">
      <c r="A419" s="780"/>
      <c r="B419" s="780"/>
      <c r="C419" s="780"/>
      <c r="D419" s="773"/>
      <c r="E419" s="773"/>
      <c r="F419" s="773"/>
    </row>
    <row r="420" spans="1:6" ht="12.75">
      <c r="A420" s="780"/>
      <c r="B420" s="797" t="s">
        <v>325</v>
      </c>
      <c r="C420" s="780"/>
      <c r="D420" s="973" t="s">
        <v>444</v>
      </c>
      <c r="E420" s="973"/>
      <c r="F420" s="973"/>
    </row>
    <row r="421" spans="1:6" ht="12.75">
      <c r="A421" s="780"/>
      <c r="B421" s="780"/>
      <c r="C421" s="780"/>
      <c r="D421" s="973"/>
      <c r="E421" s="973"/>
      <c r="F421" s="973"/>
    </row>
    <row r="422" spans="1:6" ht="12.75">
      <c r="A422" s="780"/>
      <c r="B422" s="780"/>
      <c r="C422" s="780"/>
      <c r="D422" s="973"/>
      <c r="E422" s="973"/>
      <c r="F422" s="973"/>
    </row>
    <row r="423" spans="1:6" ht="12.75">
      <c r="A423" s="780"/>
      <c r="B423" s="780"/>
      <c r="C423" s="780"/>
      <c r="D423" s="973"/>
      <c r="E423" s="973"/>
      <c r="F423" s="973"/>
    </row>
    <row r="424" spans="1:6" ht="12.75">
      <c r="A424" s="780"/>
      <c r="B424" s="780"/>
      <c r="C424" s="780"/>
      <c r="D424" s="973"/>
      <c r="E424" s="973"/>
      <c r="F424" s="973"/>
    </row>
    <row r="425" spans="1:6" ht="12.75">
      <c r="A425" s="780"/>
      <c r="B425" s="780"/>
      <c r="C425" s="780"/>
      <c r="D425" s="973"/>
      <c r="E425" s="973"/>
      <c r="F425" s="973"/>
    </row>
    <row r="426" spans="1:6" ht="14.45" customHeight="1">
      <c r="A426" s="201"/>
      <c r="B426" s="797" t="s">
        <v>325</v>
      </c>
      <c r="C426" s="780"/>
      <c r="D426" s="973" t="s">
        <v>445</v>
      </c>
      <c r="E426" s="973"/>
      <c r="F426" s="973"/>
    </row>
    <row r="427" spans="1:6" ht="14.25">
      <c r="A427" s="371"/>
      <c r="B427" s="371"/>
      <c r="C427" s="780"/>
      <c r="D427" s="973"/>
      <c r="E427" s="973"/>
      <c r="F427" s="973"/>
    </row>
    <row r="428" spans="1:6" ht="14.25">
      <c r="A428" s="371"/>
      <c r="B428" s="371"/>
      <c r="C428" s="780"/>
      <c r="D428" s="973"/>
      <c r="E428" s="973"/>
      <c r="F428" s="973"/>
    </row>
    <row r="429" spans="1:6" ht="14.25">
      <c r="A429" s="371"/>
      <c r="B429" s="371"/>
      <c r="C429" s="780"/>
      <c r="D429" s="973"/>
      <c r="E429" s="973"/>
      <c r="F429" s="973"/>
    </row>
    <row r="430" spans="1:6" ht="14.25" customHeight="1">
      <c r="A430" s="371"/>
      <c r="B430" s="371"/>
      <c r="C430" s="780"/>
      <c r="D430" s="999" t="s">
        <v>446</v>
      </c>
      <c r="E430" s="999"/>
      <c r="F430" s="999"/>
    </row>
    <row r="431" spans="1:6" ht="12.75">
      <c r="A431" s="801"/>
      <c r="B431" s="801"/>
      <c r="C431" s="801"/>
      <c r="D431" s="760"/>
      <c r="E431" s="33"/>
      <c r="F431" s="33"/>
    </row>
    <row r="432" spans="1:6" ht="14.45" customHeight="1">
      <c r="A432" s="201"/>
      <c r="B432" s="797" t="s">
        <v>325</v>
      </c>
      <c r="C432" s="862"/>
      <c r="D432" s="928" t="s">
        <v>447</v>
      </c>
      <c r="E432" s="928"/>
      <c r="F432" s="928"/>
    </row>
    <row r="433" spans="1:6" ht="14.25">
      <c r="A433" s="201"/>
      <c r="B433" s="201"/>
      <c r="C433" s="801"/>
      <c r="D433" s="928"/>
      <c r="E433" s="928"/>
      <c r="F433" s="928"/>
    </row>
    <row r="434" spans="1:6" ht="14.25">
      <c r="A434" s="201"/>
      <c r="B434" s="201"/>
      <c r="C434" s="801"/>
      <c r="D434" s="928"/>
      <c r="E434" s="928"/>
      <c r="F434" s="928"/>
    </row>
    <row r="435" spans="1:6" ht="14.25">
      <c r="A435" s="201"/>
      <c r="B435" s="201"/>
      <c r="C435" s="801"/>
      <c r="D435" s="928"/>
      <c r="E435" s="928"/>
      <c r="F435" s="928"/>
    </row>
    <row r="436" spans="1:6" ht="14.25">
      <c r="A436" s="201"/>
      <c r="B436" s="201"/>
      <c r="C436" s="801"/>
      <c r="D436" s="928"/>
      <c r="E436" s="928"/>
      <c r="F436" s="928"/>
    </row>
    <row r="437" spans="1:6" ht="14.25">
      <c r="A437" s="201"/>
      <c r="B437" s="201"/>
      <c r="C437" s="801"/>
      <c r="D437" s="928"/>
      <c r="E437" s="928"/>
      <c r="F437" s="928"/>
    </row>
    <row r="438" spans="1:6" ht="14.25">
      <c r="A438" s="201"/>
      <c r="B438" s="201"/>
      <c r="C438" s="801"/>
      <c r="D438" s="928"/>
      <c r="E438" s="928"/>
      <c r="F438" s="928"/>
    </row>
    <row r="439" spans="1:6" ht="14.25">
      <c r="A439" s="201"/>
      <c r="B439" s="201"/>
      <c r="C439" s="801"/>
      <c r="D439" s="928"/>
      <c r="E439" s="928"/>
      <c r="F439" s="928"/>
    </row>
    <row r="440" spans="1:6" ht="14.25">
      <c r="A440" s="201"/>
      <c r="B440" s="201"/>
      <c r="C440" s="801"/>
      <c r="D440" s="928"/>
      <c r="E440" s="928"/>
      <c r="F440" s="928"/>
    </row>
    <row r="441" spans="1:6" ht="14.25">
      <c r="A441" s="201"/>
      <c r="B441" s="201"/>
      <c r="C441" s="801"/>
      <c r="D441" s="928"/>
      <c r="E441" s="928"/>
      <c r="F441" s="928"/>
    </row>
    <row r="442" spans="1:6" ht="14.25">
      <c r="A442" s="201"/>
      <c r="B442" s="201"/>
      <c r="C442" s="801"/>
      <c r="D442" s="928"/>
      <c r="E442" s="928"/>
      <c r="F442" s="928"/>
    </row>
    <row r="443" spans="1:6" ht="14.25">
      <c r="A443" s="201"/>
      <c r="B443" s="201"/>
      <c r="C443" s="801"/>
      <c r="D443" s="928"/>
      <c r="E443" s="928"/>
      <c r="F443" s="928"/>
    </row>
    <row r="444" spans="1:6" ht="14.25">
      <c r="A444" s="201"/>
      <c r="B444" s="201"/>
      <c r="C444" s="801"/>
      <c r="D444" s="928"/>
      <c r="E444" s="928"/>
      <c r="F444" s="928"/>
    </row>
    <row r="445" spans="1:6" ht="14.25">
      <c r="A445" s="201"/>
      <c r="B445" s="201"/>
      <c r="C445" s="801"/>
      <c r="D445" s="928"/>
      <c r="E445" s="928"/>
      <c r="F445" s="928"/>
    </row>
    <row r="446" spans="1:6" ht="14.25">
      <c r="A446" s="201"/>
      <c r="B446" s="201"/>
      <c r="C446" s="801"/>
      <c r="D446" s="928"/>
      <c r="E446" s="928"/>
      <c r="F446" s="928"/>
    </row>
    <row r="447" spans="1:6" ht="14.25">
      <c r="A447" s="201"/>
      <c r="B447" s="201"/>
      <c r="C447" s="801"/>
      <c r="D447" s="928"/>
      <c r="E447" s="928"/>
      <c r="F447" s="928"/>
    </row>
    <row r="448" spans="1:6" ht="14.25">
      <c r="A448" s="201"/>
      <c r="B448" s="201"/>
      <c r="C448" s="801"/>
      <c r="D448" s="928"/>
      <c r="E448" s="928"/>
      <c r="F448" s="928"/>
    </row>
    <row r="449" spans="1:6" ht="14.25">
      <c r="A449" s="201"/>
      <c r="B449" s="201"/>
      <c r="C449" s="801"/>
      <c r="D449" s="928"/>
      <c r="E449" s="928"/>
      <c r="F449" s="928"/>
    </row>
    <row r="450" spans="1:6" ht="14.25">
      <c r="A450" s="201"/>
      <c r="B450" s="201"/>
      <c r="C450" s="801"/>
      <c r="D450" s="928"/>
      <c r="E450" s="928"/>
      <c r="F450" s="928"/>
    </row>
    <row r="451" spans="1:6" ht="14.25">
      <c r="A451" s="201"/>
      <c r="B451" s="201"/>
      <c r="C451" s="801"/>
      <c r="D451" s="928"/>
      <c r="E451" s="928"/>
      <c r="F451" s="928"/>
    </row>
    <row r="452" spans="1:6" ht="14.25">
      <c r="A452" s="201"/>
      <c r="B452" s="201"/>
      <c r="C452" s="801"/>
      <c r="D452" s="928"/>
      <c r="E452" s="928"/>
      <c r="F452" s="928"/>
    </row>
    <row r="453" spans="1:6" ht="14.25">
      <c r="A453" s="201"/>
      <c r="B453" s="201"/>
      <c r="C453" s="801"/>
      <c r="D453" s="928"/>
      <c r="E453" s="928"/>
      <c r="F453" s="928"/>
    </row>
    <row r="454" spans="1:6" ht="14.25">
      <c r="A454" s="201"/>
      <c r="B454" s="201"/>
      <c r="C454" s="801"/>
      <c r="D454" s="928"/>
      <c r="E454" s="928"/>
      <c r="F454" s="928"/>
    </row>
    <row r="455" spans="1:6" ht="14.25">
      <c r="A455" s="201"/>
      <c r="B455" s="201"/>
      <c r="C455" s="801"/>
      <c r="D455" s="928"/>
      <c r="E455" s="928"/>
      <c r="F455" s="928"/>
    </row>
    <row r="456" spans="1:6" ht="14.25">
      <c r="A456" s="201"/>
      <c r="B456" s="201"/>
      <c r="C456" s="801"/>
      <c r="D456" s="928"/>
      <c r="E456" s="928"/>
      <c r="F456" s="928"/>
    </row>
    <row r="457" spans="1:6" ht="14.25">
      <c r="A457" s="201"/>
      <c r="B457" s="201"/>
      <c r="C457" s="801"/>
      <c r="D457" s="928"/>
      <c r="E457" s="928"/>
      <c r="F457" s="928"/>
    </row>
    <row r="458" spans="1:6" ht="14.25">
      <c r="A458" s="201"/>
      <c r="B458" s="201"/>
      <c r="C458" s="801"/>
      <c r="D458" s="928"/>
      <c r="E458" s="928"/>
      <c r="F458" s="928"/>
    </row>
    <row r="459" spans="1:6" ht="14.25">
      <c r="A459" s="201"/>
      <c r="B459" s="201"/>
      <c r="C459" s="801"/>
      <c r="D459" s="928"/>
      <c r="E459" s="928"/>
      <c r="F459" s="928"/>
    </row>
    <row r="460" spans="1:6" ht="14.25">
      <c r="A460" s="201"/>
      <c r="B460" s="201"/>
      <c r="C460" s="801"/>
      <c r="D460" s="928"/>
      <c r="E460" s="928"/>
      <c r="F460" s="928"/>
    </row>
    <row r="461" spans="1:6" ht="14.25">
      <c r="A461" s="201"/>
      <c r="B461" s="201"/>
      <c r="C461" s="801"/>
      <c r="D461" s="928"/>
      <c r="E461" s="928"/>
      <c r="F461" s="928"/>
    </row>
    <row r="462" spans="1:6" ht="12.75" hidden="1">
      <c r="A462" s="801"/>
      <c r="B462" s="801"/>
      <c r="C462" s="801"/>
      <c r="D462" s="928"/>
      <c r="E462" s="928"/>
      <c r="F462" s="928"/>
    </row>
    <row r="463" spans="1:6" ht="12.75" hidden="1">
      <c r="A463" s="801"/>
      <c r="B463" s="801"/>
      <c r="C463" s="801"/>
      <c r="D463" s="760"/>
      <c r="E463" s="33"/>
      <c r="F463" s="33"/>
    </row>
    <row r="464" spans="1:6" ht="14.25">
      <c r="A464" s="201"/>
      <c r="B464" s="797" t="s">
        <v>325</v>
      </c>
      <c r="C464" s="862"/>
      <c r="D464" s="950" t="s">
        <v>448</v>
      </c>
      <c r="E464" s="950"/>
      <c r="F464" s="950"/>
    </row>
    <row r="465" spans="1:6" ht="12.75">
      <c r="A465" s="801"/>
      <c r="B465" s="801"/>
      <c r="C465" s="801"/>
      <c r="D465"/>
      <c r="E465" s="728" t="s">
        <v>449</v>
      </c>
      <c r="F465" s="728"/>
    </row>
    <row r="466" spans="1:6" ht="13.7" customHeight="1">
      <c r="A466" s="801"/>
      <c r="B466" s="801"/>
      <c r="C466" s="801"/>
      <c r="D466" s="928" t="s">
        <v>450</v>
      </c>
      <c r="E466" s="928"/>
      <c r="F466" s="928"/>
    </row>
    <row r="467" spans="1:6" ht="13.7" customHeight="1">
      <c r="A467" s="801"/>
      <c r="B467" s="801"/>
      <c r="C467" s="801"/>
      <c r="D467" s="928"/>
      <c r="E467" s="928"/>
      <c r="F467" s="928"/>
    </row>
    <row r="468" spans="1:6" ht="12.75">
      <c r="A468" s="801"/>
      <c r="B468" s="801"/>
      <c r="C468" s="801"/>
      <c r="D468" s="760"/>
      <c r="E468" s="33"/>
      <c r="F468" s="33"/>
    </row>
    <row r="469" spans="1:6" ht="14.45" customHeight="1">
      <c r="A469" s="201"/>
      <c r="B469" s="797" t="s">
        <v>325</v>
      </c>
      <c r="C469" s="862"/>
      <c r="D469" s="928" t="s">
        <v>451</v>
      </c>
      <c r="E469" s="928"/>
      <c r="F469" s="928"/>
    </row>
    <row r="470" spans="1:6" ht="12.75">
      <c r="A470" s="801"/>
      <c r="B470" s="801"/>
      <c r="C470" s="801"/>
      <c r="D470" s="928"/>
      <c r="E470" s="928"/>
      <c r="F470" s="928"/>
    </row>
    <row r="471" spans="1:6" ht="12.75">
      <c r="A471" s="801"/>
      <c r="B471" s="801"/>
      <c r="C471" s="801"/>
      <c r="D471" s="928"/>
      <c r="E471" s="928"/>
      <c r="F471" s="928"/>
    </row>
    <row r="472" spans="1:6" ht="12.75">
      <c r="A472" s="801"/>
      <c r="B472" s="801"/>
      <c r="C472" s="801"/>
      <c r="D472" s="753"/>
      <c r="E472" s="753"/>
      <c r="F472" s="753"/>
    </row>
    <row r="473" spans="1:6" ht="14.25">
      <c r="A473" s="801"/>
      <c r="B473" s="797" t="s">
        <v>325</v>
      </c>
      <c r="C473" s="201"/>
      <c r="D473" s="928" t="s">
        <v>452</v>
      </c>
      <c r="E473" s="928"/>
      <c r="F473" s="928"/>
    </row>
    <row r="474" spans="1:6" ht="12.75">
      <c r="A474" s="801"/>
      <c r="B474" s="801"/>
      <c r="C474" s="801"/>
      <c r="D474" s="928"/>
      <c r="E474" s="928"/>
      <c r="F474" s="928"/>
    </row>
    <row r="475" spans="1:6" ht="12.75">
      <c r="A475" s="801"/>
      <c r="B475" s="801"/>
      <c r="C475" s="801"/>
      <c r="D475" s="760"/>
      <c r="E475" s="760"/>
      <c r="F475" s="33"/>
    </row>
    <row r="476" spans="1:6" ht="14.25">
      <c r="A476" s="801"/>
      <c r="B476" s="797" t="s">
        <v>325</v>
      </c>
      <c r="C476" s="201"/>
      <c r="D476" s="928" t="s">
        <v>453</v>
      </c>
      <c r="E476" s="928"/>
      <c r="F476" s="928"/>
    </row>
    <row r="477" spans="1:6" ht="12.75">
      <c r="A477" s="801"/>
      <c r="B477" s="801"/>
      <c r="C477" s="801"/>
      <c r="D477" s="928"/>
      <c r="E477" s="928"/>
      <c r="F477" s="928"/>
    </row>
    <row r="478" spans="1:6" ht="12.75">
      <c r="A478" s="801"/>
      <c r="B478" s="801"/>
      <c r="C478" s="801"/>
      <c r="D478" s="928"/>
      <c r="E478" s="928"/>
      <c r="F478" s="928"/>
    </row>
    <row r="479" spans="1:6" ht="12.75">
      <c r="A479" s="801"/>
      <c r="B479" s="801"/>
      <c r="C479" s="801"/>
      <c r="D479" s="928"/>
      <c r="E479" s="928"/>
      <c r="F479" s="928"/>
    </row>
    <row r="480" spans="1:6" ht="12.75">
      <c r="A480" s="801"/>
      <c r="B480" s="797" t="s">
        <v>325</v>
      </c>
      <c r="C480" s="801"/>
      <c r="D480" s="928"/>
      <c r="E480" s="928"/>
      <c r="F480" s="928"/>
    </row>
    <row r="481" spans="2:6" ht="12.75">
      <c r="B481" s="801"/>
      <c r="C481" s="801"/>
      <c r="D481" s="928"/>
      <c r="E481" s="928"/>
      <c r="F481" s="928"/>
    </row>
    <row r="482" spans="2:6" ht="12.75">
      <c r="B482" s="801"/>
      <c r="C482" s="801"/>
      <c r="D482" s="928"/>
      <c r="E482" s="928"/>
      <c r="F482" s="928"/>
    </row>
    <row r="483" spans="2:6" ht="12.75">
      <c r="B483" s="797" t="s">
        <v>325</v>
      </c>
      <c r="C483" s="801"/>
      <c r="D483" s="928"/>
      <c r="E483" s="928"/>
      <c r="F483" s="928"/>
    </row>
    <row r="484" spans="2:6" ht="12.75">
      <c r="B484" s="801"/>
      <c r="C484" s="801"/>
      <c r="D484" s="928"/>
      <c r="E484" s="928"/>
      <c r="F484" s="928"/>
    </row>
    <row r="485" spans="2:6" ht="12.75">
      <c r="B485" s="801"/>
      <c r="C485" s="801"/>
      <c r="D485" s="928"/>
      <c r="E485" s="928"/>
      <c r="F485" s="928"/>
    </row>
    <row r="486" spans="2:6" ht="12.75">
      <c r="B486" s="801"/>
      <c r="C486" s="801"/>
      <c r="D486" s="928"/>
      <c r="E486" s="928"/>
      <c r="F486" s="928"/>
    </row>
    <row r="487" spans="2:6" ht="12.75">
      <c r="B487" s="797" t="s">
        <v>325</v>
      </c>
      <c r="C487" s="801"/>
      <c r="D487" s="928"/>
      <c r="E487" s="928"/>
      <c r="F487" s="928"/>
    </row>
    <row r="488" spans="2:6" ht="12.75">
      <c r="B488" s="801"/>
      <c r="C488" s="801"/>
      <c r="D488" s="928"/>
      <c r="E488" s="928"/>
      <c r="F488" s="928"/>
    </row>
    <row r="489" spans="2:6" ht="12.75">
      <c r="B489" s="797" t="s">
        <v>325</v>
      </c>
      <c r="C489" s="801"/>
      <c r="D489" s="928"/>
      <c r="E489" s="928"/>
      <c r="F489" s="928"/>
    </row>
    <row r="490" spans="2:6" ht="12.75">
      <c r="B490" s="801"/>
      <c r="C490" s="801"/>
      <c r="D490" s="928"/>
      <c r="E490" s="928"/>
      <c r="F490" s="928"/>
    </row>
    <row r="491" spans="2:6" ht="13.7" customHeight="1">
      <c r="B491" s="797" t="s">
        <v>325</v>
      </c>
      <c r="C491" s="801"/>
      <c r="D491" s="928" t="s">
        <v>454</v>
      </c>
      <c r="E491" s="928"/>
      <c r="F491" s="928"/>
    </row>
    <row r="492" spans="2:6" ht="12.75">
      <c r="B492" s="801"/>
      <c r="C492" s="801"/>
      <c r="D492" s="928"/>
      <c r="E492" s="928"/>
      <c r="F492" s="928"/>
    </row>
    <row r="493" spans="2:6" ht="12.75">
      <c r="B493" s="801"/>
      <c r="C493" s="801"/>
      <c r="D493" s="928"/>
      <c r="E493" s="928"/>
      <c r="F493" s="928"/>
    </row>
    <row r="494" spans="2:6" ht="12.75">
      <c r="B494" s="801"/>
      <c r="C494" s="801"/>
      <c r="D494" s="928"/>
      <c r="E494" s="928"/>
      <c r="F494" s="928"/>
    </row>
    <row r="495" spans="2:6" ht="12.75">
      <c r="B495" s="801"/>
      <c r="C495" s="801"/>
      <c r="D495" s="928"/>
      <c r="E495" s="928"/>
      <c r="F495" s="928"/>
    </row>
    <row r="496" spans="2:6" ht="12.75">
      <c r="B496" s="801"/>
      <c r="C496" s="801"/>
      <c r="D496" s="760"/>
      <c r="E496" s="33"/>
      <c r="F496" s="33"/>
    </row>
    <row r="497" spans="1:7" ht="12.75">
      <c r="A497" s="801"/>
      <c r="B497" s="797" t="s">
        <v>325</v>
      </c>
      <c r="C497" s="801"/>
      <c r="D497" s="950" t="s">
        <v>455</v>
      </c>
      <c r="E497" s="950"/>
      <c r="F497" s="950"/>
      <c r="G497" s="33"/>
    </row>
    <row r="498" spans="1:7" ht="12.75">
      <c r="A498" s="760"/>
      <c r="B498" s="760"/>
      <c r="C498" s="801"/>
      <c r="D498" s="33"/>
      <c r="E498" s="33"/>
      <c r="F498" s="33"/>
      <c r="G498" s="33"/>
    </row>
    <row r="499" spans="1:7" ht="12.75">
      <c r="A499" s="979" t="s">
        <v>456</v>
      </c>
      <c r="B499" s="979"/>
      <c r="C499" s="979"/>
      <c r="D499" s="979"/>
      <c r="E499" s="979"/>
      <c r="F499" s="979"/>
      <c r="G499" s="979"/>
    </row>
    <row r="500" spans="1:7" ht="12.75">
      <c r="A500" s="760"/>
      <c r="B500" s="760"/>
      <c r="C500" s="801"/>
      <c r="D500" s="33"/>
      <c r="E500" s="33"/>
      <c r="F500" s="33"/>
      <c r="G500" s="33"/>
    </row>
    <row r="501" spans="1:7" ht="12.75">
      <c r="A501" s="801"/>
      <c r="B501" s="801"/>
      <c r="C501" s="801"/>
      <c r="D501" s="994" t="s">
        <v>457</v>
      </c>
      <c r="E501" s="994"/>
      <c r="F501" s="994"/>
      <c r="G501" s="33"/>
    </row>
    <row r="502" spans="1:7" ht="12.75">
      <c r="A502" s="801"/>
      <c r="B502" s="801"/>
      <c r="C502" s="801"/>
      <c r="D502" s="964" t="s">
        <v>458</v>
      </c>
      <c r="E502" s="964"/>
      <c r="F502" s="964"/>
      <c r="G502" s="33"/>
    </row>
    <row r="503" spans="1:7" ht="14.25">
      <c r="A503" s="201"/>
      <c r="B503" s="201"/>
      <c r="C503" s="801"/>
      <c r="D503" s="764"/>
      <c r="E503" s="33"/>
      <c r="F503" s="33"/>
      <c r="G503" s="33"/>
    </row>
    <row r="504" spans="1:7" ht="14.25">
      <c r="A504" s="201"/>
      <c r="B504" s="797" t="s">
        <v>325</v>
      </c>
      <c r="C504" s="801"/>
      <c r="D504" s="982" t="s">
        <v>459</v>
      </c>
      <c r="E504" s="982"/>
      <c r="F504" s="982"/>
      <c r="G504" s="33"/>
    </row>
    <row r="505" spans="1:7" ht="14.25">
      <c r="A505" s="201"/>
      <c r="B505" s="201"/>
      <c r="C505" s="801"/>
      <c r="D505" s="982"/>
      <c r="E505" s="982"/>
      <c r="F505" s="982"/>
      <c r="G505" s="33"/>
    </row>
    <row r="506" spans="1:7" ht="14.25">
      <c r="A506" s="201"/>
      <c r="B506" s="201"/>
      <c r="C506" s="801"/>
      <c r="D506" s="760"/>
      <c r="E506" s="33"/>
      <c r="F506" s="33"/>
      <c r="G506" s="33"/>
    </row>
    <row r="507" spans="1:7" ht="14.25">
      <c r="A507" s="201"/>
      <c r="B507" s="797" t="s">
        <v>325</v>
      </c>
      <c r="C507" s="801"/>
      <c r="D507" s="995" t="s">
        <v>460</v>
      </c>
      <c r="E507" s="952"/>
      <c r="F507" s="952"/>
      <c r="G507" s="33"/>
    </row>
    <row r="508" spans="1:7" ht="14.25">
      <c r="A508" s="201"/>
      <c r="B508" s="201"/>
      <c r="C508" s="801"/>
      <c r="D508" s="952"/>
      <c r="E508" s="952"/>
      <c r="F508" s="952"/>
      <c r="G508" s="33"/>
    </row>
    <row r="509" spans="1:7" ht="14.25">
      <c r="A509" s="201"/>
      <c r="B509" s="201"/>
      <c r="C509" s="801"/>
      <c r="D509" s="952"/>
      <c r="E509" s="952"/>
      <c r="F509" s="952"/>
      <c r="G509"/>
    </row>
    <row r="510" spans="1:7" ht="14.25">
      <c r="A510" s="201"/>
      <c r="B510" s="201"/>
      <c r="C510" s="801"/>
      <c r="D510" s="952"/>
      <c r="E510" s="952"/>
      <c r="F510" s="952"/>
      <c r="G510"/>
    </row>
    <row r="511" spans="1:7" ht="12.75">
      <c r="A511" s="801"/>
      <c r="B511" s="801"/>
      <c r="C511" s="801"/>
      <c r="D511" s="33"/>
      <c r="E511" s="33"/>
      <c r="F511" s="33"/>
      <c r="G511"/>
    </row>
    <row r="512" spans="1:7" ht="14.25">
      <c r="A512" s="201"/>
      <c r="B512" s="797" t="s">
        <v>325</v>
      </c>
      <c r="C512" s="801"/>
      <c r="D512" s="950" t="s">
        <v>461</v>
      </c>
      <c r="E512" s="950"/>
      <c r="F512" s="950"/>
      <c r="G512"/>
    </row>
    <row r="513" spans="1:7" ht="12.75">
      <c r="A513" s="801"/>
      <c r="B513" s="801"/>
      <c r="C513" s="801"/>
      <c r="D513" s="760"/>
      <c r="E513" s="33"/>
      <c r="F513" s="33"/>
      <c r="G513"/>
    </row>
    <row r="514" spans="1:7" ht="14.25">
      <c r="A514" s="201"/>
      <c r="B514" s="797" t="s">
        <v>325</v>
      </c>
      <c r="C514" s="801"/>
      <c r="D514" s="928" t="s">
        <v>462</v>
      </c>
      <c r="E514" s="928"/>
      <c r="F514" s="928"/>
      <c r="G514"/>
    </row>
    <row r="515" spans="1:7" ht="12.75">
      <c r="A515" s="801"/>
      <c r="B515" s="801"/>
      <c r="C515" s="801"/>
      <c r="D515" s="928"/>
      <c r="E515" s="928"/>
      <c r="F515" s="928"/>
      <c r="G515"/>
    </row>
    <row r="516" spans="1:7" ht="12.75">
      <c r="A516" s="801"/>
      <c r="B516" s="801"/>
      <c r="C516" s="801"/>
      <c r="D516" s="764"/>
      <c r="E516" s="33"/>
      <c r="F516" s="33"/>
      <c r="G516"/>
    </row>
    <row r="517" spans="1:7" ht="14.25">
      <c r="A517" s="201"/>
      <c r="B517" s="797" t="s">
        <v>325</v>
      </c>
      <c r="C517" s="801"/>
      <c r="D517" s="950" t="s">
        <v>463</v>
      </c>
      <c r="E517" s="950"/>
      <c r="F517" s="950"/>
      <c r="G517" s="33"/>
    </row>
    <row r="518" spans="1:7" ht="14.25">
      <c r="A518" s="201"/>
      <c r="B518" s="201"/>
      <c r="C518" s="801"/>
      <c r="D518" s="760"/>
      <c r="E518" s="33"/>
      <c r="F518" s="33"/>
      <c r="G518" s="33"/>
    </row>
    <row r="519" spans="1:7" ht="12.75">
      <c r="A519" s="979" t="s">
        <v>464</v>
      </c>
      <c r="B519" s="979"/>
      <c r="C519" s="979"/>
      <c r="D519" s="979"/>
      <c r="E519" s="979"/>
      <c r="F519" s="979"/>
      <c r="G519" s="979"/>
    </row>
    <row r="520" spans="1:7" ht="12" customHeight="1">
      <c r="A520" s="201"/>
      <c r="B520" s="201"/>
      <c r="C520" s="801"/>
      <c r="D520" s="760"/>
      <c r="E520" s="33"/>
      <c r="F520" s="33"/>
      <c r="G520" s="33"/>
    </row>
    <row r="521" spans="1:7" ht="12.75">
      <c r="A521" s="801"/>
      <c r="B521" s="797" t="s">
        <v>323</v>
      </c>
      <c r="C521" s="778"/>
      <c r="D521" s="956" t="s">
        <v>465</v>
      </c>
      <c r="E521" s="956"/>
      <c r="F521" s="956"/>
      <c r="G521" s="33"/>
    </row>
    <row r="522" spans="1:7" ht="12.75">
      <c r="A522" s="801"/>
      <c r="B522" s="801"/>
      <c r="C522" s="778"/>
      <c r="D522" s="956"/>
      <c r="E522" s="956"/>
      <c r="F522" s="956"/>
      <c r="G522" s="33"/>
    </row>
    <row r="523" spans="1:7" ht="12.75">
      <c r="A523" s="140"/>
      <c r="B523" s="140"/>
      <c r="C523" s="140"/>
      <c r="D523" s="956"/>
      <c r="E523" s="956"/>
      <c r="F523" s="956"/>
      <c r="G523" s="33"/>
    </row>
    <row r="524" spans="1:7" ht="12.75">
      <c r="A524" s="140"/>
      <c r="B524" s="140"/>
      <c r="C524" s="140"/>
      <c r="D524" s="956"/>
      <c r="E524" s="956"/>
      <c r="F524" s="956"/>
      <c r="G524" s="33"/>
    </row>
    <row r="525" spans="1:7" ht="12.75">
      <c r="A525" s="140"/>
      <c r="B525" s="140"/>
      <c r="C525" s="140"/>
      <c r="D525" s="33"/>
      <c r="E525" s="33"/>
      <c r="F525" s="33"/>
      <c r="G525" s="33"/>
    </row>
    <row r="526" spans="1:7" ht="14.25">
      <c r="A526" s="201"/>
      <c r="B526" s="797" t="s">
        <v>325</v>
      </c>
      <c r="C526" s="862"/>
      <c r="D526" s="928" t="s">
        <v>466</v>
      </c>
      <c r="E526" s="928"/>
      <c r="F526" s="928"/>
      <c r="G526"/>
    </row>
    <row r="527" spans="1:7" ht="12.75">
      <c r="A527" s="862"/>
      <c r="B527" s="862"/>
      <c r="C527" s="862"/>
      <c r="D527" s="928"/>
      <c r="E527" s="928"/>
      <c r="F527" s="928"/>
      <c r="G527"/>
    </row>
    <row r="528" spans="1:7" ht="12.75">
      <c r="A528" s="140"/>
      <c r="B528" s="140"/>
      <c r="C528" s="140"/>
      <c r="D528" s="760"/>
      <c r="E528" s="33"/>
      <c r="F528" s="33"/>
      <c r="G528"/>
    </row>
    <row r="529" spans="1:7" ht="12.75">
      <c r="A529" s="140"/>
      <c r="B529" s="797" t="s">
        <v>323</v>
      </c>
      <c r="C529" s="140"/>
      <c r="D529" s="729" t="s">
        <v>467</v>
      </c>
      <c r="E529" s="730"/>
      <c r="F529" s="33"/>
      <c r="G529"/>
    </row>
    <row r="530" spans="1:7" ht="12.75">
      <c r="A530" s="140"/>
      <c r="B530" s="140"/>
      <c r="C530" s="140"/>
      <c r="D530" s="730"/>
      <c r="E530" s="67" t="s">
        <v>468</v>
      </c>
      <c r="F530" s="33"/>
      <c r="G530"/>
    </row>
    <row r="531" spans="1:7" ht="14.25">
      <c r="A531" s="201"/>
      <c r="B531"/>
      <c r="C531" s="801"/>
      <c r="D531" s="982" t="s">
        <v>469</v>
      </c>
      <c r="E531" s="982"/>
      <c r="F531" s="982"/>
      <c r="G531"/>
    </row>
    <row r="532" spans="1:7" ht="14.25">
      <c r="A532" s="201"/>
      <c r="B532" s="201"/>
      <c r="C532" s="801"/>
      <c r="D532" s="982"/>
      <c r="E532" s="982"/>
      <c r="F532" s="982"/>
      <c r="G532"/>
    </row>
    <row r="533" spans="1:7" ht="12.75">
      <c r="A533" s="801"/>
      <c r="B533" s="801"/>
      <c r="C533" s="801"/>
      <c r="D533" s="982"/>
      <c r="E533" s="982"/>
      <c r="F533" s="982"/>
      <c r="G533" s="33"/>
    </row>
    <row r="534" spans="1:7" ht="12" customHeight="1">
      <c r="A534" s="760"/>
      <c r="B534" s="760"/>
      <c r="C534" s="862"/>
      <c r="D534" s="33"/>
      <c r="E534" s="760"/>
      <c r="F534" s="33"/>
      <c r="G534" s="33"/>
    </row>
    <row r="535" spans="1:7" ht="12.75">
      <c r="A535" s="979" t="s">
        <v>470</v>
      </c>
      <c r="B535" s="979"/>
      <c r="C535" s="979"/>
      <c r="D535" s="979"/>
      <c r="E535" s="979"/>
      <c r="F535" s="979"/>
      <c r="G535" s="979"/>
    </row>
    <row r="536" spans="1:7" ht="12" customHeight="1">
      <c r="A536" s="760"/>
      <c r="B536" s="760"/>
      <c r="C536" s="862"/>
      <c r="D536" s="33"/>
      <c r="E536" s="760"/>
      <c r="F536" s="33"/>
      <c r="G536" s="33"/>
    </row>
    <row r="537" spans="1:7" ht="12.75">
      <c r="A537" s="801"/>
      <c r="B537" s="801"/>
      <c r="C537" s="862"/>
      <c r="D537" s="951" t="s">
        <v>471</v>
      </c>
      <c r="E537" s="951"/>
      <c r="F537" s="951"/>
      <c r="G537" s="33"/>
    </row>
    <row r="538" spans="1:7" ht="12.75">
      <c r="A538" s="801"/>
      <c r="B538" s="801"/>
      <c r="C538" s="801"/>
      <c r="D538" s="33"/>
      <c r="E538" s="33"/>
      <c r="F538" s="33"/>
      <c r="G538" s="33"/>
    </row>
    <row r="539" spans="1:7" ht="12.75">
      <c r="A539" s="801"/>
      <c r="B539" s="797" t="s">
        <v>325</v>
      </c>
      <c r="C539" s="801"/>
      <c r="D539" s="928" t="s">
        <v>472</v>
      </c>
      <c r="E539" s="928"/>
      <c r="F539" s="928"/>
      <c r="G539" s="33"/>
    </row>
    <row r="540" spans="1:7" ht="12.75">
      <c r="A540" s="801"/>
      <c r="B540" s="801"/>
      <c r="C540" s="801"/>
      <c r="D540" s="928"/>
      <c r="E540" s="928"/>
      <c r="F540" s="928"/>
      <c r="G540" s="33"/>
    </row>
    <row r="541" spans="1:7" ht="12" customHeight="1">
      <c r="A541" s="862"/>
      <c r="B541" s="862"/>
      <c r="C541" s="862"/>
      <c r="D541" s="760"/>
      <c r="E541" s="33"/>
      <c r="F541" s="33"/>
      <c r="G541" s="33"/>
    </row>
    <row r="542" spans="1:7" ht="14.25">
      <c r="A542" s="201"/>
      <c r="B542" s="797" t="s">
        <v>325</v>
      </c>
      <c r="C542" s="862"/>
      <c r="D542" s="928" t="s">
        <v>473</v>
      </c>
      <c r="E542" s="928"/>
      <c r="F542" s="928"/>
      <c r="G542" s="33"/>
    </row>
    <row r="543" spans="1:7" ht="12.75">
      <c r="A543" s="862"/>
      <c r="B543" s="862"/>
      <c r="C543" s="862"/>
      <c r="D543" s="928"/>
      <c r="E543" s="928"/>
      <c r="F543" s="928"/>
      <c r="G543" s="33"/>
    </row>
    <row r="544" spans="1:7" ht="12" customHeight="1">
      <c r="A544" s="862"/>
      <c r="B544" s="862"/>
      <c r="C544" s="862"/>
      <c r="D544" s="760"/>
      <c r="E544" s="33"/>
      <c r="F544" s="33"/>
      <c r="G544" s="33"/>
    </row>
    <row r="545" spans="1:7" ht="12.75">
      <c r="A545" s="960" t="s">
        <v>474</v>
      </c>
      <c r="B545" s="960"/>
      <c r="C545" s="960"/>
      <c r="D545" s="960"/>
      <c r="E545" s="960"/>
      <c r="F545" s="960"/>
      <c r="G545" s="960"/>
    </row>
    <row r="546" spans="1:7" ht="12" customHeight="1">
      <c r="A546" s="760"/>
      <c r="B546" s="760"/>
      <c r="C546" s="862"/>
      <c r="D546" s="760"/>
      <c r="E546" s="33"/>
      <c r="F546" s="33"/>
      <c r="G546" s="33"/>
    </row>
    <row r="547" spans="1:7" ht="12.75">
      <c r="A547" s="801"/>
      <c r="B547" s="801"/>
      <c r="C547" s="862"/>
      <c r="D547" s="951" t="s">
        <v>475</v>
      </c>
      <c r="E547" s="951"/>
      <c r="F547" s="951"/>
      <c r="G547" s="33"/>
    </row>
    <row r="548" spans="1:7" ht="12.75">
      <c r="A548" s="801"/>
      <c r="B548" s="801"/>
      <c r="C548" s="862"/>
      <c r="D548" s="950" t="s">
        <v>476</v>
      </c>
      <c r="E548" s="950"/>
      <c r="F548" s="950"/>
      <c r="G548" s="33"/>
    </row>
    <row r="549" spans="1:7" ht="12.75">
      <c r="A549" s="801"/>
      <c r="B549" s="801"/>
      <c r="C549" s="862"/>
      <c r="D549" s="760"/>
      <c r="E549" s="760"/>
      <c r="F549" s="760"/>
      <c r="G549" s="33"/>
    </row>
    <row r="550" spans="1:7" ht="14.25">
      <c r="A550" s="201"/>
      <c r="B550" s="797" t="s">
        <v>323</v>
      </c>
      <c r="C550" s="862"/>
      <c r="D550" s="950" t="s">
        <v>477</v>
      </c>
      <c r="E550" s="950"/>
      <c r="F550" s="950"/>
      <c r="G550" s="33"/>
    </row>
    <row r="551" spans="1:7" ht="12" customHeight="1">
      <c r="A551" s="862"/>
      <c r="B551" s="862"/>
      <c r="C551" s="862"/>
      <c r="D551" s="760"/>
      <c r="E551"/>
      <c r="F551"/>
      <c r="G551"/>
    </row>
    <row r="552" spans="1:7" ht="14.45" customHeight="1">
      <c r="A552" s="201"/>
      <c r="B552" s="797" t="s">
        <v>323</v>
      </c>
      <c r="C552" s="862"/>
      <c r="D552" s="928" t="s">
        <v>478</v>
      </c>
      <c r="E552" s="928"/>
      <c r="F552" s="928"/>
      <c r="G552"/>
    </row>
    <row r="553" spans="1:7" ht="12.75">
      <c r="A553" s="862"/>
      <c r="B553" s="862"/>
      <c r="C553" s="862"/>
      <c r="D553" s="928"/>
      <c r="E553" s="928"/>
      <c r="F553" s="928"/>
      <c r="G553"/>
    </row>
    <row r="554" spans="1:7" ht="12" customHeight="1">
      <c r="A554" s="862"/>
      <c r="B554" s="862"/>
      <c r="C554" s="862"/>
      <c r="D554" s="760"/>
      <c r="E554"/>
      <c r="F554"/>
      <c r="G554"/>
    </row>
    <row r="555" spans="1:7" ht="14.25">
      <c r="A555" s="201"/>
      <c r="B555" s="797" t="s">
        <v>323</v>
      </c>
      <c r="C555" s="862"/>
      <c r="D555" s="928" t="s">
        <v>479</v>
      </c>
      <c r="E555" s="928"/>
      <c r="F555" s="928"/>
      <c r="G555"/>
    </row>
    <row r="556" spans="1:7" ht="12.75">
      <c r="A556" s="862"/>
      <c r="B556" s="862"/>
      <c r="C556" s="862"/>
      <c r="D556" s="928"/>
      <c r="E556" s="928"/>
      <c r="F556" s="928"/>
      <c r="G556"/>
    </row>
    <row r="557" spans="1:7" ht="12" customHeight="1">
      <c r="A557" s="862"/>
      <c r="B557" s="862"/>
      <c r="C557" s="862"/>
      <c r="D557" s="760"/>
      <c r="E557"/>
      <c r="F557"/>
      <c r="G557"/>
    </row>
    <row r="558" spans="1:7" ht="14.25">
      <c r="A558" s="201"/>
      <c r="B558" s="797" t="s">
        <v>323</v>
      </c>
      <c r="C558" s="862"/>
      <c r="D558" s="928" t="s">
        <v>480</v>
      </c>
      <c r="E558" s="928"/>
      <c r="F558" s="928"/>
      <c r="G558"/>
    </row>
    <row r="559" spans="1:7" ht="12.75">
      <c r="A559" s="862"/>
      <c r="B559" s="862"/>
      <c r="C559" s="862"/>
      <c r="D559" s="928"/>
      <c r="E559" s="928"/>
      <c r="F559" s="928"/>
      <c r="G559"/>
    </row>
    <row r="560" spans="1:7" ht="12" customHeight="1">
      <c r="A560" s="862"/>
      <c r="B560" s="862"/>
      <c r="C560" s="862"/>
      <c r="D560" s="760"/>
      <c r="E560"/>
      <c r="F560"/>
      <c r="G560"/>
    </row>
    <row r="561" spans="1:7" ht="14.45" customHeight="1">
      <c r="A561" s="201"/>
      <c r="B561" s="797" t="s">
        <v>323</v>
      </c>
      <c r="C561" s="862"/>
      <c r="D561" s="928" t="s">
        <v>481</v>
      </c>
      <c r="E561" s="928"/>
      <c r="F561" s="928"/>
      <c r="G561"/>
    </row>
    <row r="562" spans="1:7" ht="12.75">
      <c r="A562" s="862"/>
      <c r="B562" s="862"/>
      <c r="C562" s="862"/>
      <c r="D562" s="928"/>
      <c r="E562" s="928"/>
      <c r="F562" s="928"/>
      <c r="G562"/>
    </row>
    <row r="563" spans="1:7" ht="12.75">
      <c r="A563" s="862"/>
      <c r="B563" s="862"/>
      <c r="C563" s="862"/>
      <c r="D563" s="928"/>
      <c r="E563" s="928"/>
      <c r="F563" s="928"/>
      <c r="G563"/>
    </row>
    <row r="564" spans="1:7" ht="12.75">
      <c r="A564" s="862"/>
      <c r="B564" s="862"/>
      <c r="C564" s="862"/>
      <c r="D564" s="760"/>
      <c r="E564"/>
      <c r="F564"/>
      <c r="G564"/>
    </row>
    <row r="565" spans="1:7" ht="14.25">
      <c r="A565" s="201"/>
      <c r="B565" s="797" t="s">
        <v>325</v>
      </c>
      <c r="C565" s="862"/>
      <c r="D565" s="928" t="s">
        <v>482</v>
      </c>
      <c r="E565" s="928"/>
      <c r="F565" s="928"/>
      <c r="G565"/>
    </row>
    <row r="566" spans="1:7" ht="12.75">
      <c r="A566" s="862"/>
      <c r="B566" s="862"/>
      <c r="C566" s="862"/>
      <c r="D566" s="928"/>
      <c r="E566" s="928"/>
      <c r="F566" s="928"/>
      <c r="G566"/>
    </row>
    <row r="567" spans="1:7" ht="12.75">
      <c r="A567" s="862"/>
      <c r="B567" s="862"/>
      <c r="C567" s="862"/>
      <c r="D567" s="760"/>
      <c r="E567" s="33"/>
      <c r="F567" s="33"/>
      <c r="G567"/>
    </row>
    <row r="568" spans="1:7" ht="14.25">
      <c r="A568" s="201"/>
      <c r="B568" s="797" t="s">
        <v>323</v>
      </c>
      <c r="C568" s="862"/>
      <c r="D568" s="928" t="s">
        <v>483</v>
      </c>
      <c r="E568" s="928"/>
      <c r="F568" s="928"/>
      <c r="G568"/>
    </row>
    <row r="569" spans="1:7" ht="12.75">
      <c r="A569" s="862"/>
      <c r="B569" s="862"/>
      <c r="C569" s="862"/>
      <c r="D569" s="928"/>
      <c r="E569" s="928"/>
      <c r="F569" s="928"/>
      <c r="G569"/>
    </row>
    <row r="570" spans="1:7" ht="12" customHeight="1">
      <c r="A570" s="862"/>
      <c r="B570" s="862"/>
      <c r="C570" s="862"/>
      <c r="D570" s="760"/>
      <c r="E570" s="33"/>
      <c r="F570" s="33"/>
      <c r="G570"/>
    </row>
    <row r="571" spans="1:7" ht="14.25">
      <c r="A571" s="201"/>
      <c r="B571" s="797" t="s">
        <v>323</v>
      </c>
      <c r="C571" s="862"/>
      <c r="D571" s="950" t="s">
        <v>484</v>
      </c>
      <c r="E571" s="950"/>
      <c r="F571" s="950"/>
      <c r="G571"/>
    </row>
    <row r="572" spans="1:7" ht="14.25">
      <c r="A572" s="201"/>
      <c r="B572" s="201"/>
      <c r="C572" s="862"/>
      <c r="D572" s="985" t="s">
        <v>485</v>
      </c>
      <c r="E572" s="985"/>
      <c r="F572" s="985"/>
      <c r="G572"/>
    </row>
    <row r="573" spans="1:7" ht="12.75">
      <c r="A573" s="815"/>
      <c r="B573" s="815"/>
      <c r="C573" s="862"/>
      <c r="D573" s="731"/>
      <c r="E573" s="67" t="s">
        <v>486</v>
      </c>
      <c r="F573" s="732"/>
      <c r="G573"/>
    </row>
    <row r="574" spans="1:7" ht="15" customHeight="1">
      <c r="A574" s="815"/>
      <c r="B574" s="815"/>
      <c r="C574" s="862"/>
      <c r="D574" s="928" t="s">
        <v>487</v>
      </c>
      <c r="E574" s="928"/>
      <c r="F574" s="928"/>
      <c r="G574"/>
    </row>
    <row r="575" spans="1:7" ht="12.75">
      <c r="A575" s="815"/>
      <c r="B575" s="815"/>
      <c r="C575" s="862"/>
      <c r="D575" s="928"/>
      <c r="E575" s="928"/>
      <c r="F575" s="928"/>
      <c r="G575"/>
    </row>
    <row r="576" spans="1:7" ht="12.75">
      <c r="A576" s="815"/>
      <c r="B576" s="815"/>
      <c r="C576" s="862"/>
      <c r="D576" s="928"/>
      <c r="E576" s="928"/>
      <c r="F576" s="928"/>
      <c r="G576"/>
    </row>
    <row r="577" spans="1:7" ht="12.75">
      <c r="A577" s="815"/>
      <c r="B577" s="815"/>
      <c r="C577" s="862"/>
      <c r="D577" s="928"/>
      <c r="E577" s="928"/>
      <c r="F577" s="928"/>
      <c r="G577"/>
    </row>
    <row r="578" spans="1:7" ht="12.75">
      <c r="A578" s="815"/>
      <c r="B578" s="815"/>
      <c r="C578" s="862"/>
      <c r="D578" s="928"/>
      <c r="E578" s="928"/>
      <c r="F578" s="928"/>
      <c r="G578"/>
    </row>
    <row r="579" spans="1:7" ht="12.75">
      <c r="A579" s="815"/>
      <c r="B579" s="815"/>
      <c r="C579" s="862"/>
      <c r="D579" s="928"/>
      <c r="E579" s="928"/>
      <c r="F579" s="928"/>
      <c r="G579"/>
    </row>
    <row r="580" spans="1:7" ht="12.75">
      <c r="A580" s="815"/>
      <c r="B580" s="815"/>
      <c r="C580" s="862"/>
      <c r="D580" s="928"/>
      <c r="E580" s="928"/>
      <c r="F580" s="928"/>
      <c r="G580"/>
    </row>
    <row r="581" spans="1:7" ht="12.75">
      <c r="A581" s="815"/>
      <c r="B581" s="815"/>
      <c r="C581" s="862"/>
      <c r="D581" s="928"/>
      <c r="E581" s="928"/>
      <c r="F581" s="928"/>
      <c r="G581"/>
    </row>
    <row r="582" spans="1:7" ht="12.75">
      <c r="A582" s="815"/>
      <c r="B582" s="815"/>
      <c r="C582" s="862"/>
      <c r="D582" s="928"/>
      <c r="E582" s="928"/>
      <c r="F582" s="928"/>
      <c r="G582"/>
    </row>
    <row r="583" spans="1:7" ht="12.75">
      <c r="A583" s="815"/>
      <c r="B583" s="815"/>
      <c r="C583" s="862"/>
      <c r="D583" s="758"/>
      <c r="E583" s="758"/>
      <c r="F583" s="758"/>
      <c r="G583"/>
    </row>
    <row r="584" spans="1:7" ht="14.25">
      <c r="A584" s="201"/>
      <c r="B584" s="797" t="s">
        <v>323</v>
      </c>
      <c r="C584" s="862"/>
      <c r="D584" s="950" t="s">
        <v>488</v>
      </c>
      <c r="E584" s="950"/>
      <c r="F584" s="950"/>
      <c r="G584"/>
    </row>
    <row r="585" spans="1:7" ht="13.7" customHeight="1">
      <c r="A585" s="801"/>
      <c r="B585" s="801"/>
      <c r="C585" s="862"/>
      <c r="D585" s="928" t="s">
        <v>489</v>
      </c>
      <c r="E585" s="928"/>
      <c r="F585" s="928"/>
      <c r="G585"/>
    </row>
    <row r="586" spans="1:7" ht="12.75">
      <c r="A586" s="862"/>
      <c r="B586" s="862"/>
      <c r="C586" s="862"/>
      <c r="D586" s="928"/>
      <c r="E586" s="928"/>
      <c r="F586" s="928"/>
      <c r="G586"/>
    </row>
    <row r="587" spans="1:7" ht="12.75">
      <c r="A587" s="862"/>
      <c r="B587" s="862"/>
      <c r="C587" s="862"/>
      <c r="D587" s="928"/>
      <c r="E587" s="928"/>
      <c r="F587" s="928"/>
      <c r="G587"/>
    </row>
    <row r="588" spans="1:7" ht="12.75">
      <c r="A588" s="862"/>
      <c r="B588" s="862"/>
      <c r="C588" s="862"/>
      <c r="D588" s="758"/>
      <c r="E588" s="758"/>
      <c r="F588" s="758"/>
      <c r="G588"/>
    </row>
    <row r="589" spans="1:7" ht="14.45" customHeight="1">
      <c r="A589" s="201"/>
      <c r="B589" s="797" t="s">
        <v>323</v>
      </c>
      <c r="C589" s="862"/>
      <c r="D589" s="928" t="s">
        <v>490</v>
      </c>
      <c r="E589" s="928"/>
      <c r="F589" s="928"/>
      <c r="G589"/>
    </row>
    <row r="590" spans="1:7" ht="14.25">
      <c r="A590" s="201"/>
      <c r="B590" s="201"/>
      <c r="C590" s="862"/>
      <c r="D590" s="928"/>
      <c r="E590" s="928"/>
      <c r="F590" s="928"/>
      <c r="G590"/>
    </row>
    <row r="591" spans="1:7" ht="14.25">
      <c r="A591" s="201"/>
      <c r="B591" s="201"/>
      <c r="C591" s="862"/>
      <c r="D591" s="928"/>
      <c r="E591" s="928"/>
      <c r="F591" s="928"/>
      <c r="G591" s="33"/>
    </row>
    <row r="592" spans="1:7" ht="12.75">
      <c r="A592" s="862"/>
      <c r="B592" s="862"/>
      <c r="C592" s="862"/>
      <c r="D592" s="928"/>
      <c r="E592" s="928"/>
      <c r="F592" s="928"/>
      <c r="G592" s="33"/>
    </row>
    <row r="593" spans="1:7" ht="12.75">
      <c r="A593" s="862"/>
      <c r="B593" s="862"/>
      <c r="C593" s="862"/>
      <c r="D593" s="760"/>
      <c r="E593" s="33"/>
      <c r="F593" s="33"/>
      <c r="G593" s="33"/>
    </row>
    <row r="594" spans="1:7" ht="12.75">
      <c r="A594" s="140"/>
      <c r="B594" s="797" t="s">
        <v>325</v>
      </c>
      <c r="C594" s="140"/>
      <c r="D594" s="958" t="s">
        <v>491</v>
      </c>
      <c r="E594" s="958"/>
      <c r="F594" s="958"/>
      <c r="G594" s="33"/>
    </row>
    <row r="595" spans="1:7" ht="12.75">
      <c r="A595" s="140"/>
      <c r="B595" s="140"/>
      <c r="C595" s="140"/>
      <c r="D595" s="33"/>
      <c r="E595" s="33"/>
      <c r="F595" s="33"/>
      <c r="G595" s="33"/>
    </row>
    <row r="596" spans="1:7" ht="12.75">
      <c r="A596" s="862"/>
      <c r="B596" s="862"/>
      <c r="C596" s="862"/>
      <c r="D596" s="753"/>
      <c r="E596" s="753"/>
      <c r="F596" s="753"/>
      <c r="G596" s="33"/>
    </row>
    <row r="597" spans="1:7" ht="12.75">
      <c r="A597" s="979" t="s">
        <v>492</v>
      </c>
      <c r="B597" s="979"/>
      <c r="C597" s="979"/>
      <c r="D597" s="979"/>
      <c r="E597" s="979"/>
      <c r="F597" s="979"/>
      <c r="G597" s="979"/>
    </row>
    <row r="598" spans="1:7" ht="12.75">
      <c r="A598" s="862"/>
      <c r="B598" s="862"/>
      <c r="C598" s="862"/>
      <c r="D598" s="33"/>
      <c r="E598" s="33"/>
      <c r="F598" s="33"/>
      <c r="G598" s="33"/>
    </row>
    <row r="599" spans="1:7" ht="12.75">
      <c r="A599" s="801"/>
      <c r="B599" s="801"/>
      <c r="C599" s="778"/>
      <c r="D599" s="955" t="s">
        <v>493</v>
      </c>
      <c r="E599" s="955"/>
      <c r="F599" s="955"/>
      <c r="G599" s="33"/>
    </row>
    <row r="600" spans="1:7" ht="12.75">
      <c r="A600" s="801"/>
      <c r="B600" s="801"/>
      <c r="C600" s="778"/>
      <c r="D600" s="952" t="s">
        <v>494</v>
      </c>
      <c r="E600" s="952"/>
      <c r="F600" s="952"/>
      <c r="G600" s="33"/>
    </row>
    <row r="601" spans="1:7" ht="12.75">
      <c r="A601" s="801"/>
      <c r="B601" s="801"/>
      <c r="C601" s="778"/>
      <c r="D601" s="264"/>
      <c r="E601" s="33"/>
      <c r="F601" s="33"/>
      <c r="G601" s="33"/>
    </row>
    <row r="602" spans="1:7" ht="14.25">
      <c r="A602" s="201"/>
      <c r="B602" s="797" t="s">
        <v>323</v>
      </c>
      <c r="C602" s="801"/>
      <c r="D602" s="952" t="s">
        <v>495</v>
      </c>
      <c r="E602" s="952"/>
      <c r="F602" s="952"/>
      <c r="G602" s="33"/>
    </row>
    <row r="603" spans="1:7" ht="12.75">
      <c r="A603" s="815"/>
      <c r="B603" s="815"/>
      <c r="C603" s="801"/>
      <c r="D603" s="780"/>
      <c r="E603" s="33"/>
      <c r="F603" s="33"/>
      <c r="G603" s="33"/>
    </row>
    <row r="604" spans="1:7" ht="14.45" customHeight="1">
      <c r="A604" s="201"/>
      <c r="B604" s="797" t="s">
        <v>323</v>
      </c>
      <c r="C604" s="801"/>
      <c r="D604" s="952" t="s">
        <v>496</v>
      </c>
      <c r="E604" s="952"/>
      <c r="F604" s="952"/>
      <c r="G604" s="33"/>
    </row>
    <row r="605" spans="1:7" ht="14.45" customHeight="1">
      <c r="A605" s="201"/>
      <c r="B605" s="201"/>
      <c r="C605" s="801"/>
      <c r="D605" s="952"/>
      <c r="E605" s="952"/>
      <c r="F605" s="952"/>
      <c r="G605" s="33"/>
    </row>
    <row r="606" spans="1:7" ht="14.25">
      <c r="A606" s="201"/>
      <c r="B606" s="201"/>
      <c r="C606" s="801"/>
      <c r="D606" s="952"/>
      <c r="E606" s="952"/>
      <c r="F606" s="952"/>
      <c r="G606" s="33"/>
    </row>
    <row r="607" spans="1:7" ht="14.25">
      <c r="A607" s="201"/>
      <c r="B607" s="201"/>
      <c r="C607" s="801"/>
      <c r="D607" s="761"/>
      <c r="E607" s="761"/>
      <c r="F607" s="761"/>
      <c r="G607" s="33"/>
    </row>
    <row r="608" spans="1:7" ht="14.25">
      <c r="A608" s="201"/>
      <c r="B608" s="797" t="s">
        <v>325</v>
      </c>
      <c r="C608" s="801"/>
      <c r="D608" s="952" t="s">
        <v>497</v>
      </c>
      <c r="E608" s="952"/>
      <c r="F608" s="952"/>
      <c r="G608" s="33"/>
    </row>
    <row r="609" spans="1:7" ht="14.25">
      <c r="A609" s="201"/>
      <c r="B609" s="201"/>
      <c r="C609" s="801"/>
      <c r="D609" s="952"/>
      <c r="E609" s="952"/>
      <c r="F609" s="952"/>
      <c r="G609" s="33"/>
    </row>
    <row r="610" spans="1:7" ht="14.25">
      <c r="A610" s="201"/>
      <c r="B610" s="201"/>
      <c r="C610" s="801"/>
      <c r="D610" s="952"/>
      <c r="E610" s="952"/>
      <c r="F610" s="952"/>
      <c r="G610" s="33"/>
    </row>
    <row r="611" spans="1:7" ht="14.25">
      <c r="A611" s="201"/>
      <c r="B611" s="201"/>
      <c r="C611" s="801"/>
      <c r="D611" s="952"/>
      <c r="E611" s="952"/>
      <c r="F611" s="952"/>
      <c r="G611" s="33"/>
    </row>
    <row r="612" spans="1:7" ht="14.25">
      <c r="A612" s="201"/>
      <c r="B612" s="201"/>
      <c r="C612" s="801"/>
      <c r="D612" s="264"/>
      <c r="E612" s="33"/>
      <c r="F612" s="33"/>
      <c r="G612" s="33"/>
    </row>
    <row r="613" spans="1:7" ht="14.25">
      <c r="A613" s="201"/>
      <c r="B613" s="797" t="s">
        <v>323</v>
      </c>
      <c r="C613" s="801"/>
      <c r="D613" s="952" t="s">
        <v>498</v>
      </c>
      <c r="E613" s="952"/>
      <c r="F613" s="952"/>
      <c r="G613" s="33"/>
    </row>
    <row r="614" spans="1:7" ht="14.25">
      <c r="A614" s="201"/>
      <c r="B614" s="201"/>
      <c r="C614" s="801"/>
      <c r="D614" s="952"/>
      <c r="E614" s="952"/>
      <c r="F614" s="952"/>
      <c r="G614" s="33"/>
    </row>
    <row r="615" spans="1:7" ht="14.25">
      <c r="A615" s="201"/>
      <c r="B615" s="201"/>
      <c r="C615" s="801"/>
      <c r="D615" s="264"/>
      <c r="E615" s="33"/>
      <c r="F615" s="33"/>
      <c r="G615" s="33"/>
    </row>
    <row r="616" spans="1:7" ht="14.45" customHeight="1">
      <c r="A616" s="201"/>
      <c r="B616" s="797" t="s">
        <v>325</v>
      </c>
      <c r="C616" s="801"/>
      <c r="D616" s="952" t="s">
        <v>499</v>
      </c>
      <c r="E616" s="952"/>
      <c r="F616" s="952"/>
      <c r="G616" s="33"/>
    </row>
    <row r="617" spans="1:7" ht="14.25">
      <c r="A617" s="201"/>
      <c r="B617" s="201"/>
      <c r="C617" s="801"/>
      <c r="D617" s="952"/>
      <c r="E617" s="952"/>
      <c r="F617" s="952"/>
      <c r="G617" s="33"/>
    </row>
    <row r="618" spans="1:7" ht="14.25">
      <c r="A618" s="201"/>
      <c r="B618" s="201"/>
      <c r="C618" s="801"/>
      <c r="D618" s="264"/>
      <c r="E618" s="33"/>
      <c r="F618" s="33"/>
      <c r="G618" s="33"/>
    </row>
    <row r="619" spans="1:7" ht="14.25">
      <c r="A619" s="201"/>
      <c r="B619" s="797" t="s">
        <v>323</v>
      </c>
      <c r="C619" s="801"/>
      <c r="D619" s="952" t="s">
        <v>500</v>
      </c>
      <c r="E619" s="952"/>
      <c r="F619" s="952"/>
      <c r="G619" s="33"/>
    </row>
    <row r="620" spans="1:7" ht="12.75">
      <c r="A620" s="815"/>
      <c r="B620" s="815"/>
      <c r="C620" s="801"/>
      <c r="D620" s="33"/>
      <c r="E620" s="33"/>
      <c r="F620" s="33"/>
      <c r="G620" s="33"/>
    </row>
    <row r="621" spans="1:7" ht="12.75">
      <c r="A621" s="979" t="s">
        <v>501</v>
      </c>
      <c r="B621" s="979"/>
      <c r="C621" s="979"/>
      <c r="D621" s="979"/>
      <c r="E621" s="979"/>
      <c r="F621" s="979"/>
      <c r="G621" s="979"/>
    </row>
    <row r="622" spans="1:7" ht="12.75">
      <c r="A622" s="769"/>
      <c r="B622" s="769"/>
      <c r="C622" s="801"/>
      <c r="D622" s="33"/>
      <c r="E622" s="33"/>
      <c r="F622" s="33"/>
      <c r="G622" s="33"/>
    </row>
    <row r="623" spans="1:7" ht="12.75">
      <c r="A623" s="801"/>
      <c r="B623" s="801"/>
      <c r="C623" s="140"/>
      <c r="D623" s="976" t="s">
        <v>502</v>
      </c>
      <c r="E623" s="976"/>
      <c r="F623" s="976"/>
      <c r="G623" s="33"/>
    </row>
    <row r="624" spans="1:7" ht="12.75">
      <c r="A624" s="801"/>
      <c r="B624" s="801"/>
      <c r="C624" s="140"/>
      <c r="D624" s="958" t="s">
        <v>503</v>
      </c>
      <c r="E624" s="958"/>
      <c r="F624" s="958"/>
      <c r="G624" s="33"/>
    </row>
    <row r="625" spans="1:7" ht="12.75">
      <c r="A625" s="801"/>
      <c r="B625" s="801"/>
      <c r="C625" s="140"/>
      <c r="D625" s="771"/>
      <c r="E625" s="771"/>
      <c r="F625" s="771"/>
      <c r="G625" s="33"/>
    </row>
    <row r="626" spans="1:7" ht="14.25" customHeight="1">
      <c r="A626" s="201"/>
      <c r="B626" s="797" t="s">
        <v>323</v>
      </c>
      <c r="C626" s="801"/>
      <c r="D626" s="996" t="s">
        <v>504</v>
      </c>
      <c r="E626" s="997"/>
      <c r="F626" s="997"/>
      <c r="G626" s="33"/>
    </row>
    <row r="627" spans="1:7" ht="12.75">
      <c r="A627" s="801"/>
      <c r="B627" s="801"/>
      <c r="C627" s="801"/>
      <c r="D627" s="997"/>
      <c r="E627" s="997"/>
      <c r="F627" s="997"/>
      <c r="G627" s="33"/>
    </row>
    <row r="628" spans="1:7" ht="12.75">
      <c r="A628" s="801"/>
      <c r="B628" s="801"/>
      <c r="C628" s="801"/>
      <c r="D628" s="782"/>
      <c r="E628" s="727" t="s">
        <v>505</v>
      </c>
      <c r="F628" s="782"/>
      <c r="G628" s="33"/>
    </row>
    <row r="629" spans="1:7" ht="12.75">
      <c r="A629" s="769"/>
      <c r="B629" s="769"/>
      <c r="C629" s="801"/>
      <c r="D629" s="33"/>
      <c r="E629" s="33"/>
      <c r="F629" s="33"/>
      <c r="G629" s="33"/>
    </row>
    <row r="630" spans="1:7" ht="12" customHeight="1">
      <c r="A630" s="979" t="s">
        <v>506</v>
      </c>
      <c r="B630" s="979"/>
      <c r="C630" s="979"/>
      <c r="D630" s="979"/>
      <c r="E630" s="979"/>
      <c r="F630" s="979"/>
      <c r="G630" s="979"/>
    </row>
    <row r="631" spans="1:7" ht="12.75">
      <c r="A631" s="760"/>
      <c r="B631" s="760"/>
      <c r="C631" s="801"/>
      <c r="D631" s="33"/>
      <c r="E631" s="33"/>
      <c r="F631" s="33"/>
      <c r="G631" s="33"/>
    </row>
    <row r="632" spans="1:7" ht="12.75">
      <c r="A632" s="801"/>
      <c r="B632" s="801"/>
      <c r="C632" s="778"/>
      <c r="D632" s="951" t="s">
        <v>507</v>
      </c>
      <c r="E632" s="951"/>
      <c r="F632" s="951"/>
      <c r="G632" s="33"/>
    </row>
    <row r="633" spans="1:7" ht="12.75">
      <c r="A633" s="140"/>
      <c r="B633" s="140"/>
      <c r="C633" s="140"/>
      <c r="D633" s="950" t="s">
        <v>508</v>
      </c>
      <c r="E633" s="950"/>
      <c r="F633" s="950"/>
      <c r="G633" s="33"/>
    </row>
    <row r="634" spans="1:7" ht="12.75">
      <c r="A634" s="140"/>
      <c r="B634" s="140"/>
      <c r="C634" s="140"/>
      <c r="D634" s="33"/>
      <c r="E634" s="33"/>
      <c r="F634" s="33"/>
      <c r="G634" s="33"/>
    </row>
    <row r="635" spans="1:7" ht="14.25">
      <c r="A635" s="201"/>
      <c r="B635" s="201"/>
      <c r="C635" s="801"/>
      <c r="D635" s="976" t="s">
        <v>509</v>
      </c>
      <c r="E635" s="976"/>
      <c r="F635" s="976"/>
      <c r="G635" s="33"/>
    </row>
    <row r="636" spans="1:7" ht="14.25">
      <c r="A636" s="201"/>
      <c r="B636" s="797" t="s">
        <v>323</v>
      </c>
      <c r="C636" s="801"/>
      <c r="D636" s="958" t="s">
        <v>510</v>
      </c>
      <c r="E636" s="958"/>
      <c r="F636" s="958"/>
      <c r="G636" s="33"/>
    </row>
    <row r="637" spans="1:7" ht="14.25">
      <c r="A637" s="201"/>
      <c r="B637" s="201"/>
      <c r="C637" s="801"/>
      <c r="D637" s="760"/>
      <c r="E637" s="33"/>
      <c r="F637" s="33"/>
      <c r="G637" s="33"/>
    </row>
    <row r="638" spans="1:7" ht="14.25">
      <c r="A638" s="201"/>
      <c r="B638" s="797" t="s">
        <v>325</v>
      </c>
      <c r="C638" s="801"/>
      <c r="D638" s="928" t="s">
        <v>511</v>
      </c>
      <c r="E638" s="928"/>
      <c r="F638" s="928"/>
      <c r="G638" s="33"/>
    </row>
    <row r="639" spans="1:7" ht="14.25">
      <c r="A639" s="201"/>
      <c r="B639" s="201"/>
      <c r="C639" s="801"/>
      <c r="D639" s="928"/>
      <c r="E639" s="928"/>
      <c r="F639" s="928"/>
      <c r="G639" s="33"/>
    </row>
    <row r="640" spans="1:7" ht="14.25">
      <c r="A640" s="201"/>
      <c r="B640" s="201"/>
      <c r="C640" s="801"/>
      <c r="D640" s="760"/>
      <c r="E640" s="33"/>
      <c r="F640" s="33"/>
      <c r="G640" s="33"/>
    </row>
    <row r="641" spans="1:7" ht="14.25">
      <c r="A641" s="201"/>
      <c r="B641" s="797" t="s">
        <v>325</v>
      </c>
      <c r="C641" s="801"/>
      <c r="D641" s="928" t="s">
        <v>512</v>
      </c>
      <c r="E641" s="928"/>
      <c r="F641" s="928"/>
      <c r="G641" s="33"/>
    </row>
    <row r="642" spans="1:7" ht="13.7" customHeight="1">
      <c r="A642" s="801"/>
      <c r="B642" s="801"/>
      <c r="C642" s="801"/>
      <c r="D642" s="928"/>
      <c r="E642" s="928"/>
      <c r="F642" s="928"/>
      <c r="G642" s="33"/>
    </row>
    <row r="643" spans="1:7" ht="12.75">
      <c r="A643" s="801"/>
      <c r="B643" s="801"/>
      <c r="C643" s="801"/>
      <c r="D643" s="33"/>
      <c r="E643" s="33"/>
      <c r="F643" s="33"/>
      <c r="G643" s="33"/>
    </row>
    <row r="644" spans="1:7" ht="14.25">
      <c r="A644" s="201"/>
      <c r="B644" s="797" t="s">
        <v>323</v>
      </c>
      <c r="C644" s="801"/>
      <c r="D644" s="958" t="s">
        <v>513</v>
      </c>
      <c r="E644" s="958"/>
      <c r="F644" s="958"/>
      <c r="G644" s="33"/>
    </row>
    <row r="645" spans="1:7" ht="12.75">
      <c r="A645" s="778"/>
      <c r="B645" s="778"/>
      <c r="C645" s="778"/>
      <c r="D645" s="33"/>
      <c r="E645" s="33"/>
      <c r="F645" s="33"/>
      <c r="G645" s="33"/>
    </row>
    <row r="646" spans="1:7" ht="12.75">
      <c r="A646" s="979" t="s">
        <v>514</v>
      </c>
      <c r="B646" s="979"/>
      <c r="C646" s="979"/>
      <c r="D646" s="979"/>
      <c r="E646" s="979"/>
      <c r="F646" s="979"/>
      <c r="G646" s="979"/>
    </row>
    <row r="647" spans="1:7" ht="12.75">
      <c r="A647" s="778"/>
      <c r="B647" s="778"/>
      <c r="C647" s="778"/>
      <c r="D647" s="33"/>
      <c r="E647" s="33"/>
      <c r="F647" s="33"/>
      <c r="G647" s="33"/>
    </row>
    <row r="648" spans="1:7" ht="12.75">
      <c r="A648" s="801"/>
      <c r="B648" s="801"/>
      <c r="C648" s="815"/>
      <c r="D648" s="965" t="s">
        <v>515</v>
      </c>
      <c r="E648" s="965"/>
      <c r="F648" s="965"/>
      <c r="G648" s="33"/>
    </row>
    <row r="649" spans="1:7" ht="12.75">
      <c r="A649" s="815"/>
      <c r="B649" s="815"/>
      <c r="C649" s="801"/>
      <c r="D649" s="2"/>
      <c r="E649" s="33"/>
      <c r="F649" s="33"/>
      <c r="G649" s="33"/>
    </row>
    <row r="650" spans="1:7" ht="14.25" customHeight="1">
      <c r="A650" s="201"/>
      <c r="B650" s="797" t="s">
        <v>323</v>
      </c>
      <c r="C650" s="801"/>
      <c r="D650" s="996" t="s">
        <v>516</v>
      </c>
      <c r="E650" s="996"/>
      <c r="F650" s="996"/>
      <c r="G650" s="33"/>
    </row>
    <row r="651" spans="1:7" ht="14.25">
      <c r="A651" s="201"/>
      <c r="B651" s="201"/>
      <c r="C651" s="801"/>
      <c r="D651" s="996"/>
      <c r="E651" s="996"/>
      <c r="F651" s="996"/>
      <c r="G651" s="33"/>
    </row>
    <row r="652" spans="1:7" ht="12.75">
      <c r="A652" s="801"/>
      <c r="B652" s="801"/>
      <c r="C652" s="801"/>
      <c r="D652" s="782"/>
      <c r="E652" s="727" t="s">
        <v>517</v>
      </c>
      <c r="F652" s="782"/>
      <c r="G652" s="33"/>
    </row>
    <row r="653" spans="1:7" ht="12.75">
      <c r="A653" s="801"/>
      <c r="B653" s="801"/>
      <c r="C653" s="801"/>
      <c r="D653" s="932" t="s">
        <v>518</v>
      </c>
      <c r="E653" s="932"/>
      <c r="F653" s="932"/>
      <c r="G653" s="33"/>
    </row>
    <row r="654" spans="1:7" ht="12.75" customHeight="1">
      <c r="A654" s="801"/>
      <c r="B654" s="801"/>
      <c r="C654" s="801"/>
      <c r="D654" s="932"/>
      <c r="E654" s="932"/>
      <c r="F654" s="932"/>
      <c r="G654" s="33"/>
    </row>
    <row r="655" spans="1:7" ht="12.75">
      <c r="A655" s="801"/>
      <c r="B655"/>
      <c r="C655" s="801"/>
      <c r="D655" s="932"/>
      <c r="E655" s="932"/>
      <c r="F655" s="932"/>
      <c r="G655" s="33"/>
    </row>
    <row r="656" spans="1:7" ht="12.75">
      <c r="A656" s="801"/>
      <c r="B656" s="801"/>
      <c r="C656" s="801"/>
      <c r="D656" s="33"/>
      <c r="E656" s="33"/>
      <c r="F656" s="33"/>
      <c r="G656" s="33"/>
    </row>
    <row r="657" spans="1:9" ht="14.25">
      <c r="A657" s="225"/>
      <c r="B657" s="797" t="s">
        <v>325</v>
      </c>
      <c r="C657" s="801"/>
      <c r="D657" s="966" t="s">
        <v>519</v>
      </c>
      <c r="E657" s="966"/>
      <c r="F657" s="966"/>
      <c r="G657" s="760"/>
    </row>
    <row r="658" spans="1:9" ht="14.25">
      <c r="A658" s="225"/>
      <c r="B658" s="225"/>
      <c r="C658" s="801"/>
      <c r="D658" s="966"/>
      <c r="E658" s="966"/>
      <c r="F658" s="966"/>
      <c r="G658" s="760"/>
    </row>
    <row r="659" spans="1:9" ht="14.25">
      <c r="A659" s="225"/>
      <c r="B659" s="225"/>
      <c r="C659" s="801"/>
      <c r="D659" s="760"/>
      <c r="E659" s="760"/>
      <c r="F659" s="760"/>
      <c r="G659" s="760"/>
    </row>
    <row r="660" spans="1:9" ht="13.7" customHeight="1">
      <c r="A660" s="225"/>
      <c r="B660" s="797" t="s">
        <v>325</v>
      </c>
      <c r="C660" s="801"/>
      <c r="D660" s="968" t="s">
        <v>520</v>
      </c>
      <c r="E660" s="968"/>
      <c r="F660" s="968"/>
      <c r="G660" s="760"/>
    </row>
    <row r="661" spans="1:9" ht="14.25">
      <c r="A661" s="225"/>
      <c r="B661" s="225"/>
      <c r="C661" s="801"/>
      <c r="D661" s="968"/>
      <c r="E661" s="968"/>
      <c r="F661" s="968"/>
      <c r="G661" s="760"/>
    </row>
    <row r="662" spans="1:9" ht="14.25">
      <c r="A662" s="201"/>
      <c r="B662" s="201"/>
      <c r="C662" s="801"/>
      <c r="D662" s="765"/>
      <c r="E662" s="765"/>
      <c r="F662" s="765"/>
      <c r="G662" s="760"/>
    </row>
    <row r="663" spans="1:9" ht="14.25">
      <c r="A663" s="201"/>
      <c r="B663" s="797" t="s">
        <v>325</v>
      </c>
      <c r="C663" s="862"/>
      <c r="D663" s="967" t="s">
        <v>521</v>
      </c>
      <c r="E663" s="967"/>
      <c r="F663" s="967"/>
      <c r="G663" s="760"/>
    </row>
    <row r="664" spans="1:9" ht="12.75">
      <c r="A664" s="760"/>
      <c r="B664" s="760"/>
      <c r="C664" s="862"/>
      <c r="D664" s="760"/>
      <c r="E664" s="760"/>
      <c r="F664" s="760"/>
      <c r="G664" s="760"/>
      <c r="H664" s="198"/>
      <c r="I664" s="198"/>
    </row>
    <row r="665" spans="1:9" ht="12.75">
      <c r="A665" s="979" t="s">
        <v>522</v>
      </c>
      <c r="B665" s="979"/>
      <c r="C665" s="979"/>
      <c r="D665" s="979"/>
      <c r="E665" s="979"/>
      <c r="F665" s="979"/>
      <c r="G665" s="979"/>
    </row>
    <row r="666" spans="1:9" ht="12.75">
      <c r="A666" s="760"/>
      <c r="B666" s="760"/>
      <c r="C666" s="862"/>
      <c r="D666" s="760"/>
      <c r="E666" s="760"/>
      <c r="F666" s="760"/>
      <c r="G666" s="760"/>
    </row>
    <row r="667" spans="1:9" ht="12.75">
      <c r="A667" s="801"/>
      <c r="B667" s="801"/>
      <c r="C667" s="778"/>
      <c r="D667" s="951" t="s">
        <v>523</v>
      </c>
      <c r="E667" s="951"/>
      <c r="F667" s="951"/>
      <c r="G667" s="760"/>
    </row>
    <row r="668" spans="1:9" ht="12.75">
      <c r="A668" s="140"/>
      <c r="B668" s="140"/>
      <c r="C668" s="140"/>
      <c r="D668" s="950" t="s">
        <v>524</v>
      </c>
      <c r="E668" s="950"/>
      <c r="F668" s="950"/>
      <c r="G668" s="760"/>
    </row>
    <row r="669" spans="1:9" ht="12.75">
      <c r="A669" s="140"/>
      <c r="B669" s="140"/>
      <c r="C669" s="140"/>
      <c r="D669" s="760"/>
      <c r="E669" s="760"/>
      <c r="F669" s="760"/>
      <c r="G669" s="760"/>
    </row>
    <row r="670" spans="1:9" ht="14.45" customHeight="1">
      <c r="A670" s="201"/>
      <c r="B670" s="797" t="s">
        <v>323</v>
      </c>
      <c r="C670" s="862"/>
      <c r="D670" s="928" t="s">
        <v>525</v>
      </c>
      <c r="E670" s="928"/>
      <c r="F670" s="928"/>
      <c r="G670" s="760"/>
    </row>
    <row r="671" spans="1:9" ht="14.25">
      <c r="A671" s="201"/>
      <c r="B671" s="201"/>
      <c r="C671" s="862"/>
      <c r="D671" s="928"/>
      <c r="E671" s="928"/>
      <c r="F671" s="928"/>
      <c r="G671" s="760"/>
    </row>
    <row r="672" spans="1:9" ht="14.25">
      <c r="A672" s="201"/>
      <c r="B672" s="201"/>
      <c r="C672" s="862"/>
      <c r="D672" s="928"/>
      <c r="E672" s="928"/>
      <c r="F672" s="928"/>
      <c r="G672" s="760"/>
    </row>
    <row r="673" spans="1:7" ht="14.25">
      <c r="A673" s="201"/>
      <c r="B673" s="201"/>
      <c r="C673" s="862"/>
      <c r="D673" s="928"/>
      <c r="E673" s="928"/>
      <c r="F673" s="928"/>
      <c r="G673" s="760"/>
    </row>
    <row r="674" spans="1:7" ht="14.25">
      <c r="A674" s="201"/>
      <c r="B674" s="201"/>
      <c r="C674" s="862"/>
      <c r="D674" s="928"/>
      <c r="E674" s="928"/>
      <c r="F674" s="928"/>
      <c r="G674" s="760"/>
    </row>
    <row r="675" spans="1:7" ht="14.25">
      <c r="A675" s="201"/>
      <c r="B675" s="201"/>
      <c r="C675" s="862"/>
      <c r="D675" s="928"/>
      <c r="E675" s="928"/>
      <c r="F675" s="928"/>
      <c r="G675" s="760"/>
    </row>
    <row r="676" spans="1:7" ht="14.25" hidden="1">
      <c r="A676" s="201"/>
      <c r="B676" s="201"/>
      <c r="C676" s="862"/>
      <c r="D676" s="264"/>
      <c r="E676" s="33"/>
      <c r="F676" s="760"/>
      <c r="G676" s="760"/>
    </row>
    <row r="677" spans="1:7" ht="14.25" hidden="1">
      <c r="A677" s="201"/>
      <c r="B677" s="797" t="s">
        <v>320</v>
      </c>
      <c r="C677" s="862"/>
      <c r="D677" s="953" t="s">
        <v>526</v>
      </c>
      <c r="E677" s="953"/>
      <c r="F677" s="953"/>
      <c r="G677" s="760"/>
    </row>
    <row r="678" spans="1:7" ht="14.25" hidden="1">
      <c r="A678" s="201"/>
      <c r="B678" s="201"/>
      <c r="C678" s="862"/>
      <c r="D678" s="948" t="s">
        <v>527</v>
      </c>
      <c r="E678" s="948"/>
      <c r="F678" s="948"/>
      <c r="G678" s="760"/>
    </row>
    <row r="679" spans="1:7" ht="14.25" hidden="1">
      <c r="A679" s="201"/>
      <c r="B679" s="201"/>
      <c r="C679" s="862"/>
      <c r="D679" s="948"/>
      <c r="E679" s="948"/>
      <c r="F679" s="948"/>
      <c r="G679" s="760"/>
    </row>
    <row r="680" spans="1:7" ht="14.25" hidden="1">
      <c r="A680" s="201"/>
      <c r="B680" s="201"/>
      <c r="C680" s="862"/>
      <c r="D680" s="948"/>
      <c r="E680" s="948"/>
      <c r="F680" s="948"/>
      <c r="G680" s="760"/>
    </row>
    <row r="681" spans="1:7" ht="14.25" hidden="1">
      <c r="A681" s="201"/>
      <c r="B681" s="201"/>
      <c r="C681" s="862"/>
      <c r="D681" s="948"/>
      <c r="E681" s="948"/>
      <c r="F681" s="948"/>
      <c r="G681" s="760"/>
    </row>
    <row r="682" spans="1:7" ht="14.25" hidden="1">
      <c r="A682" s="201"/>
      <c r="B682" s="201"/>
      <c r="C682" s="862"/>
      <c r="D682" s="948"/>
      <c r="E682" s="948"/>
      <c r="F682" s="948"/>
      <c r="G682" s="760"/>
    </row>
    <row r="683" spans="1:7" ht="14.25" hidden="1">
      <c r="A683" s="201"/>
      <c r="B683" s="201"/>
      <c r="C683" s="862"/>
      <c r="D683" s="969" t="s">
        <v>528</v>
      </c>
      <c r="E683" s="969"/>
      <c r="F683" s="969"/>
      <c r="G683" s="760"/>
    </row>
    <row r="684" spans="1:7" ht="12.75">
      <c r="A684" s="760"/>
      <c r="B684" s="760"/>
      <c r="C684" s="862"/>
      <c r="D684" s="760"/>
      <c r="E684" s="760"/>
      <c r="F684" s="760"/>
      <c r="G684" s="760"/>
    </row>
    <row r="685" spans="1:7" ht="12.75">
      <c r="A685" s="979" t="s">
        <v>529</v>
      </c>
      <c r="B685" s="979"/>
      <c r="C685" s="979"/>
      <c r="D685" s="979"/>
      <c r="E685" s="979"/>
      <c r="F685" s="979"/>
      <c r="G685" s="979"/>
    </row>
    <row r="686" spans="1:7" ht="12.75">
      <c r="A686" s="760"/>
      <c r="B686" s="760"/>
      <c r="C686" s="862"/>
      <c r="D686" s="760"/>
      <c r="E686" s="760"/>
      <c r="F686" s="760"/>
      <c r="G686" s="760"/>
    </row>
    <row r="687" spans="1:7" ht="12.75">
      <c r="A687" s="801"/>
      <c r="B687" s="801"/>
      <c r="C687" s="778"/>
      <c r="D687" s="951" t="s">
        <v>530</v>
      </c>
      <c r="E687" s="951"/>
      <c r="F687" s="951"/>
      <c r="G687" s="760"/>
    </row>
    <row r="688" spans="1:7" ht="12.75">
      <c r="A688" s="778"/>
      <c r="B688" s="778"/>
      <c r="C688" s="778"/>
      <c r="D688" s="951" t="s">
        <v>531</v>
      </c>
      <c r="E688" s="951"/>
      <c r="F688" s="951"/>
      <c r="G688" s="760"/>
    </row>
    <row r="689" spans="1:6" ht="12.75">
      <c r="A689" s="140"/>
      <c r="B689" s="140"/>
      <c r="C689" s="140"/>
      <c r="D689" s="950" t="s">
        <v>532</v>
      </c>
      <c r="E689" s="950"/>
      <c r="F689" s="950"/>
    </row>
    <row r="690" spans="1:6" ht="14.25" customHeight="1">
      <c r="A690" s="140"/>
      <c r="B690" s="140"/>
      <c r="C690" s="140"/>
      <c r="D690" s="33"/>
      <c r="E690" s="33"/>
      <c r="F690" s="33"/>
    </row>
    <row r="691" spans="1:6" ht="14.25">
      <c r="A691" s="201"/>
      <c r="B691" s="797" t="s">
        <v>323</v>
      </c>
      <c r="C691" s="140"/>
      <c r="D691" s="950" t="s">
        <v>533</v>
      </c>
      <c r="E691" s="950"/>
      <c r="F691" s="950"/>
    </row>
    <row r="692" spans="1:6" ht="12.75">
      <c r="A692" s="140"/>
      <c r="B692" s="140"/>
      <c r="C692" s="140"/>
      <c r="D692" s="950" t="s">
        <v>534</v>
      </c>
      <c r="E692" s="950"/>
      <c r="F692" s="950"/>
    </row>
    <row r="693" spans="1:6" ht="12.75" customHeight="1">
      <c r="A693" s="140"/>
      <c r="B693" s="140"/>
      <c r="C693" s="140"/>
      <c r="D693" s="33"/>
      <c r="E693" s="727" t="s">
        <v>535</v>
      </c>
      <c r="F693" s="783"/>
    </row>
    <row r="694" spans="1:6" ht="12.75">
      <c r="A694" s="140"/>
      <c r="B694" s="140"/>
      <c r="C694" s="140"/>
      <c r="D694" s="33"/>
      <c r="E694" s="726" t="s">
        <v>536</v>
      </c>
      <c r="F694" s="783"/>
    </row>
    <row r="695" spans="1:6" ht="12.75">
      <c r="A695" s="140"/>
      <c r="B695" s="140"/>
      <c r="C695" s="140"/>
      <c r="D695" s="860"/>
      <c r="E695" s="860"/>
      <c r="F695" s="860"/>
    </row>
    <row r="696" spans="1:6" ht="14.25">
      <c r="A696" s="201"/>
      <c r="B696" s="797" t="s">
        <v>325</v>
      </c>
      <c r="C696" s="140"/>
      <c r="D696" s="928" t="s">
        <v>537</v>
      </c>
      <c r="E696" s="928"/>
      <c r="F696" s="928"/>
    </row>
    <row r="697" spans="1:6" ht="12.75">
      <c r="A697" s="815"/>
      <c r="B697" s="815"/>
      <c r="C697" s="140"/>
      <c r="D697" s="928"/>
      <c r="E697" s="928"/>
      <c r="F697" s="928"/>
    </row>
    <row r="698" spans="1:6" ht="12.75">
      <c r="A698" s="140"/>
      <c r="B698" s="140"/>
      <c r="C698" s="140"/>
      <c r="D698" s="928"/>
      <c r="E698" s="928"/>
      <c r="F698" s="928"/>
    </row>
    <row r="699" spans="1:6" ht="12.75">
      <c r="A699" s="140"/>
      <c r="B699" s="140"/>
      <c r="C699" s="140"/>
      <c r="D699" s="33"/>
      <c r="E699" s="33"/>
      <c r="F699" s="33"/>
    </row>
    <row r="700" spans="1:6" ht="14.25">
      <c r="A700" s="201"/>
      <c r="B700" s="797" t="s">
        <v>325</v>
      </c>
      <c r="C700" s="140"/>
      <c r="D700" s="950" t="s">
        <v>538</v>
      </c>
      <c r="E700" s="950"/>
      <c r="F700" s="950"/>
    </row>
    <row r="701" spans="1:6" ht="14.25">
      <c r="A701" s="201"/>
      <c r="B701" s="201"/>
      <c r="C701" s="140"/>
      <c r="D701" s="950" t="s">
        <v>534</v>
      </c>
      <c r="E701" s="950"/>
      <c r="F701" s="950"/>
    </row>
    <row r="702" spans="1:6" ht="12.75">
      <c r="A702" s="140"/>
      <c r="B702" s="140"/>
      <c r="C702" s="140"/>
      <c r="D702" s="33"/>
      <c r="E702" s="971" t="s">
        <v>539</v>
      </c>
      <c r="F702" s="971"/>
    </row>
    <row r="703" spans="1:6" ht="12.75">
      <c r="A703" s="140"/>
      <c r="B703" s="140"/>
      <c r="C703" s="140"/>
      <c r="D703" s="2"/>
      <c r="E703" s="33"/>
      <c r="F703" s="33"/>
    </row>
    <row r="704" spans="1:6" ht="14.25">
      <c r="A704" s="201"/>
      <c r="B704" s="797" t="s">
        <v>323</v>
      </c>
      <c r="C704" s="140"/>
      <c r="D704" s="928" t="s">
        <v>540</v>
      </c>
      <c r="E704" s="928"/>
      <c r="F704" s="928"/>
    </row>
    <row r="705" spans="1:6" ht="12.75">
      <c r="A705" s="140"/>
      <c r="B705" s="140"/>
      <c r="C705" s="140"/>
      <c r="D705" s="928"/>
      <c r="E705" s="928"/>
      <c r="F705" s="928"/>
    </row>
    <row r="706" spans="1:6" ht="12.75">
      <c r="A706" s="140"/>
      <c r="B706" s="140"/>
      <c r="C706" s="140"/>
      <c r="D706" s="928"/>
      <c r="E706" s="928"/>
      <c r="F706" s="928"/>
    </row>
    <row r="707" spans="1:6" ht="12.75">
      <c r="A707" s="140"/>
      <c r="B707" s="140"/>
      <c r="C707" s="140"/>
      <c r="D707" s="928"/>
      <c r="E707" s="928"/>
      <c r="F707" s="928"/>
    </row>
    <row r="708" spans="1:6" ht="12.75">
      <c r="A708" s="140"/>
      <c r="B708" s="140"/>
      <c r="C708" s="140"/>
      <c r="D708" s="928"/>
      <c r="E708" s="928"/>
      <c r="F708" s="928"/>
    </row>
    <row r="709" spans="1:6" ht="12.75">
      <c r="A709" s="140"/>
      <c r="B709" s="140"/>
      <c r="C709" s="140"/>
      <c r="D709" s="928"/>
      <c r="E709" s="928"/>
      <c r="F709" s="928"/>
    </row>
    <row r="710" spans="1:6" ht="12.75">
      <c r="A710" s="140"/>
      <c r="B710" s="140"/>
      <c r="C710" s="140"/>
      <c r="D710" s="928"/>
      <c r="E710" s="928"/>
      <c r="F710" s="928"/>
    </row>
    <row r="711" spans="1:6" ht="12.75">
      <c r="A711" s="140"/>
      <c r="B711" s="797" t="s">
        <v>323</v>
      </c>
      <c r="C711" s="140"/>
      <c r="D711" s="928" t="s">
        <v>541</v>
      </c>
      <c r="E711" s="928"/>
      <c r="F711" s="928"/>
    </row>
    <row r="712" spans="1:6" ht="12.75">
      <c r="A712" s="140"/>
      <c r="B712" s="140"/>
      <c r="C712" s="140"/>
      <c r="D712" s="928"/>
      <c r="E712" s="928"/>
      <c r="F712" s="928"/>
    </row>
    <row r="713" spans="1:6" ht="12.75">
      <c r="A713" s="140"/>
      <c r="B713" s="140"/>
      <c r="C713" s="140"/>
      <c r="D713" s="33"/>
      <c r="E713" s="33"/>
      <c r="F713" s="33"/>
    </row>
    <row r="714" spans="1:6" ht="14.45" customHeight="1">
      <c r="A714" s="201"/>
      <c r="B714" s="797" t="s">
        <v>325</v>
      </c>
      <c r="C714" s="140"/>
      <c r="D714" s="928" t="s">
        <v>542</v>
      </c>
      <c r="E714" s="928"/>
      <c r="F714" s="928"/>
    </row>
    <row r="715" spans="1:6" ht="12.75">
      <c r="A715" s="140"/>
      <c r="B715" s="140"/>
      <c r="C715" s="140"/>
      <c r="D715" s="928"/>
      <c r="E715" s="928"/>
      <c r="F715" s="928"/>
    </row>
    <row r="716" spans="1:6" ht="12.75">
      <c r="A716" s="140"/>
      <c r="B716" s="140"/>
      <c r="C716" s="140"/>
      <c r="D716" s="928"/>
      <c r="E716" s="928"/>
      <c r="F716" s="928"/>
    </row>
    <row r="717" spans="1:6" ht="12.75">
      <c r="A717" s="140"/>
      <c r="B717" s="140"/>
      <c r="C717" s="140"/>
      <c r="D717" s="928"/>
      <c r="E717" s="928"/>
      <c r="F717" s="928"/>
    </row>
    <row r="718" spans="1:6" ht="12.75">
      <c r="A718" s="140"/>
      <c r="B718" s="140"/>
      <c r="C718" s="140"/>
      <c r="D718" s="928"/>
      <c r="E718" s="928"/>
      <c r="F718" s="928"/>
    </row>
    <row r="719" spans="1:6" ht="12.75">
      <c r="A719" s="140"/>
      <c r="B719" s="140"/>
      <c r="C719" s="140"/>
      <c r="D719" s="928"/>
      <c r="E719" s="928"/>
      <c r="F719" s="928"/>
    </row>
    <row r="720" spans="1:6" ht="12.75">
      <c r="A720" s="140"/>
      <c r="B720" s="140"/>
      <c r="C720" s="140"/>
      <c r="D720" s="928"/>
      <c r="E720" s="928"/>
      <c r="F720" s="928"/>
    </row>
    <row r="721" spans="1:9" ht="12.75">
      <c r="A721" s="140"/>
      <c r="B721" s="140"/>
      <c r="C721" s="140"/>
      <c r="D721" s="928"/>
      <c r="E721" s="928"/>
      <c r="F721" s="928"/>
      <c r="G721" s="33"/>
    </row>
    <row r="722" spans="1:9" ht="12.75">
      <c r="A722" s="140"/>
      <c r="B722" s="140"/>
      <c r="C722" s="140"/>
      <c r="D722" s="928"/>
      <c r="E722" s="928"/>
      <c r="F722" s="928"/>
      <c r="G722" s="33"/>
    </row>
    <row r="723" spans="1:9" ht="12.75">
      <c r="A723" s="140"/>
      <c r="B723" s="140"/>
      <c r="C723" s="140"/>
      <c r="D723" s="928"/>
      <c r="E723" s="928"/>
      <c r="F723" s="928"/>
      <c r="G723" s="33"/>
    </row>
    <row r="724" spans="1:9" ht="12.75">
      <c r="A724" s="140"/>
      <c r="B724" s="140"/>
      <c r="C724" s="140"/>
      <c r="D724" s="928"/>
      <c r="E724" s="928"/>
      <c r="F724" s="928"/>
      <c r="G724" s="33"/>
    </row>
    <row r="725" spans="1:9" ht="12.75">
      <c r="A725" s="140"/>
      <c r="B725" s="140"/>
      <c r="C725" s="140"/>
      <c r="D725" s="928"/>
      <c r="E725" s="928"/>
      <c r="F725" s="928"/>
      <c r="G725" s="33"/>
    </row>
    <row r="726" spans="1:9" ht="12.75">
      <c r="A726" s="140"/>
      <c r="B726" s="140"/>
      <c r="C726" s="140"/>
      <c r="D726" s="928"/>
      <c r="E726" s="928"/>
      <c r="F726" s="928"/>
      <c r="G726" s="33"/>
    </row>
    <row r="727" spans="1:9" ht="12.75">
      <c r="A727" s="140"/>
      <c r="B727" s="797" t="s">
        <v>325</v>
      </c>
      <c r="C727" s="140"/>
      <c r="D727" s="928" t="s">
        <v>543</v>
      </c>
      <c r="E727" s="928"/>
      <c r="F727" s="928"/>
      <c r="G727" s="33"/>
      <c r="H727" s="198"/>
      <c r="I727" s="198"/>
    </row>
    <row r="728" spans="1:9" ht="12.75">
      <c r="A728" s="140"/>
      <c r="B728" s="140"/>
      <c r="C728" s="140"/>
      <c r="D728" s="928"/>
      <c r="E728" s="928"/>
      <c r="F728" s="928"/>
      <c r="G728" s="33"/>
      <c r="H728" s="198"/>
      <c r="I728" s="198"/>
    </row>
    <row r="729" spans="1:9" ht="12.75">
      <c r="A729" s="140"/>
      <c r="B729" s="140"/>
      <c r="C729" s="140"/>
      <c r="D729" s="753"/>
      <c r="E729" s="753"/>
      <c r="F729" s="753"/>
      <c r="G729" s="33"/>
      <c r="H729" s="198"/>
      <c r="I729" s="198"/>
    </row>
    <row r="730" spans="1:9" ht="12.75">
      <c r="A730" s="140"/>
      <c r="B730" s="797" t="s">
        <v>325</v>
      </c>
      <c r="C730" s="140"/>
      <c r="D730" s="928" t="s">
        <v>544</v>
      </c>
      <c r="E730" s="928"/>
      <c r="F730" s="928"/>
      <c r="G730" s="33"/>
      <c r="H730" s="198"/>
      <c r="I730" s="198"/>
    </row>
    <row r="731" spans="1:9" ht="12.75">
      <c r="A731" s="140"/>
      <c r="B731" s="140"/>
      <c r="C731" s="140"/>
      <c r="D731" s="928"/>
      <c r="E731" s="928"/>
      <c r="F731" s="928"/>
      <c r="G731" s="33"/>
      <c r="H731" s="198"/>
      <c r="I731" s="198"/>
    </row>
    <row r="732" spans="1:9" ht="12.75">
      <c r="A732" s="140"/>
      <c r="B732" s="140"/>
      <c r="C732" s="140"/>
      <c r="D732" s="928"/>
      <c r="E732" s="928"/>
      <c r="F732" s="928"/>
      <c r="G732" s="33"/>
      <c r="H732" s="198"/>
      <c r="I732" s="198"/>
    </row>
    <row r="733" spans="1:9" ht="12.75">
      <c r="A733" s="140"/>
      <c r="B733" s="140"/>
      <c r="C733" s="140"/>
      <c r="D733" s="753"/>
      <c r="E733" s="753"/>
      <c r="F733" s="753"/>
      <c r="G733" s="33"/>
      <c r="H733" s="198"/>
      <c r="I733" s="198"/>
    </row>
    <row r="734" spans="1:9" ht="14.45" customHeight="1">
      <c r="A734" s="201"/>
      <c r="B734" s="797" t="s">
        <v>325</v>
      </c>
      <c r="C734" s="140"/>
      <c r="D734" s="928" t="s">
        <v>545</v>
      </c>
      <c r="E734" s="928"/>
      <c r="F734" s="928"/>
      <c r="G734" s="33"/>
    </row>
    <row r="735" spans="1:9" ht="12.75">
      <c r="A735" s="140"/>
      <c r="B735" s="140"/>
      <c r="C735" s="140"/>
      <c r="D735" s="928"/>
      <c r="E735" s="928"/>
      <c r="F735" s="928"/>
      <c r="G735" s="33"/>
    </row>
    <row r="736" spans="1:9" ht="12.75">
      <c r="A736" s="140"/>
      <c r="B736" s="140"/>
      <c r="C736" s="140"/>
      <c r="D736" s="928"/>
      <c r="E736" s="928"/>
      <c r="F736" s="928"/>
      <c r="G736" s="33"/>
    </row>
    <row r="737" spans="1:9" ht="12.75">
      <c r="A737" s="140"/>
      <c r="B737" s="140"/>
      <c r="C737" s="140"/>
      <c r="D737" s="33"/>
      <c r="E737" s="33"/>
      <c r="F737" s="33"/>
      <c r="G737" s="33"/>
    </row>
    <row r="738" spans="1:9" ht="14.45" customHeight="1">
      <c r="A738" s="201"/>
      <c r="B738" s="797" t="s">
        <v>325</v>
      </c>
      <c r="C738" s="140"/>
      <c r="D738" s="928" t="s">
        <v>546</v>
      </c>
      <c r="E738" s="928"/>
      <c r="F738" s="928"/>
      <c r="G738" s="33"/>
    </row>
    <row r="739" spans="1:9" ht="12.75">
      <c r="A739" s="140"/>
      <c r="B739" s="140"/>
      <c r="C739" s="140"/>
      <c r="D739" s="928"/>
      <c r="E739" s="928"/>
      <c r="F739" s="928"/>
      <c r="G739" s="33"/>
    </row>
    <row r="740" spans="1:9" ht="12.75">
      <c r="A740" s="140"/>
      <c r="B740" s="140"/>
      <c r="C740" s="140"/>
      <c r="D740" s="928"/>
      <c r="E740" s="928"/>
      <c r="F740" s="928"/>
      <c r="G740" s="33"/>
    </row>
    <row r="741" spans="1:9" ht="12.75">
      <c r="A741" s="140"/>
      <c r="B741" s="140"/>
      <c r="C741" s="140"/>
      <c r="D741" s="860"/>
      <c r="E741" s="33"/>
      <c r="F741" s="33"/>
      <c r="G741" s="33"/>
      <c r="H741" s="198"/>
      <c r="I741" s="198"/>
    </row>
    <row r="742" spans="1:9" ht="14.25">
      <c r="A742" s="201"/>
      <c r="B742" s="797" t="s">
        <v>325</v>
      </c>
      <c r="C742" s="140"/>
      <c r="D742" s="928" t="s">
        <v>547</v>
      </c>
      <c r="E742" s="928"/>
      <c r="F742" s="928"/>
      <c r="G742" s="33"/>
    </row>
    <row r="743" spans="1:9" ht="12.75">
      <c r="A743" s="140"/>
      <c r="B743" s="140"/>
      <c r="C743" s="140"/>
      <c r="D743" s="928"/>
      <c r="E743" s="928"/>
      <c r="F743" s="928"/>
      <c r="G743" s="33"/>
    </row>
    <row r="744" spans="1:9" ht="12.75">
      <c r="A744" s="140"/>
      <c r="B744" s="140"/>
      <c r="C744" s="140"/>
      <c r="D744" s="928"/>
      <c r="E744" s="928"/>
      <c r="F744" s="928"/>
      <c r="G744" s="33"/>
    </row>
    <row r="745" spans="1:9" ht="12.75">
      <c r="A745" s="140"/>
      <c r="B745" s="140"/>
      <c r="C745" s="140"/>
      <c r="D745" s="928"/>
      <c r="E745" s="928"/>
      <c r="F745" s="928"/>
      <c r="G745" s="33"/>
    </row>
    <row r="746" spans="1:9" ht="12.75">
      <c r="A746" s="140"/>
      <c r="B746" s="140"/>
      <c r="C746" s="140"/>
      <c r="D746" s="753"/>
      <c r="E746" s="753"/>
      <c r="F746" s="753"/>
      <c r="G746" s="33"/>
    </row>
    <row r="747" spans="1:9" ht="14.25">
      <c r="A747" s="201"/>
      <c r="B747" s="797" t="s">
        <v>325</v>
      </c>
      <c r="C747" s="140"/>
      <c r="D747" s="928" t="s">
        <v>548</v>
      </c>
      <c r="E747" s="928"/>
      <c r="F747" s="928"/>
      <c r="G747" s="33"/>
      <c r="H747" s="198"/>
      <c r="I747" s="198"/>
    </row>
    <row r="748" spans="1:9" ht="12.75">
      <c r="A748" s="140"/>
      <c r="B748" s="140"/>
      <c r="C748" s="140"/>
      <c r="D748" s="928"/>
      <c r="E748" s="928"/>
      <c r="F748" s="928"/>
      <c r="G748" s="33"/>
      <c r="H748" s="198"/>
      <c r="I748" s="198"/>
    </row>
    <row r="749" spans="1:9" ht="12.75">
      <c r="A749" s="140"/>
      <c r="B749" s="140"/>
      <c r="C749" s="140"/>
      <c r="D749" s="928"/>
      <c r="E749" s="928"/>
      <c r="F749" s="928"/>
      <c r="G749" s="33"/>
      <c r="H749" s="198"/>
      <c r="I749" s="198"/>
    </row>
    <row r="750" spans="1:9" ht="12.75">
      <c r="A750" s="140"/>
      <c r="B750" s="140"/>
      <c r="C750" s="140"/>
      <c r="D750" s="928"/>
      <c r="E750" s="928"/>
      <c r="F750" s="928"/>
      <c r="G750" s="33"/>
      <c r="H750" s="198"/>
      <c r="I750" s="198"/>
    </row>
    <row r="751" spans="1:9" ht="12.75">
      <c r="A751" s="140"/>
      <c r="B751" s="140"/>
      <c r="C751" s="140"/>
      <c r="D751" s="928"/>
      <c r="E751" s="928"/>
      <c r="F751" s="928"/>
      <c r="G751" s="33"/>
      <c r="H751" s="198"/>
      <c r="I751" s="198"/>
    </row>
    <row r="752" spans="1:9" ht="12.75">
      <c r="A752" s="140"/>
      <c r="B752" s="140"/>
      <c r="C752" s="140"/>
      <c r="D752" s="928"/>
      <c r="E752" s="928"/>
      <c r="F752" s="928"/>
      <c r="G752" s="33"/>
      <c r="H752" s="198"/>
      <c r="I752" s="198"/>
    </row>
    <row r="753" spans="1:9" ht="12.75">
      <c r="A753" s="140"/>
      <c r="B753" s="140"/>
      <c r="C753" s="140"/>
      <c r="D753" s="928"/>
      <c r="E753" s="928"/>
      <c r="F753" s="928"/>
      <c r="G753" s="33"/>
      <c r="H753" s="198"/>
      <c r="I753" s="198"/>
    </row>
    <row r="754" spans="1:9" ht="12.75">
      <c r="A754" s="140"/>
      <c r="B754" s="140"/>
      <c r="C754" s="140"/>
      <c r="D754" s="970" t="s">
        <v>549</v>
      </c>
      <c r="E754" s="970"/>
      <c r="F754" s="970"/>
      <c r="G754" s="33"/>
      <c r="H754" s="198"/>
      <c r="I754" s="198"/>
    </row>
    <row r="755" spans="1:9" ht="12.75">
      <c r="A755" s="140"/>
      <c r="B755" s="140"/>
      <c r="C755" s="140"/>
      <c r="D755" s="768"/>
      <c r="E755" s="33"/>
      <c r="F755" s="33"/>
      <c r="G755" s="33"/>
      <c r="H755" s="198"/>
      <c r="I755" s="198"/>
    </row>
    <row r="756" spans="1:9" ht="12.75">
      <c r="A756" s="960" t="s">
        <v>550</v>
      </c>
      <c r="B756" s="960"/>
      <c r="C756" s="960"/>
      <c r="D756" s="960"/>
      <c r="E756" s="960"/>
      <c r="F756" s="960"/>
      <c r="G756" s="960"/>
      <c r="H756" s="198"/>
      <c r="I756" s="198"/>
    </row>
    <row r="757" spans="1:9" ht="12.75">
      <c r="A757" s="140"/>
      <c r="B757" s="140"/>
      <c r="C757" s="140"/>
      <c r="D757" s="860"/>
      <c r="E757" s="33"/>
      <c r="F757" s="33"/>
      <c r="G757" s="33"/>
      <c r="H757" s="198"/>
      <c r="I757" s="198"/>
    </row>
    <row r="758" spans="1:9" ht="12.75">
      <c r="A758" s="801"/>
      <c r="B758" s="801"/>
      <c r="C758" s="140"/>
      <c r="D758" s="955" t="s">
        <v>551</v>
      </c>
      <c r="E758" s="955"/>
      <c r="F758" s="955"/>
      <c r="G758" s="33"/>
      <c r="H758" s="198"/>
      <c r="I758" s="198"/>
    </row>
    <row r="759" spans="1:9" ht="12.75">
      <c r="A759" s="778"/>
      <c r="B759" s="778"/>
      <c r="C759" s="778"/>
      <c r="D759" s="958" t="s">
        <v>552</v>
      </c>
      <c r="E759" s="958"/>
      <c r="F759" s="958"/>
      <c r="G759" s="33"/>
      <c r="H759" s="198"/>
      <c r="I759" s="198"/>
    </row>
    <row r="760" spans="1:9" ht="12.75">
      <c r="A760" s="140"/>
      <c r="B760" s="140"/>
      <c r="C760" s="140"/>
      <c r="D760" s="33"/>
      <c r="E760" s="33"/>
      <c r="F760" s="33"/>
      <c r="G760" s="33"/>
      <c r="H760" s="198"/>
      <c r="I760" s="198"/>
    </row>
    <row r="761" spans="1:9" ht="14.25" customHeight="1">
      <c r="A761" s="201"/>
      <c r="B761" s="797" t="s">
        <v>323</v>
      </c>
      <c r="C761" s="801"/>
      <c r="D761" s="928" t="s">
        <v>553</v>
      </c>
      <c r="E761" s="928"/>
      <c r="F761" s="928"/>
      <c r="G761" s="33"/>
      <c r="H761" s="198"/>
      <c r="I761" s="198"/>
    </row>
    <row r="762" spans="1:9" ht="11.25" customHeight="1">
      <c r="A762" s="801"/>
      <c r="B762" s="801"/>
      <c r="C762" s="801"/>
      <c r="D762" s="928"/>
      <c r="E762" s="928"/>
      <c r="F762" s="928"/>
      <c r="G762" s="33"/>
      <c r="H762" s="198"/>
      <c r="I762" s="198"/>
    </row>
    <row r="763" spans="1:9" ht="12.75">
      <c r="A763" s="801"/>
      <c r="B763" s="801"/>
      <c r="C763" s="801"/>
      <c r="D763" s="928"/>
      <c r="E763" s="928"/>
      <c r="F763" s="928"/>
      <c r="G763" s="33"/>
      <c r="H763" s="198"/>
      <c r="I763" s="198"/>
    </row>
    <row r="764" spans="1:9" ht="12.75">
      <c r="A764" s="801"/>
      <c r="B764" s="801"/>
      <c r="C764" s="801"/>
      <c r="D764" s="928"/>
      <c r="E764" s="928"/>
      <c r="F764" s="928"/>
      <c r="G764" s="33"/>
      <c r="H764" s="198"/>
      <c r="I764" s="198"/>
    </row>
    <row r="765" spans="1:9" ht="12.75">
      <c r="A765" s="801"/>
      <c r="B765" s="801"/>
      <c r="C765" s="801"/>
      <c r="D765" s="928"/>
      <c r="E765" s="928"/>
      <c r="F765" s="928"/>
      <c r="G765" s="33"/>
      <c r="H765" s="198"/>
      <c r="I765" s="198"/>
    </row>
    <row r="766" spans="1:9" ht="17.25" customHeight="1">
      <c r="A766" s="801"/>
      <c r="B766" s="801"/>
      <c r="C766" s="801"/>
      <c r="D766" s="928"/>
      <c r="E766" s="928"/>
      <c r="F766" s="928"/>
      <c r="G766" s="33"/>
      <c r="H766" s="198"/>
      <c r="I766" s="198"/>
    </row>
    <row r="767" spans="1:9" ht="12.75">
      <c r="A767" s="801"/>
      <c r="B767" s="801"/>
      <c r="C767" s="801"/>
      <c r="D767" s="760"/>
      <c r="E767" s="760"/>
      <c r="F767" s="760"/>
      <c r="G767" s="33"/>
      <c r="H767" s="198"/>
      <c r="I767" s="198"/>
    </row>
    <row r="768" spans="1:9" ht="12.75" customHeight="1">
      <c r="A768" s="801"/>
      <c r="B768" s="797" t="s">
        <v>323</v>
      </c>
      <c r="C768" s="801"/>
      <c r="D768" s="968" t="s">
        <v>554</v>
      </c>
      <c r="E768" s="968"/>
      <c r="F768" s="968"/>
      <c r="G768" s="33"/>
      <c r="H768" s="198"/>
      <c r="I768" s="198"/>
    </row>
    <row r="769" spans="1:9" ht="12.75">
      <c r="A769" s="801"/>
      <c r="B769" s="801"/>
      <c r="C769" s="801"/>
      <c r="D769" s="968"/>
      <c r="E769" s="968"/>
      <c r="F769" s="968"/>
      <c r="G769" s="33"/>
      <c r="H769" s="198"/>
      <c r="I769" s="198"/>
    </row>
    <row r="770" spans="1:9" ht="12.75">
      <c r="A770" s="801"/>
      <c r="B770" s="801"/>
      <c r="C770" s="801"/>
      <c r="D770" s="968"/>
      <c r="E770" s="968"/>
      <c r="F770" s="968"/>
      <c r="G770" s="33"/>
      <c r="H770" s="198"/>
      <c r="I770" s="198"/>
    </row>
    <row r="771" spans="1:9" ht="12.75">
      <c r="A771" s="801"/>
      <c r="B771" s="801"/>
      <c r="C771" s="801"/>
      <c r="D771" s="968"/>
      <c r="E771" s="968"/>
      <c r="F771" s="968"/>
      <c r="G771" s="33"/>
      <c r="H771" s="198"/>
      <c r="I771" s="198"/>
    </row>
    <row r="772" spans="1:9" ht="12.75">
      <c r="A772" s="801"/>
      <c r="B772" s="801"/>
      <c r="C772" s="801"/>
      <c r="D772" s="760"/>
      <c r="E772" s="33"/>
      <c r="F772" s="33"/>
      <c r="G772" s="33"/>
      <c r="H772" s="198"/>
      <c r="I772" s="198"/>
    </row>
    <row r="773" spans="1:9" ht="12.75">
      <c r="A773" s="801"/>
      <c r="B773" s="797" t="s">
        <v>325</v>
      </c>
      <c r="C773" s="312"/>
      <c r="D773" s="948" t="s">
        <v>555</v>
      </c>
      <c r="E773" s="948"/>
      <c r="F773" s="948"/>
      <c r="G773" s="265"/>
      <c r="H773" s="198"/>
      <c r="I773" s="198"/>
    </row>
    <row r="774" spans="1:9" ht="12.75">
      <c r="A774" s="312"/>
      <c r="B774" s="312"/>
      <c r="C774" s="312"/>
      <c r="D774" s="948"/>
      <c r="E774" s="948"/>
      <c r="F774" s="948"/>
      <c r="G774" s="265"/>
      <c r="H774" s="198"/>
      <c r="I774" s="198"/>
    </row>
    <row r="775" spans="1:9" ht="12.75">
      <c r="A775" s="312"/>
      <c r="B775" s="312"/>
      <c r="C775" s="312"/>
      <c r="D775" s="948"/>
      <c r="E775" s="948"/>
      <c r="F775" s="948"/>
      <c r="G775" s="265"/>
      <c r="H775" s="198"/>
      <c r="I775" s="198"/>
    </row>
    <row r="776" spans="1:9" ht="12.75">
      <c r="A776" s="801"/>
      <c r="B776" s="801"/>
      <c r="C776" s="801"/>
      <c r="D776" s="760"/>
      <c r="E776" s="760"/>
      <c r="F776" s="760"/>
      <c r="G776" s="33"/>
      <c r="H776" s="198"/>
      <c r="I776" s="198"/>
    </row>
    <row r="777" spans="1:9" ht="12.75">
      <c r="A777" s="801"/>
      <c r="B777" s="797" t="s">
        <v>325</v>
      </c>
      <c r="C777" s="801"/>
      <c r="D777" s="928" t="s">
        <v>556</v>
      </c>
      <c r="E777" s="928"/>
      <c r="F777" s="928"/>
      <c r="G777" s="33"/>
      <c r="H777" s="198"/>
      <c r="I777" s="198"/>
    </row>
    <row r="778" spans="1:9" ht="12.75">
      <c r="A778" s="801"/>
      <c r="B778" s="801"/>
      <c r="C778" s="801"/>
      <c r="D778" s="928"/>
      <c r="E778" s="928"/>
      <c r="F778" s="928"/>
      <c r="G778" s="33"/>
      <c r="H778" s="198"/>
      <c r="I778" s="198"/>
    </row>
    <row r="779" spans="1:9" ht="12.75">
      <c r="A779" s="801"/>
      <c r="B779" s="801"/>
      <c r="C779" s="801"/>
      <c r="D779" s="753"/>
      <c r="E779" s="753"/>
      <c r="F779" s="753"/>
      <c r="G779" s="33"/>
      <c r="H779" s="198"/>
      <c r="I779" s="198"/>
    </row>
    <row r="780" spans="1:9" ht="13.7" customHeight="1">
      <c r="A780" s="801"/>
      <c r="B780" s="797" t="s">
        <v>325</v>
      </c>
      <c r="C780" s="801"/>
      <c r="D780" s="928" t="s">
        <v>557</v>
      </c>
      <c r="E780" s="928"/>
      <c r="F780" s="928"/>
      <c r="G780" s="33"/>
      <c r="H780" s="198"/>
      <c r="I780" s="198"/>
    </row>
    <row r="781" spans="1:9" ht="12.75">
      <c r="A781" s="801"/>
      <c r="B781" s="801"/>
      <c r="C781" s="801"/>
      <c r="D781" s="928"/>
      <c r="E781" s="928"/>
      <c r="F781" s="928"/>
      <c r="G781" s="33"/>
      <c r="H781" s="198"/>
      <c r="I781" s="198"/>
    </row>
    <row r="782" spans="1:9" ht="12.75">
      <c r="A782" s="801"/>
      <c r="B782" s="801"/>
      <c r="C782" s="801"/>
      <c r="D782" s="928"/>
      <c r="E782" s="928"/>
      <c r="F782" s="928"/>
      <c r="G782" s="33"/>
      <c r="H782" s="198"/>
      <c r="I782" s="198"/>
    </row>
    <row r="783" spans="1:9" ht="12.75">
      <c r="A783" s="801"/>
      <c r="B783" s="801"/>
      <c r="C783" s="801"/>
      <c r="D783" s="753"/>
      <c r="E783" s="753"/>
      <c r="F783" s="753"/>
      <c r="G783" s="33"/>
      <c r="H783" s="198"/>
      <c r="I783" s="198"/>
    </row>
    <row r="784" spans="1:9" ht="12" customHeight="1">
      <c r="A784" s="960" t="s">
        <v>558</v>
      </c>
      <c r="B784" s="960"/>
      <c r="C784" s="960"/>
      <c r="D784" s="960"/>
      <c r="E784" s="960"/>
      <c r="F784" s="960"/>
      <c r="G784" s="960"/>
      <c r="H784" s="198"/>
      <c r="I784" s="198"/>
    </row>
    <row r="785" spans="1:9" ht="12.75">
      <c r="A785" s="769"/>
      <c r="B785" s="769"/>
      <c r="C785" s="801"/>
      <c r="D785" s="33"/>
      <c r="E785" s="33"/>
      <c r="F785" s="33"/>
      <c r="G785" s="33"/>
      <c r="H785" s="198"/>
      <c r="I785" s="198"/>
    </row>
    <row r="786" spans="1:9" ht="13.7" customHeight="1">
      <c r="A786" s="769"/>
      <c r="B786" s="769"/>
      <c r="C786" s="801"/>
      <c r="D786" s="963" t="s">
        <v>559</v>
      </c>
      <c r="E786" s="963"/>
      <c r="F786" s="963"/>
      <c r="G786" s="33"/>
      <c r="H786" s="198"/>
      <c r="I786" s="198"/>
    </row>
    <row r="787" spans="1:9" ht="12.75">
      <c r="A787" s="769"/>
      <c r="B787" s="769"/>
      <c r="C787" s="801"/>
      <c r="D787" s="964" t="s">
        <v>560</v>
      </c>
      <c r="E787" s="964"/>
      <c r="F787" s="964"/>
      <c r="G787" s="33"/>
      <c r="H787" s="198"/>
      <c r="I787" s="198"/>
    </row>
    <row r="788" spans="1:9" ht="12.75">
      <c r="A788" s="769"/>
      <c r="B788" s="769"/>
      <c r="C788" s="801"/>
      <c r="D788" s="764"/>
      <c r="E788" s="764"/>
      <c r="F788" s="764"/>
      <c r="G788" s="33"/>
      <c r="H788" s="198"/>
      <c r="I788" s="198"/>
    </row>
    <row r="789" spans="1:9" ht="12.75">
      <c r="A789" s="769"/>
      <c r="B789" s="797" t="s">
        <v>323</v>
      </c>
      <c r="C789" s="801"/>
      <c r="D789" s="948" t="s">
        <v>561</v>
      </c>
      <c r="E789" s="948"/>
      <c r="F789" s="948"/>
      <c r="G789" s="33"/>
      <c r="H789" s="198"/>
      <c r="I789" s="198"/>
    </row>
    <row r="790" spans="1:9" ht="12.75">
      <c r="A790" s="769"/>
      <c r="B790" s="769"/>
      <c r="C790" s="801"/>
      <c r="D790" s="948"/>
      <c r="E790" s="948"/>
      <c r="F790" s="948"/>
      <c r="G790" s="33"/>
      <c r="H790" s="198"/>
      <c r="I790" s="198"/>
    </row>
    <row r="791" spans="1:9" ht="12.75">
      <c r="A791" s="140"/>
      <c r="B791" s="140"/>
      <c r="C791" s="140"/>
      <c r="D791" s="948"/>
      <c r="E791" s="948"/>
      <c r="F791" s="948"/>
      <c r="G791" s="760"/>
      <c r="H791" s="198"/>
      <c r="I791" s="198"/>
    </row>
    <row r="792" spans="1:9" ht="12.75">
      <c r="A792" s="801"/>
      <c r="B792" s="801"/>
      <c r="C792" s="801"/>
      <c r="D792" s="759"/>
      <c r="E792" s="33"/>
      <c r="F792" s="33"/>
      <c r="G792" s="33"/>
      <c r="H792" s="198"/>
      <c r="I792" s="198"/>
    </row>
    <row r="793" spans="1:9" ht="12.75">
      <c r="A793" s="778"/>
      <c r="B793" s="797" t="s">
        <v>325</v>
      </c>
      <c r="C793" s="778"/>
      <c r="D793" s="948" t="s">
        <v>562</v>
      </c>
      <c r="E793" s="948"/>
      <c r="F793" s="948"/>
      <c r="G793" s="33"/>
      <c r="H793" s="198"/>
      <c r="I793" s="198"/>
    </row>
    <row r="794" spans="1:9" ht="12.75">
      <c r="A794" s="778"/>
      <c r="B794" s="778"/>
      <c r="C794" s="778"/>
      <c r="D794" s="948"/>
      <c r="E794" s="948"/>
      <c r="F794" s="948"/>
      <c r="G794" s="33"/>
      <c r="H794" s="198"/>
      <c r="I794" s="198"/>
    </row>
    <row r="795" spans="1:9" ht="27.75" customHeight="1">
      <c r="A795" s="778"/>
      <c r="B795" s="778"/>
      <c r="C795" s="778"/>
      <c r="D795" s="948"/>
      <c r="E795" s="948"/>
      <c r="F795" s="948"/>
      <c r="G795" s="33"/>
      <c r="H795" s="198"/>
      <c r="I795" s="198"/>
    </row>
    <row r="796" spans="1:9" ht="12.75">
      <c r="A796" s="140"/>
      <c r="B796" s="140"/>
      <c r="C796" s="140"/>
      <c r="D796" s="33"/>
      <c r="E796" s="863"/>
      <c r="F796" s="863"/>
      <c r="G796" s="863"/>
      <c r="H796" s="198"/>
      <c r="I796" s="198"/>
    </row>
    <row r="797" spans="1:9" ht="14.45" customHeight="1">
      <c r="A797" s="201"/>
      <c r="B797" s="797" t="s">
        <v>325</v>
      </c>
      <c r="C797" s="862"/>
      <c r="D797" s="948" t="s">
        <v>563</v>
      </c>
      <c r="E797" s="948"/>
      <c r="F797" s="948"/>
      <c r="G797" s="863"/>
      <c r="H797" s="198"/>
      <c r="I797" s="198"/>
    </row>
    <row r="798" spans="1:9" ht="14.25">
      <c r="A798" s="201"/>
      <c r="B798" s="201"/>
      <c r="C798" s="862"/>
      <c r="D798" s="948"/>
      <c r="E798" s="948"/>
      <c r="F798" s="948"/>
      <c r="G798" s="863"/>
      <c r="H798" s="198"/>
      <c r="I798" s="198"/>
    </row>
    <row r="799" spans="1:9" ht="14.25">
      <c r="A799" s="201"/>
      <c r="B799" s="201"/>
      <c r="C799" s="862"/>
      <c r="D799" s="948"/>
      <c r="E799" s="948"/>
      <c r="F799" s="948"/>
      <c r="G799" s="863"/>
      <c r="H799" s="198"/>
      <c r="I799" s="198"/>
    </row>
    <row r="800" spans="1:9" ht="14.25">
      <c r="A800" s="201"/>
      <c r="B800" s="201"/>
      <c r="C800" s="862"/>
      <c r="D800" s="760"/>
      <c r="E800" s="33"/>
      <c r="F800" s="33"/>
      <c r="G800" s="863"/>
      <c r="H800" s="198"/>
      <c r="I800" s="198"/>
    </row>
    <row r="801" spans="1:9" ht="14.25" customHeight="1">
      <c r="A801" s="201"/>
      <c r="B801" s="797" t="s">
        <v>325</v>
      </c>
      <c r="C801" s="862"/>
      <c r="D801" s="948" t="s">
        <v>564</v>
      </c>
      <c r="E801" s="948"/>
      <c r="F801" s="948"/>
      <c r="G801" s="863"/>
      <c r="H801" s="198"/>
      <c r="I801" s="198"/>
    </row>
    <row r="802" spans="1:9" ht="14.25">
      <c r="A802" s="201"/>
      <c r="B802" s="201"/>
      <c r="C802" s="862"/>
      <c r="D802" s="948"/>
      <c r="E802" s="948"/>
      <c r="F802" s="948"/>
      <c r="G802" s="863"/>
      <c r="H802" s="198"/>
      <c r="I802" s="198"/>
    </row>
    <row r="803" spans="1:9" ht="14.25">
      <c r="A803" s="201"/>
      <c r="B803" s="201"/>
      <c r="C803" s="862"/>
      <c r="D803" s="948"/>
      <c r="E803" s="948"/>
      <c r="F803" s="948"/>
      <c r="G803" s="863"/>
      <c r="H803" s="198"/>
      <c r="I803" s="198"/>
    </row>
    <row r="804" spans="1:9" ht="14.25">
      <c r="A804" s="201"/>
      <c r="B804" s="201"/>
      <c r="C804" s="862"/>
      <c r="D804" s="948"/>
      <c r="E804" s="948"/>
      <c r="F804" s="948"/>
      <c r="G804" s="863"/>
      <c r="H804" s="198"/>
      <c r="I804" s="198"/>
    </row>
    <row r="805" spans="1:9" ht="14.25">
      <c r="A805" s="201"/>
      <c r="B805" s="201"/>
      <c r="C805" s="862"/>
      <c r="D805" s="948"/>
      <c r="E805" s="948"/>
      <c r="F805" s="948"/>
      <c r="G805" s="863"/>
      <c r="H805" s="198"/>
      <c r="I805" s="198"/>
    </row>
    <row r="806" spans="1:9" ht="14.25">
      <c r="A806" s="201"/>
      <c r="B806" s="201"/>
      <c r="C806" s="862"/>
      <c r="D806" s="948" t="s">
        <v>565</v>
      </c>
      <c r="E806" s="948"/>
      <c r="F806" s="948"/>
      <c r="G806" s="863"/>
      <c r="H806" s="198"/>
      <c r="I806" s="198"/>
    </row>
    <row r="807" spans="1:9" ht="14.25">
      <c r="A807" s="201"/>
      <c r="B807" s="201"/>
      <c r="C807" s="862"/>
      <c r="D807" s="948"/>
      <c r="E807" s="948"/>
      <c r="F807" s="948"/>
      <c r="G807" s="863"/>
      <c r="H807" s="198"/>
      <c r="I807" s="198"/>
    </row>
    <row r="808" spans="1:9" ht="14.25">
      <c r="A808" s="201"/>
      <c r="B808" s="201"/>
      <c r="C808" s="862"/>
      <c r="D808" s="948"/>
      <c r="E808" s="948"/>
      <c r="F808" s="948"/>
      <c r="G808" s="863"/>
      <c r="H808" s="198"/>
      <c r="I808" s="198"/>
    </row>
    <row r="809" spans="1:9" ht="14.25">
      <c r="A809" s="201"/>
      <c r="B809" s="801"/>
      <c r="C809" s="862"/>
      <c r="D809" s="864"/>
      <c r="E809" s="864"/>
      <c r="F809" s="864"/>
      <c r="G809" s="863"/>
      <c r="H809" s="198"/>
      <c r="I809" s="198"/>
    </row>
    <row r="810" spans="1:9" ht="14.25">
      <c r="A810" s="201"/>
      <c r="B810" s="797" t="s">
        <v>325</v>
      </c>
      <c r="C810" s="862"/>
      <c r="D810" s="948" t="s">
        <v>566</v>
      </c>
      <c r="E810" s="948"/>
      <c r="F810" s="948"/>
      <c r="G810" s="863"/>
      <c r="H810" s="198"/>
      <c r="I810" s="198"/>
    </row>
    <row r="811" spans="1:9" ht="14.25">
      <c r="A811" s="201"/>
      <c r="B811" s="201"/>
      <c r="C811" s="862"/>
      <c r="D811" s="948"/>
      <c r="E811" s="948"/>
      <c r="F811" s="948"/>
      <c r="G811" s="863"/>
      <c r="H811" s="198"/>
      <c r="I811" s="198"/>
    </row>
    <row r="812" spans="1:9" ht="14.25">
      <c r="A812" s="201"/>
      <c r="B812" s="201"/>
      <c r="C812" s="862"/>
      <c r="D812" s="948"/>
      <c r="E812" s="948"/>
      <c r="F812" s="948"/>
      <c r="G812" s="863"/>
      <c r="H812" s="198"/>
      <c r="I812" s="198"/>
    </row>
    <row r="813" spans="1:9" ht="14.25">
      <c r="A813" s="201"/>
      <c r="B813" s="201"/>
      <c r="C813" s="862"/>
      <c r="D813" s="948"/>
      <c r="E813" s="948"/>
      <c r="F813" s="948"/>
      <c r="G813" s="863"/>
      <c r="H813" s="198"/>
      <c r="I813" s="198"/>
    </row>
    <row r="814" spans="1:9" ht="14.25">
      <c r="A814" s="201"/>
      <c r="B814" s="201"/>
      <c r="C814" s="862"/>
      <c r="D814" s="948"/>
      <c r="E814" s="948"/>
      <c r="F814" s="948"/>
      <c r="G814" s="863"/>
      <c r="H814" s="198"/>
      <c r="I814" s="198"/>
    </row>
    <row r="815" spans="1:9" ht="14.25">
      <c r="A815" s="201"/>
      <c r="B815" s="201"/>
      <c r="C815" s="862"/>
      <c r="D815" s="948"/>
      <c r="E815" s="948"/>
      <c r="F815" s="948"/>
      <c r="G815" s="863"/>
      <c r="H815" s="198"/>
      <c r="I815" s="198"/>
    </row>
    <row r="816" spans="1:9" ht="14.25">
      <c r="A816" s="201"/>
      <c r="B816" s="201"/>
      <c r="C816" s="862"/>
      <c r="D816" s="767"/>
      <c r="E816" s="767"/>
      <c r="F816" s="767"/>
      <c r="G816" s="863"/>
      <c r="H816" s="198"/>
      <c r="I816" s="198"/>
    </row>
    <row r="817" spans="1:9" ht="14.25">
      <c r="A817" s="201"/>
      <c r="B817" s="797" t="s">
        <v>323</v>
      </c>
      <c r="C817" s="862"/>
      <c r="D817" s="948" t="s">
        <v>567</v>
      </c>
      <c r="E817" s="948"/>
      <c r="F817" s="948"/>
      <c r="G817" s="863"/>
      <c r="H817" s="198"/>
      <c r="I817" s="198"/>
    </row>
    <row r="818" spans="1:9" ht="14.25">
      <c r="A818" s="201"/>
      <c r="B818" s="201"/>
      <c r="C818" s="862"/>
      <c r="D818" s="948"/>
      <c r="E818" s="948"/>
      <c r="F818" s="948"/>
      <c r="G818" s="863"/>
      <c r="H818" s="198"/>
      <c r="I818" s="198"/>
    </row>
    <row r="819" spans="1:9" ht="14.25">
      <c r="A819" s="201"/>
      <c r="B819" s="201"/>
      <c r="C819" s="862"/>
      <c r="D819" s="948"/>
      <c r="E819" s="948"/>
      <c r="F819" s="948"/>
      <c r="G819" s="863"/>
      <c r="H819" s="198"/>
      <c r="I819" s="198"/>
    </row>
    <row r="820" spans="1:9" ht="14.25">
      <c r="A820" s="201"/>
      <c r="B820" s="201"/>
      <c r="C820" s="862"/>
      <c r="D820" s="948"/>
      <c r="E820" s="948"/>
      <c r="F820" s="948"/>
      <c r="G820" s="863"/>
      <c r="H820" s="198"/>
      <c r="I820" s="198"/>
    </row>
    <row r="821" spans="1:9" ht="14.25">
      <c r="A821" s="201"/>
      <c r="B821" s="201"/>
      <c r="C821" s="862"/>
      <c r="D821" s="948"/>
      <c r="E821" s="948"/>
      <c r="F821" s="948"/>
      <c r="G821" s="863"/>
      <c r="H821" s="198"/>
      <c r="I821" s="198"/>
    </row>
    <row r="822" spans="1:9" ht="14.25">
      <c r="A822" s="201"/>
      <c r="B822" s="201"/>
      <c r="C822" s="862"/>
      <c r="D822" s="767"/>
      <c r="E822" s="767"/>
      <c r="F822" s="767"/>
      <c r="G822" s="863"/>
      <c r="H822" s="198"/>
      <c r="I822" s="198"/>
    </row>
    <row r="823" spans="1:9" ht="14.25">
      <c r="A823" s="201"/>
      <c r="B823" s="797" t="s">
        <v>325</v>
      </c>
      <c r="C823" s="862"/>
      <c r="D823" s="948" t="s">
        <v>568</v>
      </c>
      <c r="E823" s="948"/>
      <c r="F823" s="948"/>
      <c r="G823" s="863"/>
      <c r="H823" s="198"/>
      <c r="I823" s="198"/>
    </row>
    <row r="824" spans="1:9" ht="14.25">
      <c r="A824" s="201"/>
      <c r="B824" s="201"/>
      <c r="C824" s="862"/>
      <c r="D824" s="948"/>
      <c r="E824" s="948"/>
      <c r="F824" s="948"/>
      <c r="G824" s="863"/>
      <c r="H824" s="198"/>
      <c r="I824" s="198"/>
    </row>
    <row r="825" spans="1:9" ht="14.25">
      <c r="A825" s="201"/>
      <c r="B825" s="201"/>
      <c r="C825" s="862"/>
      <c r="D825" s="948"/>
      <c r="E825" s="948"/>
      <c r="F825" s="948"/>
      <c r="G825" s="863"/>
      <c r="H825" s="198"/>
      <c r="I825" s="198"/>
    </row>
    <row r="826" spans="1:9" ht="14.25">
      <c r="A826" s="201"/>
      <c r="B826" s="201"/>
      <c r="C826" s="862"/>
      <c r="D826" s="948"/>
      <c r="E826" s="948"/>
      <c r="F826" s="948"/>
      <c r="G826" s="863"/>
      <c r="H826" s="198"/>
      <c r="I826" s="198"/>
    </row>
    <row r="827" spans="1:9" ht="14.25">
      <c r="A827" s="201"/>
      <c r="B827" s="201"/>
      <c r="C827" s="862"/>
      <c r="D827" s="863"/>
      <c r="E827" s="33"/>
      <c r="F827" s="33"/>
      <c r="G827" s="863"/>
      <c r="H827" s="198"/>
      <c r="I827" s="198"/>
    </row>
    <row r="828" spans="1:9" ht="14.25">
      <c r="A828" s="201"/>
      <c r="B828" s="797" t="s">
        <v>325</v>
      </c>
      <c r="C828" s="862"/>
      <c r="D828" s="954" t="s">
        <v>569</v>
      </c>
      <c r="E828" s="954"/>
      <c r="F828" s="954"/>
      <c r="G828" s="863"/>
      <c r="H828" s="198"/>
      <c r="I828" s="198"/>
    </row>
    <row r="829" spans="1:9" ht="14.25">
      <c r="A829" s="201"/>
      <c r="B829" s="201"/>
      <c r="C829" s="862"/>
      <c r="D829" s="954"/>
      <c r="E829" s="954"/>
      <c r="F829" s="954"/>
      <c r="G829" s="863"/>
      <c r="H829" s="198"/>
      <c r="I829" s="198"/>
    </row>
    <row r="830" spans="1:9" ht="12.75">
      <c r="A830" s="815"/>
      <c r="B830" s="815"/>
      <c r="C830" s="862"/>
      <c r="D830" s="954"/>
      <c r="E830" s="954"/>
      <c r="F830" s="954"/>
      <c r="G830" s="863"/>
      <c r="H830" s="198"/>
      <c r="I830" s="198"/>
    </row>
    <row r="831" spans="1:9" ht="14.25">
      <c r="A831" s="201"/>
      <c r="B831" s="815"/>
      <c r="C831" s="862"/>
      <c r="D831" s="954"/>
      <c r="E831" s="954"/>
      <c r="F831" s="954"/>
      <c r="G831" s="863"/>
      <c r="H831" s="198"/>
      <c r="I831" s="198"/>
    </row>
    <row r="832" spans="1:9" ht="14.25">
      <c r="A832" s="201"/>
      <c r="B832" s="815"/>
      <c r="C832" s="862"/>
      <c r="D832" s="954"/>
      <c r="E832" s="954"/>
      <c r="F832" s="954"/>
      <c r="G832" s="863"/>
      <c r="H832" s="198"/>
      <c r="I832" s="198"/>
    </row>
    <row r="833" spans="1:9" ht="14.25">
      <c r="A833" s="201"/>
      <c r="B833" s="815"/>
      <c r="C833" s="862"/>
      <c r="D833" s="954"/>
      <c r="E833" s="954"/>
      <c r="F833" s="954"/>
      <c r="G833" s="863"/>
      <c r="H833" s="198"/>
      <c r="I833" s="198"/>
    </row>
    <row r="834" spans="1:9" ht="14.25">
      <c r="A834" s="201"/>
      <c r="B834" s="815"/>
      <c r="C834" s="862"/>
      <c r="D834" s="762"/>
      <c r="E834" s="762"/>
      <c r="F834" s="762"/>
      <c r="G834" s="863"/>
      <c r="H834" s="198"/>
      <c r="I834" s="198"/>
    </row>
    <row r="835" spans="1:9" ht="14.25">
      <c r="A835" s="201"/>
      <c r="B835" s="797" t="s">
        <v>325</v>
      </c>
      <c r="C835" s="862"/>
      <c r="D835" s="948" t="s">
        <v>570</v>
      </c>
      <c r="E835" s="948"/>
      <c r="F835" s="948"/>
      <c r="G835" s="863"/>
      <c r="H835" s="198"/>
      <c r="I835" s="198"/>
    </row>
    <row r="836" spans="1:9" ht="14.25">
      <c r="A836" s="201"/>
      <c r="B836" s="201"/>
      <c r="C836" s="862"/>
      <c r="D836" s="948"/>
      <c r="E836" s="948"/>
      <c r="F836" s="948"/>
      <c r="G836" s="863"/>
      <c r="H836" s="198"/>
      <c r="I836" s="198"/>
    </row>
    <row r="837" spans="1:9" ht="14.25">
      <c r="A837" s="201"/>
      <c r="B837" s="201"/>
      <c r="C837" s="862"/>
      <c r="D837" s="863"/>
      <c r="E837" s="33"/>
      <c r="F837" s="33"/>
      <c r="G837" s="863"/>
      <c r="H837" s="198"/>
      <c r="I837" s="198"/>
    </row>
    <row r="838" spans="1:9" ht="14.25">
      <c r="A838" s="201"/>
      <c r="B838" s="797" t="s">
        <v>325</v>
      </c>
      <c r="C838" s="862"/>
      <c r="D838" s="954" t="s">
        <v>571</v>
      </c>
      <c r="E838" s="954"/>
      <c r="F838" s="954"/>
      <c r="G838" s="863"/>
      <c r="H838" s="198"/>
      <c r="I838" s="198"/>
    </row>
    <row r="839" spans="1:9" ht="14.25">
      <c r="A839" s="201"/>
      <c r="B839" s="201"/>
      <c r="C839" s="862"/>
      <c r="D839" s="954"/>
      <c r="E839" s="954"/>
      <c r="F839" s="954"/>
      <c r="G839" s="863"/>
      <c r="H839" s="198"/>
      <c r="I839" s="198"/>
    </row>
    <row r="840" spans="1:9" ht="12.75">
      <c r="A840" s="815"/>
      <c r="B840" s="815"/>
      <c r="C840" s="862"/>
      <c r="D840" s="863"/>
      <c r="E840" s="33"/>
      <c r="F840" s="33"/>
      <c r="G840" s="863"/>
      <c r="H840" s="198"/>
      <c r="I840" s="198"/>
    </row>
    <row r="841" spans="1:9" ht="12.75">
      <c r="A841" s="979" t="s">
        <v>572</v>
      </c>
      <c r="B841" s="979"/>
      <c r="C841" s="979"/>
      <c r="D841" s="979"/>
      <c r="E841" s="979"/>
      <c r="F841" s="979"/>
      <c r="G841" s="979"/>
      <c r="H841" s="198"/>
      <c r="I841" s="198"/>
    </row>
    <row r="842" spans="1:9" ht="12.75">
      <c r="A842" s="778"/>
      <c r="B842" s="778"/>
      <c r="C842" s="862"/>
      <c r="D842" s="863"/>
      <c r="E842" s="863"/>
      <c r="F842" s="863"/>
      <c r="G842" s="863"/>
      <c r="H842" s="198"/>
      <c r="I842" s="198"/>
    </row>
    <row r="843" spans="1:9" ht="14.25">
      <c r="A843" s="201"/>
      <c r="B843" s="201"/>
      <c r="C843" s="801"/>
      <c r="D843" s="955" t="s">
        <v>573</v>
      </c>
      <c r="E843" s="955"/>
      <c r="F843" s="955"/>
      <c r="G843" s="33"/>
      <c r="H843" s="198"/>
      <c r="I843" s="198"/>
    </row>
    <row r="844" spans="1:9" ht="14.25">
      <c r="A844" s="201"/>
      <c r="B844" s="201"/>
      <c r="C844" s="801"/>
      <c r="D844" s="928" t="s">
        <v>574</v>
      </c>
      <c r="E844" s="928"/>
      <c r="F844" s="928"/>
      <c r="G844" s="33"/>
      <c r="H844" s="198"/>
      <c r="I844" s="198"/>
    </row>
    <row r="845" spans="1:9" ht="14.25">
      <c r="A845" s="201"/>
      <c r="B845" s="201"/>
      <c r="C845" s="801"/>
      <c r="D845" s="753"/>
      <c r="E845" s="753"/>
      <c r="F845" s="753"/>
      <c r="G845" s="33"/>
      <c r="H845" s="198"/>
      <c r="I845" s="198"/>
    </row>
    <row r="846" spans="1:9" ht="12.75">
      <c r="A846" s="801"/>
      <c r="B846" s="797" t="s">
        <v>323</v>
      </c>
      <c r="C846" s="862"/>
      <c r="D846" s="928" t="s">
        <v>575</v>
      </c>
      <c r="E846" s="928"/>
      <c r="F846" s="928"/>
      <c r="G846" s="33"/>
      <c r="H846" s="198"/>
      <c r="I846" s="198"/>
    </row>
    <row r="847" spans="1:9" ht="12.75">
      <c r="A847" s="815"/>
      <c r="B847" s="815"/>
      <c r="C847" s="862"/>
      <c r="D847" s="2" t="s">
        <v>384</v>
      </c>
      <c r="E847" s="934" t="s">
        <v>408</v>
      </c>
      <c r="F847" s="934"/>
      <c r="G847" s="33"/>
      <c r="H847" s="198"/>
      <c r="I847" s="198"/>
    </row>
    <row r="848" spans="1:9" ht="12.75">
      <c r="A848" s="815"/>
      <c r="B848" s="815"/>
      <c r="C848" s="862"/>
      <c r="D848" s="865"/>
      <c r="E848" s="33"/>
      <c r="F848" s="33"/>
      <c r="G848" s="33"/>
      <c r="H848" s="198"/>
      <c r="I848" s="198"/>
    </row>
    <row r="849" spans="1:9" ht="12.75">
      <c r="A849" s="815"/>
      <c r="B849" s="797" t="s">
        <v>325</v>
      </c>
      <c r="C849" s="862"/>
      <c r="D849" s="972" t="s">
        <v>576</v>
      </c>
      <c r="E849" s="972"/>
      <c r="F849" s="972"/>
      <c r="G849" s="33"/>
      <c r="H849" s="198"/>
      <c r="I849" s="198"/>
    </row>
    <row r="850" spans="1:9" ht="12.75">
      <c r="A850" s="815"/>
      <c r="B850" s="815"/>
      <c r="C850" s="862"/>
      <c r="D850" s="972"/>
      <c r="E850" s="972"/>
      <c r="F850" s="972"/>
      <c r="G850" s="33"/>
      <c r="H850" s="198"/>
      <c r="I850" s="198"/>
    </row>
    <row r="851" spans="1:9" ht="12.75">
      <c r="A851" s="815"/>
      <c r="B851" s="815"/>
      <c r="C851" s="862"/>
      <c r="D851" s="972"/>
      <c r="E851" s="972"/>
      <c r="F851" s="972"/>
      <c r="G851" s="33"/>
      <c r="H851" s="198"/>
      <c r="I851" s="198"/>
    </row>
    <row r="852" spans="1:9" ht="12.75">
      <c r="A852" s="815"/>
      <c r="B852" s="815"/>
      <c r="C852" s="862"/>
      <c r="D852" s="972"/>
      <c r="E852" s="972"/>
      <c r="F852" s="972"/>
      <c r="G852" s="33"/>
      <c r="H852" s="198"/>
      <c r="I852" s="198"/>
    </row>
    <row r="853" spans="1:9" ht="12.75">
      <c r="A853" s="815"/>
      <c r="B853" s="815"/>
      <c r="C853" s="862"/>
      <c r="D853" s="972"/>
      <c r="E853" s="972"/>
      <c r="F853" s="972"/>
      <c r="G853" s="33"/>
      <c r="H853" s="198"/>
      <c r="I853" s="198"/>
    </row>
    <row r="854" spans="1:9" ht="12.75">
      <c r="A854" s="815"/>
      <c r="B854" s="815"/>
      <c r="C854" s="862"/>
      <c r="D854" s="972"/>
      <c r="E854" s="972"/>
      <c r="F854" s="972"/>
      <c r="G854" s="33"/>
      <c r="H854" s="198"/>
      <c r="I854" s="198"/>
    </row>
    <row r="855" spans="1:9" ht="12.75">
      <c r="A855" s="815"/>
      <c r="B855" s="815"/>
      <c r="C855" s="862"/>
      <c r="D855" s="972"/>
      <c r="E855" s="972"/>
      <c r="F855" s="972"/>
      <c r="G855" s="33"/>
      <c r="H855" s="198"/>
      <c r="I855" s="198"/>
    </row>
    <row r="856" spans="1:9" ht="12.75">
      <c r="A856" s="815"/>
      <c r="B856" s="815"/>
      <c r="C856" s="862"/>
      <c r="D856" s="972"/>
      <c r="E856" s="972"/>
      <c r="F856" s="972"/>
      <c r="G856" s="33"/>
      <c r="H856" s="198"/>
      <c r="I856" s="198"/>
    </row>
    <row r="857" spans="1:9" ht="12.75">
      <c r="A857" s="815"/>
      <c r="B857" s="815"/>
      <c r="C857" s="862"/>
      <c r="D857" s="972"/>
      <c r="E857" s="972"/>
      <c r="F857" s="972"/>
      <c r="G857" s="33"/>
      <c r="H857" s="198"/>
      <c r="I857" s="198"/>
    </row>
    <row r="858" spans="1:9" ht="12.75">
      <c r="A858" s="815"/>
      <c r="B858" s="815"/>
      <c r="C858" s="862"/>
      <c r="D858" s="865"/>
      <c r="E858" s="33"/>
      <c r="F858" s="33"/>
      <c r="G858" s="33"/>
      <c r="H858" s="198"/>
      <c r="I858" s="198"/>
    </row>
    <row r="859" spans="1:9" ht="14.25">
      <c r="A859" s="201"/>
      <c r="B859" s="797" t="s">
        <v>323</v>
      </c>
      <c r="C859" s="862"/>
      <c r="D859" s="928" t="s">
        <v>577</v>
      </c>
      <c r="E859" s="928"/>
      <c r="F859" s="928"/>
      <c r="G859" s="33"/>
      <c r="H859" s="198"/>
      <c r="I859" s="198"/>
    </row>
    <row r="860" spans="1:9" ht="14.25">
      <c r="A860" s="201"/>
      <c r="B860" s="201"/>
      <c r="C860" s="862"/>
      <c r="D860" s="928"/>
      <c r="E860" s="928"/>
      <c r="F860" s="928"/>
      <c r="G860" s="33"/>
      <c r="H860" s="198"/>
      <c r="I860" s="198"/>
    </row>
    <row r="861" spans="1:9" ht="14.25">
      <c r="A861" s="201"/>
      <c r="B861" s="201"/>
      <c r="C861" s="862"/>
      <c r="D861" s="928"/>
      <c r="E861" s="928"/>
      <c r="F861" s="928"/>
      <c r="G861" s="33"/>
      <c r="H861" s="198"/>
      <c r="I861" s="198"/>
    </row>
    <row r="862" spans="1:9" ht="14.25">
      <c r="A862" s="201"/>
      <c r="B862" s="201"/>
      <c r="C862" s="862"/>
      <c r="D862" s="760"/>
      <c r="E862" s="33"/>
      <c r="F862" s="33"/>
      <c r="G862" s="33"/>
      <c r="H862" s="198"/>
      <c r="I862" s="198"/>
    </row>
    <row r="863" spans="1:9" ht="12.75">
      <c r="A863" s="774"/>
      <c r="B863" s="797" t="s">
        <v>325</v>
      </c>
      <c r="C863" s="862"/>
      <c r="D863" s="955" t="s">
        <v>578</v>
      </c>
      <c r="E863" s="955"/>
      <c r="F863" s="955"/>
      <c r="G863" s="33"/>
      <c r="H863" s="198"/>
      <c r="I863" s="198"/>
    </row>
    <row r="864" spans="1:9" ht="12.75">
      <c r="A864" s="801"/>
      <c r="B864" s="774"/>
      <c r="C864" s="862"/>
      <c r="D864" s="955"/>
      <c r="E864" s="955"/>
      <c r="F864" s="955"/>
      <c r="G864" s="33"/>
      <c r="H864" s="198"/>
      <c r="I864" s="198"/>
    </row>
    <row r="865" spans="1:9" ht="14.25" customHeight="1">
      <c r="A865" s="201"/>
      <c r="B865" s="801"/>
      <c r="C865" s="862"/>
      <c r="D865" s="928" t="s">
        <v>579</v>
      </c>
      <c r="E865" s="928"/>
      <c r="F865" s="928"/>
      <c r="G865" s="33"/>
      <c r="H865" s="198"/>
      <c r="I865" s="198"/>
    </row>
    <row r="866" spans="1:9" ht="14.25">
      <c r="A866" s="201"/>
      <c r="B866" s="201"/>
      <c r="C866" s="862"/>
      <c r="D866" s="928"/>
      <c r="E866" s="928"/>
      <c r="F866" s="928"/>
      <c r="G866" s="33"/>
      <c r="H866" s="198"/>
      <c r="I866" s="198"/>
    </row>
    <row r="867" spans="1:9" ht="14.25">
      <c r="A867" s="201"/>
      <c r="B867" s="201"/>
      <c r="C867" s="862"/>
      <c r="D867" s="928"/>
      <c r="E867" s="928"/>
      <c r="F867" s="928"/>
      <c r="G867" s="33"/>
      <c r="H867" s="198"/>
      <c r="I867" s="198"/>
    </row>
    <row r="868" spans="1:9" ht="14.25">
      <c r="A868" s="201"/>
      <c r="B868" s="201"/>
      <c r="C868" s="862"/>
      <c r="D868" s="928"/>
      <c r="E868" s="928"/>
      <c r="F868" s="928"/>
      <c r="G868" s="33"/>
      <c r="H868" s="198"/>
      <c r="I868" s="198"/>
    </row>
    <row r="869" spans="1:9" ht="14.25">
      <c r="A869" s="201"/>
      <c r="B869" s="201"/>
      <c r="C869" s="862"/>
      <c r="D869" s="928"/>
      <c r="E869" s="928"/>
      <c r="F869" s="928"/>
      <c r="G869" s="33"/>
      <c r="H869" s="198"/>
      <c r="I869" s="198"/>
    </row>
    <row r="870" spans="1:9" ht="14.25" customHeight="1">
      <c r="A870" s="201"/>
      <c r="B870" s="201"/>
      <c r="C870" s="862"/>
      <c r="D870" s="928"/>
      <c r="E870" s="928"/>
      <c r="F870" s="928"/>
      <c r="G870" s="33"/>
      <c r="H870" s="198"/>
      <c r="I870" s="198"/>
    </row>
    <row r="871" spans="1:9" ht="14.25">
      <c r="A871" s="201"/>
      <c r="B871" s="201"/>
      <c r="C871" s="862"/>
      <c r="D871" s="760"/>
      <c r="E871" s="33"/>
      <c r="F871" s="33"/>
      <c r="G871" s="33"/>
      <c r="H871" s="198"/>
      <c r="I871" s="198"/>
    </row>
    <row r="872" spans="1:9" ht="14.25">
      <c r="A872" s="201"/>
      <c r="B872" s="797" t="s">
        <v>325</v>
      </c>
      <c r="C872" s="862"/>
      <c r="D872" s="928" t="s">
        <v>580</v>
      </c>
      <c r="E872" s="928"/>
      <c r="F872" s="928"/>
      <c r="G872" s="33"/>
      <c r="H872" s="198"/>
      <c r="I872" s="198"/>
    </row>
    <row r="873" spans="1:9" ht="14.25">
      <c r="A873" s="201"/>
      <c r="B873" s="201"/>
      <c r="C873" s="862"/>
      <c r="D873" s="928" t="s">
        <v>581</v>
      </c>
      <c r="E873" s="928"/>
      <c r="F873" s="928"/>
      <c r="G873" s="33"/>
      <c r="H873" s="198"/>
      <c r="I873" s="198"/>
    </row>
    <row r="874" spans="1:9" ht="14.25">
      <c r="A874" s="201"/>
      <c r="B874" s="201"/>
      <c r="C874" s="862"/>
      <c r="D874" s="2" t="s">
        <v>380</v>
      </c>
      <c r="E874" s="934" t="s">
        <v>419</v>
      </c>
      <c r="F874" s="934"/>
      <c r="G874" s="33"/>
      <c r="H874" s="198"/>
      <c r="I874" s="198"/>
    </row>
    <row r="875" spans="1:9" ht="14.25">
      <c r="A875" s="201"/>
      <c r="B875" s="201"/>
      <c r="C875" s="862"/>
      <c r="D875" s="760"/>
      <c r="E875" s="33"/>
      <c r="F875" s="33"/>
      <c r="G875" s="33"/>
      <c r="H875" s="198"/>
      <c r="I875" s="198"/>
    </row>
    <row r="876" spans="1:9" ht="14.25">
      <c r="A876" s="201"/>
      <c r="B876" s="797" t="s">
        <v>325</v>
      </c>
      <c r="C876" s="862"/>
      <c r="D876" s="928" t="s">
        <v>582</v>
      </c>
      <c r="E876" s="928"/>
      <c r="F876" s="928"/>
      <c r="G876" s="33"/>
      <c r="H876" s="198"/>
      <c r="I876" s="198"/>
    </row>
    <row r="877" spans="1:9" ht="14.25">
      <c r="A877" s="201"/>
      <c r="B877" s="201"/>
      <c r="C877" s="862"/>
      <c r="D877" s="928"/>
      <c r="E877" s="928"/>
      <c r="F877" s="928"/>
      <c r="G877" s="33"/>
      <c r="H877" s="198"/>
      <c r="I877" s="198"/>
    </row>
    <row r="878" spans="1:9" ht="14.25">
      <c r="A878" s="201"/>
      <c r="B878" s="201"/>
      <c r="C878" s="862"/>
      <c r="D878" s="928"/>
      <c r="E878" s="928"/>
      <c r="F878" s="928"/>
      <c r="G878" s="33"/>
      <c r="H878" s="198"/>
      <c r="I878" s="198"/>
    </row>
    <row r="879" spans="1:9" ht="14.25">
      <c r="A879" s="201"/>
      <c r="B879" s="201"/>
      <c r="C879" s="862"/>
      <c r="D879" s="928"/>
      <c r="E879" s="928"/>
      <c r="F879" s="928"/>
      <c r="G879" s="33"/>
      <c r="H879" s="198"/>
      <c r="I879" s="198"/>
    </row>
    <row r="880" spans="1:9" ht="12.75">
      <c r="A880" s="778"/>
      <c r="B880" s="778"/>
      <c r="C880" s="778"/>
      <c r="D880" s="760"/>
      <c r="E880" s="33"/>
      <c r="F880" s="33"/>
      <c r="G880" s="33"/>
      <c r="H880" s="198"/>
      <c r="I880" s="198"/>
    </row>
    <row r="881" spans="1:9" ht="12.75">
      <c r="A881" s="772" t="s">
        <v>583</v>
      </c>
      <c r="B881" s="772"/>
      <c r="C881" s="866"/>
      <c r="D881" s="866"/>
      <c r="E881" s="866"/>
      <c r="F881" s="866"/>
      <c r="G881" s="866"/>
      <c r="H881" s="198"/>
      <c r="I881" s="198"/>
    </row>
    <row r="882" spans="1:9" ht="12.75">
      <c r="A882" s="778"/>
      <c r="B882" s="778"/>
      <c r="C882" s="778"/>
      <c r="D882" s="860"/>
      <c r="E882" s="33"/>
      <c r="F882" s="33"/>
      <c r="G882" s="33"/>
      <c r="H882" s="198"/>
      <c r="I882" s="198"/>
    </row>
    <row r="883" spans="1:9" ht="12.75">
      <c r="A883" s="801"/>
      <c r="B883" s="801"/>
      <c r="C883" s="140"/>
      <c r="D883" s="951" t="s">
        <v>584</v>
      </c>
      <c r="E883" s="951"/>
      <c r="F883" s="951"/>
      <c r="G883" s="863"/>
      <c r="H883" s="198"/>
      <c r="I883" s="198"/>
    </row>
    <row r="884" spans="1:9" ht="12.75">
      <c r="A884" s="801"/>
      <c r="B884" s="801"/>
      <c r="C884" s="140"/>
      <c r="D884" s="962" t="s">
        <v>585</v>
      </c>
      <c r="E884" s="962"/>
      <c r="F884" s="962"/>
      <c r="G884" s="863"/>
      <c r="H884" s="198"/>
      <c r="I884" s="198"/>
    </row>
    <row r="885" spans="1:9" ht="12.75">
      <c r="A885" s="801"/>
      <c r="B885" s="801"/>
      <c r="C885" s="140"/>
      <c r="D885" s="763"/>
      <c r="E885" s="763"/>
      <c r="F885" s="763"/>
      <c r="G885" s="863"/>
      <c r="H885" s="198"/>
      <c r="I885" s="198"/>
    </row>
    <row r="886" spans="1:9" ht="14.25">
      <c r="A886" s="201"/>
      <c r="B886" s="797" t="s">
        <v>323</v>
      </c>
      <c r="C886" s="801"/>
      <c r="D886" s="950" t="s">
        <v>586</v>
      </c>
      <c r="E886" s="950"/>
      <c r="F886" s="950"/>
      <c r="G886" s="863"/>
      <c r="H886" s="198"/>
      <c r="I886" s="198"/>
    </row>
    <row r="887" spans="1:9" ht="12.75">
      <c r="A887" s="801"/>
      <c r="B887" s="801"/>
      <c r="C887" s="801"/>
      <c r="D887" s="2" t="s">
        <v>380</v>
      </c>
      <c r="E887" s="961" t="s">
        <v>419</v>
      </c>
      <c r="F887" s="961"/>
      <c r="G887" s="863"/>
    </row>
    <row r="888" spans="1:9" ht="12.75">
      <c r="A888" s="801"/>
      <c r="B888" s="801"/>
      <c r="C888" s="801"/>
      <c r="D888" s="760"/>
      <c r="E888" s="863"/>
      <c r="F888" s="863"/>
      <c r="G888" s="863"/>
      <c r="H888" s="198"/>
      <c r="I888" s="198"/>
    </row>
    <row r="889" spans="1:9" ht="14.25">
      <c r="A889" s="201"/>
      <c r="B889" s="797" t="s">
        <v>323</v>
      </c>
      <c r="C889" s="801"/>
      <c r="D889" s="928" t="s">
        <v>587</v>
      </c>
      <c r="E889" s="987"/>
      <c r="F889" s="987"/>
      <c r="G889" s="33"/>
    </row>
    <row r="890" spans="1:9" ht="12.6" customHeight="1">
      <c r="A890" s="801"/>
      <c r="B890" s="801"/>
      <c r="C890" s="801"/>
      <c r="D890" s="987"/>
      <c r="E890" s="987"/>
      <c r="F890" s="987"/>
      <c r="G890" s="33"/>
    </row>
    <row r="891" spans="1:9" ht="14.25">
      <c r="A891" s="201"/>
      <c r="B891" s="201"/>
      <c r="C891" s="801"/>
      <c r="D891" s="760"/>
      <c r="E891" s="863"/>
      <c r="F891" s="863"/>
      <c r="G891" s="863"/>
      <c r="H891" s="198"/>
      <c r="I891" s="198"/>
    </row>
    <row r="892" spans="1:9" ht="12.75">
      <c r="A892" s="801"/>
      <c r="B892" s="797" t="s">
        <v>325</v>
      </c>
      <c r="C892" s="801"/>
      <c r="D892" s="957" t="s">
        <v>588</v>
      </c>
      <c r="E892" s="957"/>
      <c r="F892" s="957"/>
      <c r="G892" s="863"/>
      <c r="H892" s="198"/>
      <c r="I892" s="198"/>
    </row>
    <row r="893" spans="1:9" ht="29.45" customHeight="1">
      <c r="A893" s="801"/>
      <c r="B893" s="426"/>
      <c r="C893" s="801"/>
      <c r="D893" s="957"/>
      <c r="E893" s="957"/>
      <c r="F893" s="957"/>
      <c r="G893" s="863"/>
      <c r="H893" s="198"/>
      <c r="I893" s="198"/>
    </row>
    <row r="894" spans="1:9" ht="14.25">
      <c r="A894" s="201"/>
      <c r="B894"/>
      <c r="C894" s="801"/>
      <c r="D894" s="928" t="s">
        <v>579</v>
      </c>
      <c r="E894" s="928"/>
      <c r="F894" s="928"/>
      <c r="G894" s="863"/>
      <c r="H894" s="198"/>
      <c r="I894" s="198"/>
    </row>
    <row r="895" spans="1:9" ht="14.25">
      <c r="A895" s="201"/>
      <c r="B895" s="201"/>
      <c r="C895" s="801"/>
      <c r="D895" s="928"/>
      <c r="E895" s="928"/>
      <c r="F895" s="928"/>
      <c r="G895" s="863"/>
      <c r="H895" s="198"/>
      <c r="I895" s="198"/>
    </row>
    <row r="896" spans="1:9" ht="14.25">
      <c r="A896" s="201"/>
      <c r="B896" s="201"/>
      <c r="C896" s="801"/>
      <c r="D896" s="928"/>
      <c r="E896" s="928"/>
      <c r="F896" s="928"/>
      <c r="G896" s="863"/>
      <c r="H896" s="198"/>
      <c r="I896" s="198"/>
    </row>
    <row r="897" spans="1:9" ht="14.25">
      <c r="A897" s="201"/>
      <c r="B897" s="201"/>
      <c r="C897" s="801"/>
      <c r="D897" s="928"/>
      <c r="E897" s="928"/>
      <c r="F897" s="928"/>
      <c r="G897" s="863"/>
      <c r="H897" s="198"/>
      <c r="I897" s="198"/>
    </row>
    <row r="898" spans="1:9" ht="14.25">
      <c r="A898" s="201"/>
      <c r="B898" s="201"/>
      <c r="C898" s="801"/>
      <c r="D898" s="928"/>
      <c r="E898" s="928"/>
      <c r="F898" s="928"/>
      <c r="G898" s="863"/>
      <c r="H898" s="198"/>
      <c r="I898" s="198"/>
    </row>
    <row r="899" spans="1:9" ht="14.25">
      <c r="A899" s="201"/>
      <c r="B899" s="201"/>
      <c r="C899" s="801"/>
      <c r="D899" s="928"/>
      <c r="E899" s="928"/>
      <c r="F899" s="928"/>
      <c r="G899" s="863"/>
      <c r="H899" s="198"/>
      <c r="I899" s="198"/>
    </row>
    <row r="900" spans="1:9" ht="14.25">
      <c r="A900" s="201"/>
      <c r="B900" s="201"/>
      <c r="C900" s="801"/>
      <c r="D900" s="760"/>
      <c r="E900" s="863"/>
      <c r="F900" s="863"/>
      <c r="G900" s="863"/>
      <c r="H900" s="198"/>
      <c r="I900" s="198"/>
    </row>
    <row r="901" spans="1:9" ht="14.25">
      <c r="A901" s="201"/>
      <c r="B901" s="797" t="s">
        <v>325</v>
      </c>
      <c r="C901" s="801"/>
      <c r="D901" s="958" t="s">
        <v>580</v>
      </c>
      <c r="E901" s="958"/>
      <c r="F901" s="958"/>
      <c r="G901" s="863"/>
      <c r="H901" s="198"/>
      <c r="I901" s="198"/>
    </row>
    <row r="902" spans="1:9" ht="14.25">
      <c r="A902" s="201"/>
      <c r="B902" s="201"/>
      <c r="C902" s="801"/>
      <c r="D902" s="958" t="s">
        <v>581</v>
      </c>
      <c r="E902" s="958"/>
      <c r="F902" s="958"/>
      <c r="G902" s="863"/>
      <c r="H902" s="198"/>
      <c r="I902" s="198"/>
    </row>
    <row r="903" spans="1:9" ht="14.25">
      <c r="A903" s="201"/>
      <c r="B903" s="201"/>
      <c r="C903" s="801"/>
      <c r="D903" s="2" t="s">
        <v>589</v>
      </c>
      <c r="E903" s="959" t="s">
        <v>419</v>
      </c>
      <c r="F903" s="959"/>
      <c r="G903" s="863"/>
      <c r="H903" s="198"/>
      <c r="I903" s="198"/>
    </row>
    <row r="904" spans="1:9" ht="14.25">
      <c r="A904" s="201"/>
      <c r="B904" s="201"/>
      <c r="C904" s="801"/>
      <c r="D904" s="760"/>
      <c r="E904" s="863"/>
      <c r="F904" s="863"/>
      <c r="G904" s="863"/>
      <c r="H904" s="198"/>
      <c r="I904" s="198"/>
    </row>
    <row r="905" spans="1:9" ht="14.25">
      <c r="A905" s="201"/>
      <c r="B905" s="797" t="s">
        <v>325</v>
      </c>
      <c r="C905" s="801"/>
      <c r="D905" s="928" t="s">
        <v>582</v>
      </c>
      <c r="E905" s="928"/>
      <c r="F905" s="928"/>
      <c r="G905" s="863"/>
      <c r="H905" s="198"/>
      <c r="I905" s="198"/>
    </row>
    <row r="906" spans="1:9" ht="14.25">
      <c r="A906" s="201"/>
      <c r="B906" s="201"/>
      <c r="C906" s="801"/>
      <c r="D906" s="928"/>
      <c r="E906" s="928"/>
      <c r="F906" s="928"/>
      <c r="G906" s="863"/>
      <c r="H906" s="198"/>
      <c r="I906" s="198"/>
    </row>
    <row r="907" spans="1:9" ht="14.25">
      <c r="A907" s="201"/>
      <c r="B907" s="201"/>
      <c r="C907" s="801"/>
      <c r="D907" s="928"/>
      <c r="E907" s="928"/>
      <c r="F907" s="928"/>
      <c r="G907" s="863"/>
      <c r="H907" s="198"/>
      <c r="I907" s="198"/>
    </row>
    <row r="908" spans="1:9" ht="14.25">
      <c r="A908" s="201"/>
      <c r="B908" s="201"/>
      <c r="C908" s="801"/>
      <c r="D908" s="928"/>
      <c r="E908" s="928"/>
      <c r="F908" s="928"/>
      <c r="G908" s="863"/>
      <c r="H908" s="198"/>
      <c r="I908" s="198"/>
    </row>
    <row r="909" spans="1:9" ht="12.75">
      <c r="A909" s="760"/>
      <c r="B909" s="760"/>
      <c r="C909" s="862"/>
      <c r="D909" s="863"/>
      <c r="E909" s="863"/>
      <c r="F909" s="863"/>
      <c r="G909" s="863"/>
      <c r="H909" s="198"/>
      <c r="I909" s="198"/>
    </row>
    <row r="910" spans="1:9" ht="12.75">
      <c r="A910" s="979" t="s">
        <v>590</v>
      </c>
      <c r="B910" s="979"/>
      <c r="C910" s="979"/>
      <c r="D910" s="979"/>
      <c r="E910" s="979"/>
      <c r="F910" s="979"/>
      <c r="G910" s="979"/>
      <c r="H910" s="198"/>
      <c r="I910" s="198"/>
    </row>
    <row r="911" spans="1:9" ht="12.75">
      <c r="A911" s="760"/>
      <c r="B911" s="760"/>
      <c r="C911" s="862"/>
      <c r="D911" s="863"/>
      <c r="E911" s="863"/>
      <c r="F911" s="863"/>
      <c r="G911" s="863"/>
      <c r="H911" s="198"/>
      <c r="I911" s="198"/>
    </row>
    <row r="912" spans="1:9" ht="12.75">
      <c r="A912" s="801"/>
      <c r="B912" s="801"/>
      <c r="C912" s="862"/>
      <c r="D912" s="953" t="s">
        <v>591</v>
      </c>
      <c r="E912" s="953"/>
      <c r="F912" s="953"/>
      <c r="G912" s="863"/>
      <c r="H912" s="198"/>
      <c r="I912" s="198"/>
    </row>
    <row r="913" spans="1:9" ht="12.75">
      <c r="A913" s="778"/>
      <c r="B913" s="778"/>
      <c r="C913" s="778"/>
      <c r="D913" s="950" t="s">
        <v>592</v>
      </c>
      <c r="E913" s="950"/>
      <c r="F913" s="950"/>
      <c r="G913" s="863"/>
      <c r="H913" s="198"/>
      <c r="I913" s="198"/>
    </row>
    <row r="914" spans="1:9" ht="12.75">
      <c r="A914" s="778"/>
      <c r="B914" s="778"/>
      <c r="C914" s="778"/>
      <c r="D914" s="33"/>
      <c r="E914" s="33"/>
      <c r="F914" s="863"/>
      <c r="G914" s="863"/>
      <c r="H914" s="198"/>
      <c r="I914" s="198"/>
    </row>
    <row r="915" spans="1:9" ht="13.7" customHeight="1">
      <c r="A915" s="778"/>
      <c r="B915" s="797" t="s">
        <v>325</v>
      </c>
      <c r="C915" s="778"/>
      <c r="D915" s="955" t="s">
        <v>593</v>
      </c>
      <c r="E915" s="955"/>
      <c r="F915" s="955"/>
      <c r="G915" s="863"/>
      <c r="H915" s="198"/>
      <c r="I915" s="198"/>
    </row>
    <row r="916" spans="1:9" ht="12.75">
      <c r="A916" s="778"/>
      <c r="B916" s="778"/>
      <c r="C916" s="778"/>
      <c r="D916" s="955"/>
      <c r="E916" s="955"/>
      <c r="F916" s="955"/>
      <c r="G916" s="863"/>
      <c r="H916" s="198"/>
      <c r="I916" s="198"/>
    </row>
    <row r="917" spans="1:9" ht="12.75">
      <c r="A917" s="778"/>
      <c r="B917" s="778"/>
      <c r="C917" s="778"/>
      <c r="D917" s="955"/>
      <c r="E917" s="955"/>
      <c r="F917" s="955"/>
      <c r="G917" s="863"/>
      <c r="H917" s="198"/>
      <c r="I917" s="198"/>
    </row>
    <row r="918" spans="1:9" ht="12.75">
      <c r="A918" s="778"/>
      <c r="B918" s="778"/>
      <c r="C918" s="778"/>
      <c r="D918" s="955"/>
      <c r="E918" s="955"/>
      <c r="F918" s="955"/>
      <c r="G918" s="863"/>
      <c r="H918" s="198"/>
      <c r="I918" s="198"/>
    </row>
    <row r="919" spans="1:9" ht="12.75">
      <c r="A919" s="778"/>
      <c r="B919" s="778"/>
      <c r="C919" s="778"/>
      <c r="D919" s="955"/>
      <c r="E919" s="955"/>
      <c r="F919" s="955"/>
      <c r="G919" s="863"/>
      <c r="H919" s="198"/>
      <c r="I919" s="198"/>
    </row>
    <row r="920" spans="1:9" ht="12.75">
      <c r="A920" s="140"/>
      <c r="B920" s="140"/>
      <c r="C920" s="140"/>
      <c r="D920" s="33"/>
      <c r="E920" s="33"/>
      <c r="F920" s="863"/>
      <c r="G920" s="863"/>
      <c r="H920" s="198"/>
      <c r="I920" s="198"/>
    </row>
    <row r="921" spans="1:9" ht="14.25" customHeight="1">
      <c r="A921" s="201"/>
      <c r="B921" s="797" t="s">
        <v>323</v>
      </c>
      <c r="C921" s="140"/>
      <c r="D921" s="934" t="s">
        <v>594</v>
      </c>
      <c r="E921" s="934"/>
      <c r="F921" s="934"/>
      <c r="G921" s="863"/>
      <c r="H921" s="198"/>
      <c r="I921" s="198"/>
    </row>
    <row r="922" spans="1:9" ht="14.25" customHeight="1">
      <c r="A922" s="201"/>
      <c r="B922" s="201"/>
      <c r="C922" s="140"/>
      <c r="D922" s="934"/>
      <c r="E922" s="934"/>
      <c r="F922" s="934"/>
      <c r="G922" s="863"/>
      <c r="H922" s="198"/>
      <c r="I922" s="198"/>
    </row>
    <row r="923" spans="1:9" ht="14.25" customHeight="1">
      <c r="A923" s="201"/>
      <c r="B923" s="201"/>
      <c r="C923" s="140"/>
      <c r="D923" s="934"/>
      <c r="E923" s="934"/>
      <c r="F923" s="934"/>
      <c r="G923" s="863"/>
      <c r="H923" s="198"/>
      <c r="I923" s="198"/>
    </row>
    <row r="924" spans="1:9" ht="14.25" customHeight="1">
      <c r="A924" s="201"/>
      <c r="B924" s="201"/>
      <c r="C924" s="140"/>
      <c r="D924" s="934"/>
      <c r="E924" s="934"/>
      <c r="F924" s="934"/>
      <c r="G924" s="863"/>
      <c r="H924" s="198"/>
      <c r="I924" s="198"/>
    </row>
    <row r="925" spans="1:9" ht="14.25" customHeight="1">
      <c r="A925" s="140"/>
      <c r="B925" s="140"/>
      <c r="C925" s="140"/>
      <c r="D925" s="934"/>
      <c r="E925" s="934"/>
      <c r="F925" s="934"/>
      <c r="G925" s="863"/>
      <c r="H925" s="198"/>
      <c r="I925" s="198"/>
    </row>
    <row r="926" spans="1:9" ht="14.25" customHeight="1">
      <c r="A926" s="140"/>
      <c r="B926" s="140"/>
      <c r="C926" s="140"/>
      <c r="D926" s="934"/>
      <c r="E926" s="934"/>
      <c r="F926" s="934"/>
      <c r="G926" s="863"/>
      <c r="H926" s="198"/>
      <c r="I926" s="198"/>
    </row>
    <row r="927" spans="1:9" ht="14.25" customHeight="1">
      <c r="A927" s="140"/>
      <c r="B927" s="140"/>
      <c r="C927" s="140"/>
      <c r="D927" s="934"/>
      <c r="E927" s="934"/>
      <c r="F927" s="934"/>
      <c r="G927" s="863"/>
      <c r="H927" s="198"/>
      <c r="I927" s="198"/>
    </row>
    <row r="928" spans="1:9" ht="14.25" customHeight="1">
      <c r="A928" s="140"/>
      <c r="B928" s="140"/>
      <c r="C928" s="140"/>
      <c r="D928" s="2"/>
      <c r="E928" s="33"/>
      <c r="F928" s="863"/>
      <c r="G928" s="863"/>
      <c r="H928" s="198"/>
      <c r="I928" s="198"/>
    </row>
    <row r="929" spans="1:9" s="235" customFormat="1" ht="14.25" customHeight="1">
      <c r="A929" s="256"/>
      <c r="B929" s="797" t="s">
        <v>323</v>
      </c>
      <c r="C929" s="257"/>
      <c r="D929" s="934" t="s">
        <v>595</v>
      </c>
      <c r="E929" s="934"/>
      <c r="F929" s="934"/>
      <c r="G929" s="867"/>
      <c r="H929" s="258"/>
      <c r="I929" s="258"/>
    </row>
    <row r="930" spans="1:9" s="235" customFormat="1" ht="14.25" customHeight="1">
      <c r="A930" s="256"/>
      <c r="B930" s="256"/>
      <c r="C930" s="257"/>
      <c r="D930" s="934"/>
      <c r="E930" s="934"/>
      <c r="F930" s="934"/>
      <c r="G930" s="867"/>
      <c r="H930" s="258"/>
      <c r="I930" s="258"/>
    </row>
    <row r="931" spans="1:9" s="235" customFormat="1" ht="14.25" customHeight="1">
      <c r="A931" s="256"/>
      <c r="B931" s="256"/>
      <c r="C931" s="257"/>
      <c r="D931" s="934"/>
      <c r="E931" s="934"/>
      <c r="F931" s="934"/>
      <c r="G931" s="867"/>
      <c r="H931" s="258"/>
      <c r="I931" s="258"/>
    </row>
    <row r="932" spans="1:9" s="235" customFormat="1" ht="14.25" customHeight="1">
      <c r="A932" s="256"/>
      <c r="B932" s="256"/>
      <c r="C932" s="257"/>
      <c r="D932" s="934"/>
      <c r="E932" s="934"/>
      <c r="F932" s="934"/>
      <c r="G932" s="867"/>
      <c r="H932" s="258"/>
      <c r="I932" s="258"/>
    </row>
    <row r="933" spans="1:9" s="235" customFormat="1" ht="14.25" customHeight="1">
      <c r="A933" s="256"/>
      <c r="B933" s="256"/>
      <c r="C933" s="257"/>
      <c r="D933" s="934"/>
      <c r="E933" s="934"/>
      <c r="F933" s="934"/>
      <c r="G933" s="867"/>
      <c r="H933" s="258"/>
      <c r="I933" s="258"/>
    </row>
    <row r="934" spans="1:9" s="235" customFormat="1" ht="14.25">
      <c r="A934" s="256"/>
      <c r="B934" s="256"/>
      <c r="C934" s="257"/>
      <c r="D934" s="934"/>
      <c r="E934" s="934"/>
      <c r="F934" s="934"/>
      <c r="G934" s="867"/>
      <c r="H934" s="258"/>
      <c r="I934" s="258"/>
    </row>
    <row r="935" spans="1:9" s="235" customFormat="1" ht="14.25" customHeight="1">
      <c r="A935" s="256"/>
      <c r="B935" s="256"/>
      <c r="C935" s="257"/>
      <c r="D935" s="934"/>
      <c r="E935" s="934"/>
      <c r="F935" s="934"/>
      <c r="G935" s="867"/>
      <c r="H935" s="258"/>
      <c r="I935" s="258"/>
    </row>
    <row r="936" spans="1:9" s="235" customFormat="1" ht="14.25" customHeight="1">
      <c r="A936" s="256"/>
      <c r="B936" s="256"/>
      <c r="C936" s="257"/>
      <c r="D936" s="934"/>
      <c r="E936" s="934"/>
      <c r="F936" s="934"/>
      <c r="G936" s="867"/>
      <c r="H936" s="258"/>
      <c r="I936" s="258"/>
    </row>
    <row r="937" spans="1:9" s="235" customFormat="1" ht="14.25" customHeight="1">
      <c r="A937" s="256"/>
      <c r="B937" s="256"/>
      <c r="C937" s="257"/>
      <c r="D937" s="934"/>
      <c r="E937" s="934"/>
      <c r="F937" s="934"/>
      <c r="G937" s="867"/>
      <c r="H937" s="258"/>
      <c r="I937" s="258"/>
    </row>
    <row r="938" spans="1:9" ht="14.25" customHeight="1">
      <c r="A938" s="140"/>
      <c r="B938" s="140"/>
      <c r="C938" s="140"/>
      <c r="D938" s="2"/>
      <c r="E938" s="33"/>
      <c r="F938" s="863"/>
      <c r="G938" s="863"/>
      <c r="H938" s="198"/>
      <c r="I938" s="198"/>
    </row>
    <row r="939" spans="1:9" ht="14.25" customHeight="1">
      <c r="A939" s="201"/>
      <c r="B939" s="797" t="s">
        <v>323</v>
      </c>
      <c r="C939" s="140"/>
      <c r="D939" s="956" t="s">
        <v>596</v>
      </c>
      <c r="E939" s="956"/>
      <c r="F939" s="956"/>
      <c r="G939" s="863"/>
      <c r="H939" s="198"/>
      <c r="I939" s="198"/>
    </row>
    <row r="940" spans="1:9" ht="14.25" customHeight="1">
      <c r="A940" s="201"/>
      <c r="B940" s="201"/>
      <c r="C940" s="140"/>
      <c r="D940" s="956"/>
      <c r="E940" s="956"/>
      <c r="F940" s="956"/>
      <c r="G940" s="863"/>
      <c r="H940" s="198"/>
      <c r="I940" s="198"/>
    </row>
    <row r="941" spans="1:9" ht="14.25" customHeight="1">
      <c r="A941" s="201"/>
      <c r="B941" s="201"/>
      <c r="C941" s="140"/>
      <c r="D941" s="956"/>
      <c r="E941" s="956"/>
      <c r="F941" s="956"/>
      <c r="G941" s="863"/>
      <c r="H941" s="198"/>
      <c r="I941" s="198"/>
    </row>
    <row r="942" spans="1:9" ht="14.25" customHeight="1">
      <c r="A942" s="201"/>
      <c r="B942" s="201"/>
      <c r="C942" s="140"/>
      <c r="D942" s="956"/>
      <c r="E942" s="956"/>
      <c r="F942" s="956"/>
      <c r="G942" s="863"/>
      <c r="H942" s="198"/>
      <c r="I942" s="198"/>
    </row>
    <row r="943" spans="1:9" ht="14.25" customHeight="1">
      <c r="A943" s="201"/>
      <c r="B943" s="201"/>
      <c r="C943" s="140"/>
      <c r="D943" s="956"/>
      <c r="E943" s="956"/>
      <c r="F943" s="956"/>
      <c r="G943" s="863"/>
      <c r="H943" s="198"/>
      <c r="I943" s="198"/>
    </row>
    <row r="944" spans="1:9" ht="14.25" customHeight="1">
      <c r="A944" s="201"/>
      <c r="B944" s="201"/>
      <c r="C944" s="140"/>
      <c r="D944" s="956"/>
      <c r="E944" s="956"/>
      <c r="F944" s="956"/>
      <c r="G944" s="863"/>
      <c r="H944" s="198"/>
      <c r="I944" s="198"/>
    </row>
    <row r="945" spans="1:9" ht="14.25" customHeight="1">
      <c r="A945" s="201"/>
      <c r="B945" s="201"/>
      <c r="C945" s="140"/>
      <c r="D945" s="956"/>
      <c r="E945" s="956"/>
      <c r="F945" s="956"/>
      <c r="G945" s="863"/>
      <c r="H945" s="198"/>
      <c r="I945" s="198"/>
    </row>
    <row r="946" spans="1:9" ht="14.25" customHeight="1">
      <c r="A946" s="201"/>
      <c r="B946" s="201"/>
      <c r="C946" s="140"/>
      <c r="D946" s="266"/>
      <c r="E946" s="33"/>
      <c r="F946" s="863"/>
      <c r="G946" s="863"/>
      <c r="H946" s="198"/>
      <c r="I946" s="198"/>
    </row>
    <row r="947" spans="1:9" s="324" customFormat="1" ht="14.25">
      <c r="A947" s="201"/>
      <c r="B947" s="797" t="s">
        <v>325</v>
      </c>
      <c r="C947" s="140"/>
      <c r="D947" s="934" t="s">
        <v>597</v>
      </c>
      <c r="E947" s="934"/>
      <c r="F947" s="934"/>
      <c r="G947" s="863"/>
    </row>
    <row r="948" spans="1:9" s="324" customFormat="1" ht="14.25">
      <c r="A948" s="201"/>
      <c r="B948" s="201"/>
      <c r="C948" s="140"/>
      <c r="D948" s="934"/>
      <c r="E948" s="934"/>
      <c r="F948" s="934"/>
      <c r="G948" s="863"/>
    </row>
    <row r="949" spans="1:9" s="324" customFormat="1" ht="14.25">
      <c r="A949" s="201"/>
      <c r="B949" s="201"/>
      <c r="C949" s="140"/>
      <c r="D949" s="934"/>
      <c r="E949" s="934"/>
      <c r="F949" s="934"/>
      <c r="G949" s="863"/>
    </row>
    <row r="950" spans="1:9" s="324" customFormat="1" ht="14.25">
      <c r="A950" s="201"/>
      <c r="B950" s="201"/>
      <c r="C950" s="140"/>
      <c r="D950" s="934"/>
      <c r="E950" s="934"/>
      <c r="F950" s="934"/>
      <c r="G950" s="863"/>
    </row>
    <row r="951" spans="1:9" s="324" customFormat="1" ht="14.25">
      <c r="A951" s="201"/>
      <c r="B951" s="201"/>
      <c r="C951" s="140"/>
      <c r="D951" s="2"/>
      <c r="E951" s="33"/>
      <c r="F951" s="863"/>
      <c r="G951" s="863"/>
    </row>
    <row r="952" spans="1:9" ht="14.25" customHeight="1">
      <c r="A952" s="815"/>
      <c r="B952" s="815"/>
      <c r="C952" s="862"/>
      <c r="D952" s="928" t="s">
        <v>598</v>
      </c>
      <c r="E952" s="928"/>
      <c r="F952" s="928"/>
      <c r="G952" s="863"/>
      <c r="H952" s="198"/>
      <c r="I952" s="198"/>
    </row>
    <row r="953" spans="1:9" ht="14.25" customHeight="1">
      <c r="A953" s="862"/>
      <c r="B953" s="862"/>
      <c r="C953" s="862"/>
      <c r="D953" s="928"/>
      <c r="E953" s="928"/>
      <c r="F953" s="928"/>
      <c r="G953" s="863"/>
      <c r="H953" s="198"/>
      <c r="I953" s="198"/>
    </row>
    <row r="954" spans="1:9" ht="14.25" customHeight="1">
      <c r="A954" s="862"/>
      <c r="B954" s="862"/>
      <c r="C954" s="862"/>
      <c r="D954" s="2"/>
      <c r="E954" s="863"/>
      <c r="F954" s="863"/>
      <c r="G954" s="863"/>
      <c r="H954" s="198"/>
      <c r="I954" s="198"/>
    </row>
    <row r="955" spans="1:9" ht="14.25">
      <c r="A955" s="201"/>
      <c r="B955" s="797" t="s">
        <v>323</v>
      </c>
      <c r="C955" s="801"/>
      <c r="D955" s="928" t="s">
        <v>599</v>
      </c>
      <c r="E955" s="928"/>
      <c r="F955" s="928"/>
      <c r="G955" s="33"/>
    </row>
    <row r="956" spans="1:9" ht="12.75">
      <c r="A956" s="801"/>
      <c r="B956" s="801"/>
      <c r="C956" s="801"/>
      <c r="D956" s="928"/>
      <c r="E956" s="928"/>
      <c r="F956" s="928"/>
      <c r="G956" s="33"/>
    </row>
    <row r="957" spans="1:9" ht="14.25" customHeight="1">
      <c r="A957" s="862"/>
      <c r="B957" s="862"/>
      <c r="C957" s="862"/>
      <c r="D957" s="2"/>
      <c r="E957" s="863"/>
      <c r="F957" s="863"/>
      <c r="G957" s="863"/>
      <c r="H957" s="198"/>
      <c r="I957" s="198"/>
    </row>
    <row r="958" spans="1:9" ht="14.25" customHeight="1">
      <c r="A958" s="140"/>
      <c r="B958" s="140"/>
      <c r="C958" s="140"/>
      <c r="D958" s="953" t="s">
        <v>600</v>
      </c>
      <c r="E958" s="953"/>
      <c r="F958" s="953"/>
      <c r="G958" s="863"/>
      <c r="H958" s="198"/>
      <c r="I958" s="198"/>
    </row>
    <row r="959" spans="1:9" ht="14.25" customHeight="1">
      <c r="A959" s="140"/>
      <c r="B959" s="140"/>
      <c r="C959" s="140"/>
      <c r="D959" s="759"/>
      <c r="E959" s="33"/>
      <c r="F959" s="863"/>
      <c r="G959" s="863"/>
      <c r="H959" s="198"/>
      <c r="I959" s="198"/>
    </row>
    <row r="960" spans="1:9" ht="14.45" customHeight="1">
      <c r="A960" s="201"/>
      <c r="B960" s="797" t="s">
        <v>323</v>
      </c>
      <c r="C960" s="862"/>
      <c r="D960" s="952" t="s">
        <v>601</v>
      </c>
      <c r="E960" s="952"/>
      <c r="F960" s="952"/>
      <c r="G960" s="863"/>
      <c r="H960" s="198"/>
      <c r="I960" s="198"/>
    </row>
    <row r="961" spans="1:9" ht="12.75">
      <c r="A961" s="862"/>
      <c r="B961" s="862"/>
      <c r="C961" s="862"/>
      <c r="D961" s="952"/>
      <c r="E961" s="952"/>
      <c r="F961" s="952"/>
      <c r="G961" s="863"/>
      <c r="H961" s="198"/>
      <c r="I961" s="198"/>
    </row>
    <row r="962" spans="1:9" ht="12.75">
      <c r="A962" s="862"/>
      <c r="B962" s="862"/>
      <c r="C962" s="862"/>
      <c r="D962" s="952"/>
      <c r="E962" s="952"/>
      <c r="F962" s="952"/>
      <c r="G962" s="863"/>
      <c r="H962" s="198"/>
      <c r="I962" s="198"/>
    </row>
    <row r="963" spans="1:9" ht="12.75">
      <c r="A963" s="862"/>
      <c r="B963" s="862"/>
      <c r="C963" s="862"/>
      <c r="D963" s="952"/>
      <c r="E963" s="952"/>
      <c r="F963" s="952"/>
      <c r="G963" s="863"/>
      <c r="H963" s="198"/>
      <c r="I963" s="198"/>
    </row>
    <row r="964" spans="1:9" ht="12.75">
      <c r="A964" s="862"/>
      <c r="B964" s="862"/>
      <c r="C964" s="862"/>
      <c r="D964" s="952"/>
      <c r="E964" s="952"/>
      <c r="F964" s="952"/>
      <c r="G964" s="863"/>
      <c r="H964" s="198"/>
      <c r="I964" s="198"/>
    </row>
    <row r="965" spans="1:9" ht="12.75">
      <c r="A965" s="862"/>
      <c r="B965" s="862"/>
      <c r="C965" s="862"/>
      <c r="D965" s="952"/>
      <c r="E965" s="952"/>
      <c r="F965" s="952"/>
      <c r="G965" s="863"/>
      <c r="H965" s="198"/>
      <c r="I965" s="198"/>
    </row>
    <row r="966" spans="1:9" ht="12.75">
      <c r="A966" s="862"/>
      <c r="B966" s="862"/>
      <c r="C966" s="862"/>
      <c r="D966" s="761"/>
      <c r="E966" s="761"/>
      <c r="F966" s="761"/>
      <c r="G966" s="863"/>
      <c r="H966" s="198"/>
      <c r="I966" s="198"/>
    </row>
    <row r="967" spans="1:9" ht="14.45" customHeight="1">
      <c r="A967" s="201"/>
      <c r="B967" s="797" t="s">
        <v>325</v>
      </c>
      <c r="C967" s="862"/>
      <c r="D967" s="952" t="s">
        <v>602</v>
      </c>
      <c r="E967" s="952"/>
      <c r="F967" s="952"/>
      <c r="G967" s="863"/>
      <c r="H967" s="198"/>
      <c r="I967" s="198"/>
    </row>
    <row r="968" spans="1:9" ht="12.75">
      <c r="A968" s="862"/>
      <c r="B968" s="862"/>
      <c r="C968" s="862"/>
      <c r="D968" s="952"/>
      <c r="E968" s="952"/>
      <c r="F968" s="952"/>
      <c r="G968" s="863"/>
      <c r="H968" s="198"/>
      <c r="I968" s="198"/>
    </row>
    <row r="969" spans="1:9" ht="12.75">
      <c r="A969" s="862"/>
      <c r="B969" s="862"/>
      <c r="C969" s="862"/>
      <c r="D969" s="952"/>
      <c r="E969" s="952"/>
      <c r="F969" s="952"/>
      <c r="G969" s="863"/>
      <c r="H969" s="198"/>
      <c r="I969" s="198"/>
    </row>
    <row r="970" spans="1:9" ht="12.75">
      <c r="A970" s="862"/>
      <c r="B970" s="862"/>
      <c r="C970" s="862"/>
      <c r="D970" s="952"/>
      <c r="E970" s="952"/>
      <c r="F970" s="952"/>
      <c r="G970" s="863"/>
      <c r="H970" s="198"/>
      <c r="I970" s="198"/>
    </row>
    <row r="971" spans="1:9" ht="12.75">
      <c r="A971" s="862"/>
      <c r="B971" s="862"/>
      <c r="C971" s="862"/>
      <c r="D971" s="952"/>
      <c r="E971" s="952"/>
      <c r="F971" s="952"/>
      <c r="G971" s="863"/>
      <c r="H971" s="198"/>
      <c r="I971" s="198"/>
    </row>
    <row r="972" spans="1:9" ht="12.75">
      <c r="A972" s="862"/>
      <c r="B972" s="862"/>
      <c r="C972" s="862"/>
      <c r="D972" s="264"/>
      <c r="E972" s="863"/>
      <c r="F972" s="863"/>
      <c r="G972" s="863"/>
      <c r="H972" s="198"/>
      <c r="I972" s="198"/>
    </row>
    <row r="973" spans="1:9" ht="14.25">
      <c r="A973" s="201"/>
      <c r="B973" s="797" t="s">
        <v>325</v>
      </c>
      <c r="C973" s="862"/>
      <c r="D973" s="952" t="s">
        <v>603</v>
      </c>
      <c r="E973" s="952"/>
      <c r="F973" s="952"/>
      <c r="G973" s="863"/>
      <c r="H973" s="198"/>
      <c r="I973" s="198"/>
    </row>
    <row r="974" spans="1:9" ht="12.75">
      <c r="A974" s="862"/>
      <c r="B974" s="862"/>
      <c r="C974" s="862"/>
      <c r="D974" s="952"/>
      <c r="E974" s="952"/>
      <c r="F974" s="952"/>
      <c r="G974" s="863"/>
      <c r="H974" s="198"/>
      <c r="I974" s="198"/>
    </row>
    <row r="975" spans="1:9" ht="12.75">
      <c r="A975" s="862"/>
      <c r="B975" s="862"/>
      <c r="C975" s="862"/>
      <c r="D975" s="952"/>
      <c r="E975" s="952"/>
      <c r="F975" s="952"/>
      <c r="G975" s="863"/>
      <c r="H975" s="198"/>
      <c r="I975" s="198"/>
    </row>
    <row r="976" spans="1:9" ht="12.75">
      <c r="A976" s="862"/>
      <c r="B976" s="862"/>
      <c r="C976" s="862"/>
      <c r="D976" s="952"/>
      <c r="E976" s="952"/>
      <c r="F976" s="952"/>
      <c r="G976" s="863"/>
      <c r="H976" s="198"/>
      <c r="I976" s="198"/>
    </row>
    <row r="977" spans="1:9" ht="12.75">
      <c r="A977" s="862"/>
      <c r="B977" s="862"/>
      <c r="C977" s="862"/>
      <c r="D977" s="952"/>
      <c r="E977" s="952"/>
      <c r="F977" s="952"/>
      <c r="G977" s="863"/>
      <c r="H977" s="198"/>
      <c r="I977" s="198"/>
    </row>
    <row r="978" spans="1:9" ht="12.75">
      <c r="A978" s="862"/>
      <c r="B978" s="862"/>
      <c r="C978" s="862"/>
      <c r="D978" s="264"/>
      <c r="E978" s="863"/>
      <c r="F978" s="863"/>
      <c r="G978" s="863"/>
      <c r="H978" s="198"/>
      <c r="I978" s="198"/>
    </row>
    <row r="979" spans="1:9" ht="14.45" customHeight="1">
      <c r="A979" s="201"/>
      <c r="B979" s="797" t="s">
        <v>325</v>
      </c>
      <c r="C979" s="862"/>
      <c r="D979" s="952" t="s">
        <v>604</v>
      </c>
      <c r="E979" s="952"/>
      <c r="F979" s="952"/>
      <c r="G979" s="863"/>
      <c r="H979" s="198"/>
      <c r="I979" s="198"/>
    </row>
    <row r="980" spans="1:9" ht="12.75">
      <c r="A980" s="862"/>
      <c r="B980" s="862"/>
      <c r="C980" s="862"/>
      <c r="D980" s="952"/>
      <c r="E980" s="952"/>
      <c r="F980" s="952"/>
      <c r="G980" s="863"/>
      <c r="H980" s="198"/>
      <c r="I980" s="198"/>
    </row>
    <row r="981" spans="1:9" ht="12.75">
      <c r="A981" s="862"/>
      <c r="B981" s="862"/>
      <c r="C981" s="862"/>
      <c r="D981" s="952"/>
      <c r="E981" s="952"/>
      <c r="F981" s="952"/>
      <c r="G981" s="863"/>
      <c r="H981" s="198"/>
      <c r="I981" s="198"/>
    </row>
    <row r="982" spans="1:9" ht="12.75">
      <c r="A982" s="862"/>
      <c r="B982" s="862"/>
      <c r="C982" s="862"/>
      <c r="D982" s="761"/>
      <c r="E982" s="761"/>
      <c r="F982" s="761"/>
      <c r="G982" s="863"/>
      <c r="H982" s="198"/>
      <c r="I982" s="198"/>
    </row>
    <row r="983" spans="1:9" ht="14.25">
      <c r="A983" s="201"/>
      <c r="B983" s="797" t="s">
        <v>325</v>
      </c>
      <c r="C983" s="862"/>
      <c r="D983" s="952" t="s">
        <v>605</v>
      </c>
      <c r="E983" s="952"/>
      <c r="F983" s="952"/>
      <c r="G983" s="863"/>
      <c r="H983" s="198"/>
      <c r="I983" s="198"/>
    </row>
    <row r="984" spans="1:9" ht="12.75">
      <c r="A984" s="862"/>
      <c r="B984" s="862"/>
      <c r="C984" s="862"/>
      <c r="D984" s="952"/>
      <c r="E984" s="952"/>
      <c r="F984" s="952"/>
      <c r="G984" s="863"/>
      <c r="H984" s="198"/>
      <c r="I984" s="198"/>
    </row>
    <row r="985" spans="1:9" ht="12.75">
      <c r="A985" s="862"/>
      <c r="B985" s="862"/>
      <c r="C985" s="862"/>
      <c r="D985" s="264"/>
      <c r="E985" s="863"/>
      <c r="F985" s="863"/>
      <c r="G985" s="863"/>
      <c r="H985" s="198"/>
      <c r="I985" s="198"/>
    </row>
    <row r="986" spans="1:9" ht="12.75">
      <c r="A986" s="862"/>
      <c r="B986" s="797" t="s">
        <v>325</v>
      </c>
      <c r="C986" s="862"/>
      <c r="D986" s="928" t="s">
        <v>606</v>
      </c>
      <c r="E986" s="928"/>
      <c r="F986" s="928"/>
      <c r="G986" s="863"/>
      <c r="H986" s="198"/>
      <c r="I986" s="198"/>
    </row>
    <row r="987" spans="1:9" ht="12.75">
      <c r="A987" s="862"/>
      <c r="B987" s="862"/>
      <c r="C987" s="862"/>
      <c r="D987" s="928"/>
      <c r="E987" s="928"/>
      <c r="F987" s="928"/>
      <c r="G987" s="863"/>
      <c r="H987" s="198"/>
      <c r="I987" s="198"/>
    </row>
    <row r="988" spans="1:9" ht="12.75">
      <c r="A988" s="862"/>
      <c r="B988" s="862"/>
      <c r="C988" s="862"/>
      <c r="D988" s="863"/>
      <c r="E988" s="863"/>
      <c r="F988" s="863"/>
      <c r="G988" s="863"/>
      <c r="H988" s="198"/>
      <c r="I988" s="198"/>
    </row>
    <row r="989" spans="1:9" ht="12.75">
      <c r="A989" s="862"/>
      <c r="B989" s="797" t="s">
        <v>325</v>
      </c>
      <c r="C989" s="862"/>
      <c r="D989" s="954" t="s">
        <v>607</v>
      </c>
      <c r="E989" s="954"/>
      <c r="F989" s="954"/>
      <c r="G989" s="863"/>
      <c r="H989" s="198"/>
      <c r="I989" s="198"/>
    </row>
    <row r="990" spans="1:9" ht="12.75">
      <c r="A990" s="862"/>
      <c r="B990" s="862"/>
      <c r="C990" s="862"/>
      <c r="D990" s="954"/>
      <c r="E990" s="954"/>
      <c r="F990" s="954"/>
      <c r="G990" s="863"/>
      <c r="H990" s="198"/>
      <c r="I990" s="198"/>
    </row>
    <row r="991" spans="1:9" ht="12.75">
      <c r="A991" s="862"/>
      <c r="B991" s="862"/>
      <c r="C991" s="862"/>
      <c r="D991" s="954"/>
      <c r="E991" s="954"/>
      <c r="F991" s="954"/>
      <c r="G991" s="863"/>
      <c r="H991" s="198"/>
      <c r="I991" s="198"/>
    </row>
    <row r="992" spans="1:9" ht="12.75">
      <c r="A992" s="862"/>
      <c r="B992" s="862"/>
      <c r="C992" s="862"/>
      <c r="D992" s="954"/>
      <c r="E992" s="954"/>
      <c r="F992" s="954"/>
      <c r="G992" s="863"/>
      <c r="H992" s="198"/>
      <c r="I992" s="198"/>
    </row>
    <row r="993" spans="1:9" ht="12.75">
      <c r="A993" s="862"/>
      <c r="B993" s="862"/>
      <c r="C993" s="862"/>
      <c r="D993" s="760"/>
      <c r="E993" s="863"/>
      <c r="F993" s="863"/>
      <c r="G993" s="863"/>
      <c r="H993" s="198"/>
      <c r="I993" s="198"/>
    </row>
    <row r="994" spans="1:9" ht="12.75">
      <c r="A994" s="862"/>
      <c r="B994" s="797" t="s">
        <v>325</v>
      </c>
      <c r="C994" s="862"/>
      <c r="D994" s="950" t="s">
        <v>608</v>
      </c>
      <c r="E994" s="950"/>
      <c r="F994" s="950"/>
      <c r="G994" s="863"/>
      <c r="H994" s="198"/>
      <c r="I994" s="198"/>
    </row>
    <row r="995" spans="1:9" ht="12.75">
      <c r="A995" s="862"/>
      <c r="B995" s="862"/>
      <c r="C995" s="862"/>
      <c r="D995" s="760"/>
      <c r="E995" s="863"/>
      <c r="F995" s="863"/>
      <c r="G995" s="863"/>
      <c r="H995" s="198"/>
      <c r="I995" s="198"/>
    </row>
    <row r="996" spans="1:9" ht="12.75">
      <c r="A996" s="862"/>
      <c r="B996" s="797" t="s">
        <v>325</v>
      </c>
      <c r="C996" s="862"/>
      <c r="D996" s="950" t="s">
        <v>609</v>
      </c>
      <c r="E996" s="950"/>
      <c r="F996" s="950"/>
      <c r="G996" s="863"/>
      <c r="H996" s="198"/>
      <c r="I996" s="198"/>
    </row>
    <row r="997" spans="1:9" ht="12.75" customHeight="1">
      <c r="A997" s="862"/>
      <c r="B997" s="862"/>
      <c r="C997" s="862"/>
      <c r="D997" s="863"/>
      <c r="E997" s="863"/>
      <c r="F997" s="863"/>
      <c r="G997" s="863"/>
      <c r="H997" s="198"/>
      <c r="I997" s="198"/>
    </row>
    <row r="998" spans="1:9" ht="12.75">
      <c r="A998" s="862"/>
      <c r="B998" s="801"/>
      <c r="C998" s="862"/>
      <c r="D998" s="951" t="s">
        <v>610</v>
      </c>
      <c r="E998" s="951"/>
      <c r="F998" s="951"/>
      <c r="G998" s="863"/>
      <c r="H998" s="198"/>
      <c r="I998" s="198"/>
    </row>
    <row r="999" spans="1:9" ht="12.75">
      <c r="A999" s="862"/>
      <c r="B999" s="801"/>
      <c r="C999" s="862"/>
      <c r="D999" s="759"/>
      <c r="E999" s="863"/>
      <c r="F999" s="863"/>
      <c r="G999" s="863"/>
      <c r="H999" s="198"/>
      <c r="I999" s="198"/>
    </row>
    <row r="1000" spans="1:9" ht="14.25">
      <c r="A1000" s="201"/>
      <c r="B1000" s="797" t="s">
        <v>323</v>
      </c>
      <c r="C1000" s="862"/>
      <c r="D1000" s="928" t="s">
        <v>611</v>
      </c>
      <c r="E1000" s="928"/>
      <c r="F1000" s="928"/>
      <c r="G1000" s="863"/>
      <c r="H1000" s="198"/>
      <c r="I1000" s="198"/>
    </row>
    <row r="1001" spans="1:9" ht="12.75">
      <c r="A1001" s="862"/>
      <c r="B1001" s="862"/>
      <c r="C1001" s="862"/>
      <c r="D1001" s="928"/>
      <c r="E1001" s="928"/>
      <c r="F1001" s="928"/>
      <c r="G1001" s="863"/>
      <c r="H1001" s="198"/>
      <c r="I1001" s="198"/>
    </row>
    <row r="1002" spans="1:9" ht="12.75">
      <c r="A1002" s="862"/>
      <c r="B1002" s="862"/>
      <c r="C1002" s="862"/>
      <c r="D1002" s="928"/>
      <c r="E1002" s="928"/>
      <c r="F1002" s="928"/>
      <c r="G1002" s="863"/>
      <c r="H1002" s="198"/>
      <c r="I1002" s="198"/>
    </row>
    <row r="1003" spans="1:9" ht="12.75">
      <c r="A1003" s="862"/>
      <c r="B1003" s="862"/>
      <c r="C1003" s="862"/>
      <c r="D1003" s="928"/>
      <c r="E1003" s="928"/>
      <c r="F1003" s="928"/>
      <c r="G1003" s="863"/>
      <c r="H1003" s="198"/>
      <c r="I1003" s="198"/>
    </row>
    <row r="1004" spans="1:9" ht="12.75">
      <c r="A1004" s="862"/>
      <c r="B1004" s="862"/>
      <c r="C1004" s="862"/>
      <c r="D1004" s="928"/>
      <c r="E1004" s="928"/>
      <c r="F1004" s="928"/>
      <c r="G1004" s="863"/>
      <c r="H1004" s="198"/>
      <c r="I1004" s="198"/>
    </row>
    <row r="1005" spans="1:9" ht="12.75">
      <c r="A1005" s="862"/>
      <c r="B1005" s="862"/>
      <c r="C1005" s="862"/>
      <c r="D1005" s="33"/>
      <c r="E1005" s="33"/>
      <c r="F1005" s="33"/>
      <c r="G1005" s="863"/>
      <c r="H1005" s="198"/>
      <c r="I1005" s="198"/>
    </row>
    <row r="1006" spans="1:9" ht="14.25">
      <c r="A1006" s="201"/>
      <c r="B1006" s="797" t="s">
        <v>325</v>
      </c>
      <c r="C1006" s="862"/>
      <c r="D1006" s="928" t="s">
        <v>612</v>
      </c>
      <c r="E1006" s="928"/>
      <c r="F1006" s="928"/>
      <c r="G1006" s="863"/>
      <c r="H1006" s="198"/>
      <c r="I1006" s="198"/>
    </row>
    <row r="1007" spans="1:9" ht="12.75">
      <c r="A1007" s="862"/>
      <c r="B1007" s="862"/>
      <c r="C1007" s="862"/>
      <c r="D1007" s="928"/>
      <c r="E1007" s="928"/>
      <c r="F1007" s="928"/>
      <c r="G1007" s="863"/>
      <c r="H1007" s="198"/>
      <c r="I1007" s="198"/>
    </row>
    <row r="1008" spans="1:9" ht="12.75">
      <c r="A1008" s="862"/>
      <c r="B1008" s="862"/>
      <c r="C1008" s="862"/>
      <c r="D1008" s="928"/>
      <c r="E1008" s="928"/>
      <c r="F1008" s="928"/>
      <c r="G1008" s="863"/>
      <c r="H1008" s="198"/>
      <c r="I1008" s="198"/>
    </row>
    <row r="1009" spans="1:9" ht="12.75">
      <c r="A1009" s="862"/>
      <c r="B1009" s="862"/>
      <c r="C1009" s="862"/>
      <c r="D1009" s="928"/>
      <c r="E1009" s="928"/>
      <c r="F1009" s="928"/>
      <c r="G1009" s="863"/>
      <c r="H1009" s="198"/>
      <c r="I1009" s="198"/>
    </row>
    <row r="1010" spans="1:9" ht="12.75">
      <c r="A1010" s="862"/>
      <c r="B1010" s="862"/>
      <c r="C1010" s="862"/>
      <c r="D1010" s="928"/>
      <c r="E1010" s="928"/>
      <c r="F1010" s="928"/>
      <c r="G1010" s="863"/>
      <c r="H1010" s="198"/>
      <c r="I1010" s="198"/>
    </row>
    <row r="1011" spans="1:9" ht="12.75">
      <c r="A1011" s="862"/>
      <c r="B1011" s="862"/>
      <c r="C1011" s="862"/>
      <c r="D1011" s="863"/>
      <c r="E1011" s="863"/>
      <c r="F1011" s="863"/>
      <c r="G1011" s="863"/>
      <c r="H1011" s="198"/>
      <c r="I1011" s="198"/>
    </row>
    <row r="1012" spans="1:9" ht="12.75">
      <c r="A1012" s="862"/>
      <c r="B1012" s="862"/>
      <c r="C1012" s="862"/>
      <c r="D1012" s="951" t="s">
        <v>613</v>
      </c>
      <c r="E1012" s="951"/>
      <c r="F1012" s="951"/>
      <c r="G1012" s="863"/>
      <c r="H1012" s="198"/>
      <c r="I1012" s="198"/>
    </row>
    <row r="1013" spans="1:9" ht="12.75">
      <c r="A1013" s="862"/>
      <c r="B1013" s="862"/>
      <c r="C1013" s="862"/>
      <c r="D1013" s="759"/>
      <c r="E1013" s="863"/>
      <c r="F1013" s="863"/>
      <c r="G1013" s="863"/>
      <c r="H1013" s="198"/>
      <c r="I1013" s="198"/>
    </row>
    <row r="1014" spans="1:9" ht="14.25">
      <c r="A1014" s="201"/>
      <c r="B1014" s="797" t="s">
        <v>325</v>
      </c>
      <c r="C1014" s="862"/>
      <c r="D1014" s="928" t="s">
        <v>614</v>
      </c>
      <c r="E1014" s="928"/>
      <c r="F1014" s="928"/>
      <c r="G1014" s="863"/>
      <c r="H1014" s="198"/>
      <c r="I1014" s="198"/>
    </row>
    <row r="1015" spans="1:9" ht="12.75">
      <c r="A1015" s="862"/>
      <c r="B1015" s="862"/>
      <c r="C1015" s="862"/>
      <c r="D1015" s="928"/>
      <c r="E1015" s="928"/>
      <c r="F1015" s="928"/>
      <c r="G1015" s="863"/>
      <c r="H1015" s="198"/>
      <c r="I1015" s="198"/>
    </row>
    <row r="1016" spans="1:9" ht="12.75">
      <c r="A1016" s="862"/>
      <c r="B1016" s="862"/>
      <c r="C1016" s="862"/>
      <c r="D1016" s="928"/>
      <c r="E1016" s="928"/>
      <c r="F1016" s="928"/>
      <c r="G1016" s="863"/>
      <c r="H1016" s="198"/>
      <c r="I1016" s="198"/>
    </row>
    <row r="1017" spans="1:9" ht="12.75">
      <c r="A1017" s="862"/>
      <c r="B1017" s="862"/>
      <c r="C1017" s="862"/>
      <c r="D1017" s="33"/>
      <c r="E1017" s="33"/>
      <c r="F1017" s="33"/>
      <c r="G1017" s="863"/>
      <c r="H1017" s="198"/>
      <c r="I1017" s="198"/>
    </row>
    <row r="1018" spans="1:9" ht="14.25">
      <c r="A1018" s="201"/>
      <c r="B1018" s="797" t="s">
        <v>325</v>
      </c>
      <c r="C1018" s="862"/>
      <c r="D1018" s="928" t="s">
        <v>615</v>
      </c>
      <c r="E1018" s="928"/>
      <c r="F1018" s="928"/>
      <c r="G1018" s="863"/>
      <c r="H1018" s="198"/>
      <c r="I1018" s="198"/>
    </row>
    <row r="1019" spans="1:9" ht="12.75">
      <c r="A1019" s="862"/>
      <c r="B1019" s="862"/>
      <c r="C1019" s="862"/>
      <c r="D1019" s="928"/>
      <c r="E1019" s="928"/>
      <c r="F1019" s="928"/>
      <c r="G1019" s="863"/>
      <c r="H1019" s="198"/>
      <c r="I1019" s="198"/>
    </row>
    <row r="1020" spans="1:9" ht="12.75">
      <c r="A1020" s="862"/>
      <c r="B1020" s="862"/>
      <c r="C1020" s="862"/>
      <c r="D1020" s="928"/>
      <c r="E1020" s="928"/>
      <c r="F1020" s="928"/>
      <c r="G1020" s="863"/>
      <c r="H1020" s="198"/>
      <c r="I1020" s="198"/>
    </row>
    <row r="1021" spans="1:9" ht="12.75">
      <c r="A1021" s="862"/>
      <c r="B1021" s="862"/>
      <c r="C1021" s="862"/>
      <c r="D1021" s="760"/>
      <c r="E1021" s="863"/>
      <c r="F1021" s="863"/>
      <c r="G1021" s="863"/>
      <c r="H1021" s="198"/>
      <c r="I1021" s="198"/>
    </row>
    <row r="1022" spans="1:9" ht="12.75">
      <c r="A1022" s="862"/>
      <c r="B1022" s="862"/>
      <c r="C1022" s="862"/>
      <c r="D1022" s="951" t="s">
        <v>616</v>
      </c>
      <c r="E1022" s="951"/>
      <c r="F1022" s="951"/>
      <c r="G1022" s="863"/>
      <c r="H1022" s="198"/>
      <c r="I1022" s="198"/>
    </row>
    <row r="1023" spans="1:9" ht="12.75">
      <c r="A1023" s="862"/>
      <c r="B1023" s="862"/>
      <c r="C1023" s="862"/>
      <c r="D1023" s="759"/>
      <c r="E1023" s="863"/>
      <c r="F1023" s="863"/>
      <c r="G1023" s="863"/>
      <c r="H1023" s="198"/>
      <c r="I1023" s="198"/>
    </row>
    <row r="1024" spans="1:9" ht="14.25" customHeight="1">
      <c r="A1024" s="201"/>
      <c r="B1024" s="797" t="s">
        <v>325</v>
      </c>
      <c r="C1024" s="862"/>
      <c r="D1024" s="928" t="s">
        <v>617</v>
      </c>
      <c r="E1024" s="928"/>
      <c r="F1024" s="928"/>
      <c r="G1024" s="753"/>
      <c r="H1024" s="758"/>
      <c r="I1024" s="758"/>
    </row>
    <row r="1025" spans="1:9" ht="12.75">
      <c r="A1025" s="862"/>
      <c r="B1025" s="862"/>
      <c r="C1025" s="862"/>
      <c r="D1025" s="928"/>
      <c r="E1025" s="928"/>
      <c r="F1025" s="928"/>
      <c r="G1025" s="753"/>
      <c r="H1025" s="758"/>
      <c r="I1025" s="758"/>
    </row>
    <row r="1026" spans="1:9" ht="12.75">
      <c r="A1026" s="862"/>
      <c r="B1026" s="862"/>
      <c r="C1026" s="862"/>
      <c r="D1026" s="928"/>
      <c r="E1026" s="928"/>
      <c r="F1026" s="928"/>
      <c r="G1026" s="753"/>
      <c r="H1026" s="758"/>
      <c r="I1026" s="758"/>
    </row>
    <row r="1027" spans="1:9" ht="12" customHeight="1">
      <c r="A1027" s="862"/>
      <c r="B1027" s="862"/>
      <c r="C1027" s="862"/>
      <c r="D1027" s="758"/>
      <c r="E1027" s="758"/>
      <c r="F1027" s="758"/>
      <c r="G1027" s="758"/>
      <c r="H1027" s="758"/>
      <c r="I1027" s="758"/>
    </row>
    <row r="1028" spans="1:9" ht="12.75" customHeight="1">
      <c r="A1028" s="862"/>
      <c r="B1028" s="797" t="s">
        <v>325</v>
      </c>
      <c r="C1028" s="862"/>
      <c r="D1028" s="928" t="s">
        <v>618</v>
      </c>
      <c r="E1028" s="928"/>
      <c r="F1028" s="928"/>
      <c r="G1028" s="758"/>
      <c r="H1028" s="198"/>
      <c r="I1028" s="198"/>
    </row>
    <row r="1029" spans="1:9" ht="12.75">
      <c r="A1029" s="862"/>
      <c r="B1029" s="862"/>
      <c r="C1029" s="862"/>
      <c r="D1029" s="928"/>
      <c r="E1029" s="928"/>
      <c r="F1029" s="928"/>
      <c r="G1029" s="758"/>
      <c r="H1029" s="198"/>
      <c r="I1029" s="198"/>
    </row>
    <row r="1030" spans="1:9" ht="12.75">
      <c r="A1030" s="862"/>
      <c r="B1030" s="862"/>
      <c r="C1030" s="862"/>
      <c r="D1030" s="928"/>
      <c r="E1030" s="928"/>
      <c r="F1030" s="928"/>
      <c r="G1030" s="758"/>
      <c r="H1030" s="198"/>
      <c r="I1030" s="198"/>
    </row>
    <row r="1031" spans="1:9" ht="12" customHeight="1">
      <c r="A1031" s="862"/>
      <c r="B1031" s="862"/>
      <c r="C1031" s="862"/>
      <c r="D1031" s="760"/>
      <c r="E1031" s="863"/>
      <c r="F1031" s="863"/>
      <c r="G1031" s="863"/>
      <c r="H1031" s="198"/>
      <c r="I1031" s="198"/>
    </row>
    <row r="1032" spans="1:9" ht="12.75" customHeight="1">
      <c r="A1032" s="862"/>
      <c r="B1032" s="797" t="s">
        <v>323</v>
      </c>
      <c r="C1032" s="862"/>
      <c r="D1032" s="932" t="s">
        <v>619</v>
      </c>
      <c r="E1032" s="932"/>
      <c r="F1032" s="932"/>
      <c r="G1032" s="726"/>
      <c r="H1032" s="198"/>
      <c r="I1032" s="198"/>
    </row>
    <row r="1033" spans="1:9" ht="12.75">
      <c r="A1033" s="862"/>
      <c r="B1033" s="862"/>
      <c r="C1033" s="862"/>
      <c r="D1033" s="932"/>
      <c r="E1033" s="932"/>
      <c r="F1033" s="932"/>
      <c r="G1033" s="726"/>
      <c r="H1033" s="198"/>
      <c r="I1033" s="198"/>
    </row>
    <row r="1034" spans="1:9" ht="12.75">
      <c r="A1034" s="862"/>
      <c r="B1034" s="862"/>
      <c r="C1034" s="862"/>
      <c r="D1034" s="932"/>
      <c r="E1034" s="932"/>
      <c r="F1034" s="932"/>
      <c r="G1034" s="726"/>
      <c r="H1034" s="198"/>
      <c r="I1034" s="198"/>
    </row>
    <row r="1035" spans="1:9" ht="12" customHeight="1">
      <c r="A1035" s="862"/>
      <c r="B1035" s="862"/>
      <c r="C1035" s="862"/>
      <c r="D1035" s="863"/>
      <c r="E1035" s="863"/>
      <c r="F1035" s="863"/>
      <c r="G1035" s="863"/>
      <c r="H1035" s="198"/>
      <c r="I1035" s="198"/>
    </row>
    <row r="1036" spans="1:9" ht="12.75" customHeight="1">
      <c r="A1036" s="862"/>
      <c r="B1036" s="797" t="s">
        <v>325</v>
      </c>
      <c r="C1036" s="862"/>
      <c r="D1036" s="928" t="s">
        <v>620</v>
      </c>
      <c r="E1036" s="928"/>
      <c r="F1036" s="928"/>
      <c r="G1036" s="726"/>
      <c r="H1036" s="726"/>
      <c r="I1036" s="726"/>
    </row>
    <row r="1037" spans="1:9" ht="12.75">
      <c r="A1037" s="862"/>
      <c r="B1037" s="862"/>
      <c r="C1037" s="862"/>
      <c r="D1037" s="928"/>
      <c r="E1037" s="928"/>
      <c r="F1037" s="928"/>
      <c r="G1037" s="726"/>
      <c r="H1037" s="726"/>
      <c r="I1037" s="726"/>
    </row>
    <row r="1038" spans="1:9" ht="12.75">
      <c r="A1038" s="862"/>
      <c r="B1038" s="862"/>
      <c r="C1038" s="862"/>
      <c r="D1038" s="928"/>
      <c r="E1038" s="928"/>
      <c r="F1038" s="928"/>
      <c r="G1038" s="726"/>
      <c r="H1038" s="726"/>
      <c r="I1038" s="726"/>
    </row>
    <row r="1039" spans="1:9" ht="14.25">
      <c r="A1039" s="201"/>
      <c r="B1039" s="201"/>
      <c r="C1039" s="862"/>
      <c r="D1039" s="760"/>
      <c r="E1039" s="863"/>
      <c r="F1039" s="863"/>
      <c r="G1039" s="863"/>
      <c r="H1039" s="198"/>
      <c r="I1039" s="198"/>
    </row>
    <row r="1040" spans="1:9" ht="12.75" customHeight="1">
      <c r="A1040" s="862"/>
      <c r="B1040" s="797" t="s">
        <v>325</v>
      </c>
      <c r="C1040" s="862"/>
      <c r="D1040" s="928" t="s">
        <v>621</v>
      </c>
      <c r="E1040" s="928"/>
      <c r="F1040" s="928"/>
      <c r="G1040" s="726"/>
      <c r="H1040" s="726"/>
      <c r="I1040" s="726"/>
    </row>
    <row r="1041" spans="1:9" ht="12.75">
      <c r="A1041" s="862"/>
      <c r="B1041" s="862"/>
      <c r="C1041" s="862"/>
      <c r="D1041" s="928"/>
      <c r="E1041" s="928"/>
      <c r="F1041" s="928"/>
      <c r="G1041" s="726"/>
      <c r="H1041" s="726"/>
      <c r="I1041" s="726"/>
    </row>
    <row r="1042" spans="1:9" ht="12.75">
      <c r="A1042" s="862"/>
      <c r="B1042" s="862"/>
      <c r="C1042" s="862"/>
      <c r="D1042" s="928"/>
      <c r="E1042" s="928"/>
      <c r="F1042" s="928"/>
      <c r="G1042" s="726"/>
      <c r="H1042" s="726"/>
      <c r="I1042" s="726"/>
    </row>
    <row r="1043" spans="1:9" ht="12.75">
      <c r="A1043" s="862"/>
      <c r="B1043" s="862"/>
      <c r="C1043" s="862"/>
      <c r="D1043" s="760"/>
      <c r="E1043" s="863"/>
      <c r="F1043" s="863"/>
      <c r="G1043" s="863"/>
      <c r="H1043" s="198"/>
      <c r="I1043" s="198"/>
    </row>
    <row r="1044" spans="1:9" ht="12.75" customHeight="1">
      <c r="A1044" s="862"/>
      <c r="B1044" s="797" t="s">
        <v>325</v>
      </c>
      <c r="C1044" s="862"/>
      <c r="D1044" s="928" t="s">
        <v>622</v>
      </c>
      <c r="E1044" s="928"/>
      <c r="F1044" s="928"/>
      <c r="G1044" s="753"/>
      <c r="H1044" s="198"/>
      <c r="I1044" s="198"/>
    </row>
    <row r="1045" spans="1:9" ht="12.75">
      <c r="A1045" s="862"/>
      <c r="B1045" s="862"/>
      <c r="C1045" s="862"/>
      <c r="D1045" s="928"/>
      <c r="E1045" s="928"/>
      <c r="F1045" s="928"/>
      <c r="G1045" s="753"/>
      <c r="H1045" s="198"/>
      <c r="I1045" s="198"/>
    </row>
    <row r="1046" spans="1:9" ht="12.75">
      <c r="A1046" s="862"/>
      <c r="B1046" s="862"/>
      <c r="C1046" s="862"/>
      <c r="D1046" s="928"/>
      <c r="E1046" s="928"/>
      <c r="F1046" s="928"/>
      <c r="G1046" s="753"/>
      <c r="H1046" s="198"/>
      <c r="I1046" s="198"/>
    </row>
    <row r="1047" spans="1:9" ht="12.75">
      <c r="A1047" s="862"/>
      <c r="B1047" s="862"/>
      <c r="C1047" s="862"/>
      <c r="D1047" s="753"/>
      <c r="E1047" s="753"/>
      <c r="F1047" s="753"/>
      <c r="G1047" s="753"/>
      <c r="H1047" s="198"/>
      <c r="I1047" s="198"/>
    </row>
    <row r="1048" spans="1:9" ht="12.75" customHeight="1">
      <c r="A1048" s="862"/>
      <c r="B1048" s="797" t="s">
        <v>325</v>
      </c>
      <c r="C1048" s="862"/>
      <c r="D1048" s="928" t="s">
        <v>623</v>
      </c>
      <c r="E1048" s="928"/>
      <c r="F1048" s="928"/>
      <c r="G1048" s="753"/>
      <c r="H1048" s="198"/>
      <c r="I1048" s="198"/>
    </row>
    <row r="1049" spans="1:9" ht="12.75">
      <c r="A1049" s="862"/>
      <c r="B1049" s="862"/>
      <c r="C1049" s="862"/>
      <c r="D1049" s="928"/>
      <c r="E1049" s="928"/>
      <c r="F1049" s="928"/>
      <c r="G1049" s="753"/>
      <c r="H1049" s="198"/>
      <c r="I1049" s="198"/>
    </row>
    <row r="1050" spans="1:9" ht="12.75">
      <c r="A1050" s="862"/>
      <c r="B1050" s="862"/>
      <c r="C1050" s="862"/>
      <c r="D1050" s="928"/>
      <c r="E1050" s="928"/>
      <c r="F1050" s="928"/>
      <c r="G1050" s="753"/>
      <c r="H1050" s="198"/>
      <c r="I1050" s="198"/>
    </row>
    <row r="1051" spans="1:9" ht="12.75">
      <c r="A1051" s="862"/>
      <c r="B1051" s="862"/>
      <c r="C1051" s="862"/>
      <c r="D1051" s="224"/>
      <c r="E1051" s="224"/>
      <c r="F1051" s="224"/>
      <c r="G1051" s="224"/>
      <c r="H1051" s="198"/>
      <c r="I1051" s="198"/>
    </row>
    <row r="1052" spans="1:9" ht="12.75" customHeight="1">
      <c r="A1052" s="862"/>
      <c r="B1052" s="797" t="s">
        <v>323</v>
      </c>
      <c r="C1052" s="862"/>
      <c r="D1052" s="986" t="s">
        <v>624</v>
      </c>
      <c r="E1052" s="986"/>
      <c r="F1052" s="986"/>
      <c r="G1052" s="777"/>
      <c r="H1052" s="198"/>
      <c r="I1052" s="198"/>
    </row>
    <row r="1053" spans="1:9" ht="12.75">
      <c r="A1053" s="862"/>
      <c r="B1053" s="862"/>
      <c r="C1053" s="862"/>
      <c r="D1053" s="986"/>
      <c r="E1053" s="986"/>
      <c r="F1053" s="986"/>
      <c r="G1053" s="777"/>
      <c r="H1053" s="198"/>
      <c r="I1053" s="198"/>
    </row>
    <row r="1054" spans="1:9" ht="12.75">
      <c r="A1054" s="862"/>
      <c r="B1054" s="862"/>
      <c r="C1054" s="862"/>
      <c r="D1054" s="986"/>
      <c r="E1054" s="986"/>
      <c r="F1054" s="986"/>
      <c r="G1054" s="777"/>
      <c r="H1054" s="198"/>
      <c r="I1054" s="198"/>
    </row>
    <row r="1055" spans="1:9" ht="12.75">
      <c r="A1055" s="862"/>
      <c r="B1055" s="862"/>
      <c r="C1055" s="862"/>
      <c r="D1055" s="986"/>
      <c r="E1055" s="986"/>
      <c r="F1055" s="986"/>
      <c r="G1055" s="777"/>
      <c r="H1055" s="198"/>
      <c r="I1055" s="198"/>
    </row>
    <row r="1056" spans="1:9" ht="12.75">
      <c r="A1056" s="862"/>
      <c r="B1056" s="862"/>
      <c r="C1056" s="862"/>
      <c r="D1056" s="986"/>
      <c r="E1056" s="986"/>
      <c r="F1056" s="986"/>
      <c r="G1056" s="777"/>
      <c r="H1056" s="198"/>
      <c r="I1056" s="198"/>
    </row>
    <row r="1057" spans="1:9" ht="12.75">
      <c r="A1057" s="862"/>
      <c r="B1057" s="862"/>
      <c r="C1057" s="862"/>
      <c r="D1057" s="986"/>
      <c r="E1057" s="986"/>
      <c r="F1057" s="986"/>
      <c r="G1057" s="777"/>
      <c r="H1057" s="198"/>
      <c r="I1057" s="198"/>
    </row>
    <row r="1058" spans="1:9" ht="12.75">
      <c r="A1058" s="862"/>
      <c r="B1058" s="862"/>
      <c r="C1058" s="862"/>
      <c r="D1058" s="986"/>
      <c r="E1058" s="986"/>
      <c r="F1058" s="986"/>
      <c r="G1058" s="777"/>
      <c r="H1058" s="198"/>
      <c r="I1058" s="198"/>
    </row>
    <row r="1059" spans="1:9" ht="12.75">
      <c r="A1059" s="862"/>
      <c r="B1059" s="862"/>
      <c r="C1059" s="862"/>
      <c r="D1059" s="986"/>
      <c r="E1059" s="986"/>
      <c r="F1059" s="986"/>
      <c r="G1059" s="777"/>
      <c r="H1059" s="198"/>
      <c r="I1059" s="198"/>
    </row>
    <row r="1060" spans="1:9" ht="12.75">
      <c r="A1060" s="862"/>
      <c r="B1060" s="862"/>
      <c r="C1060" s="862"/>
      <c r="D1060" s="986"/>
      <c r="E1060" s="986"/>
      <c r="F1060" s="986"/>
      <c r="G1060" s="777"/>
      <c r="H1060" s="198"/>
      <c r="I1060" s="198"/>
    </row>
    <row r="1061" spans="1:9" ht="12.75">
      <c r="A1061" s="862"/>
      <c r="B1061" s="862"/>
      <c r="C1061" s="862"/>
      <c r="D1061" s="986"/>
      <c r="E1061" s="986"/>
      <c r="F1061" s="986"/>
      <c r="G1061" s="777"/>
      <c r="H1061" s="198"/>
      <c r="I1061" s="198"/>
    </row>
    <row r="1062" spans="1:9" ht="27.6" customHeight="1">
      <c r="A1062" s="862"/>
      <c r="B1062" s="862"/>
      <c r="C1062" s="862"/>
      <c r="D1062" s="986"/>
      <c r="E1062" s="986"/>
      <c r="F1062" s="986"/>
      <c r="G1062" s="777"/>
      <c r="H1062" s="198"/>
      <c r="I1062" s="198"/>
    </row>
    <row r="1063" spans="1:9" ht="12.75">
      <c r="A1063" s="862"/>
      <c r="B1063" s="862"/>
      <c r="C1063" s="862"/>
      <c r="D1063" s="755"/>
      <c r="E1063" s="755"/>
      <c r="F1063" s="755"/>
      <c r="G1063" s="755"/>
      <c r="H1063" s="198"/>
      <c r="I1063" s="198"/>
    </row>
    <row r="1064" spans="1:9" ht="12.75" customHeight="1">
      <c r="A1064" s="862"/>
      <c r="B1064" s="862"/>
      <c r="C1064" s="862"/>
      <c r="D1064" s="951" t="s">
        <v>625</v>
      </c>
      <c r="E1064" s="951"/>
      <c r="F1064" s="951"/>
      <c r="G1064" s="755"/>
      <c r="H1064" s="198"/>
      <c r="I1064" s="198"/>
    </row>
    <row r="1065" spans="1:9" ht="12.75" customHeight="1">
      <c r="A1065" s="862"/>
      <c r="B1065" s="862"/>
      <c r="C1065" s="862"/>
      <c r="D1065" s="759"/>
      <c r="E1065" s="755"/>
      <c r="F1065" s="755"/>
      <c r="G1065" s="755"/>
      <c r="H1065" s="198"/>
      <c r="I1065" s="198"/>
    </row>
    <row r="1066" spans="1:9" ht="14.25">
      <c r="A1066" s="201"/>
      <c r="B1066" s="797" t="s">
        <v>325</v>
      </c>
      <c r="C1066" s="862"/>
      <c r="D1066" s="928" t="s">
        <v>626</v>
      </c>
      <c r="E1066" s="928"/>
      <c r="F1066" s="928"/>
      <c r="G1066" s="863"/>
      <c r="H1066" s="198"/>
      <c r="I1066" s="198"/>
    </row>
    <row r="1067" spans="1:9" ht="12.75">
      <c r="A1067" s="862"/>
      <c r="B1067" s="862"/>
      <c r="C1067" s="862"/>
      <c r="D1067" s="928"/>
      <c r="E1067" s="928"/>
      <c r="F1067" s="928"/>
      <c r="G1067" s="863"/>
      <c r="H1067" s="198"/>
      <c r="I1067" s="198"/>
    </row>
    <row r="1068" spans="1:9" ht="12.75">
      <c r="A1068" s="862"/>
      <c r="B1068" s="862"/>
      <c r="C1068" s="862"/>
      <c r="D1068" s="928"/>
      <c r="E1068" s="928"/>
      <c r="F1068" s="928"/>
      <c r="G1068" s="863"/>
      <c r="H1068" s="198"/>
      <c r="I1068" s="198"/>
    </row>
    <row r="1069" spans="1:9" ht="12.75">
      <c r="A1069" s="862"/>
      <c r="B1069" s="862"/>
      <c r="C1069" s="862"/>
      <c r="D1069" s="928"/>
      <c r="E1069" s="928"/>
      <c r="F1069" s="928"/>
      <c r="G1069" s="863"/>
      <c r="H1069" s="198"/>
      <c r="I1069" s="198"/>
    </row>
    <row r="1070" spans="1:9" ht="12.75">
      <c r="A1070" s="862"/>
      <c r="B1070" s="862"/>
      <c r="C1070" s="862"/>
      <c r="D1070" s="863"/>
      <c r="E1070" s="863"/>
      <c r="F1070" s="863"/>
      <c r="G1070" s="863"/>
      <c r="H1070" s="198"/>
      <c r="I1070" s="198"/>
    </row>
    <row r="1071" spans="1:9" ht="14.25">
      <c r="A1071" s="201"/>
      <c r="B1071" s="797" t="s">
        <v>323</v>
      </c>
      <c r="C1071" s="862"/>
      <c r="D1071" s="928" t="s">
        <v>627</v>
      </c>
      <c r="E1071" s="928"/>
      <c r="F1071" s="928"/>
      <c r="G1071" s="863"/>
      <c r="H1071" s="198"/>
      <c r="I1071" s="198"/>
    </row>
    <row r="1072" spans="1:9" ht="12.75">
      <c r="A1072" s="862"/>
      <c r="B1072" s="862"/>
      <c r="C1072" s="862"/>
      <c r="D1072" s="928"/>
      <c r="E1072" s="928"/>
      <c r="F1072" s="928"/>
      <c r="G1072" s="863"/>
      <c r="H1072" s="198"/>
      <c r="I1072" s="198"/>
    </row>
    <row r="1073" spans="1:9" ht="12.75">
      <c r="A1073" s="862"/>
      <c r="B1073" s="862"/>
      <c r="C1073" s="862"/>
      <c r="D1073" s="928"/>
      <c r="E1073" s="928"/>
      <c r="F1073" s="928"/>
      <c r="G1073" s="863"/>
      <c r="H1073" s="198"/>
      <c r="I1073" s="198"/>
    </row>
    <row r="1074" spans="1:9" ht="12.75">
      <c r="A1074" s="862"/>
      <c r="B1074" s="862"/>
      <c r="C1074" s="862"/>
      <c r="D1074" s="928"/>
      <c r="E1074" s="928"/>
      <c r="F1074" s="928"/>
      <c r="G1074" s="863"/>
      <c r="H1074" s="198"/>
      <c r="I1074" s="198"/>
    </row>
    <row r="1075" spans="1:9" ht="12.75">
      <c r="A1075" s="862"/>
      <c r="B1075" s="862"/>
      <c r="C1075" s="862"/>
      <c r="D1075" s="863"/>
      <c r="E1075" s="863"/>
      <c r="F1075" s="863"/>
      <c r="G1075" s="863"/>
    </row>
    <row r="1076" spans="1:9" ht="12.75">
      <c r="A1076" s="862"/>
      <c r="B1076" s="797" t="s">
        <v>325</v>
      </c>
      <c r="C1076" s="862"/>
      <c r="D1076" s="954" t="s">
        <v>628</v>
      </c>
      <c r="E1076" s="954"/>
      <c r="F1076" s="954"/>
      <c r="G1076" s="863"/>
    </row>
    <row r="1077" spans="1:9" ht="12.75">
      <c r="A1077" s="862"/>
      <c r="B1077" s="862"/>
      <c r="C1077" s="862"/>
      <c r="D1077" s="954"/>
      <c r="E1077" s="954"/>
      <c r="F1077" s="954"/>
      <c r="G1077" s="863"/>
    </row>
    <row r="1078" spans="1:9" ht="12.75">
      <c r="A1078" s="862"/>
      <c r="B1078" s="862"/>
      <c r="C1078" s="862"/>
      <c r="D1078" s="954"/>
      <c r="E1078" s="954"/>
      <c r="F1078" s="954"/>
      <c r="G1078" s="863"/>
    </row>
    <row r="1079" spans="1:9" ht="12.75">
      <c r="A1079" s="862"/>
      <c r="B1079" s="862"/>
      <c r="C1079" s="862"/>
      <c r="D1079" s="863"/>
      <c r="E1079" s="863"/>
      <c r="F1079" s="863"/>
      <c r="G1079" s="863"/>
    </row>
    <row r="1080" spans="1:9" ht="14.25">
      <c r="A1080" s="201"/>
      <c r="B1080" s="797" t="s">
        <v>325</v>
      </c>
      <c r="C1080" s="309"/>
      <c r="D1080" s="981" t="s">
        <v>629</v>
      </c>
      <c r="E1080" s="981"/>
      <c r="F1080" s="981"/>
      <c r="G1080" s="325"/>
    </row>
    <row r="1081" spans="1:9" ht="12.75">
      <c r="A1081" s="309"/>
      <c r="B1081" s="309"/>
      <c r="C1081" s="309"/>
      <c r="D1081" s="981"/>
      <c r="E1081" s="981"/>
      <c r="F1081" s="981"/>
      <c r="G1081" s="325"/>
    </row>
    <row r="1082" spans="1:9" ht="12.75">
      <c r="A1082" s="309"/>
      <c r="B1082" s="309"/>
      <c r="C1082" s="309"/>
      <c r="D1082" s="981"/>
      <c r="E1082" s="981"/>
      <c r="F1082" s="981"/>
      <c r="G1082" s="325"/>
    </row>
    <row r="1083" spans="1:9" ht="12.75">
      <c r="A1083" s="862"/>
      <c r="B1083" s="862"/>
      <c r="C1083" s="862"/>
      <c r="D1083" s="863"/>
      <c r="E1083" s="863"/>
      <c r="F1083" s="863"/>
      <c r="G1083" s="863"/>
    </row>
    <row r="1084" spans="1:9" ht="12.75">
      <c r="A1084" s="801"/>
      <c r="B1084" s="801"/>
      <c r="C1084" s="862"/>
      <c r="D1084" s="951" t="s">
        <v>630</v>
      </c>
      <c r="E1084" s="951"/>
      <c r="F1084" s="951"/>
      <c r="G1084" s="863"/>
    </row>
    <row r="1085" spans="1:9" ht="12.75">
      <c r="A1085" s="801"/>
      <c r="B1085" s="801"/>
      <c r="C1085" s="862"/>
      <c r="D1085" s="759"/>
      <c r="E1085" s="863"/>
      <c r="F1085" s="863"/>
      <c r="G1085" s="863"/>
    </row>
    <row r="1086" spans="1:9" ht="12.75">
      <c r="A1086" s="862"/>
      <c r="B1086" s="797" t="s">
        <v>325</v>
      </c>
      <c r="C1086" s="862"/>
      <c r="D1086" s="928" t="s">
        <v>631</v>
      </c>
      <c r="E1086" s="928"/>
      <c r="F1086" s="928"/>
      <c r="G1086" s="863"/>
    </row>
    <row r="1087" spans="1:9" ht="12.75">
      <c r="A1087" s="862"/>
      <c r="B1087" s="862"/>
      <c r="C1087" s="862"/>
      <c r="D1087" s="928"/>
      <c r="E1087" s="928"/>
      <c r="F1087" s="928"/>
      <c r="G1087" s="863"/>
    </row>
    <row r="1088" spans="1:9" ht="12.75">
      <c r="A1088" s="862"/>
      <c r="B1088" s="862"/>
      <c r="C1088" s="862"/>
      <c r="D1088" s="928"/>
      <c r="E1088" s="928"/>
      <c r="F1088" s="928"/>
      <c r="G1088" s="863"/>
    </row>
    <row r="1089" spans="1:7" ht="12.75">
      <c r="A1089" s="862"/>
      <c r="B1089" s="862"/>
      <c r="C1089" s="862"/>
      <c r="D1089" s="863"/>
      <c r="E1089" s="863"/>
      <c r="F1089" s="863"/>
      <c r="G1089" s="863"/>
    </row>
    <row r="1090" spans="1:7" ht="14.25">
      <c r="A1090" s="201"/>
      <c r="B1090" s="797" t="s">
        <v>325</v>
      </c>
      <c r="C1090" s="862"/>
      <c r="D1090" s="928" t="s">
        <v>632</v>
      </c>
      <c r="E1090" s="928"/>
      <c r="F1090" s="928"/>
      <c r="G1090" s="863"/>
    </row>
    <row r="1091" spans="1:7" ht="12.75">
      <c r="A1091" s="862"/>
      <c r="B1091" s="862"/>
      <c r="C1091" s="862"/>
      <c r="D1091" s="928"/>
      <c r="E1091" s="928"/>
      <c r="F1091" s="928"/>
      <c r="G1091" s="863"/>
    </row>
    <row r="1092" spans="1:7" ht="12.75">
      <c r="A1092" s="862"/>
      <c r="B1092" s="862"/>
      <c r="C1092" s="862"/>
      <c r="D1092" s="928"/>
      <c r="E1092" s="928"/>
      <c r="F1092" s="928"/>
      <c r="G1092" s="863"/>
    </row>
    <row r="1093" spans="1:7" ht="12.75">
      <c r="A1093" s="862"/>
      <c r="B1093" s="862"/>
      <c r="C1093" s="862"/>
      <c r="D1093" s="863"/>
      <c r="E1093" s="863"/>
      <c r="F1093" s="863"/>
      <c r="G1093" s="863"/>
    </row>
    <row r="1094" spans="1:7" ht="12.75">
      <c r="A1094" s="862"/>
      <c r="B1094" s="862"/>
      <c r="C1094" s="862"/>
      <c r="D1094" s="951" t="s">
        <v>633</v>
      </c>
      <c r="E1094" s="951"/>
      <c r="F1094" s="951"/>
      <c r="G1094" s="863"/>
    </row>
    <row r="1095" spans="1:7" ht="12.75">
      <c r="A1095" s="862"/>
      <c r="B1095" s="862"/>
      <c r="C1095" s="862"/>
      <c r="D1095" s="950" t="s">
        <v>634</v>
      </c>
      <c r="E1095" s="950"/>
      <c r="F1095" s="950"/>
      <c r="G1095" s="863"/>
    </row>
    <row r="1096" spans="1:7" ht="12.75">
      <c r="A1096" s="862"/>
      <c r="B1096" s="862"/>
      <c r="C1096" s="862"/>
      <c r="D1096" s="774"/>
      <c r="E1096" s="863"/>
      <c r="F1096" s="863"/>
      <c r="G1096" s="863"/>
    </row>
    <row r="1097" spans="1:7" ht="14.25">
      <c r="A1097" s="201"/>
      <c r="B1097" s="797" t="s">
        <v>325</v>
      </c>
      <c r="C1097" s="862"/>
      <c r="D1097" s="928" t="s">
        <v>635</v>
      </c>
      <c r="E1097" s="928"/>
      <c r="F1097" s="928"/>
      <c r="G1097" s="863"/>
    </row>
    <row r="1098" spans="1:7" ht="12.75">
      <c r="A1098" s="862"/>
      <c r="B1098" s="862"/>
      <c r="C1098" s="862"/>
      <c r="D1098" s="928"/>
      <c r="E1098" s="928"/>
      <c r="F1098" s="928"/>
      <c r="G1098" s="863"/>
    </row>
    <row r="1099" spans="1:7" ht="12.75">
      <c r="A1099" s="862"/>
      <c r="B1099" s="862"/>
      <c r="C1099" s="862"/>
      <c r="D1099" s="863"/>
      <c r="E1099" s="863"/>
      <c r="F1099" s="863"/>
      <c r="G1099" s="863"/>
    </row>
    <row r="1100" spans="1:7" ht="14.25">
      <c r="A1100" s="201"/>
      <c r="B1100" s="797" t="s">
        <v>325</v>
      </c>
      <c r="C1100" s="862"/>
      <c r="D1100" s="928" t="s">
        <v>636</v>
      </c>
      <c r="E1100" s="928"/>
      <c r="F1100" s="928"/>
      <c r="G1100" s="863"/>
    </row>
    <row r="1101" spans="1:7" ht="12.75">
      <c r="A1101" s="862"/>
      <c r="B1101" s="862"/>
      <c r="C1101" s="862"/>
      <c r="D1101" s="928"/>
      <c r="E1101" s="928"/>
      <c r="F1101" s="928"/>
      <c r="G1101" s="863"/>
    </row>
    <row r="1102" spans="1:7" ht="12.75">
      <c r="A1102" s="862"/>
      <c r="B1102" s="862"/>
      <c r="C1102" s="862"/>
      <c r="D1102" s="33"/>
      <c r="E1102" s="863"/>
      <c r="F1102" s="863"/>
      <c r="G1102" s="863"/>
    </row>
    <row r="1103" spans="1:7" ht="12.75">
      <c r="A1103" s="862"/>
      <c r="B1103" s="862"/>
      <c r="C1103" s="862"/>
      <c r="D1103" s="951" t="s">
        <v>637</v>
      </c>
      <c r="E1103" s="951"/>
      <c r="F1103" s="951"/>
      <c r="G1103" s="863"/>
    </row>
    <row r="1104" spans="1:7" ht="12.75">
      <c r="A1104" s="862"/>
      <c r="B1104" s="862"/>
      <c r="C1104" s="862"/>
      <c r="D1104" s="759"/>
      <c r="E1104" s="863"/>
      <c r="F1104" s="863"/>
      <c r="G1104" s="863"/>
    </row>
    <row r="1105" spans="1:7" ht="14.25">
      <c r="A1105" s="201"/>
      <c r="B1105" s="797" t="s">
        <v>323</v>
      </c>
      <c r="C1105" s="862"/>
      <c r="D1105" s="928" t="s">
        <v>638</v>
      </c>
      <c r="E1105" s="928"/>
      <c r="F1105" s="928"/>
      <c r="G1105" s="863"/>
    </row>
    <row r="1106" spans="1:7" ht="12.75">
      <c r="A1106" s="862"/>
      <c r="B1106" s="862"/>
      <c r="C1106" s="862"/>
      <c r="D1106" s="928"/>
      <c r="E1106" s="928"/>
      <c r="F1106" s="928"/>
      <c r="G1106" s="863"/>
    </row>
    <row r="1107" spans="1:7" ht="12.75">
      <c r="A1107" s="862"/>
      <c r="B1107" s="862"/>
      <c r="C1107" s="862"/>
      <c r="D1107" s="928"/>
      <c r="E1107" s="928"/>
      <c r="F1107" s="928"/>
      <c r="G1107" s="863"/>
    </row>
    <row r="1108" spans="1:7" ht="12.75">
      <c r="A1108" s="862"/>
      <c r="B1108" s="862"/>
      <c r="C1108" s="862"/>
      <c r="D1108" s="928"/>
      <c r="E1108" s="928"/>
      <c r="F1108" s="928"/>
      <c r="G1108" s="863"/>
    </row>
    <row r="1109" spans="1:7" ht="12.75">
      <c r="A1109" s="862"/>
      <c r="B1109" s="862"/>
      <c r="C1109" s="862"/>
      <c r="D1109" s="928"/>
      <c r="E1109" s="928"/>
      <c r="F1109" s="928"/>
      <c r="G1109" s="863"/>
    </row>
    <row r="1110" spans="1:7" ht="12.75">
      <c r="A1110" s="862"/>
      <c r="B1110" s="862"/>
      <c r="C1110" s="862"/>
      <c r="D1110" s="928"/>
      <c r="E1110" s="928"/>
      <c r="F1110" s="928"/>
      <c r="G1110" s="863"/>
    </row>
    <row r="1111" spans="1:7" ht="12.75">
      <c r="A1111" s="862"/>
      <c r="B1111" s="862"/>
      <c r="C1111" s="862"/>
      <c r="D1111" s="928"/>
      <c r="E1111" s="928"/>
      <c r="F1111" s="928"/>
      <c r="G1111" s="863"/>
    </row>
    <row r="1112" spans="1:7" ht="12.75">
      <c r="A1112" s="862"/>
      <c r="B1112" s="862"/>
      <c r="C1112" s="862"/>
      <c r="D1112" s="863"/>
      <c r="E1112" s="863"/>
      <c r="F1112" s="863"/>
      <c r="G1112" s="863"/>
    </row>
    <row r="1113" spans="1:7" ht="14.25">
      <c r="A1113" s="201"/>
      <c r="B1113" s="797" t="s">
        <v>325</v>
      </c>
      <c r="C1113" s="862"/>
      <c r="D1113" s="928" t="s">
        <v>639</v>
      </c>
      <c r="E1113" s="928"/>
      <c r="F1113" s="928"/>
      <c r="G1113" s="863"/>
    </row>
    <row r="1114" spans="1:7" ht="12.75">
      <c r="A1114" s="862"/>
      <c r="B1114" s="862"/>
      <c r="C1114" s="862"/>
      <c r="D1114" s="928"/>
      <c r="E1114" s="928"/>
      <c r="F1114" s="928"/>
      <c r="G1114" s="863"/>
    </row>
    <row r="1115" spans="1:7" ht="12.75">
      <c r="A1115" s="862"/>
      <c r="B1115" s="862"/>
      <c r="C1115" s="862"/>
      <c r="D1115" s="928"/>
      <c r="E1115" s="928"/>
      <c r="F1115" s="928"/>
      <c r="G1115" s="863"/>
    </row>
    <row r="1116" spans="1:7" ht="12.75">
      <c r="A1116" s="862"/>
      <c r="B1116" s="862"/>
      <c r="C1116" s="862"/>
      <c r="D1116" s="928"/>
      <c r="E1116" s="928"/>
      <c r="F1116" s="928"/>
      <c r="G1116" s="863"/>
    </row>
    <row r="1117" spans="1:7" ht="12.75">
      <c r="A1117" s="862"/>
      <c r="B1117" s="862"/>
      <c r="C1117" s="862"/>
      <c r="D1117" s="928"/>
      <c r="E1117" s="928"/>
      <c r="F1117" s="928"/>
      <c r="G1117" s="863"/>
    </row>
    <row r="1118" spans="1:7" ht="12.75">
      <c r="A1118" s="862"/>
      <c r="B1118" s="862"/>
      <c r="C1118" s="862"/>
      <c r="D1118" s="928"/>
      <c r="E1118" s="928"/>
      <c r="F1118" s="928"/>
      <c r="G1118" s="863"/>
    </row>
    <row r="1119" spans="1:7" ht="12.75">
      <c r="A1119" s="862"/>
      <c r="B1119" s="862"/>
      <c r="C1119" s="862"/>
      <c r="D1119" s="928"/>
      <c r="E1119" s="928"/>
      <c r="F1119" s="928"/>
      <c r="G1119" s="863"/>
    </row>
    <row r="1120" spans="1:7" ht="12.75">
      <c r="A1120" s="862"/>
      <c r="B1120" s="862"/>
      <c r="C1120" s="862"/>
      <c r="D1120" s="753"/>
      <c r="E1120" s="753"/>
      <c r="F1120" s="753"/>
      <c r="G1120" s="863"/>
    </row>
    <row r="1121" spans="1:7" ht="12.4" customHeight="1">
      <c r="A1121" s="862"/>
      <c r="B1121" s="797" t="s">
        <v>325</v>
      </c>
      <c r="C1121" s="862"/>
      <c r="D1121" s="954" t="s">
        <v>640</v>
      </c>
      <c r="E1121" s="954"/>
      <c r="F1121" s="954"/>
      <c r="G1121" s="863"/>
    </row>
    <row r="1122" spans="1:7" ht="12.4" customHeight="1">
      <c r="A1122" s="862"/>
      <c r="B1122" s="862"/>
      <c r="C1122" s="862"/>
      <c r="D1122" s="954"/>
      <c r="E1122" s="954"/>
      <c r="F1122" s="954"/>
      <c r="G1122" s="863"/>
    </row>
    <row r="1123" spans="1:7" ht="12.75">
      <c r="A1123" s="862"/>
      <c r="B1123" s="862"/>
      <c r="C1123" s="862"/>
      <c r="D1123" s="954"/>
      <c r="E1123" s="954"/>
      <c r="F1123" s="954"/>
      <c r="G1123" s="863"/>
    </row>
    <row r="1124" spans="1:7" ht="12.75">
      <c r="A1124" s="862"/>
      <c r="B1124" s="862"/>
      <c r="C1124" s="862"/>
      <c r="D1124" s="762"/>
      <c r="E1124" s="762"/>
      <c r="F1124" s="762"/>
      <c r="G1124" s="863"/>
    </row>
    <row r="1125" spans="1:7" ht="12.75">
      <c r="A1125" s="801"/>
      <c r="B1125" s="801"/>
      <c r="C1125" s="801"/>
      <c r="D1125" s="951" t="s">
        <v>641</v>
      </c>
      <c r="E1125" s="951"/>
      <c r="F1125" s="951"/>
      <c r="G1125" s="33"/>
    </row>
    <row r="1126" spans="1:7" ht="12.75">
      <c r="A1126" s="801"/>
      <c r="B1126" s="801"/>
      <c r="C1126" s="801"/>
      <c r="D1126" s="759"/>
      <c r="E1126" s="33"/>
      <c r="F1126" s="33"/>
      <c r="G1126" s="33"/>
    </row>
    <row r="1127" spans="1:7" ht="14.25">
      <c r="A1127" s="201"/>
      <c r="B1127" s="797" t="s">
        <v>325</v>
      </c>
      <c r="C1127" s="801"/>
      <c r="D1127" s="928" t="s">
        <v>642</v>
      </c>
      <c r="E1127" s="928"/>
      <c r="F1127" s="928"/>
      <c r="G1127" s="33"/>
    </row>
    <row r="1128" spans="1:7" ht="12.75">
      <c r="A1128" s="801"/>
      <c r="B1128" s="801"/>
      <c r="C1128" s="801"/>
      <c r="D1128" s="928"/>
      <c r="E1128" s="928"/>
      <c r="F1128" s="928"/>
      <c r="G1128" s="33"/>
    </row>
    <row r="1129" spans="1:7" ht="12.75">
      <c r="A1129" s="801"/>
      <c r="B1129" s="801"/>
      <c r="C1129" s="801"/>
      <c r="D1129" s="33"/>
      <c r="E1129" s="33"/>
      <c r="F1129" s="33"/>
      <c r="G1129" s="33"/>
    </row>
    <row r="1130" spans="1:7" ht="14.25">
      <c r="A1130" s="201"/>
      <c r="B1130" s="797" t="s">
        <v>325</v>
      </c>
      <c r="C1130" s="801"/>
      <c r="D1130" s="928" t="s">
        <v>643</v>
      </c>
      <c r="E1130" s="928"/>
      <c r="F1130" s="928"/>
      <c r="G1130" s="33"/>
    </row>
    <row r="1131" spans="1:7" ht="12.75">
      <c r="A1131" s="801"/>
      <c r="B1131" s="801"/>
      <c r="C1131" s="801"/>
      <c r="D1131" s="928"/>
      <c r="E1131" s="928"/>
      <c r="F1131" s="928"/>
      <c r="G1131" s="33"/>
    </row>
    <row r="1132" spans="1:7" ht="12.75">
      <c r="A1132" s="801"/>
      <c r="B1132" s="801"/>
      <c r="C1132" s="801"/>
      <c r="D1132" s="33"/>
      <c r="E1132" s="33"/>
      <c r="F1132" s="33"/>
      <c r="G1132" s="33"/>
    </row>
    <row r="1133" spans="1:7" ht="12.75">
      <c r="A1133" s="801"/>
      <c r="B1133" s="801"/>
      <c r="C1133" s="801"/>
      <c r="D1133" s="951" t="s">
        <v>644</v>
      </c>
      <c r="E1133" s="951"/>
      <c r="F1133" s="951"/>
      <c r="G1133" s="33"/>
    </row>
    <row r="1134" spans="1:7" ht="12.75">
      <c r="A1134" s="801"/>
      <c r="B1134" s="801"/>
      <c r="C1134" s="801"/>
      <c r="D1134" s="759"/>
      <c r="E1134" s="33"/>
      <c r="F1134" s="33"/>
      <c r="G1134" s="33"/>
    </row>
    <row r="1135" spans="1:7" ht="14.25">
      <c r="A1135" s="201"/>
      <c r="B1135" s="797" t="s">
        <v>325</v>
      </c>
      <c r="C1135" s="801"/>
      <c r="D1135" s="950" t="s">
        <v>645</v>
      </c>
      <c r="E1135" s="950"/>
      <c r="F1135" s="950"/>
      <c r="G1135" s="33"/>
    </row>
    <row r="1136" spans="1:7" ht="12.75">
      <c r="A1136" s="801"/>
      <c r="B1136" s="801"/>
      <c r="C1136" s="801"/>
      <c r="D1136" s="33"/>
      <c r="E1136" s="33"/>
      <c r="F1136" s="33"/>
      <c r="G1136" s="33"/>
    </row>
    <row r="1137" spans="1:7" ht="14.25">
      <c r="A1137" s="201"/>
      <c r="B1137" s="797" t="s">
        <v>325</v>
      </c>
      <c r="C1137" s="801"/>
      <c r="D1137" s="928" t="s">
        <v>646</v>
      </c>
      <c r="E1137" s="928"/>
      <c r="F1137" s="928"/>
      <c r="G1137" s="33"/>
    </row>
    <row r="1138" spans="1:7" ht="14.25">
      <c r="A1138" s="201"/>
      <c r="B1138" s="201"/>
      <c r="C1138" s="801"/>
      <c r="D1138" s="928"/>
      <c r="E1138" s="928"/>
      <c r="F1138" s="928"/>
      <c r="G1138" s="33"/>
    </row>
    <row r="1139" spans="1:7" ht="14.25">
      <c r="A1139" s="201"/>
      <c r="B1139" s="201"/>
      <c r="C1139" s="801"/>
      <c r="D1139" s="753"/>
      <c r="E1139" s="753"/>
      <c r="F1139" s="753"/>
      <c r="G1139"/>
    </row>
    <row r="1140" spans="1:7" ht="12.75">
      <c r="A1140" s="801"/>
      <c r="B1140" s="801"/>
      <c r="C1140" s="801"/>
      <c r="D1140" s="951" t="s">
        <v>647</v>
      </c>
      <c r="E1140" s="951"/>
      <c r="F1140" s="951"/>
      <c r="G1140"/>
    </row>
    <row r="1141" spans="1:7" ht="12.75">
      <c r="A1141" s="801"/>
      <c r="B1141" s="801"/>
      <c r="C1141" s="801"/>
      <c r="D1141" s="759"/>
      <c r="E1141" s="33"/>
      <c r="F1141" s="33"/>
      <c r="G1141"/>
    </row>
    <row r="1142" spans="1:7" ht="14.45" customHeight="1">
      <c r="A1142" s="201"/>
      <c r="B1142" s="797" t="s">
        <v>325</v>
      </c>
      <c r="C1142" s="801"/>
      <c r="D1142" s="928" t="s">
        <v>648</v>
      </c>
      <c r="E1142" s="928"/>
      <c r="F1142" s="928"/>
      <c r="G1142"/>
    </row>
    <row r="1143" spans="1:7" ht="14.25">
      <c r="A1143" s="201"/>
      <c r="B1143" s="201"/>
      <c r="C1143" s="801"/>
      <c r="D1143" s="928"/>
      <c r="E1143" s="928"/>
      <c r="F1143" s="928"/>
      <c r="G1143"/>
    </row>
    <row r="1144" spans="1:7" ht="14.25">
      <c r="A1144" s="201"/>
      <c r="B1144" s="201"/>
      <c r="C1144" s="801"/>
      <c r="D1144" s="928"/>
      <c r="E1144" s="928"/>
      <c r="F1144" s="928"/>
      <c r="G1144"/>
    </row>
    <row r="1145" spans="1:7" ht="14.25">
      <c r="A1145" s="201"/>
      <c r="B1145" s="201"/>
      <c r="C1145" s="801"/>
      <c r="D1145" s="928"/>
      <c r="E1145" s="928"/>
      <c r="F1145" s="928"/>
      <c r="G1145"/>
    </row>
    <row r="1146" spans="1:7" ht="14.25">
      <c r="A1146" s="201"/>
      <c r="B1146" s="201"/>
      <c r="C1146" s="801"/>
      <c r="D1146" s="928"/>
      <c r="E1146" s="928"/>
      <c r="F1146" s="928"/>
      <c r="G1146"/>
    </row>
    <row r="1147" spans="1:7" ht="14.25">
      <c r="A1147" s="201"/>
      <c r="B1147" s="201"/>
      <c r="C1147" s="801"/>
      <c r="D1147" s="928"/>
      <c r="E1147" s="928"/>
      <c r="F1147" s="928"/>
      <c r="G1147"/>
    </row>
    <row r="1148" spans="1:7" ht="14.25">
      <c r="A1148" s="201"/>
      <c r="B1148" s="201"/>
      <c r="C1148" s="801"/>
      <c r="D1148" s="928"/>
      <c r="E1148" s="928"/>
      <c r="F1148" s="928"/>
      <c r="G1148"/>
    </row>
    <row r="1149" spans="1:7" ht="14.25">
      <c r="A1149" s="201"/>
      <c r="B1149" s="201"/>
      <c r="C1149" s="801"/>
      <c r="D1149" s="928"/>
      <c r="E1149" s="928"/>
      <c r="F1149" s="928"/>
      <c r="G1149"/>
    </row>
    <row r="1150" spans="1:7" ht="14.25">
      <c r="A1150" s="201"/>
      <c r="B1150" s="201"/>
      <c r="C1150" s="801"/>
      <c r="D1150" s="928"/>
      <c r="E1150" s="928"/>
      <c r="F1150" s="928"/>
      <c r="G1150"/>
    </row>
    <row r="1151" spans="1:7" ht="14.25">
      <c r="A1151" s="201"/>
      <c r="B1151" s="201"/>
      <c r="C1151" s="801"/>
      <c r="D1151" s="928"/>
      <c r="E1151" s="928"/>
      <c r="F1151" s="928"/>
      <c r="G1151"/>
    </row>
    <row r="1152" spans="1:7" ht="14.25">
      <c r="A1152" s="201"/>
      <c r="B1152" s="201"/>
      <c r="C1152" s="801"/>
      <c r="D1152" s="928"/>
      <c r="E1152" s="928"/>
      <c r="F1152" s="928"/>
      <c r="G1152"/>
    </row>
    <row r="1153" spans="1:7" ht="14.25">
      <c r="A1153" s="201"/>
      <c r="B1153" s="201"/>
      <c r="C1153" s="801"/>
      <c r="D1153" s="928"/>
      <c r="E1153" s="928"/>
      <c r="F1153" s="928"/>
      <c r="G1153"/>
    </row>
    <row r="1154" spans="1:7" ht="14.25">
      <c r="A1154" s="201"/>
      <c r="B1154" s="201"/>
      <c r="C1154" s="801"/>
      <c r="D1154" s="928"/>
      <c r="E1154" s="928"/>
      <c r="F1154" s="928"/>
      <c r="G1154"/>
    </row>
    <row r="1155" spans="1:7" ht="38.25" customHeight="1">
      <c r="A1155" s="201"/>
      <c r="B1155" s="201"/>
      <c r="C1155" s="801"/>
      <c r="D1155" s="928"/>
      <c r="E1155" s="928"/>
      <c r="F1155" s="928"/>
      <c r="G1155" s="33"/>
    </row>
    <row r="1156" spans="1:7" ht="12.75">
      <c r="A1156" s="801"/>
      <c r="B1156" s="801"/>
      <c r="C1156" s="801"/>
      <c r="D1156" s="33"/>
      <c r="E1156" s="33"/>
      <c r="F1156" s="33"/>
      <c r="G1156" s="33"/>
    </row>
    <row r="1157" spans="1:7" ht="12.75">
      <c r="A1157" s="979" t="s">
        <v>649</v>
      </c>
      <c r="B1157" s="979"/>
      <c r="C1157" s="979"/>
      <c r="D1157" s="979"/>
      <c r="E1157" s="979"/>
      <c r="F1157" s="979"/>
      <c r="G1157" s="979"/>
    </row>
    <row r="1158" spans="1:7" ht="12.75">
      <c r="A1158" s="760"/>
      <c r="B1158" s="760"/>
      <c r="C1158" s="801"/>
      <c r="D1158" s="33"/>
      <c r="E1158" s="33"/>
      <c r="F1158" s="33"/>
      <c r="G1158" s="33"/>
    </row>
    <row r="1159" spans="1:7" ht="12.75">
      <c r="A1159" s="801"/>
      <c r="B1159" s="801"/>
      <c r="C1159" s="862"/>
      <c r="D1159" s="951" t="s">
        <v>650</v>
      </c>
      <c r="E1159" s="951"/>
      <c r="F1159" s="951"/>
      <c r="G1159" s="33"/>
    </row>
    <row r="1160" spans="1:7" ht="12.75">
      <c r="A1160" s="778"/>
      <c r="B1160" s="778"/>
      <c r="C1160" s="778"/>
      <c r="D1160" s="950" t="s">
        <v>651</v>
      </c>
      <c r="E1160" s="950"/>
      <c r="F1160" s="950"/>
      <c r="G1160" s="33"/>
    </row>
    <row r="1161" spans="1:7" ht="12.75">
      <c r="A1161" s="778"/>
      <c r="B1161" s="778"/>
      <c r="C1161" s="778"/>
      <c r="D1161" s="33"/>
      <c r="E1161" s="33"/>
      <c r="F1161" s="863"/>
      <c r="G1161"/>
    </row>
    <row r="1162" spans="1:7" ht="13.7" customHeight="1">
      <c r="A1162" s="801"/>
      <c r="B1162" s="797" t="s">
        <v>323</v>
      </c>
      <c r="C1162" s="801"/>
      <c r="D1162" s="998" t="s">
        <v>652</v>
      </c>
      <c r="E1162" s="998"/>
      <c r="F1162" s="998"/>
      <c r="G1162"/>
    </row>
    <row r="1163" spans="1:7" ht="12.75">
      <c r="A1163" s="801"/>
      <c r="B1163" s="801"/>
      <c r="C1163" s="801"/>
      <c r="D1163" s="998"/>
      <c r="E1163" s="998"/>
      <c r="F1163" s="998"/>
      <c r="G1163"/>
    </row>
    <row r="1164" spans="1:7" ht="12.75">
      <c r="A1164" s="801"/>
      <c r="B1164" s="801"/>
      <c r="C1164" s="801"/>
      <c r="D1164" s="783"/>
      <c r="E1164" s="727" t="s">
        <v>653</v>
      </c>
      <c r="F1164" s="783"/>
      <c r="G1164"/>
    </row>
    <row r="1165" spans="1:7" ht="12.75">
      <c r="A1165" s="801"/>
      <c r="B1165" s="801"/>
      <c r="C1165" s="801"/>
      <c r="D1165" s="783"/>
      <c r="E1165" s="783"/>
      <c r="F1165" s="783"/>
      <c r="G1165"/>
    </row>
    <row r="1166" spans="1:7" ht="12.75">
      <c r="A1166" s="801"/>
      <c r="B1166" s="801"/>
      <c r="C1166" s="801"/>
      <c r="D1166" s="947" t="s">
        <v>654</v>
      </c>
      <c r="E1166" s="947"/>
      <c r="F1166" s="947"/>
      <c r="G1166"/>
    </row>
    <row r="1167" spans="1:7" ht="12.75">
      <c r="A1167" s="140"/>
      <c r="B1167" s="140"/>
      <c r="C1167" s="140"/>
      <c r="D1167" s="947"/>
      <c r="E1167" s="947"/>
      <c r="F1167" s="947"/>
      <c r="G1167"/>
    </row>
    <row r="1168" spans="1:7" ht="14.45" customHeight="1">
      <c r="A1168" s="140"/>
      <c r="B1168" s="140"/>
      <c r="C1168" s="140"/>
      <c r="D1168" s="947"/>
      <c r="E1168" s="947"/>
      <c r="F1168" s="947"/>
      <c r="G1168"/>
    </row>
    <row r="1169" spans="1:7" ht="12.75">
      <c r="A1169" s="140"/>
      <c r="B1169" s="140"/>
      <c r="C1169" s="140"/>
      <c r="D1169" s="756"/>
      <c r="E1169" s="756"/>
      <c r="F1169" s="756"/>
      <c r="G1169"/>
    </row>
    <row r="1170" spans="1:7" ht="12.75">
      <c r="A1170" s="140"/>
      <c r="B1170" s="797" t="s">
        <v>325</v>
      </c>
      <c r="C1170" s="140"/>
      <c r="D1170" s="928" t="s">
        <v>655</v>
      </c>
      <c r="E1170" s="928"/>
      <c r="F1170" s="928"/>
      <c r="G1170"/>
    </row>
    <row r="1171" spans="1:7" ht="12.75">
      <c r="A1171" s="140"/>
      <c r="B1171" s="140"/>
      <c r="C1171" s="140"/>
      <c r="D1171" s="928"/>
      <c r="E1171" s="928"/>
      <c r="F1171" s="928"/>
      <c r="G1171"/>
    </row>
    <row r="1172" spans="1:7" ht="12.75">
      <c r="A1172" s="140"/>
      <c r="B1172" s="140"/>
      <c r="C1172" s="140"/>
      <c r="D1172" s="928"/>
      <c r="E1172" s="928"/>
      <c r="F1172" s="928"/>
      <c r="G1172"/>
    </row>
    <row r="1173" spans="1:7" ht="12.75">
      <c r="A1173" s="140"/>
      <c r="B1173" s="140"/>
      <c r="C1173" s="140"/>
      <c r="D1173" s="928"/>
      <c r="E1173" s="928"/>
      <c r="F1173" s="928"/>
      <c r="G1173"/>
    </row>
    <row r="1174" spans="1:7" ht="12.75">
      <c r="A1174" s="140"/>
      <c r="B1174" s="140"/>
      <c r="C1174" s="140"/>
      <c r="D1174" s="753"/>
      <c r="E1174" s="753"/>
      <c r="F1174" s="753"/>
      <c r="G1174"/>
    </row>
    <row r="1175" spans="1:7" ht="12.75">
      <c r="A1175" s="140"/>
      <c r="B1175" s="797" t="s">
        <v>325</v>
      </c>
      <c r="C1175" s="140"/>
      <c r="D1175" s="928" t="s">
        <v>656</v>
      </c>
      <c r="E1175" s="928"/>
      <c r="F1175" s="928"/>
      <c r="G1175"/>
    </row>
    <row r="1176" spans="1:7" ht="12.75">
      <c r="A1176" s="140"/>
      <c r="B1176" s="140"/>
      <c r="C1176" s="140"/>
      <c r="D1176" s="928"/>
      <c r="E1176" s="928"/>
      <c r="F1176" s="928"/>
      <c r="G1176"/>
    </row>
    <row r="1177" spans="1:7" ht="12.75">
      <c r="A1177" s="140"/>
      <c r="B1177" s="140"/>
      <c r="C1177" s="140"/>
      <c r="D1177" s="753"/>
      <c r="E1177" s="753"/>
      <c r="F1177" s="753"/>
      <c r="G1177"/>
    </row>
    <row r="1178" spans="1:7" ht="14.25">
      <c r="A1178" s="201"/>
      <c r="B1178" s="797" t="s">
        <v>323</v>
      </c>
      <c r="C1178" s="801"/>
      <c r="D1178" s="950" t="s">
        <v>657</v>
      </c>
      <c r="E1178" s="950"/>
      <c r="F1178" s="950"/>
      <c r="G1178"/>
    </row>
    <row r="1179" spans="1:7" ht="12.75">
      <c r="A1179" s="801"/>
      <c r="B1179" s="801"/>
      <c r="C1179" s="801"/>
      <c r="D1179" s="33"/>
      <c r="E1179" s="33"/>
      <c r="F1179" s="33"/>
      <c r="G1179"/>
    </row>
    <row r="1180" spans="1:7" ht="14.25">
      <c r="A1180" s="201"/>
      <c r="B1180" s="797" t="s">
        <v>323</v>
      </c>
      <c r="C1180" s="801"/>
      <c r="D1180" s="950" t="s">
        <v>658</v>
      </c>
      <c r="E1180" s="950"/>
      <c r="F1180" s="950"/>
      <c r="G1180"/>
    </row>
    <row r="1181" spans="1:7" ht="12.75">
      <c r="A1181" s="801"/>
      <c r="B1181" s="801"/>
      <c r="C1181" s="801"/>
      <c r="D1181" s="760"/>
      <c r="E1181" s="33"/>
      <c r="F1181" s="33"/>
      <c r="G1181"/>
    </row>
    <row r="1182" spans="1:7" ht="14.25">
      <c r="A1182" s="201"/>
      <c r="B1182" s="797" t="s">
        <v>323</v>
      </c>
      <c r="C1182" s="801"/>
      <c r="D1182" s="950" t="s">
        <v>659</v>
      </c>
      <c r="E1182" s="950"/>
      <c r="F1182" s="950"/>
      <c r="G1182"/>
    </row>
    <row r="1183" spans="1:7" ht="12.75">
      <c r="A1183" s="801"/>
      <c r="B1183" s="801"/>
      <c r="C1183" s="801"/>
      <c r="D1183" s="760"/>
      <c r="E1183" s="33"/>
      <c r="F1183" s="33"/>
      <c r="G1183"/>
    </row>
    <row r="1184" spans="1:7" ht="14.25">
      <c r="A1184" s="201"/>
      <c r="B1184" s="797" t="s">
        <v>325</v>
      </c>
      <c r="C1184" s="801"/>
      <c r="D1184" s="928" t="s">
        <v>660</v>
      </c>
      <c r="E1184" s="928"/>
      <c r="F1184" s="928"/>
      <c r="G1184"/>
    </row>
    <row r="1185" spans="1:7" ht="14.25">
      <c r="A1185" s="201"/>
      <c r="B1185" s="201"/>
      <c r="C1185" s="801"/>
      <c r="D1185" s="928"/>
      <c r="E1185" s="928"/>
      <c r="F1185" s="928"/>
      <c r="G1185"/>
    </row>
    <row r="1186" spans="1:7" ht="14.25">
      <c r="A1186" s="201"/>
      <c r="B1186" s="201"/>
      <c r="C1186" s="801"/>
      <c r="D1186" s="760"/>
      <c r="E1186" s="33"/>
      <c r="F1186" s="33"/>
      <c r="G1186" s="33"/>
    </row>
    <row r="1187" spans="1:7" s="324" customFormat="1" ht="14.25">
      <c r="A1187" s="215"/>
      <c r="B1187" s="797" t="s">
        <v>325</v>
      </c>
      <c r="C1187" s="618"/>
      <c r="D1187" s="948" t="s">
        <v>661</v>
      </c>
      <c r="E1187" s="948"/>
      <c r="F1187" s="948"/>
      <c r="G1187" s="619"/>
    </row>
    <row r="1188" spans="1:7" s="324" customFormat="1" ht="12.75">
      <c r="A1188" s="618"/>
      <c r="B1188" s="618"/>
      <c r="C1188" s="618"/>
      <c r="D1188" s="948"/>
      <c r="E1188" s="948"/>
      <c r="F1188" s="948"/>
      <c r="G1188" s="619"/>
    </row>
    <row r="1189" spans="1:7" s="324" customFormat="1" ht="12.75">
      <c r="A1189" s="618"/>
      <c r="B1189" s="618"/>
      <c r="C1189" s="618"/>
      <c r="D1189" s="775"/>
      <c r="E1189" s="619"/>
      <c r="F1189" s="619"/>
      <c r="G1189" s="619"/>
    </row>
    <row r="1190" spans="1:7" s="324" customFormat="1" ht="14.25">
      <c r="A1190" s="215"/>
      <c r="B1190" s="797" t="s">
        <v>325</v>
      </c>
      <c r="C1190" s="618"/>
      <c r="D1190" s="949" t="s">
        <v>662</v>
      </c>
      <c r="E1190" s="949"/>
      <c r="F1190" s="949"/>
      <c r="G1190" s="619"/>
    </row>
    <row r="1191" spans="1:7" s="324" customFormat="1" ht="12.75">
      <c r="A1191" s="618"/>
      <c r="B1191" s="618"/>
      <c r="C1191" s="618"/>
      <c r="D1191" s="775"/>
      <c r="E1191" s="619"/>
      <c r="F1191" s="619"/>
      <c r="G1191" s="619"/>
    </row>
    <row r="1192" spans="1:7" ht="14.25">
      <c r="A1192" s="201"/>
      <c r="B1192" s="797" t="s">
        <v>323</v>
      </c>
      <c r="C1192" s="801"/>
      <c r="D1192" s="950" t="s">
        <v>663</v>
      </c>
      <c r="E1192" s="950"/>
      <c r="F1192" s="950"/>
      <c r="G1192" s="33"/>
    </row>
    <row r="1193" spans="1:7" ht="14.25">
      <c r="A1193" s="201"/>
      <c r="B1193" s="201"/>
      <c r="C1193" s="801"/>
      <c r="D1193" s="760"/>
      <c r="E1193" s="33"/>
      <c r="F1193" s="33"/>
      <c r="G1193" s="33"/>
    </row>
    <row r="1194" spans="1:7" ht="14.25">
      <c r="A1194" s="201"/>
      <c r="B1194" s="797" t="s">
        <v>323</v>
      </c>
      <c r="C1194" s="801"/>
      <c r="D1194" s="928" t="s">
        <v>664</v>
      </c>
      <c r="E1194" s="928"/>
      <c r="F1194" s="928"/>
      <c r="G1194" s="33"/>
    </row>
    <row r="1195" spans="1:7" ht="14.25">
      <c r="A1195" s="201"/>
      <c r="B1195" s="201"/>
      <c r="C1195" s="801"/>
      <c r="D1195" s="928"/>
      <c r="E1195" s="928"/>
      <c r="F1195" s="928"/>
      <c r="G1195" s="33"/>
    </row>
    <row r="1196" spans="1:7" ht="12.75">
      <c r="A1196" s="801"/>
      <c r="B1196" s="801"/>
      <c r="C1196" s="801"/>
      <c r="D1196" s="33"/>
      <c r="E1196" s="33"/>
      <c r="F1196" s="33"/>
      <c r="G1196" s="33"/>
    </row>
    <row r="1197" spans="1:7" ht="12.75">
      <c r="A1197" s="979" t="s">
        <v>665</v>
      </c>
      <c r="B1197" s="979"/>
      <c r="C1197" s="979"/>
      <c r="D1197" s="979"/>
      <c r="E1197" s="979"/>
      <c r="F1197" s="979"/>
      <c r="G1197" s="979"/>
    </row>
    <row r="1198" spans="1:7" ht="12.75">
      <c r="A1198" s="801"/>
      <c r="B1198" s="801"/>
      <c r="C1198" s="801"/>
      <c r="D1198" s="33"/>
      <c r="E1198" s="33"/>
      <c r="F1198" s="33"/>
      <c r="G1198" s="33"/>
    </row>
    <row r="1199" spans="1:7" ht="12.75">
      <c r="A1199" s="979" t="s">
        <v>666</v>
      </c>
      <c r="B1199" s="979"/>
      <c r="C1199" s="979"/>
      <c r="D1199" s="979"/>
      <c r="E1199" s="979"/>
      <c r="F1199" s="979"/>
      <c r="G1199" s="979"/>
    </row>
    <row r="1200" spans="1:7" ht="12.75">
      <c r="A1200" s="801"/>
      <c r="B1200" s="801"/>
      <c r="C1200" s="801"/>
      <c r="D1200" s="33"/>
      <c r="E1200" s="33"/>
      <c r="F1200" s="33"/>
      <c r="G1200" s="33"/>
    </row>
    <row r="1201" spans="1:7" ht="12.75">
      <c r="A1201" s="801"/>
      <c r="B1201" s="801"/>
      <c r="C1201" s="801"/>
      <c r="D1201" s="953" t="s">
        <v>667</v>
      </c>
      <c r="E1201" s="953"/>
      <c r="F1201" s="953"/>
      <c r="G1201" s="33"/>
    </row>
    <row r="1202" spans="1:7" ht="12.75">
      <c r="A1202" s="801"/>
      <c r="B1202" s="801"/>
      <c r="C1202" s="801"/>
      <c r="D1202" s="949" t="s">
        <v>668</v>
      </c>
      <c r="E1202" s="949"/>
      <c r="F1202" s="949"/>
      <c r="G1202" s="33"/>
    </row>
    <row r="1203" spans="1:7" ht="12.75">
      <c r="A1203" s="778"/>
      <c r="B1203" s="778"/>
      <c r="C1203" s="778"/>
      <c r="D1203" s="33"/>
      <c r="E1203" s="33"/>
      <c r="F1203" s="33"/>
      <c r="G1203" s="33"/>
    </row>
    <row r="1204" spans="1:7" ht="14.25">
      <c r="A1204" s="201"/>
      <c r="B1204" s="201"/>
      <c r="C1204" s="140"/>
      <c r="D1204" s="953" t="s">
        <v>669</v>
      </c>
      <c r="E1204" s="953"/>
      <c r="F1204" s="953"/>
      <c r="G1204" s="33"/>
    </row>
    <row r="1205" spans="1:7" ht="12.75">
      <c r="A1205" s="801"/>
      <c r="B1205" s="797" t="s">
        <v>323</v>
      </c>
      <c r="C1205" s="801"/>
      <c r="D1205" s="949" t="s">
        <v>670</v>
      </c>
      <c r="E1205" s="949"/>
      <c r="F1205" s="949"/>
      <c r="G1205" s="33"/>
    </row>
    <row r="1206" spans="1:7" ht="12.75">
      <c r="A1206" s="801"/>
      <c r="B1206" s="801"/>
      <c r="C1206" s="801"/>
      <c r="D1206" s="949" t="s">
        <v>671</v>
      </c>
      <c r="E1206" s="949"/>
      <c r="F1206" s="949"/>
      <c r="G1206" s="33"/>
    </row>
    <row r="1207" spans="1:7" ht="12.75">
      <c r="A1207" s="801"/>
      <c r="B1207" s="801"/>
      <c r="C1207" s="801"/>
      <c r="D1207" s="33"/>
      <c r="E1207" s="33"/>
      <c r="F1207" s="33"/>
      <c r="G1207"/>
    </row>
    <row r="1208" spans="1:7" ht="12.75" customHeight="1">
      <c r="A1208" s="801"/>
      <c r="B1208" s="797" t="s">
        <v>325</v>
      </c>
      <c r="C1208" s="801"/>
      <c r="D1208" s="948" t="s">
        <v>672</v>
      </c>
      <c r="E1208" s="948"/>
      <c r="F1208" s="948"/>
      <c r="G1208"/>
    </row>
    <row r="1209" spans="1:7" ht="12.75">
      <c r="A1209" s="801"/>
      <c r="B1209" s="801"/>
      <c r="C1209" s="801"/>
      <c r="D1209" s="948"/>
      <c r="E1209" s="948"/>
      <c r="F1209" s="948"/>
      <c r="G1209"/>
    </row>
    <row r="1210" spans="1:7" ht="12.75">
      <c r="A1210" s="801"/>
      <c r="B1210" s="801"/>
      <c r="C1210" s="801"/>
      <c r="D1210" s="33"/>
      <c r="E1210" s="33"/>
      <c r="F1210" s="33"/>
      <c r="G1210"/>
    </row>
    <row r="1211" spans="1:7" ht="12.75" customHeight="1">
      <c r="A1211" s="801"/>
      <c r="B1211" s="801"/>
      <c r="C1211" s="801"/>
      <c r="D1211" s="33"/>
      <c r="E1211" s="33"/>
      <c r="F1211" s="33"/>
      <c r="G1211" s="33"/>
    </row>
    <row r="1212" spans="1:7" ht="12.75">
      <c r="A1212" s="979" t="s">
        <v>673</v>
      </c>
      <c r="B1212" s="979"/>
      <c r="C1212" s="979"/>
      <c r="D1212" s="979"/>
      <c r="E1212" s="979"/>
      <c r="F1212" s="979"/>
      <c r="G1212" s="979"/>
    </row>
    <row r="1213" spans="1:7" ht="12.75">
      <c r="A1213" s="760"/>
      <c r="B1213" s="760"/>
      <c r="C1213" s="801"/>
      <c r="D1213" s="33"/>
      <c r="E1213" s="33"/>
      <c r="F1213" s="33"/>
      <c r="G1213" s="33"/>
    </row>
    <row r="1214" spans="1:7" ht="12.75" customHeight="1">
      <c r="A1214" s="760"/>
      <c r="B1214" s="760"/>
      <c r="C1214" s="801"/>
      <c r="D1214" s="951" t="s">
        <v>674</v>
      </c>
      <c r="E1214" s="951"/>
      <c r="F1214" s="951"/>
      <c r="G1214" s="33"/>
    </row>
    <row r="1215" spans="1:7" ht="12.75" customHeight="1">
      <c r="A1215" s="760"/>
      <c r="B1215" s="760"/>
      <c r="C1215" s="801"/>
      <c r="D1215" s="950" t="s">
        <v>675</v>
      </c>
      <c r="E1215" s="950"/>
      <c r="F1215" s="950"/>
      <c r="G1215" s="33"/>
    </row>
    <row r="1216" spans="1:7" ht="12.75" customHeight="1">
      <c r="A1216" s="760"/>
      <c r="B1216" s="760"/>
      <c r="C1216" s="801"/>
      <c r="D1216" s="33"/>
      <c r="E1216" s="33"/>
      <c r="F1216" s="33"/>
      <c r="G1216" s="33"/>
    </row>
    <row r="1217" spans="1:7" ht="14.25">
      <c r="A1217" s="201"/>
      <c r="B1217" s="797" t="s">
        <v>325</v>
      </c>
      <c r="C1217" s="801"/>
      <c r="D1217" s="958" t="s">
        <v>676</v>
      </c>
      <c r="E1217" s="958"/>
      <c r="F1217" s="958"/>
      <c r="G1217" s="33"/>
    </row>
    <row r="1218" spans="1:7" ht="12.75">
      <c r="A1218" s="801"/>
      <c r="B1218" s="801"/>
      <c r="C1218" s="801"/>
      <c r="D1218" s="950" t="s">
        <v>534</v>
      </c>
      <c r="E1218" s="950"/>
      <c r="F1218" s="950"/>
      <c r="G1218" s="33"/>
    </row>
    <row r="1219" spans="1:7" ht="12.75">
      <c r="A1219" s="801"/>
      <c r="B1219" s="801"/>
      <c r="C1219" s="801"/>
      <c r="D1219" s="33"/>
      <c r="E1219" s="971" t="s">
        <v>677</v>
      </c>
      <c r="F1219" s="971"/>
      <c r="G1219" s="33"/>
    </row>
    <row r="1220" spans="1:7" ht="12.75">
      <c r="A1220" s="801"/>
      <c r="B1220" s="801"/>
      <c r="C1220" s="801"/>
      <c r="D1220" s="2"/>
      <c r="E1220" s="33"/>
      <c r="F1220" s="33"/>
      <c r="G1220" s="33"/>
    </row>
    <row r="1221" spans="1:7" ht="12.75">
      <c r="A1221" s="801"/>
      <c r="B1221" s="801"/>
      <c r="C1221" s="801"/>
      <c r="D1221" s="983" t="s">
        <v>678</v>
      </c>
      <c r="E1221" s="983"/>
      <c r="F1221" s="983"/>
      <c r="G1221" s="33"/>
    </row>
    <row r="1222" spans="1:7" ht="12.75">
      <c r="A1222" s="801"/>
      <c r="B1222" s="797" t="s">
        <v>325</v>
      </c>
      <c r="C1222" s="801"/>
      <c r="D1222" s="928" t="s">
        <v>679</v>
      </c>
      <c r="E1222" s="928"/>
      <c r="F1222" s="928"/>
      <c r="G1222"/>
    </row>
    <row r="1223" spans="1:7" ht="12.75">
      <c r="A1223" s="801"/>
      <c r="B1223" s="801"/>
      <c r="C1223" s="801"/>
      <c r="D1223" s="928"/>
      <c r="E1223" s="928"/>
      <c r="F1223" s="928"/>
      <c r="G1223"/>
    </row>
    <row r="1224" spans="1:7" ht="12.75">
      <c r="A1224" s="801"/>
      <c r="B1224" s="801"/>
      <c r="C1224" s="801"/>
      <c r="D1224" s="372" t="s">
        <v>680</v>
      </c>
      <c r="E1224"/>
      <c r="F1224"/>
      <c r="G1224"/>
    </row>
    <row r="1225" spans="1:7" ht="13.7" customHeight="1">
      <c r="A1225" s="801"/>
      <c r="B1225" s="801"/>
      <c r="C1225" s="801"/>
      <c r="D1225" s="928" t="s">
        <v>681</v>
      </c>
      <c r="E1225" s="928"/>
      <c r="F1225" s="928"/>
      <c r="G1225"/>
    </row>
    <row r="1226" spans="1:7" ht="12.75">
      <c r="A1226" s="801"/>
      <c r="B1226" s="801"/>
      <c r="C1226" s="801"/>
      <c r="D1226" s="928"/>
      <c r="E1226" s="928"/>
      <c r="F1226" s="928"/>
      <c r="G1226"/>
    </row>
    <row r="1227" spans="1:7" ht="12.75">
      <c r="A1227" s="801"/>
      <c r="B1227" s="801"/>
      <c r="C1227" s="801"/>
      <c r="D1227" s="928"/>
      <c r="E1227" s="928"/>
      <c r="F1227" s="928"/>
      <c r="G1227"/>
    </row>
    <row r="1228" spans="1:7" ht="12.75">
      <c r="A1228" s="801"/>
      <c r="B1228" s="801"/>
      <c r="C1228" s="801"/>
      <c r="D1228" s="928"/>
      <c r="E1228" s="928"/>
      <c r="F1228" s="928"/>
      <c r="G1228"/>
    </row>
    <row r="1229" spans="1:7" ht="12.75">
      <c r="A1229" s="801"/>
      <c r="B1229" s="801"/>
      <c r="C1229" s="801"/>
      <c r="D1229" s="971" t="s">
        <v>682</v>
      </c>
      <c r="E1229" s="971"/>
      <c r="F1229" s="971"/>
      <c r="G1229"/>
    </row>
    <row r="1230" spans="1:7" ht="12.75">
      <c r="A1230" s="801"/>
      <c r="B1230" s="797" t="s">
        <v>325</v>
      </c>
      <c r="C1230" s="801"/>
      <c r="D1230" s="958" t="s">
        <v>683</v>
      </c>
      <c r="E1230" s="958"/>
      <c r="F1230" s="958"/>
      <c r="G1230"/>
    </row>
    <row r="1231" spans="1:7" ht="12.75">
      <c r="A1231" s="801"/>
      <c r="B1231" s="801"/>
      <c r="C1231" s="801"/>
      <c r="D1231" s="33"/>
      <c r="E1231"/>
      <c r="F1231"/>
      <c r="G1231"/>
    </row>
    <row r="1232" spans="1:7" ht="12.75">
      <c r="A1232" s="801"/>
      <c r="B1232" s="801"/>
      <c r="C1232" s="801"/>
      <c r="D1232" s="984" t="s">
        <v>684</v>
      </c>
      <c r="E1232" s="984"/>
      <c r="F1232" s="984"/>
      <c r="G1232"/>
    </row>
    <row r="1233" spans="1:7" ht="12.75">
      <c r="A1233" s="801"/>
      <c r="B1233" s="801"/>
      <c r="C1233" s="801"/>
      <c r="D1233" s="2" t="s">
        <v>685</v>
      </c>
      <c r="E1233"/>
      <c r="F1233"/>
      <c r="G1233"/>
    </row>
    <row r="1234" spans="1:7" ht="14.45" customHeight="1">
      <c r="A1234" s="201"/>
      <c r="B1234" s="797" t="s">
        <v>325</v>
      </c>
      <c r="C1234" s="801"/>
      <c r="D1234" s="928" t="s">
        <v>686</v>
      </c>
      <c r="E1234" s="928"/>
      <c r="F1234" s="928"/>
      <c r="G1234"/>
    </row>
    <row r="1235" spans="1:7" ht="14.25">
      <c r="A1235" s="201"/>
      <c r="B1235" s="201"/>
      <c r="C1235" s="801"/>
      <c r="D1235" s="928"/>
      <c r="E1235" s="928"/>
      <c r="F1235" s="928"/>
      <c r="G1235"/>
    </row>
    <row r="1236" spans="1:7" ht="14.25">
      <c r="A1236" s="201"/>
      <c r="B1236" s="201"/>
      <c r="C1236" s="801"/>
      <c r="D1236" s="928"/>
      <c r="E1236" s="928"/>
      <c r="F1236" s="928"/>
      <c r="G1236"/>
    </row>
    <row r="1237" spans="1:7" ht="14.25">
      <c r="A1237" s="201"/>
      <c r="B1237" s="201"/>
      <c r="C1237" s="801"/>
      <c r="D1237" s="33"/>
      <c r="E1237"/>
      <c r="F1237"/>
      <c r="G1237"/>
    </row>
    <row r="1238" spans="1:7" ht="14.25">
      <c r="A1238" s="201"/>
      <c r="B1238" s="201"/>
      <c r="C1238" s="801"/>
      <c r="D1238" s="774" t="s">
        <v>687</v>
      </c>
      <c r="E1238" s="774"/>
      <c r="F1238" s="774"/>
      <c r="G1238" s="33"/>
    </row>
    <row r="1239" spans="1:7" ht="14.25">
      <c r="A1239" s="201"/>
      <c r="B1239" s="797" t="s">
        <v>325</v>
      </c>
      <c r="C1239" s="801"/>
      <c r="D1239" s="928" t="s">
        <v>688</v>
      </c>
      <c r="E1239" s="928"/>
      <c r="F1239" s="928"/>
      <c r="G1239" s="33"/>
    </row>
    <row r="1240" spans="1:7" ht="14.25">
      <c r="A1240" s="201"/>
      <c r="B1240" s="201"/>
      <c r="C1240" s="801"/>
      <c r="D1240" s="928"/>
      <c r="E1240" s="928"/>
      <c r="F1240" s="928"/>
      <c r="G1240" s="33"/>
    </row>
    <row r="1241" spans="1:7" ht="14.25">
      <c r="A1241" s="201"/>
      <c r="B1241" s="201"/>
      <c r="C1241" s="801"/>
      <c r="D1241" s="928"/>
      <c r="E1241" s="928"/>
      <c r="F1241" s="928"/>
      <c r="G1241" s="33"/>
    </row>
    <row r="1242" spans="1:7" ht="14.25">
      <c r="A1242" s="201"/>
      <c r="B1242" s="201"/>
      <c r="C1242" s="801"/>
      <c r="D1242" s="928"/>
      <c r="E1242" s="928"/>
      <c r="F1242" s="928"/>
      <c r="G1242" s="33"/>
    </row>
    <row r="1243" spans="1:7" ht="14.25">
      <c r="A1243" s="201"/>
      <c r="B1243" s="201"/>
      <c r="C1243" s="801"/>
      <c r="D1243" s="928"/>
      <c r="E1243" s="928"/>
      <c r="F1243" s="928"/>
      <c r="G1243" s="33"/>
    </row>
    <row r="1244" spans="1:7" ht="12.75" customHeight="1">
      <c r="A1244" s="760"/>
      <c r="B1244" s="760"/>
      <c r="C1244" s="801"/>
      <c r="D1244" s="33"/>
      <c r="E1244" s="33"/>
      <c r="F1244" s="33"/>
      <c r="G1244" s="33"/>
    </row>
    <row r="1245" spans="1:7" ht="12.75">
      <c r="A1245" s="979" t="s">
        <v>689</v>
      </c>
      <c r="B1245" s="979"/>
      <c r="C1245" s="979"/>
      <c r="D1245" s="979"/>
      <c r="E1245" s="979"/>
      <c r="F1245" s="979"/>
      <c r="G1245" s="979"/>
    </row>
    <row r="1246" spans="1:7" ht="12.75">
      <c r="A1246" s="760"/>
      <c r="B1246" s="760"/>
      <c r="C1246" s="801"/>
      <c r="D1246" s="33"/>
      <c r="E1246" s="33"/>
      <c r="F1246" s="33"/>
      <c r="G1246" s="33"/>
    </row>
    <row r="1247" spans="1:7" ht="12.75">
      <c r="A1247" s="760"/>
      <c r="B1247" s="760"/>
      <c r="C1247" s="801"/>
      <c r="D1247" s="976" t="s">
        <v>690</v>
      </c>
      <c r="E1247" s="976"/>
      <c r="F1247" s="976"/>
      <c r="G1247" s="33"/>
    </row>
    <row r="1248" spans="1:7" ht="12.75">
      <c r="A1248" s="199"/>
      <c r="B1248" s="199"/>
      <c r="C1248" s="199"/>
      <c r="D1248" s="958" t="s">
        <v>691</v>
      </c>
      <c r="E1248" s="958"/>
      <c r="F1248" s="958"/>
      <c r="G1248" s="200"/>
    </row>
    <row r="1249" spans="1:7" ht="10.5" customHeight="1">
      <c r="A1249" s="801"/>
      <c r="B1249" s="801"/>
      <c r="C1249" s="801"/>
      <c r="D1249" s="33"/>
      <c r="E1249" s="33"/>
      <c r="F1249" s="33"/>
      <c r="G1249" s="33"/>
    </row>
    <row r="1250" spans="1:7" ht="14.25">
      <c r="A1250" s="201"/>
      <c r="B1250" s="797" t="s">
        <v>325</v>
      </c>
      <c r="C1250" s="801"/>
      <c r="D1250" s="958" t="s">
        <v>692</v>
      </c>
      <c r="E1250" s="958"/>
      <c r="F1250" s="958"/>
      <c r="G1250" s="33"/>
    </row>
    <row r="1251" spans="1:7" ht="12.75">
      <c r="A1251" s="801"/>
      <c r="B1251" s="801"/>
      <c r="C1251" s="801"/>
      <c r="D1251" s="33"/>
      <c r="E1251" s="971" t="s">
        <v>693</v>
      </c>
      <c r="F1251" s="971"/>
      <c r="G1251" s="33"/>
    </row>
    <row r="1252" spans="1:7" ht="12.75">
      <c r="A1252" s="801"/>
      <c r="B1252" s="801"/>
      <c r="C1252" s="801"/>
      <c r="D1252" s="67"/>
      <c r="E1252" s="67"/>
      <c r="F1252" s="67"/>
      <c r="G1252" s="33"/>
    </row>
    <row r="1253" spans="1:7" ht="13.7" customHeight="1">
      <c r="A1253" s="801"/>
      <c r="B1253" s="801"/>
      <c r="C1253" s="801"/>
      <c r="D1253" s="33"/>
      <c r="E1253" s="33"/>
      <c r="F1253" s="33"/>
      <c r="G1253" s="33"/>
    </row>
    <row r="1254" spans="1:7" ht="13.7" customHeight="1">
      <c r="A1254" s="801"/>
      <c r="B1254" s="801"/>
      <c r="C1254" s="801"/>
      <c r="D1254" s="33"/>
      <c r="E1254" s="33"/>
      <c r="F1254" s="33"/>
      <c r="G1254" s="33"/>
    </row>
    <row r="1255" spans="1:7" ht="13.7" customHeight="1">
      <c r="A1255" s="801"/>
      <c r="B1255" s="801"/>
      <c r="C1255" s="801"/>
      <c r="D1255" s="33"/>
      <c r="E1255" s="33"/>
      <c r="F1255" s="33"/>
      <c r="G1255" s="33"/>
    </row>
    <row r="1256" spans="1:7" ht="13.7" customHeight="1">
      <c r="A1256" s="801"/>
      <c r="B1256" s="801"/>
      <c r="C1256" s="801"/>
      <c r="D1256" s="33"/>
      <c r="E1256" s="33"/>
      <c r="F1256" s="33"/>
      <c r="G1256" s="33"/>
    </row>
    <row r="1257" spans="1:7" ht="13.7" customHeight="1">
      <c r="A1257" s="801"/>
      <c r="B1257" s="801"/>
      <c r="C1257" s="801"/>
      <c r="D1257" s="33"/>
      <c r="E1257" s="33"/>
      <c r="F1257" s="33"/>
      <c r="G1257" s="33"/>
    </row>
    <row r="1258" spans="1:7" ht="13.7" customHeight="1">
      <c r="A1258" s="801"/>
      <c r="B1258" s="801"/>
      <c r="C1258" s="801"/>
      <c r="D1258" s="33"/>
      <c r="E1258" s="33"/>
      <c r="F1258" s="33"/>
      <c r="G1258" s="33"/>
    </row>
    <row r="1259" spans="1:7" ht="13.7" customHeight="1">
      <c r="A1259" s="801"/>
      <c r="B1259" s="801"/>
      <c r="C1259" s="801"/>
      <c r="D1259" s="33"/>
      <c r="E1259" s="33"/>
      <c r="F1259" s="33"/>
      <c r="G1259" s="33"/>
    </row>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s="801"/>
      <c r="B1287" s="801"/>
      <c r="C1287" s="801"/>
      <c r="D1287" s="33"/>
      <c r="E1287" s="33"/>
      <c r="F1287" s="33"/>
      <c r="G1287" s="33"/>
    </row>
    <row r="1288" spans="1:7" ht="13.7" customHeight="1">
      <c r="A1288" s="801"/>
      <c r="B1288" s="801"/>
      <c r="C1288" s="801"/>
      <c r="D1288" s="33"/>
      <c r="E1288" s="33"/>
      <c r="F1288" s="33"/>
      <c r="G1288" s="33"/>
    </row>
    <row r="1289" spans="1:7" ht="13.7" customHeight="1">
      <c r="A1289" s="801"/>
      <c r="B1289" s="801"/>
      <c r="C1289" s="801"/>
      <c r="D1289" s="33"/>
      <c r="E1289" s="33"/>
      <c r="F1289" s="33"/>
      <c r="G1289" s="33"/>
    </row>
    <row r="1290" spans="1:7" ht="13.7" customHeight="1">
      <c r="A1290" s="801"/>
      <c r="B1290" s="801"/>
      <c r="C1290" s="801"/>
      <c r="D1290" s="33"/>
      <c r="E1290" s="33"/>
      <c r="F1290" s="33"/>
      <c r="G1290" s="33"/>
    </row>
    <row r="1291" spans="1:7" ht="13.7" customHeight="1">
      <c r="A1291" s="801"/>
      <c r="B1291" s="801"/>
      <c r="C1291" s="801"/>
      <c r="D1291" s="33"/>
      <c r="E1291" s="33"/>
      <c r="F1291" s="33"/>
      <c r="G1291" s="33"/>
    </row>
    <row r="1292" spans="1:7" ht="13.7" customHeight="1">
      <c r="A1292" s="801"/>
      <c r="B1292" s="801"/>
      <c r="C1292" s="801"/>
      <c r="D1292" s="33"/>
      <c r="E1292" s="33"/>
      <c r="F1292" s="33"/>
      <c r="G1292" s="33"/>
    </row>
    <row r="1293" spans="1:7" ht="13.7" customHeight="1">
      <c r="A1293" s="801"/>
      <c r="B1293" s="801"/>
      <c r="C1293" s="801"/>
      <c r="D1293" s="33"/>
      <c r="E1293" s="33"/>
      <c r="F1293" s="33"/>
      <c r="G1293" s="33"/>
    </row>
    <row r="1294" spans="1:7" ht="13.7" customHeight="1">
      <c r="A1294" s="801"/>
      <c r="B1294" s="801"/>
      <c r="C1294" s="801"/>
      <c r="D1294" s="33"/>
      <c r="E1294" s="33"/>
      <c r="F1294" s="33"/>
      <c r="G1294" s="33"/>
    </row>
    <row r="1295" spans="1:7" ht="13.7" customHeight="1">
      <c r="A1295" s="801"/>
      <c r="B1295" s="801"/>
      <c r="C1295" s="801"/>
      <c r="D1295" s="33"/>
      <c r="E1295" s="33"/>
      <c r="F1295" s="33"/>
      <c r="G1295" s="33"/>
    </row>
    <row r="1296" spans="1:7" ht="13.7" customHeight="1">
      <c r="A1296" s="801"/>
      <c r="B1296" s="801"/>
      <c r="C1296" s="801"/>
      <c r="D1296" s="33"/>
      <c r="E1296" s="33"/>
      <c r="F1296" s="33"/>
      <c r="G1296" s="33"/>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815" zoomScaleNormal="100" workbookViewId="0">
      <selection activeCell="AC857" sqref="AC857:AH857"/>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34"/>
      <c r="AS1" s="719">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08" t="s">
        <v>694</v>
      </c>
      <c r="B9" s="1308"/>
      <c r="C9" s="1308"/>
      <c r="D9" s="1308"/>
      <c r="E9" s="1308"/>
      <c r="F9" s="1308"/>
      <c r="G9" s="1308"/>
      <c r="H9" s="1308"/>
      <c r="I9" s="1308"/>
      <c r="J9" s="1308"/>
      <c r="K9" s="1308"/>
      <c r="L9" s="1308"/>
      <c r="M9" s="1308"/>
      <c r="N9" s="1308"/>
      <c r="O9" s="1308"/>
      <c r="P9" s="1308"/>
      <c r="Q9" s="1308"/>
      <c r="R9" s="1308"/>
      <c r="S9" s="1308"/>
      <c r="T9" s="1308"/>
      <c r="U9" s="1308"/>
      <c r="V9" s="1308"/>
      <c r="W9" s="1308"/>
      <c r="X9" s="1308"/>
      <c r="Y9" s="1308"/>
      <c r="Z9" s="1308"/>
      <c r="AA9" s="1308"/>
      <c r="AB9" s="1308"/>
      <c r="AC9" s="1308"/>
      <c r="AD9" s="1308"/>
      <c r="AE9" s="1308"/>
      <c r="AF9" s="1308"/>
      <c r="AG9" s="1308"/>
      <c r="AH9" s="1308"/>
      <c r="AI9" s="1308"/>
      <c r="AJ9" s="1308"/>
      <c r="AK9" s="1308"/>
      <c r="AL9" s="1308"/>
    </row>
    <row r="10" spans="1:45" ht="12.95" customHeight="1">
      <c r="A10" s="1310" t="s">
        <v>695</v>
      </c>
      <c r="B10" s="1310"/>
      <c r="C10" s="1310"/>
      <c r="D10" s="1310"/>
      <c r="E10" s="1310"/>
      <c r="F10" s="1310"/>
      <c r="G10" s="1310"/>
      <c r="H10" s="1310"/>
      <c r="I10" s="1310"/>
      <c r="J10" s="1310"/>
      <c r="K10" s="1310"/>
      <c r="L10" s="1310"/>
      <c r="M10" s="1310"/>
      <c r="N10" s="1310"/>
      <c r="O10" s="1310"/>
      <c r="P10" s="1310"/>
      <c r="Q10" s="1310"/>
      <c r="R10" s="1310"/>
      <c r="S10" s="1310"/>
      <c r="T10" s="1310"/>
      <c r="U10" s="1310"/>
      <c r="V10" s="1310"/>
      <c r="W10" s="1310"/>
      <c r="X10" s="1310"/>
      <c r="Y10" s="1310"/>
      <c r="Z10" s="1310"/>
      <c r="AA10" s="1310"/>
      <c r="AB10" s="1310"/>
      <c r="AC10" s="1310"/>
      <c r="AD10" s="1310"/>
      <c r="AE10" s="1310"/>
      <c r="AF10" s="1310"/>
      <c r="AG10" s="1310"/>
      <c r="AH10" s="1310"/>
      <c r="AI10" s="1310"/>
      <c r="AJ10" s="1310"/>
      <c r="AK10" s="1310"/>
      <c r="AL10" s="1310"/>
    </row>
    <row r="11" spans="1:45" s="198" customFormat="1" ht="12.95" customHeight="1">
      <c r="A11" s="1313" t="s">
        <v>696</v>
      </c>
      <c r="B11" s="1313"/>
      <c r="C11" s="1313"/>
      <c r="D11" s="1313"/>
      <c r="E11" s="1313"/>
      <c r="F11" s="1313"/>
      <c r="G11" s="1313"/>
      <c r="H11" s="1313"/>
      <c r="I11" s="1313"/>
      <c r="J11" s="1313"/>
      <c r="K11" s="1313"/>
      <c r="L11" s="1313"/>
      <c r="M11" s="1313"/>
      <c r="N11" s="1313"/>
      <c r="O11" s="1313"/>
      <c r="P11" s="1313"/>
      <c r="Q11" s="1313"/>
      <c r="R11" s="1313"/>
      <c r="S11" s="1313"/>
      <c r="T11" s="1313"/>
      <c r="U11" s="1313"/>
      <c r="V11" s="1313"/>
      <c r="W11" s="1313"/>
      <c r="X11" s="1313"/>
      <c r="Y11" s="1313"/>
      <c r="Z11" s="1313"/>
      <c r="AA11" s="1313"/>
      <c r="AB11" s="1313"/>
      <c r="AC11" s="1313"/>
      <c r="AD11" s="1313"/>
      <c r="AE11" s="1313"/>
      <c r="AF11" s="1313"/>
      <c r="AG11" s="1313"/>
      <c r="AH11" s="1313"/>
      <c r="AI11" s="1313"/>
      <c r="AJ11" s="1313"/>
      <c r="AK11" s="1313"/>
      <c r="AL11" s="1313"/>
    </row>
    <row r="12" spans="1:45" ht="12.95" customHeight="1">
      <c r="A12" s="936" t="s">
        <v>697</v>
      </c>
      <c r="B12" s="936"/>
      <c r="C12" s="936"/>
      <c r="D12" s="936"/>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row>
    <row r="13" spans="1:45" ht="12.95" customHeight="1" thickBo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row>
    <row r="14" spans="1:45" ht="12.95" customHeight="1" thickTop="1">
      <c r="A14" s="67"/>
      <c r="B14" s="67"/>
      <c r="C14" s="67"/>
      <c r="D14" s="67"/>
      <c r="E14" s="67"/>
      <c r="F14" s="67"/>
      <c r="G14" s="67"/>
      <c r="AC14" s="67"/>
      <c r="AD14" s="67"/>
      <c r="AE14" s="67"/>
      <c r="AF14" s="67"/>
      <c r="AG14" s="67"/>
      <c r="AH14" s="67"/>
      <c r="AI14" s="67"/>
      <c r="AJ14" s="67"/>
      <c r="AK14" s="67"/>
      <c r="AL14" s="67"/>
    </row>
    <row r="15" spans="1:45" ht="12.95" customHeight="1">
      <c r="A15" s="769" t="s">
        <v>698</v>
      </c>
      <c r="C15" s="33"/>
      <c r="D15" s="33"/>
      <c r="E15" s="33"/>
      <c r="F15" s="33"/>
      <c r="G15" s="33"/>
      <c r="H15" s="1311" t="s">
        <v>699</v>
      </c>
      <c r="I15" s="1311"/>
      <c r="J15" s="1311"/>
      <c r="K15" s="1311"/>
      <c r="L15" s="1311"/>
      <c r="M15" s="1311"/>
      <c r="N15" s="1311"/>
      <c r="O15" s="1311"/>
      <c r="P15" s="1311"/>
      <c r="Q15" s="1311"/>
      <c r="R15" s="1311"/>
      <c r="S15" s="1311"/>
      <c r="T15" s="1311"/>
      <c r="U15" s="1311"/>
      <c r="V15" s="1311"/>
      <c r="W15" s="1311"/>
      <c r="X15" s="1311"/>
      <c r="Y15" s="1311"/>
      <c r="Z15" s="1311"/>
      <c r="AA15" s="1311"/>
      <c r="AB15" s="1311"/>
      <c r="AC15" s="1311"/>
      <c r="AD15" s="1311"/>
      <c r="AE15" s="1311"/>
      <c r="AF15" s="1311"/>
      <c r="AG15" s="1311"/>
      <c r="AH15" s="1311"/>
      <c r="AI15" s="1311"/>
      <c r="AJ15" s="1311"/>
    </row>
    <row r="16" spans="1:45" ht="12.95" customHeight="1"/>
    <row r="17" spans="1:40" ht="12.95" customHeight="1">
      <c r="A17" s="769" t="s">
        <v>700</v>
      </c>
      <c r="C17" s="33"/>
      <c r="D17" s="33"/>
      <c r="E17" s="33"/>
      <c r="F17" s="33"/>
      <c r="G17" s="33"/>
      <c r="H17" s="1184" t="s">
        <v>701</v>
      </c>
      <c r="I17" s="1184"/>
      <c r="J17" s="1184"/>
      <c r="K17" s="1184"/>
      <c r="L17" s="1184"/>
      <c r="M17" s="1184"/>
      <c r="N17" s="1184"/>
      <c r="O17" s="1184"/>
      <c r="P17" s="1184"/>
      <c r="Q17" s="1184"/>
      <c r="R17" s="1184"/>
      <c r="S17" s="1184"/>
      <c r="T17" s="1184"/>
      <c r="U17" s="1184"/>
      <c r="V17" s="1184"/>
      <c r="W17" s="1184"/>
      <c r="X17" s="1184"/>
      <c r="Y17" s="1184"/>
      <c r="Z17" s="1184"/>
      <c r="AA17" s="1184"/>
      <c r="AB17" s="1184"/>
      <c r="AC17" s="1184"/>
      <c r="AD17" s="1184"/>
      <c r="AE17" s="1184"/>
      <c r="AF17" s="1184"/>
      <c r="AG17" s="1184"/>
      <c r="AH17" s="1184"/>
      <c r="AI17" s="1184"/>
      <c r="AJ17" s="1184"/>
    </row>
    <row r="18" spans="1:40" ht="12.95" customHeight="1"/>
    <row r="19" spans="1:40" ht="12.95" customHeight="1">
      <c r="A19" s="944" t="s">
        <v>702</v>
      </c>
      <c r="B19" s="944"/>
      <c r="C19" s="944"/>
      <c r="D19" s="944"/>
      <c r="E19" s="944"/>
      <c r="F19" s="944"/>
      <c r="G19" s="944"/>
      <c r="H19" s="944"/>
      <c r="I19" s="944"/>
      <c r="J19" s="944"/>
      <c r="K19" s="944"/>
      <c r="L19" s="944"/>
      <c r="M19" s="944"/>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row>
    <row r="20" spans="1:40" ht="12.95" customHeight="1">
      <c r="A20" s="1315" t="s">
        <v>703</v>
      </c>
      <c r="B20" s="1315"/>
      <c r="C20" s="1315"/>
      <c r="D20" s="1315"/>
      <c r="E20" s="1315"/>
      <c r="F20" s="1315"/>
      <c r="G20" s="1315"/>
      <c r="H20" s="1315"/>
      <c r="I20" s="1315"/>
      <c r="J20" s="1315"/>
      <c r="K20" s="1315"/>
      <c r="L20" s="1315"/>
      <c r="M20" s="1315"/>
      <c r="N20" s="1315"/>
      <c r="O20" s="1315"/>
      <c r="P20" s="1315"/>
      <c r="Q20" s="1315"/>
      <c r="R20" s="1315"/>
      <c r="S20" s="1315"/>
      <c r="T20" s="1315"/>
      <c r="U20" s="1315"/>
      <c r="V20" s="1315"/>
      <c r="W20" s="1315"/>
      <c r="X20" s="1315"/>
      <c r="Y20" s="1315"/>
      <c r="Z20" s="1315"/>
      <c r="AA20" s="1315"/>
      <c r="AB20" s="1315"/>
      <c r="AC20" s="1315"/>
      <c r="AD20" s="1315"/>
      <c r="AE20" s="1315"/>
      <c r="AF20" s="1315"/>
      <c r="AG20" s="1315"/>
      <c r="AH20" s="1315"/>
      <c r="AI20" s="1315"/>
      <c r="AJ20" s="1315"/>
      <c r="AK20" s="1315"/>
      <c r="AL20" s="1315"/>
    </row>
    <row r="21" spans="1:40" ht="12.95" customHeight="1">
      <c r="A21" s="21"/>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row>
    <row r="22" spans="1:40" ht="12.95" customHeight="1">
      <c r="A22" s="726" t="s">
        <v>704</v>
      </c>
      <c r="C22" s="758"/>
      <c r="D22" s="758"/>
      <c r="E22" s="758"/>
      <c r="F22" s="758"/>
      <c r="G22" s="758"/>
      <c r="H22" s="758"/>
      <c r="I22" s="758"/>
      <c r="J22" s="758"/>
      <c r="K22" s="758"/>
      <c r="L22" s="758"/>
      <c r="M22" s="758"/>
      <c r="N22" s="758"/>
      <c r="O22" s="758"/>
      <c r="P22" s="758"/>
      <c r="Q22" s="758"/>
      <c r="R22" s="758"/>
      <c r="S22" s="758"/>
      <c r="T22" s="758"/>
      <c r="U22" s="758"/>
      <c r="V22" s="758"/>
      <c r="W22" s="758"/>
      <c r="X22" s="758"/>
      <c r="Y22" s="758"/>
      <c r="Z22" s="758"/>
      <c r="AA22" s="23"/>
      <c r="AB22" s="23"/>
      <c r="AC22" s="23"/>
      <c r="AD22" s="23"/>
      <c r="AE22" s="23"/>
      <c r="AF22" s="23"/>
      <c r="AG22" s="23"/>
      <c r="AH22" s="23"/>
      <c r="AI22" s="23"/>
      <c r="AJ22" s="23"/>
      <c r="AK22" s="23"/>
      <c r="AL22" s="23"/>
      <c r="AM22" s="23"/>
    </row>
    <row r="23" spans="1:40" ht="12.95" customHeight="1">
      <c r="A23" s="726" t="s">
        <v>705</v>
      </c>
      <c r="C23" s="758"/>
      <c r="D23" s="758"/>
      <c r="E23" s="758"/>
      <c r="F23" s="758"/>
      <c r="G23" s="758"/>
      <c r="H23" s="758"/>
      <c r="I23" s="758"/>
      <c r="J23" s="758"/>
      <c r="K23" s="758"/>
      <c r="L23" s="758"/>
      <c r="M23" s="758"/>
      <c r="N23" s="758"/>
      <c r="O23" s="758"/>
      <c r="P23" s="758"/>
      <c r="Q23" s="758"/>
      <c r="R23" s="758"/>
      <c r="S23" s="758"/>
      <c r="T23" s="758"/>
      <c r="U23" s="758"/>
      <c r="V23" s="758"/>
      <c r="W23" s="758"/>
      <c r="X23" s="758"/>
      <c r="Y23" s="758"/>
      <c r="Z23" s="758"/>
      <c r="AA23" s="23"/>
      <c r="AB23" s="23"/>
      <c r="AC23" s="23"/>
      <c r="AD23" s="23"/>
      <c r="AE23" s="23"/>
      <c r="AF23" s="23"/>
      <c r="AG23" s="23"/>
      <c r="AH23" s="23"/>
      <c r="AI23" s="23"/>
      <c r="AJ23" s="23"/>
      <c r="AK23" s="23"/>
      <c r="AL23" s="23"/>
      <c r="AM23" s="23"/>
    </row>
    <row r="24" spans="1:40" ht="12.95" customHeight="1">
      <c r="A24" s="753"/>
      <c r="C24" s="753"/>
      <c r="D24" s="753"/>
      <c r="E24" s="753"/>
      <c r="F24" s="753"/>
      <c r="G24" s="753"/>
      <c r="H24" s="753"/>
      <c r="I24" s="753"/>
      <c r="J24" s="753"/>
      <c r="K24" s="753"/>
      <c r="L24" s="753"/>
      <c r="M24" s="753"/>
      <c r="N24" s="753"/>
      <c r="O24" s="753"/>
      <c r="P24" s="753"/>
      <c r="Q24" s="753"/>
      <c r="R24" s="753"/>
      <c r="S24" s="753"/>
      <c r="T24" s="753"/>
      <c r="U24" s="753"/>
      <c r="V24" s="753"/>
      <c r="W24" s="753"/>
      <c r="X24" s="753"/>
      <c r="Y24" s="753"/>
      <c r="Z24" s="753"/>
      <c r="AA24" s="753"/>
      <c r="AB24" s="753"/>
      <c r="AC24" s="753"/>
      <c r="AD24" s="753"/>
      <c r="AE24" s="753"/>
      <c r="AF24" s="753"/>
      <c r="AG24" s="753"/>
      <c r="AH24" s="753"/>
      <c r="AI24" s="753"/>
      <c r="AJ24" s="753"/>
      <c r="AK24" s="33"/>
    </row>
    <row r="25" spans="1:40" ht="12.95" customHeight="1">
      <c r="A25" s="33"/>
      <c r="C25" s="33"/>
      <c r="D25" s="33"/>
      <c r="E25" s="33"/>
      <c r="F25" s="33"/>
      <c r="G25" s="33"/>
      <c r="H25" s="33"/>
      <c r="I25" s="33"/>
      <c r="J25" s="33"/>
      <c r="K25" s="33"/>
      <c r="L25" s="33"/>
      <c r="M25" s="1318">
        <f>ROUND('Basis &amp; Credits'!AB55,0)</f>
        <v>2376331</v>
      </c>
      <c r="N25" s="1318"/>
      <c r="O25" s="1318"/>
      <c r="P25" s="1318"/>
      <c r="Q25" s="1318"/>
      <c r="R25" s="33" t="s">
        <v>706</v>
      </c>
      <c r="S25" s="33"/>
      <c r="T25" s="33"/>
      <c r="U25" s="33"/>
      <c r="V25" s="33"/>
      <c r="W25" s="33"/>
      <c r="X25" s="33"/>
      <c r="Y25" s="33"/>
      <c r="Z25" s="33"/>
      <c r="AF25" s="33"/>
      <c r="AG25" s="33"/>
      <c r="AH25" s="33"/>
      <c r="AI25" s="33"/>
      <c r="AJ25" s="33"/>
      <c r="AK25" s="33"/>
    </row>
    <row r="26" spans="1:40" ht="12.95" customHeight="1">
      <c r="A26" s="33"/>
      <c r="C26" s="33"/>
      <c r="D26" s="33"/>
      <c r="E26" s="33"/>
      <c r="F26" s="33"/>
      <c r="G26" s="33"/>
      <c r="H26" s="33"/>
      <c r="I26" s="33"/>
      <c r="J26" s="33"/>
      <c r="K26" s="33"/>
      <c r="L26" s="33"/>
      <c r="M26" s="33"/>
      <c r="N26" s="33"/>
      <c r="O26" s="33"/>
      <c r="P26" s="33"/>
      <c r="Q26" s="33"/>
      <c r="R26" s="33"/>
      <c r="S26" s="33"/>
      <c r="T26" s="33"/>
      <c r="U26" s="33"/>
      <c r="V26" s="33"/>
      <c r="W26" s="33"/>
      <c r="X26" s="33"/>
      <c r="Y26" s="33"/>
      <c r="Z26" s="33"/>
      <c r="AF26" s="33"/>
      <c r="AG26" s="33"/>
      <c r="AH26" s="33"/>
      <c r="AI26" s="33"/>
      <c r="AJ26" s="33"/>
      <c r="AK26" s="33"/>
    </row>
    <row r="27" spans="1:40" ht="12.95" customHeight="1">
      <c r="A27" s="33"/>
      <c r="C27" s="33"/>
      <c r="D27" s="33"/>
      <c r="E27" s="33"/>
      <c r="F27" s="33"/>
      <c r="G27" s="33"/>
      <c r="H27" s="33"/>
      <c r="I27" s="33"/>
      <c r="J27" s="33"/>
      <c r="K27" s="33"/>
      <c r="L27" s="33"/>
      <c r="M27" s="1318">
        <f>'Basis &amp; Credits'!AB76</f>
        <v>0</v>
      </c>
      <c r="N27" s="1318"/>
      <c r="O27" s="1318"/>
      <c r="P27" s="1318"/>
      <c r="Q27" s="1318"/>
      <c r="R27" s="33" t="s">
        <v>707</v>
      </c>
      <c r="S27" s="33"/>
      <c r="T27" s="33"/>
      <c r="U27" s="33"/>
      <c r="V27" s="33"/>
      <c r="W27" s="33"/>
      <c r="X27" s="33"/>
      <c r="Y27" s="33"/>
      <c r="Z27" s="33"/>
      <c r="AF27" s="33"/>
      <c r="AG27" s="33"/>
      <c r="AH27" s="33"/>
      <c r="AI27" s="33"/>
      <c r="AJ27" s="33"/>
      <c r="AK27" s="33"/>
    </row>
    <row r="28" spans="1:40" ht="12.95" customHeight="1">
      <c r="A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row>
    <row r="29" spans="1:40" ht="12.95" customHeight="1">
      <c r="A29" s="771" t="s">
        <v>708</v>
      </c>
      <c r="C29" s="771"/>
      <c r="D29" s="771"/>
      <c r="E29" s="771"/>
      <c r="F29" s="771"/>
      <c r="G29" s="771"/>
      <c r="H29" s="771"/>
      <c r="I29" s="771"/>
      <c r="J29" s="771"/>
      <c r="K29" s="771"/>
      <c r="L29" s="771"/>
      <c r="M29" s="771"/>
      <c r="N29" s="771"/>
      <c r="O29" s="771"/>
      <c r="P29" s="771"/>
      <c r="Q29" s="771"/>
      <c r="R29" s="771"/>
      <c r="S29" s="771"/>
      <c r="T29" s="771"/>
      <c r="U29" s="771"/>
      <c r="V29" s="771"/>
      <c r="W29" s="771"/>
      <c r="X29" s="771"/>
      <c r="Y29" s="771"/>
      <c r="Z29" s="771"/>
      <c r="AA29" s="16"/>
      <c r="AB29" s="16"/>
      <c r="AC29" s="16"/>
      <c r="AD29" s="16"/>
      <c r="AE29" s="16"/>
      <c r="AF29" s="16"/>
      <c r="AG29" s="16"/>
      <c r="AH29" s="16"/>
      <c r="AI29" s="16"/>
      <c r="AJ29" s="16"/>
      <c r="AK29" s="16"/>
      <c r="AL29" s="16"/>
      <c r="AM29" s="16"/>
      <c r="AN29" s="33"/>
    </row>
    <row r="30" spans="1:40" ht="12.95" customHeight="1">
      <c r="A30" s="771" t="s">
        <v>709</v>
      </c>
      <c r="C30" s="771"/>
      <c r="D30" s="771"/>
      <c r="E30" s="771"/>
      <c r="F30" s="771"/>
      <c r="G30" s="771"/>
      <c r="H30" s="771"/>
      <c r="I30" s="771"/>
      <c r="J30" s="771"/>
      <c r="K30" s="771"/>
      <c r="L30" s="771"/>
      <c r="M30" s="771"/>
      <c r="N30" s="771"/>
      <c r="O30" s="771"/>
      <c r="P30" s="771"/>
      <c r="Q30" s="771"/>
      <c r="R30" s="771"/>
      <c r="S30" s="771"/>
      <c r="T30" s="771"/>
      <c r="U30" s="771"/>
      <c r="V30" s="771"/>
      <c r="W30" s="771"/>
      <c r="X30" s="771"/>
      <c r="Y30" s="771"/>
      <c r="Z30" s="771"/>
      <c r="AA30" s="16"/>
      <c r="AB30" s="16"/>
      <c r="AC30" s="16"/>
      <c r="AD30" s="16"/>
      <c r="AE30" s="16"/>
      <c r="AF30" s="16"/>
      <c r="AG30" s="16"/>
      <c r="AH30" s="16"/>
      <c r="AI30" s="16"/>
      <c r="AJ30" s="16"/>
      <c r="AK30" s="16"/>
      <c r="AL30" s="16"/>
      <c r="AM30" s="16"/>
      <c r="AN30" s="33"/>
    </row>
    <row r="31" spans="1:40" ht="12.95" customHeight="1">
      <c r="A31" s="771" t="s">
        <v>710</v>
      </c>
      <c r="C31" s="771"/>
      <c r="D31" s="771"/>
      <c r="E31" s="771"/>
      <c r="F31" s="771"/>
      <c r="G31" s="771"/>
      <c r="H31" s="771"/>
      <c r="I31" s="771"/>
      <c r="J31" s="771"/>
      <c r="K31" s="771"/>
      <c r="L31" s="771"/>
      <c r="M31" s="771"/>
      <c r="N31" s="771"/>
      <c r="O31" s="771"/>
      <c r="P31" s="771"/>
      <c r="Q31" s="771"/>
      <c r="R31" s="771"/>
      <c r="S31" s="771"/>
      <c r="T31" s="771"/>
      <c r="U31" s="771"/>
      <c r="V31" s="771"/>
      <c r="W31" s="771"/>
      <c r="X31" s="771"/>
      <c r="Y31" s="771"/>
      <c r="Z31" s="771"/>
      <c r="AA31" s="16"/>
      <c r="AB31" s="16"/>
      <c r="AC31" s="16"/>
      <c r="AD31" s="16"/>
      <c r="AE31" s="16"/>
      <c r="AF31" s="16"/>
      <c r="AG31" s="16"/>
      <c r="AH31" s="16"/>
      <c r="AI31" s="16"/>
      <c r="AJ31" s="16"/>
      <c r="AK31" s="16"/>
      <c r="AL31" s="16"/>
      <c r="AM31" s="16"/>
      <c r="AN31" s="33"/>
    </row>
    <row r="32" spans="1:40" ht="12.95" customHeight="1">
      <c r="A32" s="771"/>
      <c r="C32" s="771"/>
      <c r="D32" s="771"/>
      <c r="E32" s="771"/>
      <c r="F32" s="771"/>
      <c r="G32" s="771"/>
      <c r="H32" s="771"/>
      <c r="I32" s="771"/>
      <c r="J32" s="771"/>
      <c r="K32" s="771"/>
      <c r="L32" s="771"/>
      <c r="M32" s="771"/>
      <c r="N32" s="771"/>
      <c r="O32" s="771"/>
      <c r="P32" s="771"/>
      <c r="Q32" s="771"/>
      <c r="R32" s="771"/>
      <c r="S32" s="771"/>
      <c r="T32" s="771"/>
      <c r="U32" s="771"/>
      <c r="V32" s="771"/>
      <c r="W32" s="771"/>
      <c r="X32" s="771"/>
      <c r="Y32" s="771"/>
      <c r="Z32" s="771"/>
      <c r="AA32" s="16"/>
      <c r="AB32" s="16"/>
      <c r="AC32" s="16"/>
      <c r="AD32" s="16"/>
      <c r="AE32" s="16"/>
      <c r="AF32" s="16"/>
      <c r="AG32" s="16"/>
      <c r="AH32" s="16"/>
      <c r="AI32" s="16"/>
      <c r="AJ32" s="16"/>
      <c r="AK32" s="33"/>
    </row>
    <row r="33" spans="1:39" ht="12.95" customHeight="1">
      <c r="A33" s="771" t="s">
        <v>711</v>
      </c>
      <c r="C33" s="771"/>
      <c r="D33" s="771"/>
      <c r="E33" s="771"/>
      <c r="F33" s="771"/>
      <c r="G33" s="771"/>
      <c r="H33" s="771"/>
      <c r="I33" s="771"/>
      <c r="J33" s="771"/>
      <c r="K33" s="771"/>
      <c r="L33" s="771"/>
      <c r="M33" s="771"/>
      <c r="N33" s="771"/>
      <c r="O33" s="1180" t="s">
        <v>712</v>
      </c>
      <c r="P33" s="1180"/>
      <c r="Q33" s="771" t="s">
        <v>713</v>
      </c>
      <c r="S33" s="771"/>
      <c r="T33" s="771"/>
      <c r="U33" s="771"/>
      <c r="V33" s="771"/>
      <c r="W33" s="771"/>
      <c r="X33" s="771"/>
      <c r="Y33" s="771"/>
      <c r="Z33" s="771"/>
      <c r="AA33" s="16"/>
      <c r="AB33" s="16"/>
      <c r="AC33" s="16"/>
      <c r="AD33" s="16"/>
      <c r="AE33" s="16"/>
      <c r="AF33" s="16"/>
      <c r="AG33" s="16"/>
      <c r="AH33" s="16"/>
      <c r="AI33" s="16"/>
      <c r="AJ33" s="16"/>
      <c r="AK33" s="16"/>
      <c r="AL33" s="16"/>
      <c r="AM33" s="16"/>
    </row>
    <row r="34" spans="1:39" ht="12.95" customHeight="1">
      <c r="A34" s="33" t="s">
        <v>714</v>
      </c>
      <c r="C34" s="771"/>
      <c r="D34" s="771"/>
      <c r="E34" s="771"/>
      <c r="F34" s="771"/>
      <c r="G34" s="771"/>
      <c r="H34" s="771"/>
      <c r="I34" s="771"/>
      <c r="J34" s="771"/>
      <c r="K34" s="771"/>
      <c r="L34" s="771"/>
      <c r="M34" s="771"/>
      <c r="N34" s="771"/>
      <c r="O34" s="771"/>
      <c r="P34" s="771"/>
      <c r="Q34" s="771"/>
      <c r="R34" s="771"/>
      <c r="S34" s="771"/>
      <c r="T34" s="771"/>
      <c r="U34" s="771"/>
      <c r="V34" s="771"/>
      <c r="W34" s="771"/>
      <c r="X34" s="771"/>
      <c r="Y34" s="771"/>
      <c r="Z34" s="771"/>
      <c r="AA34" s="16"/>
      <c r="AB34" s="16"/>
      <c r="AC34" s="16"/>
      <c r="AD34" s="16"/>
      <c r="AE34" s="16"/>
      <c r="AF34" s="16"/>
      <c r="AG34" s="16"/>
      <c r="AH34" s="16"/>
      <c r="AI34" s="16"/>
      <c r="AJ34" s="16"/>
      <c r="AK34" s="16"/>
      <c r="AL34" s="16"/>
      <c r="AM34" s="16"/>
    </row>
    <row r="35" spans="1:39" ht="12.95" customHeight="1">
      <c r="A35" s="33" t="s">
        <v>715</v>
      </c>
      <c r="C35" s="771"/>
      <c r="D35" s="771"/>
      <c r="E35" s="771"/>
      <c r="F35" s="771"/>
      <c r="G35" s="771"/>
      <c r="H35" s="771"/>
      <c r="I35" s="771"/>
      <c r="J35" s="771"/>
      <c r="K35" s="771"/>
      <c r="L35" s="771"/>
      <c r="M35" s="771"/>
      <c r="N35" s="771"/>
      <c r="O35" s="771"/>
      <c r="P35" s="771"/>
      <c r="Q35" s="771"/>
      <c r="R35" s="771"/>
      <c r="S35" s="771"/>
      <c r="T35" s="771"/>
      <c r="U35" s="771"/>
      <c r="V35" s="771"/>
      <c r="W35" s="771"/>
      <c r="X35" s="771"/>
      <c r="Y35" s="771"/>
      <c r="Z35" s="771"/>
      <c r="AA35" s="16"/>
      <c r="AB35" s="16"/>
      <c r="AC35" s="16"/>
      <c r="AD35" s="16"/>
      <c r="AE35" s="16"/>
      <c r="AF35" s="16"/>
      <c r="AG35" s="16"/>
      <c r="AH35" s="16"/>
      <c r="AI35" s="16"/>
      <c r="AJ35" s="16"/>
      <c r="AK35" s="16"/>
      <c r="AL35" s="16"/>
      <c r="AM35" s="16"/>
    </row>
    <row r="36" spans="1:39" ht="12.95" customHeight="1">
      <c r="A36" s="33" t="s">
        <v>716</v>
      </c>
      <c r="C36" s="771"/>
      <c r="D36" s="771"/>
      <c r="E36" s="771"/>
      <c r="F36" s="771"/>
      <c r="G36" s="771"/>
      <c r="H36" s="771"/>
      <c r="I36" s="771"/>
      <c r="J36" s="771"/>
      <c r="K36" s="771"/>
      <c r="L36" s="771"/>
      <c r="M36" s="771"/>
      <c r="N36" s="771"/>
      <c r="O36" s="771"/>
      <c r="P36" s="771"/>
      <c r="Q36" s="771"/>
      <c r="R36" s="771"/>
      <c r="S36" s="771"/>
      <c r="T36" s="771"/>
      <c r="U36" s="771"/>
      <c r="V36" s="771"/>
      <c r="W36" s="771"/>
      <c r="X36" s="771"/>
      <c r="Y36" s="771"/>
      <c r="Z36" s="771"/>
      <c r="AA36" s="16"/>
      <c r="AB36" s="16"/>
      <c r="AC36" s="16"/>
      <c r="AD36" s="16"/>
      <c r="AE36" s="16"/>
      <c r="AF36" s="16"/>
      <c r="AG36" s="16"/>
      <c r="AH36" s="16"/>
      <c r="AI36" s="16"/>
      <c r="AJ36" s="16"/>
      <c r="AK36" s="16"/>
      <c r="AL36" s="16"/>
      <c r="AM36" s="16"/>
    </row>
    <row r="37" spans="1:39" ht="12.95" customHeight="1">
      <c r="A37" t="s">
        <v>717</v>
      </c>
      <c r="C37" s="771"/>
      <c r="D37" s="771"/>
      <c r="E37" s="771"/>
      <c r="F37" s="771"/>
      <c r="G37" s="771"/>
      <c r="H37" s="771"/>
      <c r="I37" s="771"/>
      <c r="J37" s="771"/>
      <c r="K37" s="771"/>
      <c r="L37" s="771"/>
      <c r="M37" s="771"/>
      <c r="N37" s="771"/>
      <c r="O37" s="771"/>
      <c r="P37" s="771"/>
      <c r="Q37" s="771"/>
      <c r="R37" s="771"/>
      <c r="S37" s="771"/>
      <c r="T37" s="771"/>
      <c r="U37" s="771"/>
      <c r="V37" s="771"/>
      <c r="W37" s="771"/>
      <c r="X37" s="771"/>
      <c r="Y37" s="771"/>
      <c r="Z37" s="771"/>
      <c r="AA37" s="16"/>
      <c r="AB37" s="16"/>
      <c r="AC37" s="16"/>
      <c r="AD37" s="16"/>
      <c r="AE37" s="16"/>
      <c r="AF37" s="16"/>
      <c r="AG37" s="16"/>
      <c r="AH37" s="16"/>
      <c r="AI37" s="16"/>
      <c r="AJ37" s="16"/>
      <c r="AK37" s="16"/>
      <c r="AL37" s="16"/>
      <c r="AM37" s="16"/>
    </row>
    <row r="38" spans="1:39" ht="12.95" customHeight="1">
      <c r="A38" t="s">
        <v>718</v>
      </c>
      <c r="AM38" s="16"/>
    </row>
    <row r="39" spans="1:39" ht="12.95" customHeight="1">
      <c r="AM39" s="16"/>
    </row>
    <row r="40" spans="1:39" ht="12.95" customHeight="1">
      <c r="A40" s="771" t="s">
        <v>719</v>
      </c>
      <c r="C40" s="771"/>
      <c r="D40" s="771"/>
      <c r="E40" s="771"/>
      <c r="F40" s="771"/>
      <c r="G40" s="771"/>
      <c r="H40" s="771"/>
      <c r="I40" s="771"/>
      <c r="J40" s="771"/>
      <c r="K40" s="771"/>
      <c r="L40" s="771"/>
      <c r="M40" s="771"/>
      <c r="N40" s="771"/>
      <c r="O40" s="771"/>
      <c r="P40" s="771"/>
      <c r="Q40" s="771"/>
      <c r="R40" s="771"/>
      <c r="S40" s="771"/>
      <c r="T40" s="771"/>
      <c r="U40" s="771"/>
      <c r="V40" s="771"/>
      <c r="W40" s="771"/>
      <c r="X40" s="771"/>
      <c r="Y40" s="771"/>
      <c r="Z40" s="771"/>
      <c r="AA40" s="16"/>
      <c r="AB40" s="16"/>
      <c r="AC40" s="16"/>
      <c r="AD40" s="16"/>
      <c r="AE40" s="16"/>
      <c r="AF40" s="16"/>
      <c r="AG40" s="16"/>
      <c r="AH40" s="16"/>
      <c r="AI40" s="16"/>
      <c r="AJ40" s="16"/>
      <c r="AK40" s="16"/>
      <c r="AL40" s="16"/>
      <c r="AM40" s="16"/>
    </row>
    <row r="41" spans="1:39" ht="12.95" customHeight="1">
      <c r="A41" s="771" t="s">
        <v>720</v>
      </c>
      <c r="C41" s="771"/>
      <c r="D41" s="771"/>
      <c r="E41" s="771"/>
      <c r="F41" s="771"/>
      <c r="G41" s="771"/>
      <c r="H41" s="771"/>
      <c r="I41" s="771"/>
      <c r="J41" s="771"/>
      <c r="K41" s="771"/>
      <c r="L41" s="771"/>
      <c r="M41" s="771"/>
      <c r="N41" s="771"/>
      <c r="O41" s="771"/>
      <c r="P41" s="771"/>
      <c r="Q41" s="771"/>
      <c r="R41" s="771"/>
      <c r="S41" s="771"/>
      <c r="T41" s="771"/>
      <c r="U41" s="771"/>
      <c r="V41" s="771"/>
      <c r="W41" s="771"/>
      <c r="X41" s="771"/>
      <c r="Y41" s="771"/>
      <c r="Z41" s="771"/>
      <c r="AA41" s="16"/>
      <c r="AB41" s="16"/>
      <c r="AC41" s="16"/>
      <c r="AD41" s="16"/>
      <c r="AE41" s="16"/>
      <c r="AF41" s="16"/>
      <c r="AG41" s="16"/>
      <c r="AH41" s="16"/>
      <c r="AI41" s="16"/>
      <c r="AJ41" s="16"/>
      <c r="AK41" s="16"/>
      <c r="AL41" s="16"/>
      <c r="AM41" s="16"/>
    </row>
    <row r="42" spans="1:39" ht="12.95" customHeight="1">
      <c r="A42" s="771" t="s">
        <v>721</v>
      </c>
      <c r="C42" s="771"/>
      <c r="D42" s="771"/>
      <c r="E42" s="771"/>
      <c r="F42" s="771"/>
      <c r="G42" s="771"/>
      <c r="H42" s="771"/>
      <c r="I42" s="771"/>
      <c r="J42" s="771"/>
      <c r="K42" s="771"/>
      <c r="L42" s="771"/>
      <c r="M42" s="771"/>
      <c r="N42" s="771"/>
      <c r="O42" s="771"/>
      <c r="P42" s="771"/>
      <c r="Q42" s="771"/>
      <c r="R42" s="771"/>
      <c r="S42" s="771"/>
      <c r="T42" s="771"/>
      <c r="U42" s="771"/>
      <c r="V42" s="771"/>
      <c r="W42" s="771"/>
      <c r="X42" s="771"/>
      <c r="Y42" s="771"/>
      <c r="Z42" s="771"/>
      <c r="AA42" s="16"/>
      <c r="AB42" s="16"/>
      <c r="AC42" s="16"/>
      <c r="AD42" s="16"/>
      <c r="AE42" s="16"/>
      <c r="AF42" s="16"/>
      <c r="AG42" s="16"/>
      <c r="AH42" s="16"/>
      <c r="AI42" s="16"/>
      <c r="AJ42" s="16"/>
      <c r="AK42" s="16"/>
      <c r="AL42" s="16"/>
      <c r="AM42" s="16"/>
    </row>
    <row r="43" spans="1:39" ht="12.95" customHeight="1">
      <c r="A43" s="771" t="s">
        <v>722</v>
      </c>
      <c r="C43" s="771"/>
      <c r="D43" s="771"/>
      <c r="E43" s="771"/>
      <c r="F43" s="771"/>
      <c r="G43" s="771"/>
      <c r="H43" s="771"/>
      <c r="I43" s="771"/>
      <c r="J43" s="771"/>
      <c r="K43" s="771"/>
      <c r="L43" s="771"/>
      <c r="M43" s="771"/>
      <c r="N43" s="771"/>
      <c r="O43" s="771"/>
      <c r="P43" s="771"/>
      <c r="Q43" s="771"/>
      <c r="R43" s="771"/>
      <c r="S43" s="771"/>
      <c r="T43" s="771"/>
      <c r="U43" s="771"/>
      <c r="V43" s="771"/>
      <c r="W43" s="771"/>
      <c r="X43" s="771"/>
      <c r="Y43" s="771"/>
      <c r="Z43" s="771"/>
      <c r="AA43" s="16"/>
      <c r="AB43" s="16"/>
      <c r="AC43" s="16"/>
      <c r="AD43" s="16"/>
      <c r="AE43" s="16"/>
      <c r="AF43" s="16"/>
      <c r="AG43" s="16"/>
      <c r="AH43" s="16"/>
      <c r="AI43" s="16"/>
      <c r="AJ43" s="16"/>
      <c r="AK43" s="16"/>
      <c r="AL43" s="16"/>
      <c r="AM43" s="16"/>
    </row>
    <row r="44" spans="1:39" ht="12.95" customHeight="1">
      <c r="A44" s="771" t="s">
        <v>723</v>
      </c>
      <c r="C44" s="771"/>
      <c r="D44" s="771"/>
      <c r="E44" s="771"/>
      <c r="F44" s="771"/>
      <c r="G44" s="771"/>
      <c r="H44" s="771"/>
      <c r="I44" s="771"/>
      <c r="J44" s="771"/>
      <c r="K44" s="771"/>
      <c r="L44" s="771"/>
      <c r="M44" s="771"/>
      <c r="N44" s="771"/>
      <c r="O44" s="771"/>
      <c r="P44" s="771"/>
      <c r="Q44" s="771"/>
      <c r="R44" s="771"/>
      <c r="S44" s="771"/>
      <c r="T44" s="771"/>
      <c r="U44" s="771"/>
      <c r="V44" s="771"/>
      <c r="W44" s="771"/>
      <c r="X44" s="771"/>
      <c r="Y44" s="771"/>
      <c r="Z44" s="771"/>
      <c r="AA44" s="16"/>
      <c r="AB44" s="16"/>
      <c r="AC44" s="16"/>
      <c r="AD44" s="16"/>
      <c r="AE44" s="16"/>
      <c r="AF44" s="16"/>
      <c r="AG44" s="16"/>
      <c r="AH44" s="16"/>
      <c r="AI44" s="16"/>
      <c r="AJ44" s="16"/>
      <c r="AK44" s="16"/>
      <c r="AL44" s="16"/>
    </row>
    <row r="45" spans="1:39" ht="12.95" customHeight="1">
      <c r="A45" s="771" t="s">
        <v>724</v>
      </c>
      <c r="C45" s="771"/>
      <c r="D45" s="771"/>
      <c r="E45" s="771"/>
      <c r="F45" s="771"/>
      <c r="G45" s="771"/>
      <c r="H45" s="771"/>
      <c r="I45" s="771"/>
      <c r="J45" s="771"/>
      <c r="K45" s="771"/>
      <c r="L45" s="771"/>
      <c r="M45" s="771"/>
      <c r="N45" s="771"/>
      <c r="O45" s="771"/>
      <c r="P45" s="771"/>
      <c r="Q45" s="771"/>
      <c r="R45" s="771"/>
      <c r="S45" s="771"/>
      <c r="T45" s="771"/>
      <c r="U45" s="771"/>
      <c r="V45" s="771"/>
      <c r="W45" s="771"/>
      <c r="X45" s="771"/>
      <c r="Y45" s="771"/>
      <c r="Z45" s="771"/>
      <c r="AA45" s="16"/>
      <c r="AB45" s="16"/>
      <c r="AC45" s="16"/>
      <c r="AD45" s="16"/>
      <c r="AE45" s="16"/>
      <c r="AF45" s="16"/>
      <c r="AG45" s="16"/>
      <c r="AH45" s="16"/>
      <c r="AI45" s="16"/>
      <c r="AJ45" s="16"/>
      <c r="AK45" s="16"/>
      <c r="AL45" s="16"/>
      <c r="AM45" s="16"/>
    </row>
    <row r="46" spans="1:39" ht="12.95" customHeight="1">
      <c r="A46" s="771" t="s">
        <v>725</v>
      </c>
      <c r="C46" s="771"/>
      <c r="D46" s="771"/>
      <c r="E46" s="771"/>
      <c r="F46" s="771"/>
      <c r="G46" s="771"/>
      <c r="H46" s="771"/>
      <c r="I46" s="771"/>
      <c r="J46" s="771"/>
      <c r="K46" s="771"/>
      <c r="L46" s="771"/>
      <c r="M46" s="771"/>
      <c r="N46" s="771"/>
      <c r="O46" s="771"/>
      <c r="P46" s="771"/>
      <c r="Q46" s="771"/>
      <c r="R46" s="771"/>
      <c r="S46" s="771"/>
      <c r="T46" s="771"/>
      <c r="U46" s="771"/>
      <c r="V46" s="771"/>
      <c r="W46" s="771"/>
      <c r="X46" s="771"/>
      <c r="Y46" s="771"/>
      <c r="Z46" s="771"/>
      <c r="AA46" s="16"/>
      <c r="AB46" s="16"/>
      <c r="AC46" s="16"/>
      <c r="AD46" s="16"/>
      <c r="AE46" s="16"/>
      <c r="AF46" s="16"/>
      <c r="AG46" s="16"/>
      <c r="AH46" s="16"/>
      <c r="AI46" s="16"/>
      <c r="AJ46" s="16"/>
      <c r="AK46" s="16"/>
      <c r="AL46" s="16"/>
      <c r="AM46" s="16"/>
    </row>
    <row r="47" spans="1:39" ht="12.95" customHeight="1">
      <c r="A47" s="771" t="s">
        <v>726</v>
      </c>
      <c r="C47" s="771"/>
      <c r="D47" s="771"/>
      <c r="E47" s="771"/>
      <c r="F47" s="771"/>
      <c r="G47" s="771"/>
      <c r="H47" s="771"/>
      <c r="I47" s="771"/>
      <c r="J47" s="771"/>
      <c r="K47" s="771"/>
      <c r="L47" s="771"/>
      <c r="M47" s="771"/>
      <c r="N47" s="771"/>
      <c r="O47" s="771"/>
      <c r="P47" s="771"/>
      <c r="Q47" s="771"/>
      <c r="R47" s="771"/>
      <c r="S47" s="771"/>
      <c r="T47" s="771"/>
      <c r="U47" s="771"/>
      <c r="V47" s="771"/>
      <c r="W47" s="771"/>
      <c r="X47" s="771"/>
      <c r="Y47" s="771"/>
      <c r="Z47" s="771"/>
      <c r="AA47" s="16"/>
      <c r="AB47" s="16"/>
      <c r="AC47" s="16"/>
      <c r="AD47" s="16"/>
      <c r="AE47" s="16"/>
      <c r="AF47" s="16"/>
      <c r="AG47" s="16"/>
      <c r="AH47" s="16"/>
      <c r="AI47" s="16"/>
      <c r="AJ47" s="16"/>
      <c r="AK47" s="16"/>
      <c r="AL47" s="16"/>
      <c r="AM47" s="16"/>
    </row>
    <row r="48" spans="1:39" ht="12.95" customHeight="1">
      <c r="A48" s="771" t="s">
        <v>727</v>
      </c>
      <c r="C48" s="771"/>
      <c r="D48" s="771"/>
      <c r="E48" s="771"/>
      <c r="F48" s="771"/>
      <c r="G48" s="771"/>
      <c r="H48" s="771"/>
      <c r="I48" s="771"/>
      <c r="J48" s="771"/>
      <c r="K48" s="771"/>
      <c r="L48" s="771"/>
      <c r="M48" s="771"/>
      <c r="N48" s="771"/>
      <c r="O48" s="771"/>
      <c r="P48" s="771"/>
      <c r="Q48" s="771"/>
      <c r="R48" s="771"/>
      <c r="S48" s="771"/>
      <c r="T48" s="771"/>
      <c r="U48" s="771"/>
      <c r="V48" s="771"/>
      <c r="W48" s="771"/>
      <c r="X48" s="771"/>
      <c r="Y48" s="771"/>
      <c r="Z48" s="771"/>
      <c r="AA48" s="16"/>
      <c r="AB48" s="16"/>
      <c r="AC48" s="16"/>
      <c r="AD48" s="16"/>
      <c r="AE48" s="16"/>
      <c r="AF48" s="16"/>
      <c r="AG48" s="16"/>
      <c r="AH48" s="16"/>
      <c r="AI48" s="16"/>
      <c r="AJ48" s="16"/>
      <c r="AK48" s="33"/>
      <c r="AM48" s="16"/>
    </row>
    <row r="49" spans="1:39" ht="12.95" customHeight="1">
      <c r="A49" s="771" t="s">
        <v>728</v>
      </c>
      <c r="C49" s="771"/>
      <c r="D49" s="771"/>
      <c r="E49" s="771"/>
      <c r="F49" s="771"/>
      <c r="G49" s="771"/>
      <c r="H49" s="771"/>
      <c r="I49" s="771"/>
      <c r="J49" s="771"/>
      <c r="K49" s="771"/>
      <c r="L49" s="771"/>
      <c r="M49" s="771"/>
      <c r="N49" s="771"/>
      <c r="O49" s="771"/>
      <c r="P49" s="771"/>
      <c r="Q49" s="771"/>
      <c r="R49" s="771"/>
      <c r="S49" s="771"/>
      <c r="T49" s="771"/>
      <c r="U49" s="771"/>
      <c r="V49" s="771"/>
      <c r="W49" s="771"/>
      <c r="X49" s="771"/>
      <c r="Y49" s="771"/>
      <c r="Z49" s="771"/>
      <c r="AA49" s="16"/>
      <c r="AB49" s="16"/>
      <c r="AC49" s="16"/>
      <c r="AD49" s="16"/>
      <c r="AE49" s="16"/>
      <c r="AF49" s="16"/>
      <c r="AG49" s="16"/>
      <c r="AH49" s="16"/>
      <c r="AI49" s="16"/>
      <c r="AJ49" s="16"/>
      <c r="AK49" s="33"/>
      <c r="AM49" s="16"/>
    </row>
    <row r="50" spans="1:39" ht="12.95" customHeight="1">
      <c r="C50" s="771"/>
      <c r="D50" s="771"/>
      <c r="E50" s="771"/>
      <c r="F50" s="771"/>
      <c r="G50" s="771"/>
      <c r="H50" s="771"/>
      <c r="I50" s="771"/>
      <c r="J50" s="771"/>
      <c r="K50" s="771"/>
      <c r="L50" s="771"/>
      <c r="M50" s="771"/>
      <c r="N50" s="771"/>
      <c r="O50" s="771"/>
      <c r="P50" s="771"/>
      <c r="Q50" s="771"/>
      <c r="R50" s="771"/>
      <c r="S50" s="771"/>
      <c r="T50" s="771"/>
      <c r="U50" s="771"/>
      <c r="V50" s="771"/>
      <c r="W50" s="771"/>
      <c r="X50" s="771"/>
      <c r="Y50" s="771"/>
      <c r="Z50" s="771"/>
      <c r="AA50" s="16"/>
      <c r="AB50" s="16"/>
      <c r="AC50" s="16"/>
      <c r="AD50" s="16"/>
      <c r="AE50" s="16"/>
      <c r="AF50" s="16"/>
      <c r="AG50" s="16"/>
      <c r="AH50" s="16"/>
      <c r="AI50" s="16"/>
      <c r="AJ50" s="16"/>
      <c r="AK50" s="16"/>
      <c r="AL50" s="16"/>
      <c r="AM50" s="16"/>
    </row>
    <row r="51" spans="1:39" ht="12.95" customHeight="1">
      <c r="A51" s="771" t="s">
        <v>729</v>
      </c>
      <c r="C51" s="771"/>
      <c r="D51" s="771"/>
      <c r="E51" s="771"/>
      <c r="F51" s="771"/>
      <c r="G51" s="771"/>
      <c r="H51" s="771"/>
      <c r="I51" s="771"/>
      <c r="J51" s="771"/>
      <c r="K51" s="771"/>
      <c r="L51" s="771"/>
      <c r="M51" s="771"/>
      <c r="N51" s="771"/>
      <c r="O51" s="771"/>
      <c r="P51" s="771"/>
      <c r="Q51" s="771"/>
      <c r="R51" s="771"/>
      <c r="S51" s="771"/>
      <c r="T51" s="771"/>
      <c r="U51" s="771"/>
      <c r="V51" s="771"/>
      <c r="W51" s="771"/>
      <c r="X51" s="771"/>
      <c r="Y51" s="771"/>
      <c r="Z51" s="771"/>
      <c r="AA51" s="16"/>
      <c r="AB51" s="16"/>
      <c r="AC51" s="16"/>
      <c r="AD51" s="16"/>
      <c r="AE51" s="16"/>
      <c r="AF51" s="16"/>
      <c r="AG51" s="16"/>
      <c r="AH51" s="16"/>
      <c r="AI51" s="16"/>
      <c r="AJ51" s="16"/>
      <c r="AK51" s="16"/>
      <c r="AL51" s="16"/>
      <c r="AM51" s="814"/>
    </row>
    <row r="52" spans="1:39" ht="12.95" customHeight="1">
      <c r="A52" s="771" t="s">
        <v>730</v>
      </c>
      <c r="C52" s="771"/>
      <c r="D52" s="771"/>
      <c r="E52" s="771"/>
      <c r="F52" s="771"/>
      <c r="G52" s="771"/>
      <c r="H52" s="771"/>
      <c r="I52" s="771"/>
      <c r="J52" s="771"/>
      <c r="K52" s="771"/>
      <c r="L52" s="771"/>
      <c r="M52" s="771"/>
      <c r="N52" s="771"/>
      <c r="O52" s="771"/>
      <c r="P52" s="771"/>
      <c r="Q52" s="771"/>
      <c r="R52" s="771"/>
      <c r="S52" s="771"/>
      <c r="T52" s="771"/>
      <c r="U52" s="771"/>
      <c r="V52" s="771"/>
      <c r="W52" s="771"/>
      <c r="X52" s="771"/>
      <c r="Y52" s="771"/>
      <c r="Z52" s="771"/>
      <c r="AA52" s="16"/>
      <c r="AB52" s="16"/>
      <c r="AC52" s="16"/>
      <c r="AD52" s="16"/>
      <c r="AE52" s="16"/>
      <c r="AF52" s="16"/>
      <c r="AG52" s="16"/>
      <c r="AH52" s="16"/>
      <c r="AI52" s="16"/>
      <c r="AJ52" s="16"/>
      <c r="AK52" s="16"/>
      <c r="AL52" s="16"/>
      <c r="AM52" s="814"/>
    </row>
    <row r="53" spans="1:39" ht="12.95" customHeight="1">
      <c r="A53" s="771" t="s">
        <v>731</v>
      </c>
      <c r="C53" s="771"/>
      <c r="D53" s="771"/>
      <c r="E53" s="771"/>
      <c r="F53" s="771"/>
      <c r="G53" s="771"/>
      <c r="H53" s="771"/>
      <c r="I53" s="771"/>
      <c r="J53" s="771"/>
      <c r="K53" s="771"/>
      <c r="L53" s="771"/>
      <c r="M53" s="771"/>
      <c r="N53" s="771"/>
      <c r="O53" s="771"/>
      <c r="P53" s="771"/>
      <c r="Q53" s="771"/>
      <c r="R53" s="771"/>
      <c r="S53" s="771"/>
      <c r="T53" s="771"/>
      <c r="U53" s="771"/>
      <c r="V53" s="771"/>
      <c r="W53" s="771"/>
      <c r="X53" s="771"/>
      <c r="Y53" s="771"/>
      <c r="Z53" s="771"/>
      <c r="AA53" s="16"/>
      <c r="AB53" s="16"/>
      <c r="AC53" s="16"/>
      <c r="AD53" s="16"/>
      <c r="AE53" s="16"/>
      <c r="AF53" s="16"/>
      <c r="AG53" s="16"/>
      <c r="AH53" s="16"/>
      <c r="AI53" s="16"/>
      <c r="AJ53" s="16"/>
      <c r="AK53" s="16"/>
      <c r="AL53" s="16"/>
    </row>
    <row r="54" spans="1:39" ht="12.95" customHeight="1">
      <c r="C54" s="771"/>
      <c r="D54" s="771"/>
      <c r="E54" s="771"/>
      <c r="F54" s="771"/>
      <c r="G54" s="771"/>
      <c r="H54" s="771"/>
      <c r="I54" s="771"/>
      <c r="J54" s="771"/>
      <c r="K54" s="771"/>
      <c r="L54" s="771"/>
      <c r="M54" s="771"/>
      <c r="N54" s="771"/>
      <c r="O54" s="771"/>
      <c r="P54" s="771"/>
      <c r="Q54" s="771"/>
      <c r="R54" s="771"/>
      <c r="S54" s="771"/>
      <c r="T54" s="771"/>
      <c r="U54" s="771"/>
      <c r="V54" s="771"/>
      <c r="W54" s="771"/>
      <c r="X54" s="771"/>
      <c r="Y54" s="771"/>
      <c r="Z54" s="771"/>
      <c r="AA54" s="16"/>
      <c r="AB54" s="16"/>
      <c r="AC54" s="16"/>
      <c r="AD54" s="16"/>
      <c r="AE54" s="16"/>
      <c r="AF54" s="16"/>
      <c r="AG54" s="16"/>
      <c r="AH54" s="16"/>
      <c r="AI54" s="16"/>
      <c r="AJ54" s="16"/>
      <c r="AK54" s="16"/>
      <c r="AL54" s="16"/>
    </row>
    <row r="55" spans="1:39" ht="12.95" customHeight="1">
      <c r="A55" s="771" t="s">
        <v>732</v>
      </c>
      <c r="C55" s="771"/>
      <c r="D55" s="771"/>
      <c r="E55" s="771"/>
      <c r="F55" s="771"/>
      <c r="G55" s="771"/>
      <c r="H55" s="771"/>
      <c r="I55" s="771"/>
      <c r="J55" s="771"/>
      <c r="K55" s="771"/>
      <c r="L55" s="771"/>
      <c r="M55" s="771"/>
      <c r="N55" s="771"/>
      <c r="O55" s="771"/>
      <c r="P55" s="771"/>
      <c r="Q55" s="771"/>
      <c r="R55" s="771"/>
      <c r="S55" s="771"/>
      <c r="T55" s="771"/>
      <c r="U55" s="771"/>
      <c r="V55" s="771"/>
      <c r="W55" s="771"/>
      <c r="X55" s="771"/>
      <c r="Y55" s="771"/>
      <c r="Z55" s="771"/>
      <c r="AA55" s="16"/>
      <c r="AB55" s="16"/>
      <c r="AC55" s="16"/>
      <c r="AD55" s="16"/>
      <c r="AE55" s="16"/>
      <c r="AF55" s="16"/>
      <c r="AG55" s="16"/>
      <c r="AH55" s="16"/>
      <c r="AI55" s="16"/>
      <c r="AJ55" s="16"/>
      <c r="AK55" s="16"/>
      <c r="AL55" s="16"/>
    </row>
    <row r="56" spans="1:39" ht="12.95" customHeight="1">
      <c r="A56" s="771" t="s">
        <v>733</v>
      </c>
      <c r="C56" s="771"/>
      <c r="D56" s="771"/>
      <c r="E56" s="771"/>
      <c r="F56" s="771"/>
      <c r="G56" s="771"/>
      <c r="H56" s="771"/>
      <c r="I56" s="771"/>
      <c r="J56" s="771"/>
      <c r="K56" s="771"/>
      <c r="L56" s="771"/>
      <c r="M56" s="771"/>
      <c r="N56" s="771"/>
      <c r="O56" s="771"/>
      <c r="P56" s="771"/>
      <c r="Q56" s="771"/>
      <c r="R56" s="771"/>
      <c r="S56" s="771"/>
      <c r="T56" s="771"/>
      <c r="U56" s="771"/>
      <c r="V56" s="771"/>
      <c r="W56" s="771"/>
      <c r="X56" s="771"/>
      <c r="Y56" s="771"/>
      <c r="Z56" s="771"/>
      <c r="AA56" s="16"/>
      <c r="AB56" s="16"/>
      <c r="AC56" s="16"/>
      <c r="AD56" s="16"/>
      <c r="AE56" s="16"/>
      <c r="AF56" s="16"/>
      <c r="AG56" s="16"/>
      <c r="AH56" s="16"/>
      <c r="AI56" s="16"/>
      <c r="AJ56" s="16"/>
      <c r="AK56" s="16"/>
      <c r="AL56" s="16"/>
      <c r="AM56" s="16"/>
    </row>
    <row r="57" spans="1:39" ht="12.95" customHeight="1">
      <c r="A57" s="771" t="s">
        <v>734</v>
      </c>
      <c r="C57" s="760"/>
      <c r="D57" s="760"/>
      <c r="E57" s="760"/>
      <c r="F57" s="760"/>
      <c r="G57" s="760"/>
      <c r="H57" s="760"/>
      <c r="I57" s="760"/>
      <c r="J57" s="760"/>
      <c r="K57" s="760"/>
      <c r="L57" s="760"/>
      <c r="M57" s="760"/>
      <c r="N57" s="760"/>
      <c r="O57" s="760"/>
      <c r="P57" s="760"/>
      <c r="Q57" s="760"/>
      <c r="R57" s="760"/>
      <c r="S57" s="760"/>
      <c r="T57" s="760"/>
      <c r="U57" s="760"/>
      <c r="V57" s="760"/>
      <c r="W57" s="760"/>
      <c r="X57" s="760"/>
      <c r="Y57" s="760"/>
      <c r="Z57" s="760"/>
      <c r="AA57" s="814"/>
      <c r="AB57" s="814"/>
      <c r="AC57" s="814"/>
      <c r="AD57" s="814"/>
      <c r="AE57" s="814"/>
      <c r="AF57" s="814"/>
      <c r="AG57" s="814"/>
      <c r="AH57" s="814"/>
      <c r="AI57" s="814"/>
      <c r="AJ57" s="814"/>
      <c r="AK57" s="814"/>
      <c r="AL57" s="814"/>
      <c r="AM57" s="16"/>
    </row>
    <row r="58" spans="1:39" ht="12.95" customHeight="1">
      <c r="A58" s="771" t="s">
        <v>735</v>
      </c>
      <c r="C58" s="760"/>
      <c r="D58" s="760"/>
      <c r="E58" s="760"/>
      <c r="F58" s="760"/>
      <c r="G58" s="760"/>
      <c r="H58" s="760"/>
      <c r="I58" s="760"/>
      <c r="J58" s="760"/>
      <c r="K58" s="760"/>
      <c r="L58" s="760"/>
      <c r="M58" s="760"/>
      <c r="N58" s="760"/>
      <c r="O58" s="760"/>
      <c r="P58" s="760"/>
      <c r="Q58" s="760"/>
      <c r="R58" s="760"/>
      <c r="S58" s="760"/>
      <c r="T58" s="760"/>
      <c r="U58" s="760"/>
      <c r="V58" s="760"/>
      <c r="W58" s="760"/>
      <c r="X58" s="760"/>
      <c r="Y58" s="760"/>
      <c r="Z58" s="760"/>
      <c r="AA58" s="814"/>
      <c r="AB58" s="814"/>
      <c r="AC58" s="814"/>
      <c r="AD58" s="814"/>
      <c r="AE58" s="814"/>
      <c r="AF58" s="814"/>
      <c r="AG58" s="814"/>
      <c r="AH58" s="814"/>
      <c r="AI58" s="814"/>
      <c r="AJ58" s="814"/>
      <c r="AK58" s="814"/>
      <c r="AL58" s="814"/>
      <c r="AM58" s="16"/>
    </row>
    <row r="59" spans="1:39" ht="12.95" customHeight="1">
      <c r="A59" s="771" t="s">
        <v>736</v>
      </c>
      <c r="C59" s="33"/>
      <c r="D59" s="33"/>
      <c r="E59" s="33"/>
      <c r="F59" s="33"/>
      <c r="G59" s="33"/>
      <c r="H59" s="33"/>
      <c r="I59" s="33"/>
      <c r="J59" s="33"/>
      <c r="K59" s="33"/>
      <c r="L59" s="33"/>
      <c r="M59" s="33"/>
      <c r="N59" s="33"/>
      <c r="O59" s="33"/>
      <c r="P59" s="33"/>
      <c r="Q59" s="33"/>
      <c r="R59" s="33"/>
      <c r="S59" s="33"/>
      <c r="T59" s="33"/>
      <c r="U59" s="33"/>
      <c r="V59" s="33"/>
      <c r="W59" s="33"/>
      <c r="X59" s="33"/>
      <c r="Y59" s="33"/>
      <c r="Z59" s="33"/>
      <c r="AM59" s="16"/>
    </row>
    <row r="60" spans="1:39" ht="12.95" customHeight="1">
      <c r="A60" s="771" t="s">
        <v>737</v>
      </c>
      <c r="C60" s="33"/>
      <c r="D60" s="33"/>
      <c r="E60" s="33"/>
      <c r="F60" s="33"/>
      <c r="G60" s="33"/>
      <c r="H60" s="33"/>
      <c r="I60" s="33"/>
      <c r="J60" s="33"/>
      <c r="K60" s="33"/>
      <c r="L60" s="33"/>
      <c r="M60" s="33"/>
      <c r="N60" s="33"/>
      <c r="O60" s="33"/>
      <c r="P60" s="33"/>
      <c r="Q60" s="33"/>
      <c r="R60" s="33"/>
      <c r="S60" s="33"/>
      <c r="T60" s="33"/>
      <c r="U60" s="33"/>
      <c r="V60" s="33"/>
      <c r="W60" s="33"/>
      <c r="X60" s="33"/>
      <c r="Y60" s="33"/>
      <c r="Z60" s="33"/>
      <c r="AM60" s="16"/>
    </row>
    <row r="61" spans="1:39" ht="12.95" customHeight="1">
      <c r="C61" s="33"/>
      <c r="D61" s="33"/>
      <c r="E61" s="33"/>
      <c r="F61" s="33"/>
      <c r="G61" s="33"/>
      <c r="H61" s="33"/>
      <c r="I61" s="33"/>
      <c r="J61" s="33"/>
      <c r="K61" s="33"/>
      <c r="L61" s="33"/>
      <c r="M61" s="33"/>
      <c r="N61" s="33"/>
      <c r="O61" s="33"/>
      <c r="P61" s="33"/>
      <c r="Q61" s="33"/>
      <c r="R61" s="33"/>
      <c r="S61" s="33"/>
      <c r="T61" s="33"/>
      <c r="U61" s="33"/>
      <c r="V61" s="33"/>
      <c r="W61" s="33"/>
      <c r="X61" s="33"/>
      <c r="Y61" s="33"/>
      <c r="Z61" s="33"/>
      <c r="AM61" s="16"/>
    </row>
    <row r="62" spans="1:39" ht="12.95" customHeight="1">
      <c r="A62" s="760" t="s">
        <v>738</v>
      </c>
      <c r="C62" s="771"/>
      <c r="D62" s="771"/>
      <c r="E62" s="771"/>
      <c r="F62" s="771"/>
      <c r="G62" s="771"/>
      <c r="H62" s="771"/>
      <c r="I62" s="771"/>
      <c r="J62" s="771"/>
      <c r="K62" s="771"/>
      <c r="L62" s="771"/>
      <c r="M62" s="771"/>
      <c r="N62" s="771"/>
      <c r="O62" s="771"/>
      <c r="P62" s="771"/>
      <c r="Q62" s="771"/>
      <c r="R62" s="771"/>
      <c r="S62" s="771"/>
      <c r="T62" s="771"/>
      <c r="U62" s="771"/>
      <c r="V62" s="771"/>
      <c r="W62" s="771"/>
      <c r="X62" s="771"/>
      <c r="Y62" s="771"/>
      <c r="Z62" s="771"/>
      <c r="AA62" s="16"/>
      <c r="AB62" s="16"/>
      <c r="AC62" s="16"/>
      <c r="AD62" s="16"/>
      <c r="AE62" s="16"/>
      <c r="AF62" s="16"/>
      <c r="AG62" s="16"/>
      <c r="AH62" s="16"/>
      <c r="AI62" s="16"/>
      <c r="AJ62" s="16"/>
      <c r="AK62" s="16"/>
      <c r="AL62" s="16"/>
      <c r="AM62" s="16"/>
    </row>
    <row r="63" spans="1:39" ht="12.95" customHeight="1">
      <c r="A63" s="760" t="s">
        <v>739</v>
      </c>
      <c r="C63" s="771"/>
      <c r="D63" s="771"/>
      <c r="E63" s="771"/>
      <c r="F63" s="771"/>
      <c r="G63" s="771"/>
      <c r="H63" s="771"/>
      <c r="I63" s="771"/>
      <c r="J63" s="771"/>
      <c r="K63" s="771"/>
      <c r="L63" s="771"/>
      <c r="M63" s="771"/>
      <c r="N63" s="771"/>
      <c r="O63" s="771"/>
      <c r="P63" s="771"/>
      <c r="Q63" s="771"/>
      <c r="R63" s="771"/>
      <c r="S63" s="771"/>
      <c r="T63" s="771"/>
      <c r="U63" s="771"/>
      <c r="V63" s="771"/>
      <c r="W63" s="771"/>
      <c r="X63" s="771"/>
      <c r="Y63" s="771"/>
      <c r="Z63" s="771"/>
      <c r="AA63" s="16"/>
      <c r="AB63" s="16"/>
      <c r="AC63" s="16"/>
      <c r="AD63" s="16"/>
      <c r="AE63" s="16"/>
      <c r="AF63" s="16"/>
      <c r="AG63" s="16"/>
      <c r="AH63" s="16"/>
      <c r="AI63" s="16"/>
      <c r="AJ63" s="16"/>
      <c r="AK63" s="16"/>
      <c r="AL63" s="16"/>
      <c r="AM63" s="16"/>
    </row>
    <row r="64" spans="1:39" ht="12.95" customHeight="1">
      <c r="C64" s="771"/>
      <c r="D64" s="771"/>
      <c r="E64" s="771"/>
      <c r="F64" s="771"/>
      <c r="G64" s="771"/>
      <c r="H64" s="771"/>
      <c r="I64" s="771"/>
      <c r="J64" s="771"/>
      <c r="K64" s="771"/>
      <c r="L64" s="771"/>
      <c r="M64" s="771"/>
      <c r="N64" s="771"/>
      <c r="O64" s="771"/>
      <c r="P64" s="771"/>
      <c r="Q64" s="771"/>
      <c r="R64" s="771"/>
      <c r="S64" s="771"/>
      <c r="T64" s="771"/>
      <c r="U64" s="771"/>
      <c r="V64" s="771"/>
      <c r="W64" s="771"/>
      <c r="X64" s="771"/>
      <c r="Y64" s="771"/>
      <c r="Z64" s="771"/>
      <c r="AA64" s="16"/>
      <c r="AB64" s="16"/>
      <c r="AC64" s="16"/>
      <c r="AD64" s="16"/>
      <c r="AE64" s="16"/>
      <c r="AF64" s="16"/>
      <c r="AG64" s="16"/>
      <c r="AH64" s="16"/>
      <c r="AI64" s="16"/>
      <c r="AJ64" s="16"/>
      <c r="AK64" s="16"/>
      <c r="AL64" s="16"/>
      <c r="AM64" s="16"/>
    </row>
    <row r="65" spans="1:39" ht="12.95" customHeight="1">
      <c r="A65" s="771" t="s">
        <v>740</v>
      </c>
      <c r="C65" s="771"/>
      <c r="D65" s="771"/>
      <c r="E65" s="771"/>
      <c r="F65" s="771"/>
      <c r="G65" s="771"/>
      <c r="H65" s="771"/>
      <c r="I65" s="771"/>
      <c r="J65" s="771"/>
      <c r="K65" s="771"/>
      <c r="L65" s="771"/>
      <c r="M65" s="771"/>
      <c r="N65" s="771"/>
      <c r="O65" s="771"/>
      <c r="P65" s="771"/>
      <c r="Q65" s="771"/>
      <c r="R65" s="771"/>
      <c r="S65" s="771"/>
      <c r="T65" s="771"/>
      <c r="U65" s="771"/>
      <c r="V65" s="771"/>
      <c r="W65" s="771"/>
      <c r="X65" s="771"/>
      <c r="Y65" s="771"/>
      <c r="Z65" s="771"/>
      <c r="AA65" s="16"/>
      <c r="AB65" s="16"/>
      <c r="AC65" s="16"/>
      <c r="AD65" s="16"/>
      <c r="AE65" s="16"/>
      <c r="AF65" s="16"/>
      <c r="AG65" s="16"/>
      <c r="AH65" s="16"/>
      <c r="AI65" s="16"/>
      <c r="AJ65" s="16"/>
      <c r="AK65" s="16"/>
      <c r="AL65" s="16"/>
      <c r="AM65" s="16"/>
    </row>
    <row r="66" spans="1:39" ht="12.95" customHeight="1">
      <c r="A66" s="771" t="s">
        <v>741</v>
      </c>
      <c r="C66" s="771"/>
      <c r="D66" s="771"/>
      <c r="E66" s="771"/>
      <c r="F66" s="771"/>
      <c r="G66" s="771"/>
      <c r="H66" s="771"/>
      <c r="I66" s="771"/>
      <c r="J66" s="771"/>
      <c r="K66" s="771"/>
      <c r="L66" s="771"/>
      <c r="M66" s="771"/>
      <c r="N66" s="771"/>
      <c r="O66" s="771"/>
      <c r="P66" s="771"/>
      <c r="Q66" s="771"/>
      <c r="R66" s="771"/>
      <c r="S66" s="771"/>
      <c r="T66" s="771"/>
      <c r="U66" s="771"/>
      <c r="V66" s="771"/>
      <c r="W66" s="771"/>
      <c r="X66" s="771"/>
      <c r="Y66" s="771"/>
      <c r="Z66" s="771"/>
      <c r="AA66" s="16"/>
      <c r="AB66" s="16"/>
      <c r="AC66" s="16"/>
      <c r="AD66" s="16"/>
      <c r="AE66" s="16"/>
      <c r="AF66" s="16"/>
      <c r="AG66" s="16"/>
      <c r="AH66" s="16"/>
      <c r="AI66" s="16"/>
      <c r="AJ66" s="16"/>
      <c r="AK66" s="16"/>
      <c r="AL66" s="16"/>
      <c r="AM66" s="16"/>
    </row>
    <row r="67" spans="1:39" ht="12.95" customHeight="1">
      <c r="A67" s="771" t="s">
        <v>742</v>
      </c>
      <c r="C67" s="771"/>
      <c r="D67" s="771"/>
      <c r="E67" s="771"/>
      <c r="F67" s="771"/>
      <c r="G67" s="771"/>
      <c r="H67" s="771"/>
      <c r="I67" s="771"/>
      <c r="J67" s="771"/>
      <c r="K67" s="771"/>
      <c r="L67" s="771"/>
      <c r="M67" s="771"/>
      <c r="N67" s="771"/>
      <c r="O67" s="771"/>
      <c r="P67" s="771"/>
      <c r="Q67" s="771"/>
      <c r="R67" s="771"/>
      <c r="S67" s="771"/>
      <c r="T67" s="771"/>
      <c r="U67" s="771"/>
      <c r="V67" s="771"/>
      <c r="W67" s="771"/>
      <c r="X67" s="771"/>
      <c r="Y67" s="771"/>
      <c r="Z67" s="771"/>
      <c r="AA67" s="16"/>
      <c r="AB67" s="16"/>
      <c r="AC67" s="16"/>
      <c r="AD67" s="16"/>
      <c r="AE67" s="16"/>
      <c r="AF67" s="16"/>
      <c r="AG67" s="16"/>
      <c r="AH67" s="16"/>
      <c r="AI67" s="16"/>
      <c r="AJ67" s="16"/>
      <c r="AK67" s="16"/>
      <c r="AL67" s="16"/>
      <c r="AM67" s="16"/>
    </row>
    <row r="68" spans="1:39" ht="12.95" customHeight="1">
      <c r="A68" s="771" t="s">
        <v>743</v>
      </c>
      <c r="C68" s="771"/>
      <c r="D68" s="771"/>
      <c r="E68" s="771"/>
      <c r="F68" s="771"/>
      <c r="G68" s="771"/>
      <c r="H68" s="771"/>
      <c r="I68" s="771"/>
      <c r="J68" s="771"/>
      <c r="K68" s="771"/>
      <c r="L68" s="771"/>
      <c r="M68" s="771"/>
      <c r="N68" s="771"/>
      <c r="O68" s="771"/>
      <c r="P68" s="771"/>
      <c r="Q68" s="771"/>
      <c r="R68" s="771"/>
      <c r="S68" s="771"/>
      <c r="T68" s="771"/>
      <c r="U68" s="771"/>
      <c r="V68" s="771"/>
      <c r="W68" s="771"/>
      <c r="X68" s="771"/>
      <c r="Y68" s="771"/>
      <c r="Z68" s="771"/>
      <c r="AA68" s="16"/>
      <c r="AB68" s="16"/>
      <c r="AC68" s="16"/>
      <c r="AD68" s="16"/>
      <c r="AE68" s="16"/>
      <c r="AF68" s="16"/>
      <c r="AG68" s="16"/>
      <c r="AH68" s="16"/>
      <c r="AI68" s="16"/>
      <c r="AJ68" s="16"/>
      <c r="AK68" s="16"/>
      <c r="AL68" s="16"/>
      <c r="AM68" s="16"/>
    </row>
    <row r="69" spans="1:39" ht="12.95" customHeight="1">
      <c r="A69" s="771" t="s">
        <v>744</v>
      </c>
      <c r="C69" s="771"/>
      <c r="D69" s="771"/>
      <c r="E69" s="771"/>
      <c r="F69" s="771"/>
      <c r="G69" s="771"/>
      <c r="H69" s="771"/>
      <c r="I69" s="771"/>
      <c r="J69" s="771"/>
      <c r="K69" s="771"/>
      <c r="L69" s="771"/>
      <c r="M69" s="771"/>
      <c r="N69" s="771"/>
      <c r="O69" s="771"/>
      <c r="P69" s="771"/>
      <c r="Q69" s="771"/>
      <c r="R69" s="771"/>
      <c r="S69" s="771"/>
      <c r="T69" s="771"/>
      <c r="U69" s="771"/>
      <c r="V69" s="771"/>
      <c r="W69" s="771"/>
      <c r="X69" s="771"/>
      <c r="Y69" s="771"/>
      <c r="Z69" s="771"/>
      <c r="AA69" s="16"/>
      <c r="AB69" s="16"/>
      <c r="AC69" s="16"/>
      <c r="AD69" s="16"/>
      <c r="AE69" s="16"/>
      <c r="AF69" s="16"/>
      <c r="AG69" s="16"/>
      <c r="AH69" s="16"/>
      <c r="AI69" s="16"/>
      <c r="AJ69" s="16"/>
      <c r="AK69" s="16"/>
      <c r="AL69" s="16"/>
      <c r="AM69" s="16"/>
    </row>
    <row r="70" spans="1:39" ht="12.95" customHeight="1">
      <c r="A70" s="771" t="s">
        <v>745</v>
      </c>
      <c r="C70" s="771"/>
      <c r="D70" s="771"/>
      <c r="E70" s="771"/>
      <c r="F70" s="771"/>
      <c r="G70" s="771"/>
      <c r="H70" s="771"/>
      <c r="I70" s="771"/>
      <c r="J70" s="771"/>
      <c r="K70" s="771"/>
      <c r="L70" s="771"/>
      <c r="M70" s="771"/>
      <c r="N70" s="771"/>
      <c r="O70" s="771"/>
      <c r="P70" s="771"/>
      <c r="Q70" s="771"/>
      <c r="R70" s="771"/>
      <c r="S70" s="771"/>
      <c r="T70" s="771"/>
      <c r="U70" s="771"/>
      <c r="V70" s="771"/>
      <c r="W70" s="771"/>
      <c r="X70" s="771"/>
      <c r="Y70" s="771"/>
      <c r="Z70" s="771"/>
      <c r="AA70" s="16"/>
      <c r="AB70" s="16"/>
      <c r="AC70" s="16"/>
      <c r="AD70" s="16"/>
      <c r="AE70" s="16"/>
      <c r="AF70" s="16"/>
      <c r="AG70" s="16"/>
      <c r="AH70" s="16"/>
      <c r="AI70" s="16"/>
      <c r="AJ70" s="16"/>
      <c r="AK70" s="16"/>
      <c r="AL70" s="16"/>
      <c r="AM70" s="16"/>
    </row>
    <row r="71" spans="1:39" ht="12.95" customHeight="1">
      <c r="A71" s="771" t="s">
        <v>746</v>
      </c>
      <c r="C71" s="771"/>
      <c r="D71" s="771"/>
      <c r="E71" s="771"/>
      <c r="F71" s="771"/>
      <c r="G71" s="771"/>
      <c r="H71" s="771"/>
      <c r="I71" s="771"/>
      <c r="J71" s="771"/>
      <c r="K71" s="771"/>
      <c r="L71" s="771"/>
      <c r="M71" s="771"/>
      <c r="N71" s="771"/>
      <c r="O71" s="771"/>
      <c r="P71" s="771"/>
      <c r="Q71" s="771"/>
      <c r="R71" s="771"/>
      <c r="S71" s="771"/>
      <c r="T71" s="771"/>
      <c r="U71" s="771"/>
      <c r="V71" s="771"/>
      <c r="W71" s="771"/>
      <c r="X71" s="771"/>
      <c r="Y71" s="771"/>
      <c r="Z71" s="771"/>
      <c r="AA71" s="16"/>
      <c r="AB71" s="16"/>
      <c r="AC71" s="16"/>
      <c r="AD71" s="16"/>
      <c r="AE71" s="16"/>
      <c r="AF71" s="16"/>
      <c r="AG71" s="16"/>
      <c r="AH71" s="16"/>
      <c r="AI71" s="16"/>
      <c r="AJ71" s="16"/>
      <c r="AK71" s="16"/>
      <c r="AL71" s="16"/>
      <c r="AM71" s="16"/>
    </row>
    <row r="72" spans="1:39" ht="12.95" customHeight="1">
      <c r="C72" s="771"/>
      <c r="D72" s="771"/>
      <c r="E72" s="771"/>
      <c r="F72" s="771"/>
      <c r="G72" s="771"/>
      <c r="H72" s="771"/>
      <c r="I72" s="771"/>
      <c r="J72" s="771"/>
      <c r="K72" s="771"/>
      <c r="L72" s="771"/>
      <c r="M72" s="771"/>
      <c r="N72" s="771"/>
      <c r="O72" s="771"/>
      <c r="P72" s="771"/>
      <c r="Q72" s="771"/>
      <c r="R72" s="771"/>
      <c r="S72" s="771"/>
      <c r="T72" s="771"/>
      <c r="U72" s="771"/>
      <c r="V72" s="771"/>
      <c r="W72" s="771"/>
      <c r="X72" s="771"/>
      <c r="Y72" s="771"/>
      <c r="Z72" s="771"/>
      <c r="AA72" s="16"/>
      <c r="AB72" s="16"/>
      <c r="AC72" s="16"/>
      <c r="AD72" s="16"/>
      <c r="AE72" s="16"/>
      <c r="AF72" s="16"/>
      <c r="AG72" s="16"/>
      <c r="AH72" s="16"/>
      <c r="AI72" s="16"/>
      <c r="AJ72" s="16"/>
      <c r="AK72" s="16"/>
      <c r="AL72" s="16"/>
      <c r="AM72" s="16"/>
    </row>
    <row r="73" spans="1:39" ht="12.95" customHeight="1">
      <c r="A73" s="771" t="s">
        <v>747</v>
      </c>
      <c r="C73" s="771"/>
      <c r="D73" s="771"/>
      <c r="E73" s="771"/>
      <c r="F73" s="771"/>
      <c r="G73" s="771"/>
      <c r="H73" s="771"/>
      <c r="I73" s="771"/>
      <c r="J73" s="771"/>
      <c r="K73" s="771"/>
      <c r="L73" s="771"/>
      <c r="M73" s="771"/>
      <c r="N73" s="771"/>
      <c r="O73" s="771"/>
      <c r="P73" s="771"/>
      <c r="Q73" s="771"/>
      <c r="R73" s="771"/>
      <c r="S73" s="771"/>
      <c r="T73" s="771"/>
      <c r="U73" s="771"/>
      <c r="V73" s="771"/>
      <c r="W73" s="771"/>
      <c r="X73" s="771"/>
      <c r="Y73" s="771"/>
      <c r="Z73" s="771"/>
      <c r="AA73" s="16"/>
      <c r="AB73" s="16"/>
      <c r="AC73" s="16"/>
      <c r="AD73" s="16"/>
      <c r="AE73" s="16"/>
      <c r="AF73" s="16"/>
      <c r="AG73" s="16"/>
      <c r="AH73" s="16"/>
      <c r="AI73" s="16"/>
      <c r="AJ73" s="16"/>
      <c r="AK73" s="16"/>
      <c r="AL73" s="16"/>
      <c r="AM73" s="22"/>
    </row>
    <row r="74" spans="1:39" ht="12.95" customHeight="1">
      <c r="A74" s="771" t="s">
        <v>748</v>
      </c>
      <c r="C74" s="771"/>
      <c r="D74" s="771"/>
      <c r="E74" s="771"/>
      <c r="F74" s="771"/>
      <c r="G74" s="771"/>
      <c r="H74" s="771"/>
      <c r="I74" s="771"/>
      <c r="J74" s="771"/>
      <c r="K74" s="771"/>
      <c r="L74" s="771"/>
      <c r="M74" s="771"/>
      <c r="N74" s="771"/>
      <c r="O74" s="771"/>
      <c r="P74" s="771"/>
      <c r="Q74" s="771"/>
      <c r="R74" s="771"/>
      <c r="S74" s="771"/>
      <c r="T74" s="771"/>
      <c r="U74" s="771"/>
      <c r="V74" s="771"/>
      <c r="W74" s="771"/>
      <c r="X74" s="771"/>
      <c r="Y74" s="771"/>
      <c r="Z74" s="771"/>
      <c r="AA74" s="16"/>
      <c r="AB74" s="16"/>
      <c r="AC74" s="16"/>
      <c r="AD74" s="16"/>
      <c r="AE74" s="16"/>
      <c r="AF74" s="16"/>
      <c r="AG74" s="16"/>
      <c r="AH74" s="16"/>
      <c r="AI74" s="16"/>
      <c r="AJ74" s="16"/>
      <c r="AK74" s="16"/>
      <c r="AL74" s="16"/>
      <c r="AM74" s="22"/>
    </row>
    <row r="75" spans="1:39" ht="12.95" customHeight="1">
      <c r="C75" s="771"/>
      <c r="D75" s="771"/>
      <c r="E75" s="771"/>
      <c r="F75" s="771"/>
      <c r="G75" s="771"/>
      <c r="H75" s="771"/>
      <c r="I75" s="771"/>
      <c r="J75" s="771"/>
      <c r="K75" s="771"/>
      <c r="L75" s="771"/>
      <c r="M75" s="771"/>
      <c r="N75" s="771"/>
      <c r="O75" s="771"/>
      <c r="P75" s="771"/>
      <c r="Q75" s="771"/>
      <c r="R75" s="771"/>
      <c r="S75" s="771"/>
      <c r="T75" s="771"/>
      <c r="U75" s="771"/>
      <c r="V75" s="771"/>
      <c r="W75" s="771"/>
      <c r="X75" s="771"/>
      <c r="Y75" s="771"/>
      <c r="Z75" s="771"/>
      <c r="AA75" s="16"/>
      <c r="AB75" s="16"/>
      <c r="AC75" s="16"/>
      <c r="AD75" s="16"/>
      <c r="AE75" s="16"/>
      <c r="AF75" s="16"/>
      <c r="AG75" s="16"/>
      <c r="AH75" s="16"/>
      <c r="AI75" s="16"/>
      <c r="AJ75" s="16"/>
      <c r="AK75" s="16"/>
      <c r="AL75" s="16"/>
      <c r="AM75" s="22"/>
    </row>
    <row r="76" spans="1:39" ht="12.95" customHeight="1">
      <c r="A76" s="771" t="s">
        <v>749</v>
      </c>
      <c r="C76" s="771"/>
      <c r="D76" s="771"/>
      <c r="E76" s="771"/>
      <c r="F76" s="771"/>
      <c r="G76" s="771"/>
      <c r="H76" s="771"/>
      <c r="I76" s="771"/>
      <c r="J76" s="771"/>
      <c r="K76" s="771"/>
      <c r="L76" s="771"/>
      <c r="M76" s="771"/>
      <c r="N76" s="771"/>
      <c r="O76" s="771"/>
      <c r="P76" s="771"/>
      <c r="Q76" s="771"/>
      <c r="R76" s="771"/>
      <c r="S76" s="771"/>
      <c r="T76" s="771"/>
      <c r="U76" s="771"/>
      <c r="V76" s="771"/>
      <c r="W76" s="771"/>
      <c r="X76" s="771"/>
      <c r="Y76" s="771"/>
      <c r="Z76" s="771"/>
      <c r="AA76" s="16"/>
      <c r="AB76" s="16"/>
      <c r="AC76" s="16"/>
      <c r="AD76" s="16"/>
      <c r="AE76" s="16"/>
      <c r="AF76" s="16"/>
      <c r="AG76" s="16"/>
      <c r="AH76" s="16"/>
      <c r="AI76" s="16"/>
      <c r="AJ76" s="16"/>
      <c r="AK76" s="16"/>
      <c r="AL76" s="16"/>
      <c r="AM76" s="16"/>
    </row>
    <row r="77" spans="1:39" ht="12.95" customHeight="1">
      <c r="A77" s="771" t="s">
        <v>750</v>
      </c>
      <c r="C77" s="771"/>
      <c r="D77" s="771"/>
      <c r="E77" s="771"/>
      <c r="F77" s="771"/>
      <c r="G77" s="771"/>
      <c r="H77" s="771"/>
      <c r="I77" s="771"/>
      <c r="J77" s="771"/>
      <c r="K77" s="771"/>
      <c r="L77" s="771"/>
      <c r="M77" s="771"/>
      <c r="N77" s="771"/>
      <c r="O77" s="771"/>
      <c r="P77" s="771"/>
      <c r="Q77" s="771"/>
      <c r="R77" s="771"/>
      <c r="S77" s="771"/>
      <c r="T77" s="771"/>
      <c r="U77" s="771"/>
      <c r="V77" s="771"/>
      <c r="W77" s="771"/>
      <c r="X77" s="771"/>
      <c r="Y77" s="771"/>
      <c r="Z77" s="771"/>
      <c r="AA77" s="16"/>
      <c r="AB77" s="16"/>
      <c r="AC77" s="16"/>
      <c r="AD77" s="16"/>
      <c r="AE77" s="16"/>
      <c r="AF77" s="16"/>
      <c r="AG77" s="16"/>
      <c r="AH77" s="16"/>
      <c r="AI77" s="16"/>
      <c r="AJ77" s="16"/>
      <c r="AK77" s="16"/>
      <c r="AL77" s="16"/>
      <c r="AM77" s="16"/>
    </row>
    <row r="78" spans="1:39" ht="12.95" customHeight="1">
      <c r="A78" s="771" t="s">
        <v>751</v>
      </c>
      <c r="C78" s="771"/>
      <c r="D78" s="771"/>
      <c r="E78" s="771"/>
      <c r="F78" s="771"/>
      <c r="G78" s="771"/>
      <c r="H78" s="771"/>
      <c r="I78" s="771"/>
      <c r="J78" s="771"/>
      <c r="K78" s="771"/>
      <c r="L78" s="771"/>
      <c r="M78" s="771"/>
      <c r="N78" s="771"/>
      <c r="O78" s="771"/>
      <c r="P78" s="771"/>
      <c r="Q78" s="771"/>
      <c r="R78" s="771"/>
      <c r="S78" s="771"/>
      <c r="T78" s="771"/>
      <c r="U78" s="771"/>
      <c r="V78" s="771"/>
      <c r="W78" s="771"/>
      <c r="X78" s="771"/>
      <c r="Y78" s="771"/>
      <c r="Z78" s="771"/>
      <c r="AA78" s="16"/>
      <c r="AB78" s="16"/>
      <c r="AC78" s="16"/>
      <c r="AD78" s="16"/>
      <c r="AE78" s="16"/>
      <c r="AF78" s="16"/>
      <c r="AG78" s="16"/>
      <c r="AH78" s="16"/>
      <c r="AI78" s="16"/>
      <c r="AJ78" s="16"/>
      <c r="AK78" s="16"/>
      <c r="AL78" s="16"/>
      <c r="AM78" s="16"/>
    </row>
    <row r="79" spans="1:39" ht="12.95" customHeight="1">
      <c r="A79" s="771" t="s">
        <v>752</v>
      </c>
      <c r="C79" s="726"/>
      <c r="D79" s="726"/>
      <c r="E79" s="726"/>
      <c r="F79" s="726"/>
      <c r="G79" s="726"/>
      <c r="H79" s="726"/>
      <c r="I79" s="726"/>
      <c r="J79" s="726"/>
      <c r="K79" s="726"/>
      <c r="L79" s="726"/>
      <c r="M79" s="726"/>
      <c r="N79" s="726"/>
      <c r="O79" s="726"/>
      <c r="P79" s="726"/>
      <c r="Q79" s="726"/>
      <c r="R79" s="726"/>
      <c r="S79" s="726"/>
      <c r="T79" s="726"/>
      <c r="U79" s="726"/>
      <c r="V79" s="726"/>
      <c r="W79" s="726"/>
      <c r="X79" s="726"/>
      <c r="Y79" s="726"/>
      <c r="Z79" s="726"/>
      <c r="AA79" s="22"/>
      <c r="AB79" s="22"/>
      <c r="AC79" s="22"/>
      <c r="AD79" s="22"/>
      <c r="AE79" s="22"/>
      <c r="AF79" s="22"/>
      <c r="AG79" s="22"/>
      <c r="AH79" s="22"/>
      <c r="AI79" s="22"/>
      <c r="AJ79" s="22"/>
      <c r="AK79" s="22"/>
      <c r="AL79" s="22"/>
      <c r="AM79" s="16"/>
    </row>
    <row r="80" spans="1:39" ht="12.95" customHeight="1">
      <c r="C80" s="726"/>
      <c r="D80" s="726"/>
      <c r="E80" s="726"/>
      <c r="F80" s="726"/>
      <c r="G80" s="726"/>
      <c r="H80" s="726"/>
      <c r="I80" s="726"/>
      <c r="J80" s="726"/>
      <c r="K80" s="726"/>
      <c r="L80" s="726"/>
      <c r="M80" s="726"/>
      <c r="N80" s="726"/>
      <c r="O80" s="726"/>
      <c r="P80" s="726"/>
      <c r="Q80" s="726"/>
      <c r="R80" s="726"/>
      <c r="S80" s="726"/>
      <c r="T80" s="726"/>
      <c r="U80" s="726"/>
      <c r="V80" s="726"/>
      <c r="W80" s="726"/>
      <c r="X80" s="726"/>
      <c r="Y80" s="726"/>
      <c r="Z80" s="726"/>
      <c r="AA80" s="22"/>
      <c r="AB80" s="22"/>
      <c r="AC80" s="22"/>
      <c r="AD80" s="22"/>
      <c r="AE80" s="22"/>
      <c r="AF80" s="22"/>
      <c r="AG80" s="22"/>
      <c r="AH80" s="22"/>
      <c r="AI80" s="22"/>
      <c r="AJ80" s="22"/>
      <c r="AK80" s="22"/>
      <c r="AL80" s="22"/>
      <c r="AM80" s="16"/>
    </row>
    <row r="81" spans="1:39" ht="12.95" customHeight="1">
      <c r="A81" s="771" t="s">
        <v>753</v>
      </c>
      <c r="C81" s="726"/>
      <c r="D81" s="726"/>
      <c r="E81" s="726"/>
      <c r="F81" s="726"/>
      <c r="G81" s="726"/>
      <c r="H81" s="726"/>
      <c r="I81" s="726"/>
      <c r="J81" s="726"/>
      <c r="K81" s="726"/>
      <c r="L81" s="726"/>
      <c r="M81" s="726"/>
      <c r="N81" s="726"/>
      <c r="O81" s="726"/>
      <c r="P81" s="726"/>
      <c r="Q81" s="726"/>
      <c r="R81" s="726"/>
      <c r="S81" s="726"/>
      <c r="T81" s="726"/>
      <c r="U81" s="726"/>
      <c r="V81" s="726"/>
      <c r="W81" s="726"/>
      <c r="X81" s="726"/>
      <c r="Y81" s="726"/>
      <c r="Z81" s="726"/>
      <c r="AA81" s="22"/>
      <c r="AB81" s="22"/>
      <c r="AC81" s="22"/>
      <c r="AD81" s="22"/>
      <c r="AE81" s="22"/>
      <c r="AF81" s="22"/>
      <c r="AG81" s="22"/>
      <c r="AH81" s="22"/>
      <c r="AI81" s="22"/>
      <c r="AJ81" s="22"/>
      <c r="AK81" s="22"/>
      <c r="AL81" s="22"/>
      <c r="AM81" s="16"/>
    </row>
    <row r="82" spans="1:39" ht="12.95" customHeight="1">
      <c r="A82" s="771" t="s">
        <v>754</v>
      </c>
      <c r="C82" s="771"/>
      <c r="D82" s="771"/>
      <c r="E82" s="771"/>
      <c r="F82" s="771"/>
      <c r="G82" s="771"/>
      <c r="H82" s="771"/>
      <c r="I82" s="771"/>
      <c r="J82" s="771"/>
      <c r="K82" s="771"/>
      <c r="L82" s="771"/>
      <c r="M82" s="771"/>
      <c r="N82" s="771"/>
      <c r="O82" s="771"/>
      <c r="P82" s="771"/>
      <c r="Q82" s="771"/>
      <c r="R82" s="771"/>
      <c r="S82" s="771"/>
      <c r="T82" s="771"/>
      <c r="U82" s="771"/>
      <c r="V82" s="771"/>
      <c r="W82" s="771"/>
      <c r="X82" s="771"/>
      <c r="Y82" s="771"/>
      <c r="Z82" s="771"/>
      <c r="AA82" s="16"/>
      <c r="AB82" s="16"/>
      <c r="AC82" s="16"/>
      <c r="AD82" s="16"/>
      <c r="AE82" s="16"/>
      <c r="AF82" s="16"/>
      <c r="AG82" s="16"/>
      <c r="AH82" s="16"/>
      <c r="AI82" s="16"/>
      <c r="AJ82" s="16"/>
      <c r="AK82" s="16"/>
      <c r="AL82" s="16"/>
      <c r="AM82" s="16"/>
    </row>
    <row r="83" spans="1:39" ht="12.95" customHeight="1">
      <c r="C83" s="771"/>
      <c r="D83" s="771"/>
      <c r="E83" s="771"/>
      <c r="F83" s="771"/>
      <c r="G83" s="771"/>
      <c r="H83" s="771"/>
      <c r="I83" s="771"/>
      <c r="J83" s="771"/>
      <c r="K83" s="771"/>
      <c r="L83" s="771"/>
      <c r="M83" s="771"/>
      <c r="N83" s="771"/>
      <c r="O83" s="771"/>
      <c r="P83" s="771"/>
      <c r="Q83" s="771"/>
      <c r="R83" s="771"/>
      <c r="S83" s="771"/>
      <c r="T83" s="771"/>
      <c r="U83" s="771"/>
      <c r="V83" s="771"/>
      <c r="W83" s="771"/>
      <c r="X83" s="771"/>
      <c r="Y83" s="771"/>
      <c r="Z83" s="771"/>
      <c r="AA83" s="16"/>
      <c r="AB83" s="16"/>
      <c r="AC83" s="16"/>
      <c r="AD83" s="16"/>
      <c r="AE83" s="16"/>
      <c r="AF83" s="16"/>
      <c r="AG83" s="16"/>
      <c r="AH83" s="16"/>
      <c r="AI83" s="16"/>
      <c r="AJ83" s="16"/>
      <c r="AK83" s="16"/>
      <c r="AL83" s="16"/>
      <c r="AM83" s="16"/>
    </row>
    <row r="84" spans="1:39" ht="12.95" customHeight="1">
      <c r="A84" s="726" t="s">
        <v>755</v>
      </c>
      <c r="C84" s="771"/>
      <c r="D84" s="771"/>
      <c r="E84" s="771"/>
      <c r="F84" s="771"/>
      <c r="G84" s="771"/>
      <c r="H84" s="771"/>
      <c r="I84" s="771"/>
      <c r="J84" s="771"/>
      <c r="K84" s="771"/>
      <c r="L84" s="771"/>
      <c r="M84" s="771"/>
      <c r="N84" s="771"/>
      <c r="O84" s="771"/>
      <c r="P84" s="771"/>
      <c r="Q84" s="771"/>
      <c r="R84" s="771"/>
      <c r="S84" s="771"/>
      <c r="T84" s="771"/>
      <c r="U84" s="771"/>
      <c r="V84" s="771"/>
      <c r="W84" s="771"/>
      <c r="X84" s="771"/>
      <c r="Y84" s="771"/>
      <c r="Z84" s="771"/>
      <c r="AA84" s="16"/>
      <c r="AB84" s="16"/>
      <c r="AC84" s="16"/>
      <c r="AD84" s="16"/>
      <c r="AE84" s="16"/>
      <c r="AF84" s="16"/>
      <c r="AG84" s="16"/>
      <c r="AH84" s="16"/>
      <c r="AI84" s="16"/>
      <c r="AJ84" s="16"/>
      <c r="AK84" s="16"/>
      <c r="AL84" s="16"/>
    </row>
    <row r="85" spans="1:39" ht="12.95" customHeight="1">
      <c r="A85" s="726" t="s">
        <v>756</v>
      </c>
      <c r="C85" s="771"/>
      <c r="D85" s="771"/>
      <c r="E85" s="771"/>
      <c r="F85" s="771"/>
      <c r="G85" s="771"/>
      <c r="H85" s="771"/>
      <c r="I85" s="771"/>
      <c r="J85" s="771"/>
      <c r="K85" s="771"/>
      <c r="L85" s="771"/>
      <c r="M85" s="771"/>
      <c r="N85" s="771"/>
      <c r="O85" s="771"/>
      <c r="P85" s="771"/>
      <c r="Q85" s="771"/>
      <c r="R85" s="771"/>
      <c r="S85" s="771"/>
      <c r="T85" s="771"/>
      <c r="U85" s="771"/>
      <c r="V85" s="771"/>
      <c r="W85" s="771"/>
      <c r="X85" s="771"/>
      <c r="Y85" s="771"/>
      <c r="Z85" s="771"/>
      <c r="AA85" s="16"/>
      <c r="AB85" s="16"/>
      <c r="AC85" s="16"/>
      <c r="AD85" s="16"/>
      <c r="AE85" s="16"/>
      <c r="AF85" s="16"/>
      <c r="AG85" s="16"/>
      <c r="AH85" s="16"/>
      <c r="AI85" s="16"/>
      <c r="AJ85" s="16"/>
      <c r="AK85" s="16"/>
      <c r="AL85" s="16"/>
    </row>
    <row r="86" spans="1:39" ht="12.95" customHeight="1"/>
    <row r="87" spans="1:39" ht="12.95" customHeight="1">
      <c r="A87" s="771" t="s">
        <v>757</v>
      </c>
      <c r="AM87" s="16"/>
    </row>
    <row r="88" spans="1:39" ht="12.95" customHeight="1">
      <c r="A88" s="771" t="s">
        <v>758</v>
      </c>
      <c r="AM88" s="16"/>
    </row>
    <row r="89" spans="1:39" ht="12.95" customHeight="1">
      <c r="A89" s="771" t="s">
        <v>759</v>
      </c>
      <c r="C89" s="771"/>
      <c r="D89" s="771"/>
      <c r="E89" s="771"/>
      <c r="F89" s="771"/>
      <c r="G89" s="771"/>
      <c r="H89" s="771"/>
      <c r="I89" s="771"/>
      <c r="J89" s="771"/>
      <c r="K89" s="771"/>
      <c r="L89" s="771"/>
      <c r="M89" s="771"/>
      <c r="N89" s="771"/>
      <c r="O89" s="771"/>
      <c r="P89" s="771"/>
      <c r="Q89" s="771"/>
      <c r="R89" s="771"/>
      <c r="S89" s="771"/>
      <c r="T89" s="771"/>
      <c r="U89" s="771"/>
      <c r="V89" s="771"/>
      <c r="W89" s="771"/>
      <c r="X89" s="771"/>
      <c r="Y89" s="771"/>
      <c r="Z89" s="771"/>
      <c r="AA89" s="16"/>
      <c r="AB89" s="16"/>
      <c r="AC89" s="16"/>
      <c r="AD89" s="16"/>
      <c r="AE89" s="16"/>
      <c r="AF89" s="16"/>
      <c r="AG89" s="16"/>
      <c r="AH89" s="16"/>
      <c r="AI89" s="16"/>
      <c r="AJ89" s="16"/>
      <c r="AK89" s="16"/>
      <c r="AL89" s="16"/>
      <c r="AM89" s="16"/>
    </row>
    <row r="90" spans="1:39" ht="12.95" customHeight="1">
      <c r="C90" s="771"/>
      <c r="D90" s="771"/>
      <c r="E90" s="771"/>
      <c r="F90" s="771"/>
      <c r="G90" s="771"/>
      <c r="H90" s="771"/>
      <c r="I90" s="771"/>
      <c r="J90" s="771"/>
      <c r="K90" s="771"/>
      <c r="L90" s="771"/>
      <c r="M90" s="771"/>
      <c r="N90" s="771"/>
      <c r="O90" s="771"/>
      <c r="P90" s="771"/>
      <c r="Q90" s="771"/>
      <c r="R90" s="771"/>
      <c r="S90" s="771"/>
      <c r="T90" s="771"/>
      <c r="U90" s="771"/>
      <c r="V90" s="771"/>
      <c r="W90" s="771"/>
      <c r="X90" s="771"/>
      <c r="Y90" s="771"/>
      <c r="Z90" s="771"/>
      <c r="AA90" s="16"/>
      <c r="AB90" s="16"/>
      <c r="AC90" s="16"/>
      <c r="AD90" s="16"/>
      <c r="AE90" s="16"/>
      <c r="AF90" s="16"/>
      <c r="AG90" s="16"/>
      <c r="AH90" s="16"/>
      <c r="AI90" s="16"/>
      <c r="AJ90" s="16"/>
      <c r="AK90" s="16"/>
      <c r="AL90" s="16"/>
      <c r="AM90" s="16"/>
    </row>
    <row r="91" spans="1:39" ht="12.95" customHeight="1">
      <c r="A91" s="771" t="s">
        <v>760</v>
      </c>
      <c r="C91" s="771"/>
      <c r="D91" s="771"/>
      <c r="E91" s="771"/>
      <c r="F91" s="771"/>
      <c r="G91" s="771"/>
      <c r="H91" s="771"/>
      <c r="I91" s="771"/>
      <c r="J91" s="771"/>
      <c r="K91" s="771"/>
      <c r="L91" s="771"/>
      <c r="M91" s="771"/>
      <c r="N91" s="771"/>
      <c r="O91" s="771"/>
      <c r="P91" s="771"/>
      <c r="Q91" s="771"/>
      <c r="R91" s="771"/>
      <c r="S91" s="771"/>
      <c r="T91" s="771"/>
      <c r="U91" s="771"/>
      <c r="V91" s="771"/>
      <c r="W91" s="771"/>
      <c r="X91" s="771"/>
      <c r="Y91" s="771"/>
      <c r="Z91" s="771"/>
      <c r="AA91" s="16"/>
      <c r="AB91" s="16"/>
      <c r="AC91" s="16"/>
      <c r="AD91" s="16"/>
      <c r="AE91" s="16"/>
      <c r="AF91" s="16"/>
      <c r="AG91" s="16"/>
      <c r="AH91" s="16"/>
      <c r="AI91" s="16"/>
      <c r="AJ91" s="16"/>
      <c r="AK91" s="16"/>
      <c r="AL91" s="16"/>
      <c r="AM91" s="16"/>
    </row>
    <row r="92" spans="1:39" ht="12.95" customHeight="1">
      <c r="A92" s="771" t="s">
        <v>761</v>
      </c>
      <c r="C92" s="771"/>
      <c r="D92" s="771"/>
      <c r="E92" s="771"/>
      <c r="F92" s="771"/>
      <c r="G92" s="771"/>
      <c r="H92" s="771"/>
      <c r="I92" s="771"/>
      <c r="J92" s="771"/>
      <c r="K92" s="771"/>
      <c r="L92" s="771"/>
      <c r="M92" s="771"/>
      <c r="N92" s="771"/>
      <c r="O92" s="771"/>
      <c r="P92" s="771"/>
      <c r="Q92" s="771"/>
      <c r="R92" s="771"/>
      <c r="S92" s="771"/>
      <c r="T92" s="771"/>
      <c r="U92" s="771"/>
      <c r="V92" s="771"/>
      <c r="W92" s="771"/>
      <c r="X92" s="771"/>
      <c r="Y92" s="771"/>
      <c r="Z92" s="771"/>
      <c r="AA92" s="16"/>
      <c r="AB92" s="16"/>
      <c r="AC92" s="16"/>
      <c r="AD92" s="16"/>
      <c r="AE92" s="16"/>
      <c r="AF92" s="16"/>
      <c r="AG92" s="16"/>
      <c r="AH92" s="16"/>
      <c r="AI92" s="16"/>
      <c r="AJ92" s="16"/>
      <c r="AK92" s="16"/>
      <c r="AL92" s="16"/>
      <c r="AM92" s="16"/>
    </row>
    <row r="93" spans="1:39" ht="12.95" customHeight="1">
      <c r="A93" s="771" t="s">
        <v>762</v>
      </c>
      <c r="C93" s="771"/>
      <c r="D93" s="771"/>
      <c r="E93" s="771"/>
      <c r="F93" s="771"/>
      <c r="G93" s="771"/>
      <c r="H93" s="771"/>
      <c r="I93" s="771"/>
      <c r="J93" s="771"/>
      <c r="K93" s="771"/>
      <c r="L93" s="771"/>
      <c r="M93" s="771"/>
      <c r="N93" s="771"/>
      <c r="O93" s="771"/>
      <c r="P93" s="771"/>
      <c r="Q93" s="771"/>
      <c r="R93" s="771"/>
      <c r="S93" s="771"/>
      <c r="T93" s="771"/>
      <c r="U93" s="771"/>
      <c r="V93" s="771"/>
      <c r="W93" s="771"/>
      <c r="X93" s="771"/>
      <c r="Y93" s="771"/>
      <c r="Z93" s="771"/>
      <c r="AA93" s="16"/>
      <c r="AB93" s="16"/>
      <c r="AC93" s="16"/>
      <c r="AD93" s="16"/>
      <c r="AE93" s="16"/>
      <c r="AF93" s="16"/>
      <c r="AG93" s="16"/>
      <c r="AH93" s="16"/>
      <c r="AI93" s="16"/>
      <c r="AJ93" s="16"/>
      <c r="AK93" s="16"/>
      <c r="AL93" s="16"/>
      <c r="AM93" s="16"/>
    </row>
    <row r="94" spans="1:39" ht="12.95" customHeight="1">
      <c r="C94" s="771"/>
      <c r="D94" s="771"/>
      <c r="E94" s="771"/>
      <c r="F94" s="771"/>
      <c r="G94" s="771"/>
      <c r="H94" s="771"/>
      <c r="I94" s="771"/>
      <c r="J94" s="771"/>
      <c r="K94" s="771"/>
      <c r="L94" s="771"/>
      <c r="M94" s="771"/>
      <c r="N94" s="771"/>
      <c r="O94" s="771"/>
      <c r="P94" s="771"/>
      <c r="Q94" s="771"/>
      <c r="R94" s="771"/>
      <c r="S94" s="771"/>
      <c r="T94" s="771"/>
      <c r="U94" s="771"/>
      <c r="V94" s="771"/>
      <c r="W94" s="771"/>
      <c r="X94" s="771"/>
      <c r="Y94" s="771"/>
      <c r="Z94" s="771"/>
      <c r="AA94" s="16"/>
      <c r="AB94" s="16"/>
      <c r="AC94" s="16"/>
      <c r="AD94" s="16"/>
      <c r="AE94" s="16"/>
      <c r="AF94" s="16"/>
      <c r="AG94" s="16"/>
      <c r="AH94" s="16"/>
      <c r="AI94" s="16"/>
      <c r="AJ94" s="16"/>
      <c r="AK94" s="16"/>
      <c r="AL94" s="16"/>
      <c r="AM94" s="16"/>
    </row>
    <row r="95" spans="1:39" ht="12.95" customHeight="1">
      <c r="A95" s="771" t="s">
        <v>763</v>
      </c>
      <c r="C95" s="771"/>
      <c r="D95" s="771"/>
      <c r="E95" s="771"/>
      <c r="F95" s="771"/>
      <c r="G95" s="771"/>
      <c r="H95" s="771"/>
      <c r="I95" s="771"/>
      <c r="J95" s="771"/>
      <c r="K95" s="771"/>
      <c r="L95" s="771"/>
      <c r="M95" s="771"/>
      <c r="N95" s="771"/>
      <c r="O95" s="771"/>
      <c r="P95" s="771"/>
      <c r="Q95" s="771"/>
      <c r="R95" s="771"/>
      <c r="S95" s="771"/>
      <c r="T95" s="771"/>
      <c r="U95" s="771"/>
      <c r="V95" s="771"/>
      <c r="W95" s="771"/>
      <c r="X95" s="771"/>
      <c r="Y95" s="771"/>
      <c r="Z95" s="771"/>
      <c r="AA95" s="16"/>
      <c r="AB95" s="16"/>
      <c r="AC95" s="16"/>
      <c r="AD95" s="16"/>
      <c r="AE95" s="16"/>
      <c r="AF95" s="16"/>
      <c r="AG95" s="16"/>
      <c r="AH95" s="16"/>
      <c r="AI95" s="16"/>
      <c r="AJ95" s="16"/>
      <c r="AK95" s="16"/>
      <c r="AL95" s="16"/>
      <c r="AM95" s="16"/>
    </row>
    <row r="96" spans="1:39" ht="12.95" customHeight="1">
      <c r="A96" s="771" t="s">
        <v>764</v>
      </c>
      <c r="C96" s="771"/>
      <c r="D96" s="771"/>
      <c r="E96" s="771"/>
      <c r="F96" s="771"/>
      <c r="G96" s="771"/>
      <c r="H96" s="771"/>
      <c r="I96" s="771"/>
      <c r="J96" s="771"/>
      <c r="K96" s="771"/>
      <c r="L96" s="771"/>
      <c r="M96" s="771"/>
      <c r="N96" s="771"/>
      <c r="O96" s="771"/>
      <c r="P96" s="771"/>
      <c r="Q96" s="771"/>
      <c r="R96" s="771"/>
      <c r="S96" s="771"/>
      <c r="T96" s="771"/>
      <c r="U96" s="771"/>
      <c r="V96" s="771"/>
      <c r="W96" s="771"/>
      <c r="X96" s="771"/>
      <c r="Y96" s="771"/>
      <c r="Z96" s="771"/>
      <c r="AA96" s="16"/>
      <c r="AB96" s="16"/>
      <c r="AC96" s="16"/>
      <c r="AD96" s="16"/>
      <c r="AE96" s="16"/>
      <c r="AF96" s="16"/>
      <c r="AG96" s="16"/>
      <c r="AH96" s="16"/>
      <c r="AI96" s="16"/>
      <c r="AJ96" s="16"/>
      <c r="AK96" s="16"/>
      <c r="AL96" s="16"/>
      <c r="AM96" s="16"/>
    </row>
    <row r="97" spans="1:39" ht="12.95" customHeight="1">
      <c r="C97" s="771"/>
      <c r="D97" s="771"/>
      <c r="E97" s="771"/>
      <c r="F97" s="771"/>
      <c r="G97" s="771"/>
      <c r="H97" s="771"/>
      <c r="I97" s="771"/>
      <c r="J97" s="771"/>
      <c r="K97" s="771"/>
      <c r="L97" s="771"/>
      <c r="M97" s="771"/>
      <c r="N97" s="771"/>
      <c r="O97" s="771"/>
      <c r="P97" s="771"/>
      <c r="Q97" s="771"/>
      <c r="R97" s="771"/>
      <c r="S97" s="771"/>
      <c r="T97" s="771"/>
      <c r="U97" s="771"/>
      <c r="V97" s="771"/>
      <c r="W97" s="771"/>
      <c r="X97" s="771"/>
      <c r="Y97" s="771"/>
      <c r="Z97" s="771"/>
      <c r="AA97" s="16"/>
      <c r="AB97" s="16"/>
      <c r="AC97" s="16"/>
      <c r="AD97" s="16"/>
      <c r="AE97" s="16"/>
      <c r="AF97" s="16"/>
      <c r="AG97" s="16"/>
      <c r="AH97" s="16"/>
      <c r="AI97" s="16"/>
      <c r="AJ97" s="16"/>
      <c r="AK97" s="16"/>
      <c r="AL97" s="16"/>
      <c r="AM97" s="16"/>
    </row>
    <row r="98" spans="1:39" ht="12.95" customHeight="1">
      <c r="A98" s="771" t="s">
        <v>765</v>
      </c>
      <c r="C98" s="771"/>
      <c r="D98" s="771"/>
      <c r="E98" s="771"/>
      <c r="F98" s="771"/>
      <c r="G98" s="771"/>
      <c r="H98" s="771"/>
      <c r="I98" s="771"/>
      <c r="J98" s="771"/>
      <c r="K98" s="771"/>
      <c r="L98" s="771"/>
      <c r="M98" s="771"/>
      <c r="N98" s="771"/>
      <c r="O98" s="771"/>
      <c r="P98" s="771"/>
      <c r="Q98" s="771"/>
      <c r="R98" s="771"/>
      <c r="S98" s="771"/>
      <c r="T98" s="771"/>
      <c r="U98" s="771"/>
      <c r="V98" s="771"/>
      <c r="W98" s="771"/>
      <c r="X98" s="771"/>
      <c r="Y98" s="771"/>
      <c r="Z98" s="771"/>
      <c r="AA98" s="16"/>
      <c r="AB98" s="16"/>
      <c r="AC98" s="16"/>
      <c r="AD98" s="16"/>
      <c r="AE98" s="16"/>
      <c r="AF98" s="16"/>
      <c r="AG98" s="16"/>
      <c r="AH98" s="16"/>
      <c r="AI98" s="16"/>
      <c r="AJ98" s="16"/>
      <c r="AK98" s="16"/>
      <c r="AL98" s="16"/>
      <c r="AM98" s="16"/>
    </row>
    <row r="99" spans="1:39" ht="12.95" customHeight="1">
      <c r="A99" s="771" t="s">
        <v>766</v>
      </c>
      <c r="C99" s="771"/>
      <c r="D99" s="771"/>
      <c r="E99" s="771"/>
      <c r="F99" s="771"/>
      <c r="G99" s="771"/>
      <c r="H99" s="771"/>
      <c r="I99" s="771"/>
      <c r="J99" s="771"/>
      <c r="K99" s="771"/>
      <c r="L99" s="771"/>
      <c r="M99" s="771"/>
      <c r="N99" s="771"/>
      <c r="O99" s="771"/>
      <c r="P99" s="771"/>
      <c r="Q99" s="771"/>
      <c r="R99" s="771"/>
      <c r="S99" s="771"/>
      <c r="T99" s="771"/>
      <c r="U99" s="771"/>
      <c r="V99" s="771"/>
      <c r="W99" s="771"/>
      <c r="X99" s="771"/>
      <c r="Y99" s="771"/>
      <c r="Z99" s="771"/>
      <c r="AA99" s="16"/>
      <c r="AB99" s="16"/>
      <c r="AC99" s="16"/>
      <c r="AD99" s="16"/>
      <c r="AE99" s="16"/>
      <c r="AF99" s="16"/>
      <c r="AG99" s="16"/>
      <c r="AH99" s="16"/>
      <c r="AI99" s="16"/>
      <c r="AJ99" s="16"/>
      <c r="AK99" s="16"/>
      <c r="AL99" s="16"/>
      <c r="AM99" s="16"/>
    </row>
    <row r="100" spans="1:39" ht="12.95" customHeight="1">
      <c r="A100" s="771" t="s">
        <v>767</v>
      </c>
      <c r="C100" s="771"/>
      <c r="D100" s="771"/>
      <c r="E100" s="771"/>
      <c r="F100" s="771"/>
      <c r="G100" s="771"/>
      <c r="H100" s="771"/>
      <c r="I100" s="771"/>
      <c r="J100" s="771"/>
      <c r="K100" s="771"/>
      <c r="L100" s="771"/>
      <c r="M100" s="771"/>
      <c r="N100" s="771"/>
      <c r="O100" s="771"/>
      <c r="P100" s="771"/>
      <c r="Q100" s="771"/>
      <c r="R100" s="771"/>
      <c r="S100" s="771"/>
      <c r="T100" s="771"/>
      <c r="U100" s="771"/>
      <c r="V100" s="771"/>
      <c r="W100" s="771"/>
      <c r="X100" s="771"/>
      <c r="Y100" s="771"/>
      <c r="Z100" s="771"/>
      <c r="AA100" s="16"/>
      <c r="AB100" s="16"/>
      <c r="AC100" s="16"/>
      <c r="AD100" s="16"/>
      <c r="AE100" s="16"/>
      <c r="AF100" s="16"/>
      <c r="AG100" s="16"/>
      <c r="AH100" s="16"/>
      <c r="AI100" s="16"/>
      <c r="AJ100" s="16"/>
      <c r="AK100" s="16"/>
      <c r="AL100" s="16"/>
      <c r="AM100" s="16"/>
    </row>
    <row r="101" spans="1:39" ht="12.95" customHeight="1">
      <c r="C101" s="771"/>
      <c r="D101" s="771"/>
      <c r="E101" s="771"/>
      <c r="F101" s="771"/>
      <c r="G101" s="771"/>
      <c r="H101" s="771"/>
      <c r="I101" s="771"/>
      <c r="J101" s="771"/>
      <c r="K101" s="771"/>
      <c r="L101" s="771"/>
      <c r="M101" s="771"/>
      <c r="N101" s="771"/>
      <c r="O101" s="771"/>
      <c r="P101" s="771"/>
      <c r="Q101" s="771"/>
      <c r="R101" s="771"/>
      <c r="S101" s="771"/>
      <c r="T101" s="771"/>
      <c r="U101" s="771"/>
      <c r="V101" s="771"/>
      <c r="W101" s="771"/>
      <c r="X101" s="771"/>
      <c r="Y101" s="771"/>
      <c r="Z101" s="771"/>
      <c r="AA101" s="16"/>
      <c r="AB101" s="16"/>
      <c r="AC101" s="16"/>
      <c r="AD101" s="16"/>
      <c r="AE101" s="16"/>
      <c r="AF101" s="16"/>
      <c r="AG101" s="16"/>
      <c r="AH101" s="16"/>
      <c r="AI101" s="16"/>
      <c r="AJ101" s="16"/>
      <c r="AK101" s="16"/>
      <c r="AL101" s="16"/>
      <c r="AM101" s="16"/>
    </row>
    <row r="102" spans="1:39" ht="12.95" customHeight="1">
      <c r="A102" s="771" t="s">
        <v>768</v>
      </c>
      <c r="C102" s="771"/>
      <c r="D102" s="771"/>
      <c r="E102" s="771"/>
      <c r="F102" s="771"/>
      <c r="G102" s="771"/>
      <c r="H102" s="771"/>
      <c r="I102" s="771"/>
      <c r="J102" s="771"/>
      <c r="K102" s="771"/>
      <c r="L102" s="771"/>
      <c r="M102" s="771"/>
      <c r="N102" s="771"/>
      <c r="O102" s="771"/>
      <c r="P102" s="771"/>
      <c r="Q102" s="771"/>
      <c r="R102" s="771"/>
      <c r="S102" s="771"/>
      <c r="T102" s="771"/>
      <c r="U102" s="771"/>
      <c r="V102" s="771"/>
      <c r="W102" s="771"/>
      <c r="X102" s="771"/>
      <c r="Y102" s="771"/>
      <c r="Z102" s="771"/>
      <c r="AA102" s="16"/>
      <c r="AB102" s="16"/>
      <c r="AC102" s="16"/>
      <c r="AD102" s="16"/>
      <c r="AE102" s="16"/>
      <c r="AF102" s="16"/>
      <c r="AG102" s="16"/>
      <c r="AH102" s="16"/>
      <c r="AI102" s="16"/>
      <c r="AJ102" s="16"/>
      <c r="AK102" s="16"/>
      <c r="AL102" s="16"/>
      <c r="AM102" s="16"/>
    </row>
    <row r="103" spans="1:39" ht="12.95" customHeight="1">
      <c r="A103" s="771" t="s">
        <v>769</v>
      </c>
      <c r="C103" s="771"/>
      <c r="D103" s="771"/>
      <c r="E103" s="771"/>
      <c r="F103" s="771"/>
      <c r="G103" s="771"/>
      <c r="H103" s="771"/>
      <c r="I103" s="771"/>
      <c r="J103" s="771"/>
      <c r="K103" s="771"/>
      <c r="L103" s="771"/>
      <c r="M103" s="771"/>
      <c r="N103" s="771"/>
      <c r="O103" s="771"/>
      <c r="P103" s="771"/>
      <c r="Q103" s="771"/>
      <c r="R103" s="771"/>
      <c r="S103" s="771"/>
      <c r="T103" s="771"/>
      <c r="U103" s="771"/>
      <c r="V103" s="771"/>
      <c r="W103" s="771"/>
      <c r="X103" s="771"/>
      <c r="Y103" s="771"/>
      <c r="Z103" s="771"/>
      <c r="AA103" s="16"/>
      <c r="AB103" s="16"/>
      <c r="AC103" s="16"/>
      <c r="AD103" s="16"/>
      <c r="AE103" s="16"/>
      <c r="AF103" s="16"/>
      <c r="AG103" s="16"/>
      <c r="AH103" s="16"/>
      <c r="AI103" s="16"/>
      <c r="AJ103" s="16"/>
      <c r="AK103" s="16"/>
      <c r="AL103" s="16"/>
      <c r="AM103" s="16"/>
    </row>
    <row r="104" spans="1:39" ht="12.95" customHeight="1">
      <c r="A104" s="771" t="s">
        <v>770</v>
      </c>
      <c r="C104" s="771"/>
      <c r="D104" s="771"/>
      <c r="E104" s="771"/>
      <c r="F104" s="771"/>
      <c r="G104" s="771"/>
      <c r="H104" s="771"/>
      <c r="I104" s="771"/>
      <c r="J104" s="771"/>
      <c r="K104" s="771"/>
      <c r="L104" s="771"/>
      <c r="M104" s="771"/>
      <c r="N104" s="771"/>
      <c r="O104" s="771"/>
      <c r="P104" s="771"/>
      <c r="Q104" s="771"/>
      <c r="R104" s="771"/>
      <c r="S104" s="771"/>
      <c r="T104" s="771"/>
      <c r="U104" s="771"/>
      <c r="V104" s="771"/>
      <c r="W104" s="771"/>
      <c r="X104" s="771"/>
      <c r="Y104" s="771"/>
      <c r="Z104" s="771"/>
      <c r="AA104" s="16"/>
      <c r="AB104" s="16"/>
      <c r="AC104" s="16"/>
      <c r="AD104" s="16"/>
      <c r="AE104" s="16"/>
      <c r="AF104" s="16"/>
      <c r="AG104" s="16"/>
      <c r="AH104" s="16"/>
      <c r="AI104" s="16"/>
      <c r="AJ104" s="16"/>
      <c r="AK104" s="16"/>
      <c r="AL104" s="16"/>
      <c r="AM104" s="16"/>
    </row>
    <row r="105" spans="1:39" ht="12.95" customHeight="1">
      <c r="A105" s="771" t="s">
        <v>771</v>
      </c>
      <c r="C105" s="771"/>
      <c r="D105" s="771"/>
      <c r="E105" s="771"/>
      <c r="F105" s="771"/>
      <c r="G105" s="771"/>
      <c r="H105" s="771"/>
      <c r="I105" s="771"/>
      <c r="J105" s="771"/>
      <c r="K105" s="771"/>
      <c r="L105" s="771"/>
      <c r="M105" s="771"/>
      <c r="N105" s="771"/>
      <c r="O105" s="771"/>
      <c r="P105" s="771"/>
      <c r="Q105" s="771"/>
      <c r="R105" s="771"/>
      <c r="S105" s="771"/>
      <c r="T105" s="771"/>
      <c r="U105" s="771"/>
      <c r="V105" s="771"/>
      <c r="W105" s="771"/>
      <c r="X105" s="771"/>
      <c r="Y105" s="771"/>
      <c r="Z105" s="771"/>
      <c r="AA105" s="16"/>
      <c r="AB105" s="16"/>
      <c r="AC105" s="16"/>
      <c r="AD105" s="16"/>
      <c r="AE105" s="16"/>
      <c r="AF105" s="16"/>
      <c r="AG105" s="16"/>
      <c r="AH105" s="16"/>
      <c r="AI105" s="16"/>
      <c r="AJ105" s="16"/>
      <c r="AK105" s="16"/>
      <c r="AL105" s="16"/>
      <c r="AM105" s="16"/>
    </row>
    <row r="106" spans="1:39" ht="12.95" customHeight="1">
      <c r="A106" t="s">
        <v>772</v>
      </c>
      <c r="C106" s="771"/>
      <c r="D106" s="771"/>
      <c r="E106" s="771"/>
      <c r="F106" s="771"/>
      <c r="G106" s="771"/>
      <c r="H106" s="771"/>
      <c r="I106" s="771"/>
      <c r="J106" s="771"/>
      <c r="K106" s="771"/>
      <c r="L106" s="771"/>
      <c r="M106" s="771"/>
      <c r="N106" s="771"/>
      <c r="O106" s="771"/>
      <c r="P106" s="771"/>
      <c r="Q106" s="771"/>
      <c r="R106" s="771"/>
      <c r="S106" s="771"/>
      <c r="T106" s="771"/>
      <c r="U106" s="771"/>
      <c r="V106" s="771"/>
      <c r="W106" s="771"/>
      <c r="X106" s="771"/>
      <c r="Y106" s="771"/>
      <c r="Z106" s="771"/>
      <c r="AA106" s="16"/>
      <c r="AB106" s="16"/>
      <c r="AC106" s="16"/>
      <c r="AD106" s="16"/>
      <c r="AE106" s="16"/>
      <c r="AF106" s="16"/>
      <c r="AG106" s="16"/>
      <c r="AH106" s="16"/>
      <c r="AI106" s="16"/>
      <c r="AJ106" s="16"/>
      <c r="AK106" s="16"/>
      <c r="AL106" s="16"/>
      <c r="AM106" s="16"/>
    </row>
    <row r="107" spans="1:39" ht="12.95" customHeight="1">
      <c r="A107" t="s">
        <v>773</v>
      </c>
      <c r="C107" s="771"/>
      <c r="D107" s="771"/>
      <c r="E107" s="771"/>
      <c r="F107" s="771"/>
      <c r="G107" s="771"/>
      <c r="H107" s="771"/>
      <c r="I107" s="771"/>
      <c r="J107" s="771"/>
      <c r="K107" s="771"/>
      <c r="L107" s="771"/>
      <c r="M107" s="771"/>
      <c r="N107" s="771"/>
      <c r="O107" s="771"/>
      <c r="P107" s="771"/>
      <c r="Q107" s="771"/>
      <c r="R107" s="771"/>
      <c r="S107" s="771"/>
      <c r="T107" s="771"/>
      <c r="U107" s="771"/>
      <c r="V107" s="771"/>
      <c r="W107" s="771"/>
      <c r="X107" s="771"/>
      <c r="Y107" s="771"/>
      <c r="Z107" s="771"/>
      <c r="AA107" s="16"/>
      <c r="AB107" s="16"/>
      <c r="AC107" s="16"/>
      <c r="AD107" s="16"/>
      <c r="AE107" s="16"/>
      <c r="AF107" s="16"/>
      <c r="AG107" s="16"/>
      <c r="AH107" s="16"/>
      <c r="AI107" s="16"/>
      <c r="AJ107" s="16"/>
      <c r="AK107" s="16"/>
      <c r="AL107" s="16"/>
      <c r="AM107" s="16"/>
    </row>
    <row r="108" spans="1:39" ht="12.95" customHeight="1">
      <c r="A108" s="771" t="s">
        <v>774</v>
      </c>
      <c r="C108" s="771"/>
      <c r="D108" s="771"/>
      <c r="E108" s="771"/>
      <c r="F108" s="771"/>
      <c r="G108" s="771"/>
      <c r="H108" s="771"/>
      <c r="I108" s="771"/>
      <c r="J108" s="771"/>
      <c r="K108" s="771"/>
      <c r="L108" s="771"/>
      <c r="M108" s="771"/>
      <c r="N108" s="771"/>
      <c r="O108" s="771"/>
      <c r="P108" s="771"/>
      <c r="Q108" s="771"/>
      <c r="R108" s="771"/>
      <c r="S108" s="771"/>
      <c r="T108" s="771"/>
      <c r="U108" s="771"/>
      <c r="V108" s="771"/>
      <c r="W108" s="771"/>
      <c r="X108" s="771"/>
      <c r="Y108" s="771"/>
      <c r="Z108" s="771"/>
      <c r="AA108" s="16"/>
      <c r="AB108" s="16"/>
      <c r="AC108" s="16"/>
      <c r="AD108" s="16"/>
      <c r="AE108" s="16"/>
      <c r="AF108" s="16"/>
      <c r="AG108" s="16"/>
      <c r="AH108" s="16"/>
      <c r="AI108" s="16"/>
      <c r="AJ108" s="16"/>
      <c r="AK108" s="16"/>
      <c r="AL108" s="16"/>
      <c r="AM108" s="16"/>
    </row>
    <row r="109" spans="1:39" ht="12.95" customHeight="1">
      <c r="A109" s="771" t="s">
        <v>775</v>
      </c>
      <c r="C109" s="771"/>
      <c r="D109" s="771"/>
      <c r="E109" s="771"/>
      <c r="F109" s="771"/>
      <c r="G109" s="771"/>
      <c r="H109" s="771"/>
      <c r="I109" s="771"/>
      <c r="J109" s="771"/>
      <c r="K109" s="771"/>
      <c r="L109" s="771"/>
      <c r="M109" s="771"/>
      <c r="N109" s="771"/>
      <c r="O109" s="771"/>
      <c r="P109" s="771"/>
      <c r="Q109" s="771"/>
      <c r="R109" s="771"/>
      <c r="S109" s="771"/>
      <c r="T109" s="771"/>
      <c r="U109" s="771"/>
      <c r="V109" s="771"/>
      <c r="W109" s="771"/>
      <c r="X109" s="771"/>
      <c r="Y109" s="771"/>
      <c r="Z109" s="771"/>
      <c r="AA109" s="16"/>
      <c r="AB109" s="16"/>
      <c r="AC109" s="16"/>
      <c r="AD109" s="16"/>
      <c r="AE109" s="16"/>
      <c r="AF109" s="16"/>
      <c r="AG109" s="16"/>
      <c r="AH109" s="16"/>
      <c r="AI109" s="16"/>
      <c r="AJ109" s="16"/>
      <c r="AK109" s="16"/>
      <c r="AL109" s="16"/>
      <c r="AM109" s="16"/>
    </row>
    <row r="110" spans="1:39" ht="12.95" customHeight="1">
      <c r="A110" s="771" t="s">
        <v>776</v>
      </c>
      <c r="C110" s="771"/>
      <c r="D110" s="771"/>
      <c r="E110" s="771"/>
      <c r="F110" s="771"/>
      <c r="G110" s="771"/>
      <c r="H110" s="771"/>
      <c r="I110" s="771"/>
      <c r="J110" s="771"/>
      <c r="K110" s="771"/>
      <c r="L110" s="771"/>
      <c r="M110" s="771"/>
      <c r="N110" s="771"/>
      <c r="O110" s="771"/>
      <c r="P110" s="771"/>
      <c r="Q110" s="771"/>
      <c r="R110" s="771"/>
      <c r="S110" s="771"/>
      <c r="T110" s="771"/>
      <c r="U110" s="771"/>
      <c r="V110" s="771"/>
      <c r="W110" s="771"/>
      <c r="X110" s="771"/>
      <c r="Y110" s="771"/>
      <c r="Z110" s="771"/>
      <c r="AA110" s="16"/>
      <c r="AB110" s="16"/>
      <c r="AC110" s="16"/>
      <c r="AD110" s="16"/>
      <c r="AE110" s="16"/>
      <c r="AF110" s="16"/>
      <c r="AG110" s="16"/>
      <c r="AH110" s="16"/>
      <c r="AI110" s="16"/>
      <c r="AJ110" s="16"/>
      <c r="AK110" s="16"/>
      <c r="AL110" s="16"/>
      <c r="AM110" s="16"/>
    </row>
    <row r="111" spans="1:39" ht="12.95" customHeight="1">
      <c r="A111" s="771" t="s">
        <v>777</v>
      </c>
      <c r="C111" s="771"/>
      <c r="D111" s="771"/>
      <c r="E111" s="771"/>
      <c r="F111" s="771"/>
      <c r="G111" s="771"/>
      <c r="H111" s="771"/>
      <c r="I111" s="771"/>
      <c r="J111" s="771"/>
      <c r="K111" s="771"/>
      <c r="L111" s="771"/>
      <c r="M111" s="771"/>
      <c r="N111" s="771"/>
      <c r="O111" s="771"/>
      <c r="P111" s="771"/>
      <c r="Q111" s="771"/>
      <c r="R111" s="771"/>
      <c r="S111" s="771"/>
      <c r="T111" s="771"/>
      <c r="U111" s="771"/>
      <c r="V111" s="771"/>
      <c r="W111" s="771"/>
      <c r="X111" s="771"/>
      <c r="Y111" s="771"/>
      <c r="Z111" s="771"/>
      <c r="AA111" s="16"/>
      <c r="AB111" s="16"/>
      <c r="AC111" s="16"/>
      <c r="AD111" s="16"/>
      <c r="AE111" s="16"/>
      <c r="AF111" s="16"/>
      <c r="AG111" s="16"/>
      <c r="AH111" s="16"/>
      <c r="AI111" s="16"/>
      <c r="AJ111" s="16"/>
      <c r="AK111" s="16"/>
      <c r="AL111" s="16"/>
      <c r="AM111" s="16"/>
    </row>
    <row r="112" spans="1:39" ht="12.95" customHeight="1">
      <c r="A112" s="771" t="s">
        <v>778</v>
      </c>
      <c r="C112" s="771"/>
      <c r="D112" s="771"/>
      <c r="E112" s="771"/>
      <c r="F112" s="771"/>
      <c r="G112" s="771"/>
      <c r="H112" s="771"/>
      <c r="I112" s="771"/>
      <c r="J112" s="771"/>
      <c r="K112" s="771"/>
      <c r="L112" s="771"/>
      <c r="M112" s="771"/>
      <c r="N112" s="771"/>
      <c r="O112" s="771"/>
      <c r="P112" s="771"/>
      <c r="Q112" s="771"/>
      <c r="R112" s="771"/>
      <c r="S112" s="771"/>
      <c r="T112" s="771"/>
      <c r="U112" s="771"/>
      <c r="V112" s="771"/>
      <c r="W112" s="771"/>
      <c r="X112" s="771"/>
      <c r="Y112" s="771"/>
      <c r="Z112" s="771"/>
      <c r="AA112" s="16"/>
      <c r="AB112" s="16"/>
      <c r="AC112" s="16"/>
      <c r="AD112" s="16"/>
      <c r="AE112" s="16"/>
      <c r="AF112" s="16"/>
      <c r="AG112" s="16"/>
      <c r="AH112" s="16"/>
      <c r="AI112" s="16"/>
      <c r="AJ112" s="16"/>
      <c r="AK112" s="16"/>
      <c r="AL112" s="16"/>
      <c r="AM112" s="16"/>
    </row>
    <row r="113" spans="1:39" ht="12.95" customHeight="1">
      <c r="A113" s="771" t="s">
        <v>779</v>
      </c>
      <c r="C113" s="771"/>
      <c r="D113" s="771"/>
      <c r="E113" s="771"/>
      <c r="F113" s="771"/>
      <c r="G113" s="771"/>
      <c r="H113" s="771"/>
      <c r="I113" s="771"/>
      <c r="J113" s="771"/>
      <c r="K113" s="771"/>
      <c r="L113" s="771"/>
      <c r="M113" s="771"/>
      <c r="N113" s="771"/>
      <c r="O113" s="771"/>
      <c r="P113" s="771"/>
      <c r="Q113" s="771"/>
      <c r="R113" s="771"/>
      <c r="S113" s="771"/>
      <c r="T113" s="771"/>
      <c r="U113" s="771"/>
      <c r="V113" s="771"/>
      <c r="W113" s="771"/>
      <c r="X113" s="771"/>
      <c r="Y113" s="771"/>
      <c r="Z113" s="771"/>
      <c r="AA113" s="16"/>
      <c r="AB113" s="16"/>
      <c r="AC113" s="16"/>
      <c r="AD113" s="16"/>
      <c r="AE113" s="16"/>
      <c r="AF113" s="16"/>
      <c r="AG113" s="16"/>
      <c r="AH113" s="16"/>
      <c r="AI113" s="16"/>
      <c r="AJ113" s="16"/>
      <c r="AK113" s="16"/>
      <c r="AL113" s="16"/>
      <c r="AM113" s="16"/>
    </row>
    <row r="114" spans="1:39" ht="12.95" customHeight="1">
      <c r="C114" s="771"/>
      <c r="D114" s="771"/>
      <c r="E114" s="771"/>
      <c r="F114" s="771"/>
      <c r="G114" s="771"/>
      <c r="H114" s="771"/>
      <c r="I114" s="771"/>
      <c r="J114" s="771"/>
      <c r="K114" s="771"/>
      <c r="L114" s="771"/>
      <c r="M114" s="771"/>
      <c r="N114" s="771"/>
      <c r="O114" s="771"/>
      <c r="P114" s="771"/>
      <c r="Q114" s="771"/>
      <c r="R114" s="771"/>
      <c r="S114" s="771"/>
      <c r="T114" s="771"/>
      <c r="U114" s="771"/>
      <c r="V114" s="771"/>
      <c r="W114" s="771"/>
      <c r="X114" s="771"/>
      <c r="Y114" s="771"/>
      <c r="Z114" s="771"/>
      <c r="AA114" s="16"/>
      <c r="AB114" s="16"/>
      <c r="AC114" s="16"/>
      <c r="AD114" s="16"/>
      <c r="AE114" s="16"/>
      <c r="AF114" s="16"/>
      <c r="AG114" s="16"/>
      <c r="AH114" s="16"/>
      <c r="AI114" s="16"/>
      <c r="AJ114" s="16"/>
      <c r="AK114" s="16"/>
      <c r="AL114" s="16"/>
    </row>
    <row r="115" spans="1:39" ht="12.95" customHeight="1">
      <c r="A115" s="771" t="s">
        <v>780</v>
      </c>
      <c r="C115" s="771"/>
      <c r="D115" s="771"/>
      <c r="E115" s="771"/>
      <c r="F115" s="771"/>
      <c r="G115" s="771"/>
      <c r="H115" s="771"/>
      <c r="I115" s="771"/>
      <c r="J115" s="771"/>
      <c r="K115" s="771"/>
      <c r="L115" s="771"/>
      <c r="M115" s="771"/>
      <c r="N115" s="771"/>
      <c r="O115" s="771"/>
      <c r="P115" s="771"/>
      <c r="Q115" s="771"/>
      <c r="R115" s="771"/>
      <c r="S115" s="771"/>
      <c r="T115" s="771"/>
      <c r="U115" s="771"/>
      <c r="V115" s="771"/>
      <c r="W115" s="771"/>
      <c r="X115" s="771"/>
      <c r="Y115" s="771"/>
      <c r="Z115" s="771"/>
      <c r="AA115" s="16"/>
      <c r="AB115" s="16"/>
      <c r="AC115" s="16"/>
      <c r="AD115" s="16"/>
      <c r="AE115" s="16"/>
      <c r="AF115" s="16"/>
      <c r="AG115" s="16"/>
      <c r="AH115" s="16"/>
      <c r="AI115" s="16"/>
      <c r="AJ115" s="16"/>
      <c r="AK115" s="16"/>
      <c r="AL115" s="16"/>
    </row>
    <row r="116" spans="1:39" ht="12.95" customHeight="1">
      <c r="A116" s="771" t="s">
        <v>781</v>
      </c>
    </row>
    <row r="117" spans="1:39" ht="12.95" customHeight="1">
      <c r="A117" s="771" t="s">
        <v>782</v>
      </c>
      <c r="C117" s="771"/>
      <c r="D117" s="771"/>
      <c r="E117" s="771"/>
      <c r="F117" s="771"/>
      <c r="G117" s="771"/>
      <c r="H117" s="771"/>
      <c r="I117" s="771"/>
      <c r="J117" s="771"/>
      <c r="K117" s="771"/>
      <c r="L117" s="771"/>
      <c r="M117" s="771"/>
      <c r="N117" s="771"/>
      <c r="O117" s="771"/>
      <c r="P117" s="771"/>
      <c r="Q117" s="771"/>
      <c r="R117" s="771"/>
      <c r="S117" s="771"/>
      <c r="T117" s="771"/>
      <c r="U117" s="771"/>
      <c r="V117" s="771"/>
      <c r="W117" s="771"/>
      <c r="X117" s="771"/>
      <c r="Y117" s="771"/>
      <c r="Z117" s="771"/>
      <c r="AA117" s="16"/>
      <c r="AB117" s="16"/>
      <c r="AC117" s="16"/>
      <c r="AD117" s="16"/>
      <c r="AE117" s="16"/>
      <c r="AF117" s="16"/>
      <c r="AG117" s="16"/>
      <c r="AH117" s="16"/>
      <c r="AI117" s="16"/>
      <c r="AJ117" s="16"/>
      <c r="AK117" s="16"/>
      <c r="AL117" s="16"/>
    </row>
    <row r="118" spans="1:39" ht="12.95" customHeight="1">
      <c r="A118" s="771" t="s">
        <v>783</v>
      </c>
      <c r="C118" s="771"/>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16"/>
      <c r="AB118" s="16"/>
      <c r="AC118" s="16"/>
      <c r="AD118" s="16"/>
      <c r="AE118" s="16"/>
      <c r="AF118" s="16"/>
      <c r="AG118" s="16"/>
      <c r="AH118" s="16"/>
      <c r="AI118" s="16"/>
      <c r="AJ118" s="16"/>
      <c r="AK118" s="16"/>
      <c r="AL118" s="16"/>
    </row>
    <row r="119" spans="1:39" ht="12.95" customHeight="1">
      <c r="C119" s="771"/>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16"/>
      <c r="AB119" s="16"/>
      <c r="AC119" s="16"/>
      <c r="AD119" s="16"/>
      <c r="AE119" s="16"/>
      <c r="AF119" s="16"/>
      <c r="AG119" s="16"/>
      <c r="AH119" s="16"/>
      <c r="AI119" s="16"/>
      <c r="AJ119" s="16"/>
      <c r="AK119" s="16"/>
      <c r="AL119" s="16"/>
    </row>
    <row r="120" spans="1:39" ht="12.95" customHeight="1">
      <c r="A120" s="771" t="s">
        <v>784</v>
      </c>
      <c r="C120" s="771"/>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16"/>
      <c r="AB120" s="16"/>
      <c r="AC120" s="16"/>
      <c r="AD120" s="16"/>
      <c r="AE120" s="16"/>
      <c r="AF120" s="16"/>
      <c r="AG120" s="16"/>
      <c r="AH120" s="16"/>
      <c r="AI120" s="16"/>
      <c r="AJ120" s="16"/>
      <c r="AK120" s="16"/>
      <c r="AL120" s="16"/>
    </row>
    <row r="121" spans="1:39" ht="12.95" customHeight="1">
      <c r="A121" s="771" t="s">
        <v>785</v>
      </c>
      <c r="C121" s="771"/>
      <c r="D121" s="771"/>
      <c r="E121" s="771"/>
      <c r="F121" s="771"/>
      <c r="G121" s="771"/>
      <c r="H121" s="771"/>
      <c r="I121" s="771"/>
      <c r="J121" s="771"/>
      <c r="K121" s="771"/>
      <c r="L121" s="771"/>
      <c r="M121" s="771"/>
      <c r="N121" s="771"/>
      <c r="O121" s="771"/>
      <c r="P121" s="771"/>
      <c r="Q121" s="771"/>
      <c r="R121" s="771"/>
      <c r="S121" s="771"/>
      <c r="T121" s="771"/>
      <c r="U121" s="771"/>
      <c r="V121" s="771"/>
      <c r="W121" s="771"/>
      <c r="X121" s="771"/>
      <c r="Y121" s="771"/>
      <c r="Z121" s="771"/>
      <c r="AA121" s="16"/>
      <c r="AB121" s="16"/>
      <c r="AC121" s="16"/>
      <c r="AD121" s="16"/>
      <c r="AE121" s="16"/>
      <c r="AF121" s="16"/>
      <c r="AG121" s="16"/>
      <c r="AH121" s="16"/>
      <c r="AI121" s="16"/>
      <c r="AJ121" s="16"/>
      <c r="AK121" s="16"/>
      <c r="AL121" s="16"/>
    </row>
    <row r="122" spans="1:39" ht="12.95" customHeight="1">
      <c r="A122" s="771" t="s">
        <v>786</v>
      </c>
      <c r="C122" s="771"/>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16"/>
      <c r="AB122" s="16"/>
      <c r="AC122" s="16"/>
      <c r="AD122" s="16"/>
      <c r="AE122" s="16"/>
      <c r="AF122" s="16"/>
      <c r="AG122" s="16"/>
      <c r="AH122" s="16"/>
      <c r="AI122" s="16"/>
      <c r="AJ122" s="16"/>
      <c r="AK122" s="16"/>
      <c r="AL122" s="16"/>
    </row>
    <row r="123" spans="1:39" ht="12.95" customHeight="1"/>
    <row r="124" spans="1:39" ht="12.95" customHeight="1">
      <c r="A124" s="771" t="s">
        <v>787</v>
      </c>
    </row>
    <row r="125" spans="1:39" ht="12.95" customHeight="1">
      <c r="A125" s="771" t="s">
        <v>788</v>
      </c>
      <c r="V125" s="33"/>
      <c r="W125" s="33"/>
      <c r="AL125" s="33"/>
    </row>
    <row r="126" spans="1:39" ht="12.95" customHeight="1">
      <c r="A126" s="33"/>
      <c r="B126" s="33"/>
      <c r="AL126" s="33"/>
    </row>
    <row r="127" spans="1:39" ht="12.95" customHeight="1">
      <c r="A127" s="33"/>
      <c r="B127" s="33"/>
      <c r="AL127" s="33"/>
    </row>
    <row r="128" spans="1:39" ht="12.95" customHeight="1">
      <c r="A128" s="33"/>
      <c r="B128" s="33"/>
      <c r="C128" s="33" t="s">
        <v>789</v>
      </c>
      <c r="E128" s="33"/>
      <c r="F128" s="33"/>
      <c r="G128" s="1204">
        <v>7</v>
      </c>
      <c r="H128" s="1204"/>
      <c r="I128" s="33" t="s">
        <v>790</v>
      </c>
      <c r="J128" s="33"/>
      <c r="L128" s="1314" t="s">
        <v>791</v>
      </c>
      <c r="M128" s="1314"/>
      <c r="N128" s="1314"/>
      <c r="O128" s="33" t="s">
        <v>792</v>
      </c>
      <c r="P128" s="33"/>
      <c r="Q128" s="33"/>
      <c r="R128" s="33"/>
      <c r="S128" s="33"/>
      <c r="T128" s="33"/>
      <c r="U128" s="33"/>
      <c r="V128" s="33"/>
      <c r="W128" s="33"/>
      <c r="X128" s="33" t="s">
        <v>793</v>
      </c>
      <c r="Y128" s="301"/>
      <c r="Z128" s="301"/>
      <c r="AA128" s="301"/>
      <c r="AB128" s="301"/>
      <c r="AC128" s="301"/>
      <c r="AD128" s="301"/>
      <c r="AE128" s="301"/>
      <c r="AF128" s="301"/>
      <c r="AG128" s="301"/>
      <c r="AH128" s="301"/>
      <c r="AI128" s="301"/>
      <c r="AJ128" s="301"/>
      <c r="AK128" s="301"/>
      <c r="AL128" s="33"/>
    </row>
    <row r="129" spans="1:56" ht="12.9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t="s">
        <v>794</v>
      </c>
      <c r="AA129" s="33"/>
      <c r="AB129" s="33"/>
      <c r="AC129" s="33"/>
      <c r="AD129" s="33"/>
      <c r="AE129" s="33"/>
      <c r="AF129" s="33"/>
      <c r="AG129" s="33"/>
      <c r="AH129" s="33"/>
      <c r="AI129" s="33"/>
      <c r="AJ129" s="33"/>
      <c r="AK129" s="33"/>
      <c r="AL129" s="33"/>
    </row>
    <row r="130" spans="1:56" ht="12.95" customHeight="1">
      <c r="A130" s="33"/>
      <c r="B130" s="33"/>
      <c r="C130" s="1314" t="s">
        <v>795</v>
      </c>
      <c r="D130" s="1314"/>
      <c r="E130" s="1314"/>
      <c r="F130" s="1314"/>
      <c r="G130" s="1314"/>
      <c r="H130" s="1314"/>
      <c r="I130" s="1314"/>
      <c r="J130" s="1314"/>
      <c r="K130" s="1314"/>
      <c r="L130" s="229" t="s">
        <v>796</v>
      </c>
      <c r="M130" s="33"/>
      <c r="O130" s="33"/>
      <c r="P130" s="33"/>
      <c r="Q130" s="33"/>
      <c r="R130" s="33"/>
      <c r="S130" s="33"/>
      <c r="T130" s="33"/>
      <c r="U130" s="33"/>
      <c r="V130" s="33"/>
      <c r="W130" s="33"/>
      <c r="X130" s="33"/>
      <c r="AL130" s="33"/>
    </row>
    <row r="131" spans="1:56" ht="12.9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1184" t="s">
        <v>797</v>
      </c>
      <c r="Z131" s="1184"/>
      <c r="AA131" s="1184"/>
      <c r="AB131" s="1184"/>
      <c r="AC131" s="1184"/>
      <c r="AD131" s="1184"/>
      <c r="AE131" s="1184"/>
      <c r="AF131" s="1184"/>
      <c r="AG131" s="1184"/>
      <c r="AH131" s="1184"/>
      <c r="AI131" s="1184"/>
      <c r="AJ131" s="1184"/>
      <c r="AK131" s="1184"/>
      <c r="AL131" s="33"/>
    </row>
    <row r="132" spans="1:56" ht="12.9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t="s">
        <v>798</v>
      </c>
      <c r="AA132" s="33"/>
      <c r="AB132" s="33"/>
      <c r="AC132" s="33"/>
      <c r="AD132" s="33"/>
      <c r="AE132" s="33"/>
      <c r="AF132" s="33"/>
      <c r="AG132" s="33"/>
      <c r="AH132" s="33"/>
      <c r="AI132" s="33"/>
      <c r="AJ132" s="33"/>
      <c r="AK132" s="33"/>
      <c r="AL132" s="33"/>
    </row>
    <row r="133" spans="1:56" ht="12.95" customHeight="1">
      <c r="C133" s="33"/>
      <c r="D133" s="33"/>
      <c r="E133" s="33"/>
      <c r="F133" s="33"/>
      <c r="G133" s="33"/>
      <c r="H133" s="33"/>
      <c r="I133" s="33"/>
      <c r="J133" s="33"/>
      <c r="K133" s="33"/>
      <c r="L133" s="33"/>
      <c r="M133" s="33"/>
      <c r="N133" s="33"/>
      <c r="O133" s="33"/>
      <c r="P133" s="33"/>
      <c r="Q133" s="33"/>
      <c r="R133" s="33"/>
      <c r="S133" s="33"/>
      <c r="T133" s="33"/>
      <c r="U133" s="33"/>
      <c r="V133" s="33"/>
      <c r="W133" s="33"/>
      <c r="X133" s="33"/>
    </row>
    <row r="134" spans="1:56" ht="12.9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1184" t="s">
        <v>799</v>
      </c>
      <c r="Z134" s="1184"/>
      <c r="AA134" s="1184"/>
      <c r="AB134" s="1184"/>
      <c r="AC134" s="1184"/>
      <c r="AD134" s="1184"/>
      <c r="AE134" s="1184"/>
      <c r="AF134" s="1184"/>
      <c r="AG134" s="1184"/>
      <c r="AH134" s="1184"/>
      <c r="AI134" s="1184"/>
      <c r="AJ134" s="1184"/>
      <c r="AK134" s="1184"/>
      <c r="AL134" s="33"/>
      <c r="AM134" s="33"/>
      <c r="AN134" s="33"/>
      <c r="AO134" s="33"/>
      <c r="AP134" s="33"/>
      <c r="AQ134" s="33"/>
      <c r="AR134" s="33"/>
      <c r="AS134" s="33"/>
      <c r="AT134" s="33"/>
      <c r="AU134" s="33"/>
      <c r="AV134" s="33"/>
      <c r="AW134" s="33"/>
      <c r="AX134" s="33"/>
      <c r="AY134" s="33"/>
      <c r="AZ134" s="33"/>
      <c r="BA134" s="33"/>
      <c r="BB134" s="33"/>
      <c r="BC134" s="33"/>
      <c r="BD134" s="33"/>
    </row>
    <row r="135" spans="1:56" s="4" customFormat="1" ht="12.95" customHeight="1">
      <c r="A135" s="801"/>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t="s">
        <v>800</v>
      </c>
      <c r="AA135" s="33"/>
      <c r="AB135" s="33"/>
      <c r="AC135" s="33"/>
      <c r="AD135" s="33"/>
      <c r="AE135" s="33"/>
      <c r="AF135" s="33"/>
      <c r="AG135" s="33"/>
      <c r="AH135" s="33"/>
      <c r="AI135" s="33"/>
      <c r="AJ135" s="33"/>
      <c r="AK135" s="33"/>
      <c r="AL135" s="801"/>
      <c r="AM135" s="33"/>
      <c r="AN135" s="33"/>
      <c r="AO135" s="33"/>
      <c r="AP135" s="33"/>
      <c r="AQ135" s="33"/>
      <c r="AR135" s="33"/>
      <c r="AS135" s="33"/>
      <c r="AT135" s="33"/>
      <c r="AU135" s="33"/>
      <c r="AV135" s="33"/>
      <c r="AW135" s="33"/>
      <c r="AX135" s="33"/>
      <c r="AY135" s="33"/>
      <c r="AZ135" s="33"/>
      <c r="BA135" s="33"/>
      <c r="BB135" s="33"/>
      <c r="BC135" s="33"/>
      <c r="BD135" s="33"/>
    </row>
    <row r="136" spans="1:56" ht="12.95" customHeight="1">
      <c r="A136" s="801"/>
      <c r="B136" s="33"/>
      <c r="AL136" s="801"/>
    </row>
    <row r="137" spans="1:56" ht="12.95" customHeight="1">
      <c r="A137" s="33"/>
      <c r="B137" s="33"/>
      <c r="AL137" s="33"/>
    </row>
    <row r="138" spans="1:56" ht="12.95" customHeight="1">
      <c r="A138" s="33"/>
      <c r="AL138" s="33"/>
    </row>
    <row r="139" spans="1:56" ht="12.95" customHeight="1">
      <c r="A139" s="33"/>
      <c r="AL139" s="33"/>
    </row>
    <row r="140" spans="1:56" ht="12.95" customHeight="1">
      <c r="A140" s="33"/>
      <c r="AL140" s="33"/>
    </row>
    <row r="141" spans="1:56" ht="12.95" customHeight="1">
      <c r="A141" s="33"/>
      <c r="AL141" s="33"/>
    </row>
    <row r="142" spans="1:56" ht="12.95" customHeight="1">
      <c r="A142" s="33"/>
      <c r="AL142" s="33"/>
    </row>
    <row r="143" spans="1:56" ht="12.95" customHeight="1">
      <c r="A143" s="33"/>
      <c r="AL143" s="33"/>
    </row>
    <row r="144" spans="1:56" ht="12.95" customHeight="1">
      <c r="A144" s="33"/>
      <c r="AL144" s="33"/>
    </row>
    <row r="145" spans="1:72" ht="12.95" customHeight="1">
      <c r="A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row>
    <row r="146" spans="1:72" ht="12.95" customHeight="1">
      <c r="A146" s="33"/>
      <c r="D146" s="753"/>
      <c r="E146" s="753"/>
      <c r="F146" s="753"/>
      <c r="G146" s="753"/>
      <c r="H146" s="753"/>
      <c r="I146" s="753"/>
      <c r="J146" s="753"/>
      <c r="K146" s="753"/>
      <c r="L146" s="753"/>
      <c r="M146" s="753"/>
      <c r="N146" s="753"/>
      <c r="O146" s="753"/>
      <c r="P146" s="753"/>
      <c r="Q146" s="753"/>
      <c r="R146" s="753"/>
      <c r="S146" s="753"/>
      <c r="T146" s="753"/>
      <c r="U146" s="753"/>
      <c r="V146" s="753"/>
      <c r="W146" s="753"/>
      <c r="X146" s="753"/>
      <c r="Y146" s="753"/>
      <c r="Z146" s="753"/>
      <c r="AA146" s="753"/>
      <c r="AB146" s="753"/>
      <c r="AC146" s="753"/>
      <c r="AD146" s="753"/>
      <c r="AE146" s="753"/>
      <c r="AF146" s="753"/>
      <c r="AG146" s="753"/>
      <c r="AH146" s="753"/>
      <c r="AI146" s="753"/>
      <c r="AJ146" s="753"/>
      <c r="AK146" s="33"/>
      <c r="AL146" s="33"/>
    </row>
    <row r="147" spans="1:72" ht="12.95" customHeight="1">
      <c r="A147" s="33"/>
      <c r="C147" s="753"/>
      <c r="D147" s="753"/>
      <c r="E147" s="753"/>
      <c r="F147" s="753"/>
      <c r="G147" s="753"/>
      <c r="H147" s="753"/>
      <c r="I147" s="753"/>
      <c r="J147" s="75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753"/>
      <c r="AJ147" s="753"/>
      <c r="AK147" s="33"/>
      <c r="AL147" s="33"/>
    </row>
    <row r="148" spans="1:72" ht="12.95" customHeight="1">
      <c r="A148" s="33"/>
      <c r="C148" s="753"/>
      <c r="D148" s="753"/>
      <c r="E148" s="753"/>
      <c r="F148" s="753"/>
      <c r="G148" s="753"/>
      <c r="H148" s="753"/>
      <c r="I148" s="753"/>
      <c r="J148" s="75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753"/>
      <c r="AJ148" s="753"/>
      <c r="AK148" s="33"/>
      <c r="AL148" s="33"/>
    </row>
    <row r="149" spans="1:72" ht="12.95" customHeight="1">
      <c r="A149" s="33"/>
      <c r="D149" s="753"/>
      <c r="E149" s="753"/>
      <c r="F149" s="753"/>
      <c r="G149" s="753"/>
      <c r="H149" s="753"/>
      <c r="I149" s="753"/>
      <c r="J149" s="75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753"/>
      <c r="AJ149" s="753"/>
      <c r="AK149" s="33"/>
      <c r="AL149" s="33"/>
    </row>
    <row r="150" spans="1:72" ht="12.95" customHeight="1">
      <c r="A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row>
    <row r="151" spans="1:72" ht="12.95" customHeight="1">
      <c r="A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row>
    <row r="152" spans="1:72" ht="12.95" customHeight="1">
      <c r="A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row>
    <row r="153" spans="1:72" ht="12.95" customHeight="1">
      <c r="A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row>
    <row r="154" spans="1:72" ht="12.95" customHeight="1">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row>
    <row r="155" spans="1:72" ht="12.95" customHeight="1">
      <c r="D155" s="11"/>
      <c r="F155" s="11"/>
      <c r="G155" s="11"/>
      <c r="H155" s="11"/>
      <c r="I155" s="11"/>
      <c r="J155" s="11"/>
      <c r="K155" s="11"/>
      <c r="L155" s="11"/>
      <c r="M155" s="11"/>
      <c r="N155" s="11"/>
      <c r="O155" s="33"/>
      <c r="P155" s="33"/>
      <c r="Q155" s="33"/>
      <c r="R155" s="33"/>
      <c r="S155" s="33"/>
      <c r="T155" s="33"/>
      <c r="U155" s="33"/>
      <c r="V155" s="33"/>
      <c r="W155" s="33"/>
      <c r="X155" s="33"/>
      <c r="Y155" s="33"/>
      <c r="Z155" s="33"/>
      <c r="AA155" s="33"/>
      <c r="AB155" s="33"/>
      <c r="AC155" s="33"/>
      <c r="AD155" s="33"/>
      <c r="AE155" s="33"/>
      <c r="AF155" s="33"/>
      <c r="AG155" s="33"/>
      <c r="AH155" s="33"/>
    </row>
    <row r="156" spans="1:72" ht="12.95" customHeight="1">
      <c r="D156" t="s">
        <v>801</v>
      </c>
      <c r="O156" s="1184" t="s">
        <v>802</v>
      </c>
      <c r="P156" s="1184"/>
      <c r="Q156" s="1184"/>
      <c r="R156" s="1184"/>
      <c r="S156" s="1184"/>
      <c r="T156" s="1184"/>
      <c r="U156" s="1184"/>
      <c r="V156" s="1184"/>
      <c r="W156" s="1184"/>
      <c r="X156" s="1184"/>
      <c r="Y156" s="1184"/>
      <c r="Z156" s="1184"/>
      <c r="AA156" s="1184"/>
      <c r="AB156" s="1184"/>
      <c r="AC156" s="1184"/>
      <c r="AD156" s="1184"/>
      <c r="AE156" s="1184"/>
      <c r="AF156" s="1184"/>
      <c r="AG156" s="1184"/>
      <c r="AH156" s="1184"/>
      <c r="BT156" t="s">
        <v>320</v>
      </c>
    </row>
    <row r="157" spans="1:72" ht="12.95" customHeight="1">
      <c r="D157" s="244" t="s">
        <v>803</v>
      </c>
      <c r="O157" s="1179" t="s">
        <v>804</v>
      </c>
      <c r="P157" s="1179"/>
      <c r="Q157" s="1179"/>
      <c r="R157" s="1179"/>
      <c r="S157" s="1179"/>
      <c r="T157" s="1179"/>
      <c r="U157" s="1179"/>
      <c r="V157" s="1179"/>
      <c r="W157" s="1179"/>
      <c r="X157" s="1179"/>
      <c r="Y157" s="1179"/>
      <c r="Z157" s="1179"/>
      <c r="AA157" s="1179"/>
      <c r="AB157" s="1179"/>
      <c r="AC157" s="1179"/>
      <c r="AD157" s="1179"/>
      <c r="AE157" s="1179"/>
      <c r="AF157" s="1179"/>
      <c r="AG157" s="1179"/>
      <c r="AH157" s="1179"/>
      <c r="AI157" t="s">
        <v>805</v>
      </c>
      <c r="BN157" s="197" t="s">
        <v>806</v>
      </c>
      <c r="BT157" t="s">
        <v>807</v>
      </c>
    </row>
    <row r="158" spans="1:72" ht="12.95" customHeight="1">
      <c r="D158" s="11" t="s">
        <v>808</v>
      </c>
      <c r="F158" s="11"/>
      <c r="G158" s="11"/>
      <c r="H158" s="11"/>
      <c r="I158" s="11"/>
      <c r="J158" s="11"/>
      <c r="K158" s="11"/>
      <c r="L158" s="11"/>
      <c r="M158" s="11"/>
      <c r="N158" s="11"/>
      <c r="O158" s="1364" t="s">
        <v>809</v>
      </c>
      <c r="P158" s="1364"/>
      <c r="Q158" s="1364"/>
      <c r="R158" s="1364"/>
      <c r="S158" s="1364"/>
      <c r="T158" s="1364"/>
      <c r="U158" s="1364"/>
      <c r="V158" s="1364"/>
      <c r="W158" s="1364"/>
      <c r="X158" s="1364"/>
      <c r="Y158" s="1364"/>
      <c r="Z158" s="1364"/>
      <c r="AA158" s="1364"/>
      <c r="AB158" s="1364"/>
      <c r="AC158" s="1364"/>
      <c r="AD158" s="1364"/>
      <c r="AE158" s="1364"/>
      <c r="AF158" s="1364"/>
      <c r="AG158" s="1364"/>
      <c r="AH158" s="1364"/>
      <c r="BN158" s="197" t="s">
        <v>810</v>
      </c>
      <c r="BT158" t="s">
        <v>811</v>
      </c>
    </row>
    <row r="159" spans="1:72" ht="12.95" customHeight="1">
      <c r="D159" t="s">
        <v>812</v>
      </c>
      <c r="O159" s="1181" t="s">
        <v>813</v>
      </c>
      <c r="P159" s="1181"/>
      <c r="Q159" s="1181"/>
      <c r="R159" s="1181"/>
      <c r="S159" s="1181"/>
      <c r="T159" s="1181"/>
      <c r="U159" s="1181"/>
      <c r="V159" s="1181"/>
      <c r="W159" s="1181"/>
      <c r="X159" s="1181"/>
      <c r="Y159" s="1181"/>
      <c r="Z159" s="1181"/>
      <c r="AA159" s="1181"/>
      <c r="AB159" s="1181"/>
      <c r="AC159" s="1181"/>
      <c r="AD159" s="1181"/>
      <c r="AE159" s="1181"/>
      <c r="AF159" s="1181"/>
      <c r="AG159" s="1181"/>
      <c r="AH159" s="1181"/>
      <c r="BN159" s="197" t="s">
        <v>814</v>
      </c>
      <c r="BT159" t="s">
        <v>815</v>
      </c>
    </row>
    <row r="160" spans="1:72" ht="12.95" customHeight="1">
      <c r="D160" t="s">
        <v>816</v>
      </c>
      <c r="O160" s="1184" t="s">
        <v>817</v>
      </c>
      <c r="P160" s="1184"/>
      <c r="Q160" s="1184"/>
      <c r="R160" s="1184"/>
      <c r="S160" s="1184"/>
      <c r="T160" s="1184"/>
      <c r="U160" s="1184"/>
      <c r="V160" s="1184"/>
      <c r="W160" s="1184"/>
      <c r="X160" s="1184"/>
      <c r="Y160" s="11"/>
      <c r="Z160" s="11"/>
      <c r="AA160" s="11"/>
      <c r="AB160" s="11"/>
      <c r="AC160" s="11"/>
      <c r="AD160" s="11"/>
      <c r="AE160" s="11"/>
      <c r="AF160" s="11"/>
      <c r="BN160" s="197" t="s">
        <v>818</v>
      </c>
      <c r="BT160" t="s">
        <v>819</v>
      </c>
    </row>
    <row r="161" spans="1:72" ht="12.95" customHeight="1">
      <c r="D161" t="s">
        <v>820</v>
      </c>
      <c r="O161" s="1367">
        <v>94804</v>
      </c>
      <c r="P161" s="1367"/>
      <c r="Q161" s="1367"/>
      <c r="R161" s="1367"/>
      <c r="S161" s="12"/>
      <c r="T161" s="12"/>
      <c r="U161" s="12"/>
      <c r="V161" s="12"/>
      <c r="W161" s="12"/>
      <c r="X161" s="12"/>
      <c r="Y161" s="12"/>
      <c r="Z161" s="12"/>
      <c r="AA161" s="12"/>
      <c r="AB161" s="12"/>
      <c r="AC161" s="12"/>
      <c r="AD161" s="12"/>
      <c r="AE161" s="12"/>
      <c r="AF161" s="12"/>
      <c r="BJ161" t="s">
        <v>821</v>
      </c>
      <c r="BN161" s="197" t="s">
        <v>822</v>
      </c>
      <c r="BT161" t="s">
        <v>823</v>
      </c>
    </row>
    <row r="162" spans="1:72" ht="12.95" customHeight="1">
      <c r="D162" t="s">
        <v>824</v>
      </c>
      <c r="O162" s="1369" t="s">
        <v>825</v>
      </c>
      <c r="P162" s="1369"/>
      <c r="Q162" s="1369"/>
      <c r="R162" s="1369"/>
      <c r="S162" s="1369"/>
      <c r="T162" s="1369"/>
      <c r="V162" s="130" t="s">
        <v>826</v>
      </c>
      <c r="W162" s="1368"/>
      <c r="X162" s="1368"/>
      <c r="Y162" s="13"/>
      <c r="Z162" s="13"/>
      <c r="AA162" s="13"/>
      <c r="AB162" s="13"/>
      <c r="AC162" s="13"/>
      <c r="AD162" s="13"/>
      <c r="AE162" s="13"/>
      <c r="AF162" s="13"/>
      <c r="BJ162" t="s">
        <v>712</v>
      </c>
      <c r="BN162" s="197" t="s">
        <v>827</v>
      </c>
      <c r="BT162" t="s">
        <v>828</v>
      </c>
    </row>
    <row r="163" spans="1:72" ht="12.95" customHeight="1">
      <c r="D163" t="s">
        <v>829</v>
      </c>
      <c r="O163" s="1369" t="s">
        <v>830</v>
      </c>
      <c r="P163" s="1369"/>
      <c r="Q163" s="1369"/>
      <c r="R163" s="1369"/>
      <c r="S163" s="1369"/>
      <c r="T163" s="1369"/>
      <c r="U163" s="13"/>
      <c r="V163" s="13"/>
      <c r="W163" s="13"/>
      <c r="X163" s="13"/>
      <c r="Y163" s="13"/>
      <c r="Z163" s="13"/>
      <c r="AA163" s="13"/>
      <c r="AB163" s="13"/>
      <c r="AC163" s="13"/>
      <c r="AD163" s="13"/>
      <c r="AE163" s="13"/>
      <c r="AF163" s="13"/>
      <c r="BN163" s="197" t="s">
        <v>831</v>
      </c>
      <c r="BT163" t="s">
        <v>832</v>
      </c>
    </row>
    <row r="164" spans="1:72" ht="12.95" customHeight="1">
      <c r="D164" t="s">
        <v>833</v>
      </c>
      <c r="O164" s="1361" t="s">
        <v>834</v>
      </c>
      <c r="P164" s="1361"/>
      <c r="Q164" s="1361"/>
      <c r="R164" s="1361"/>
      <c r="S164" s="1361"/>
      <c r="T164" s="1361"/>
      <c r="U164" s="1361"/>
      <c r="V164" s="1361"/>
      <c r="W164" s="1361"/>
      <c r="X164" s="1361"/>
      <c r="Y164" s="1361"/>
      <c r="Z164" s="1361"/>
      <c r="AA164" s="1361"/>
      <c r="AB164" s="1361"/>
      <c r="AC164" s="1361"/>
      <c r="AD164" s="1361"/>
      <c r="AE164" s="1361"/>
      <c r="AF164" s="1361"/>
      <c r="AG164" s="1361"/>
      <c r="AH164" s="1361"/>
      <c r="BN164" s="197" t="s">
        <v>835</v>
      </c>
      <c r="BT164" t="s">
        <v>836</v>
      </c>
    </row>
    <row r="165" spans="1:72" ht="12.95" customHeight="1">
      <c r="C165" s="27"/>
      <c r="D165" s="200"/>
      <c r="E165" s="200"/>
      <c r="F165" s="200"/>
      <c r="G165" s="200"/>
      <c r="H165" s="200"/>
      <c r="I165" s="200"/>
      <c r="J165" s="200"/>
      <c r="K165" s="200"/>
      <c r="L165" s="200"/>
      <c r="M165" s="200"/>
      <c r="N165" s="200"/>
      <c r="O165" s="868"/>
      <c r="P165" s="868"/>
      <c r="Q165" s="868"/>
      <c r="R165" s="868"/>
      <c r="S165" s="868"/>
      <c r="T165" s="868"/>
      <c r="U165" s="868"/>
      <c r="V165" s="868"/>
      <c r="W165" s="868"/>
      <c r="X165" s="868"/>
      <c r="Y165" s="868"/>
      <c r="Z165" s="868"/>
      <c r="AA165" s="194"/>
      <c r="AB165" s="194"/>
      <c r="AC165" s="194"/>
      <c r="AD165" s="194"/>
      <c r="AE165" s="194"/>
      <c r="AF165" s="194"/>
      <c r="AG165" s="194"/>
      <c r="AH165" s="194"/>
      <c r="BN165" s="197" t="s">
        <v>837</v>
      </c>
      <c r="BT165" t="s">
        <v>838</v>
      </c>
    </row>
    <row r="166" spans="1:72" ht="12.95" customHeight="1">
      <c r="C166" s="27" t="s">
        <v>805</v>
      </c>
      <c r="D166" t="s">
        <v>839</v>
      </c>
      <c r="O166" s="194"/>
      <c r="P166" s="194"/>
      <c r="Q166" s="194"/>
      <c r="R166" s="194"/>
      <c r="S166" s="194"/>
      <c r="T166" s="194"/>
      <c r="U166" s="194"/>
      <c r="V166" s="194"/>
      <c r="W166" s="194"/>
      <c r="X166" s="194"/>
      <c r="Y166" s="194"/>
      <c r="Z166" s="194"/>
      <c r="AA166" s="194"/>
      <c r="AB166" s="194"/>
      <c r="AC166" s="194"/>
      <c r="AD166" s="194"/>
      <c r="AE166" s="194"/>
      <c r="AF166" s="194"/>
      <c r="AG166" s="194"/>
      <c r="AH166" s="194"/>
      <c r="BN166" s="197" t="s">
        <v>840</v>
      </c>
      <c r="BT166" t="s">
        <v>841</v>
      </c>
    </row>
    <row r="167" spans="1:72" ht="12.95" customHeight="1">
      <c r="C167" s="27"/>
      <c r="D167" s="1366" t="s">
        <v>842</v>
      </c>
      <c r="E167" s="1366"/>
      <c r="F167" s="1366"/>
      <c r="G167" s="1366"/>
      <c r="H167" s="1366"/>
      <c r="I167" s="1366"/>
      <c r="J167" s="1366"/>
      <c r="K167" s="1366"/>
      <c r="L167" s="1366"/>
      <c r="M167" s="1366"/>
      <c r="N167" s="1366"/>
      <c r="O167" s="1366"/>
      <c r="P167" s="1366"/>
      <c r="Q167" s="1366"/>
      <c r="R167" s="1366"/>
      <c r="S167" s="1366"/>
      <c r="T167" s="1366"/>
      <c r="U167" s="1366"/>
      <c r="V167" s="1366"/>
      <c r="W167" s="1366"/>
      <c r="X167" s="1366"/>
      <c r="Y167" s="1366"/>
      <c r="Z167" s="868"/>
      <c r="AA167" s="194"/>
      <c r="AB167" s="194"/>
      <c r="AC167" s="194"/>
      <c r="AD167" s="194"/>
      <c r="AE167" s="194"/>
      <c r="AF167" s="194"/>
      <c r="AG167" s="194"/>
      <c r="AH167" s="194"/>
      <c r="BN167" s="197" t="s">
        <v>843</v>
      </c>
      <c r="BT167" t="s">
        <v>844</v>
      </c>
    </row>
    <row r="168" spans="1:72" ht="12.95" customHeight="1">
      <c r="BN168" s="197" t="s">
        <v>845</v>
      </c>
      <c r="BT168" t="s">
        <v>846</v>
      </c>
    </row>
    <row r="169" spans="1:72" ht="12.95" customHeight="1">
      <c r="A169" s="1320" t="s">
        <v>847</v>
      </c>
      <c r="B169" s="1320"/>
      <c r="C169" s="1320"/>
      <c r="D169" s="1320"/>
      <c r="E169" s="1320"/>
      <c r="F169" s="1320"/>
      <c r="G169" s="1320"/>
      <c r="H169" s="1320"/>
      <c r="I169" s="1320"/>
      <c r="J169" s="1320"/>
      <c r="K169" s="1320"/>
      <c r="L169" s="1320"/>
      <c r="M169" s="1320"/>
      <c r="N169" s="1320"/>
      <c r="O169" s="1320"/>
      <c r="P169" s="1320"/>
      <c r="Q169" s="1320"/>
      <c r="R169" s="1320"/>
      <c r="S169" s="1320"/>
      <c r="T169" s="1320"/>
      <c r="U169" s="1320"/>
      <c r="V169" s="1320"/>
      <c r="W169" s="1320"/>
      <c r="X169" s="1320"/>
      <c r="Y169" s="1320"/>
      <c r="Z169" s="1320"/>
      <c r="AA169" s="1320"/>
      <c r="AB169" s="1320"/>
      <c r="AC169" s="1320"/>
      <c r="AD169" s="1320"/>
      <c r="AE169" s="1320"/>
      <c r="AF169" s="1320"/>
      <c r="AG169" s="1320"/>
      <c r="AH169" s="1320"/>
      <c r="AI169" s="1320"/>
      <c r="AJ169" s="1320"/>
      <c r="AK169" s="1320"/>
      <c r="AL169" s="1320"/>
      <c r="BN169" s="197" t="s">
        <v>848</v>
      </c>
      <c r="BT169" t="s">
        <v>849</v>
      </c>
    </row>
    <row r="170" spans="1:72" ht="12.95" customHeight="1" thickBot="1">
      <c r="A170" s="1321"/>
      <c r="B170" s="1321"/>
      <c r="C170" s="1321"/>
      <c r="D170" s="1321"/>
      <c r="E170" s="1321"/>
      <c r="F170" s="1321"/>
      <c r="G170" s="1321"/>
      <c r="H170" s="1321"/>
      <c r="I170" s="1321"/>
      <c r="J170" s="1321"/>
      <c r="K170" s="1321"/>
      <c r="L170" s="1321"/>
      <c r="M170" s="1321"/>
      <c r="N170" s="1321"/>
      <c r="O170" s="1321"/>
      <c r="P170" s="1321"/>
      <c r="Q170" s="1321"/>
      <c r="R170" s="1321"/>
      <c r="S170" s="1321"/>
      <c r="T170" s="1321"/>
      <c r="U170" s="1321"/>
      <c r="V170" s="1321"/>
      <c r="W170" s="1321"/>
      <c r="X170" s="1321"/>
      <c r="Y170" s="1321"/>
      <c r="Z170" s="1321"/>
      <c r="AA170" s="1321"/>
      <c r="AB170" s="1321"/>
      <c r="AC170" s="1321"/>
      <c r="AD170" s="1321"/>
      <c r="AE170" s="1321"/>
      <c r="AF170" s="1321"/>
      <c r="AG170" s="1321"/>
      <c r="AH170" s="1321"/>
      <c r="AI170" s="1321"/>
      <c r="AJ170" s="1321"/>
      <c r="AK170" s="1321"/>
      <c r="AL170" s="1321"/>
      <c r="BN170" s="197" t="s">
        <v>850</v>
      </c>
      <c r="BT170" t="s">
        <v>851</v>
      </c>
    </row>
    <row r="171" spans="1:72" ht="12.95" customHeight="1" thickTop="1">
      <c r="BN171" s="197" t="s">
        <v>852</v>
      </c>
      <c r="BT171" t="s">
        <v>853</v>
      </c>
    </row>
    <row r="172" spans="1:72" ht="12.95" customHeight="1">
      <c r="A172" s="2" t="s">
        <v>854</v>
      </c>
      <c r="C172" s="2" t="s">
        <v>100</v>
      </c>
      <c r="BN172" s="197" t="s">
        <v>855</v>
      </c>
      <c r="BT172" t="s">
        <v>856</v>
      </c>
    </row>
    <row r="173" spans="1:72" ht="12.95" customHeight="1">
      <c r="C173" s="24"/>
      <c r="D173" t="s">
        <v>857</v>
      </c>
      <c r="J173" s="1832" t="s">
        <v>858</v>
      </c>
      <c r="K173" s="1832"/>
      <c r="L173" s="1832"/>
      <c r="M173" s="1832"/>
      <c r="N173" s="1832"/>
      <c r="O173" s="1832"/>
      <c r="P173" s="1832"/>
      <c r="Q173" s="1832"/>
      <c r="R173" s="1832"/>
      <c r="S173" s="1832"/>
      <c r="U173" s="25"/>
      <c r="X173" s="25"/>
      <c r="BN173" s="197" t="s">
        <v>859</v>
      </c>
      <c r="BT173" t="s">
        <v>860</v>
      </c>
    </row>
    <row r="174" spans="1:72" ht="12.95" customHeight="1">
      <c r="C174" s="24"/>
      <c r="D174" t="s">
        <v>861</v>
      </c>
      <c r="U174" s="1180" t="s">
        <v>712</v>
      </c>
      <c r="V174" s="1180"/>
      <c r="BN174" s="197" t="s">
        <v>862</v>
      </c>
      <c r="BT174" t="s">
        <v>863</v>
      </c>
    </row>
    <row r="175" spans="1:72" ht="12.95" customHeight="1">
      <c r="C175" s="11"/>
      <c r="D175" s="26"/>
      <c r="E175" t="s">
        <v>864</v>
      </c>
      <c r="O175" s="27"/>
      <c r="P175" t="s">
        <v>865</v>
      </c>
      <c r="T175" s="27" t="s">
        <v>866</v>
      </c>
      <c r="U175" s="1210">
        <v>23</v>
      </c>
      <c r="V175" s="1210"/>
      <c r="W175" s="781" t="s">
        <v>867</v>
      </c>
      <c r="X175" s="1365">
        <v>72</v>
      </c>
      <c r="Y175" s="1365"/>
      <c r="BN175" s="197" t="s">
        <v>868</v>
      </c>
      <c r="BT175" t="s">
        <v>869</v>
      </c>
    </row>
    <row r="176" spans="1:72" ht="12.95" customHeight="1">
      <c r="C176" s="24"/>
      <c r="D176" t="s">
        <v>870</v>
      </c>
      <c r="U176" s="1180" t="s">
        <v>821</v>
      </c>
      <c r="V176" s="1180"/>
      <c r="BN176" s="197" t="s">
        <v>871</v>
      </c>
      <c r="BT176" t="s">
        <v>872</v>
      </c>
    </row>
    <row r="177" spans="1:72" ht="12.95" customHeight="1">
      <c r="C177" s="24"/>
      <c r="D177" s="780" t="s">
        <v>873</v>
      </c>
      <c r="BN177" s="197" t="s">
        <v>874</v>
      </c>
      <c r="BT177" t="s">
        <v>875</v>
      </c>
    </row>
    <row r="178" spans="1:72" ht="12.95" customHeight="1">
      <c r="C178" s="24"/>
      <c r="E178" s="780" t="s">
        <v>865</v>
      </c>
      <c r="F178" s="780"/>
      <c r="G178" s="780"/>
      <c r="I178" s="739" t="s">
        <v>866</v>
      </c>
      <c r="J178" s="1322"/>
      <c r="K178" s="1322"/>
      <c r="L178" s="263" t="s">
        <v>867</v>
      </c>
      <c r="M178" s="1323"/>
      <c r="N178" s="1323"/>
      <c r="O178" s="780"/>
      <c r="P178" s="780"/>
      <c r="Q178" s="780"/>
      <c r="R178" s="780"/>
      <c r="U178" s="780" t="s">
        <v>876</v>
      </c>
      <c r="V178" s="780"/>
      <c r="W178" s="780"/>
      <c r="X178" s="780"/>
      <c r="Y178" s="780"/>
      <c r="Z178" s="780"/>
      <c r="AA178" s="780"/>
      <c r="AB178" s="780"/>
      <c r="AD178" s="1324"/>
      <c r="AE178" s="1324"/>
      <c r="AF178" s="1324"/>
      <c r="AG178" s="1324"/>
      <c r="AH178" s="1324"/>
      <c r="BN178" s="197" t="s">
        <v>877</v>
      </c>
      <c r="BT178" t="s">
        <v>878</v>
      </c>
    </row>
    <row r="179" spans="1:72" ht="12.95" customHeight="1">
      <c r="C179" s="24"/>
      <c r="BN179" s="197" t="s">
        <v>879</v>
      </c>
      <c r="BT179" t="s">
        <v>880</v>
      </c>
    </row>
    <row r="180" spans="1:72" ht="12.95" customHeight="1">
      <c r="C180" s="11"/>
      <c r="D180" t="s">
        <v>881</v>
      </c>
      <c r="O180" s="780"/>
      <c r="P180" s="780"/>
      <c r="Q180" s="780"/>
      <c r="R180" s="780"/>
      <c r="Y180" s="1180" t="s">
        <v>821</v>
      </c>
      <c r="Z180" s="1833"/>
      <c r="BN180" s="197" t="s">
        <v>882</v>
      </c>
      <c r="BT180" t="s">
        <v>883</v>
      </c>
    </row>
    <row r="181" spans="1:72" ht="12.95" customHeight="1">
      <c r="C181" s="11"/>
      <c r="D181" s="28"/>
      <c r="E181" s="780" t="s">
        <v>884</v>
      </c>
      <c r="R181" s="780"/>
      <c r="BN181" s="197" t="s">
        <v>885</v>
      </c>
      <c r="BT181" t="s">
        <v>886</v>
      </c>
    </row>
    <row r="182" spans="1:72" ht="12.95" customHeight="1">
      <c r="C182" s="11"/>
      <c r="D182" s="28"/>
      <c r="BN182" s="197" t="s">
        <v>887</v>
      </c>
      <c r="BT182" t="s">
        <v>888</v>
      </c>
    </row>
    <row r="183" spans="1:72" ht="12.95" customHeight="1">
      <c r="A183" s="2" t="s">
        <v>889</v>
      </c>
      <c r="C183" s="2" t="s">
        <v>102</v>
      </c>
      <c r="BN183" s="197" t="s">
        <v>890</v>
      </c>
      <c r="BT183" t="s">
        <v>891</v>
      </c>
    </row>
    <row r="184" spans="1:72" ht="12.95" customHeight="1">
      <c r="C184" s="814"/>
      <c r="D184" t="s">
        <v>892</v>
      </c>
      <c r="I184" s="1076" t="str">
        <f>H17</f>
        <v xml:space="preserve">Legacy Court </v>
      </c>
      <c r="J184" s="1076"/>
      <c r="K184" s="1076"/>
      <c r="L184" s="1076"/>
      <c r="M184" s="1076"/>
      <c r="N184" s="1076"/>
      <c r="O184" s="1076"/>
      <c r="P184" s="1076"/>
      <c r="Q184" s="1076"/>
      <c r="R184" s="1076"/>
      <c r="S184" s="1076"/>
      <c r="T184" s="1076"/>
      <c r="U184" s="1076"/>
      <c r="V184" s="1076"/>
      <c r="W184" s="1076"/>
      <c r="X184" s="1076"/>
      <c r="Y184" s="1076"/>
      <c r="Z184" s="1076"/>
      <c r="AA184" s="1076"/>
      <c r="AB184" s="1076"/>
      <c r="AC184" s="1076"/>
      <c r="AD184" s="1076"/>
      <c r="AE184" s="1076"/>
      <c r="BC184" t="s">
        <v>893</v>
      </c>
      <c r="BN184" s="197" t="s">
        <v>894</v>
      </c>
      <c r="BT184" t="s">
        <v>895</v>
      </c>
    </row>
    <row r="185" spans="1:72" ht="12.95" customHeight="1">
      <c r="C185" s="814"/>
      <c r="D185" t="s">
        <v>896</v>
      </c>
      <c r="I185" s="1183" t="s">
        <v>897</v>
      </c>
      <c r="J185" s="1183"/>
      <c r="K185" s="1183"/>
      <c r="L185" s="1183"/>
      <c r="M185" s="1183"/>
      <c r="N185" s="1183"/>
      <c r="O185" s="1183"/>
      <c r="P185" s="1183"/>
      <c r="Q185" s="1183"/>
      <c r="R185" s="1183"/>
      <c r="S185" s="1183"/>
      <c r="T185" s="1183"/>
      <c r="U185" s="1183"/>
      <c r="V185" s="1183"/>
      <c r="W185" s="1183"/>
      <c r="X185" s="1183"/>
      <c r="Y185" s="1183"/>
      <c r="Z185" s="1183"/>
      <c r="AA185" s="1183"/>
      <c r="AB185" s="1183"/>
      <c r="AC185" s="1183"/>
      <c r="AD185" s="1183"/>
      <c r="AE185" s="1183"/>
      <c r="BC185" s="33" t="s">
        <v>898</v>
      </c>
      <c r="BN185" s="197" t="s">
        <v>899</v>
      </c>
      <c r="BT185" t="s">
        <v>900</v>
      </c>
    </row>
    <row r="186" spans="1:72" ht="12.95" customHeight="1">
      <c r="C186" s="814"/>
      <c r="E186" t="s">
        <v>901</v>
      </c>
      <c r="BN186" s="197" t="s">
        <v>902</v>
      </c>
      <c r="BT186" t="s">
        <v>903</v>
      </c>
    </row>
    <row r="187" spans="1:72" ht="12.95" customHeight="1">
      <c r="C187" s="814"/>
      <c r="E187" s="1287"/>
      <c r="F187" s="1287"/>
      <c r="G187" s="1287"/>
      <c r="H187" s="1287"/>
      <c r="I187" s="1287"/>
      <c r="J187" s="1287"/>
      <c r="K187" s="1287"/>
      <c r="L187" s="1287"/>
      <c r="M187" s="1287"/>
      <c r="N187" s="1287"/>
      <c r="O187" s="1287"/>
      <c r="P187" s="1287"/>
      <c r="Q187" s="1287"/>
      <c r="R187" s="1287"/>
      <c r="S187" s="1287"/>
      <c r="T187" s="1287"/>
      <c r="U187" s="1287"/>
      <c r="V187" s="1287"/>
      <c r="W187" s="1287"/>
      <c r="X187" s="1287"/>
      <c r="Y187" s="1287"/>
      <c r="Z187" s="1287"/>
      <c r="AA187" s="1287"/>
      <c r="AB187" s="1287"/>
      <c r="AC187" s="1287"/>
      <c r="AD187" s="1287"/>
      <c r="AE187" s="1287"/>
      <c r="BN187" s="197" t="s">
        <v>904</v>
      </c>
      <c r="BT187" t="s">
        <v>905</v>
      </c>
    </row>
    <row r="188" spans="1:72" ht="12.95" customHeight="1">
      <c r="C188" s="814"/>
      <c r="E188" s="1288"/>
      <c r="F188" s="1288"/>
      <c r="G188" s="1288"/>
      <c r="H188" s="1288"/>
      <c r="I188" s="1288"/>
      <c r="J188" s="1288"/>
      <c r="K188" s="1288"/>
      <c r="L188" s="1288"/>
      <c r="M188" s="1288"/>
      <c r="N188" s="1288"/>
      <c r="O188" s="1288"/>
      <c r="P188" s="1288"/>
      <c r="Q188" s="1288"/>
      <c r="R188" s="1288"/>
      <c r="S188" s="1288"/>
      <c r="T188" s="1288"/>
      <c r="U188" s="1288"/>
      <c r="V188" s="1288"/>
      <c r="W188" s="1288"/>
      <c r="X188" s="1288"/>
      <c r="Y188" s="1288"/>
      <c r="Z188" s="1288"/>
      <c r="AA188" s="1288"/>
      <c r="AB188" s="1288"/>
      <c r="AC188" s="1288"/>
      <c r="AD188" s="1288"/>
      <c r="AE188" s="1288"/>
      <c r="BN188" s="197" t="s">
        <v>906</v>
      </c>
      <c r="BT188" t="s">
        <v>907</v>
      </c>
    </row>
    <row r="189" spans="1:72" ht="12.95" customHeight="1">
      <c r="C189" s="814"/>
      <c r="D189" t="s">
        <v>908</v>
      </c>
      <c r="I189" s="1181" t="s">
        <v>909</v>
      </c>
      <c r="J189" s="1181"/>
      <c r="K189" s="1181"/>
      <c r="L189" s="1181"/>
      <c r="M189" s="1181"/>
      <c r="N189" s="1181"/>
      <c r="O189" s="1181"/>
      <c r="P189" s="1181"/>
      <c r="Q189" t="s">
        <v>910</v>
      </c>
      <c r="T189" s="1181" t="s">
        <v>832</v>
      </c>
      <c r="U189" s="1181"/>
      <c r="V189" s="1181"/>
      <c r="W189" s="1181"/>
      <c r="X189" s="1181"/>
      <c r="Y189" s="1181"/>
      <c r="Z189" s="1181"/>
      <c r="AA189" s="1181"/>
      <c r="AB189" s="1181"/>
      <c r="AC189" s="1181"/>
      <c r="AD189" s="1181"/>
      <c r="AE189" s="1181"/>
      <c r="BC189" t="s">
        <v>320</v>
      </c>
      <c r="BH189" s="33" t="s">
        <v>325</v>
      </c>
      <c r="BN189" s="197" t="s">
        <v>911</v>
      </c>
      <c r="BT189" t="s">
        <v>912</v>
      </c>
    </row>
    <row r="190" spans="1:72" ht="12.95" customHeight="1">
      <c r="C190" s="814"/>
      <c r="D190" t="s">
        <v>913</v>
      </c>
      <c r="I190" s="1183" t="s">
        <v>914</v>
      </c>
      <c r="J190" s="1183"/>
      <c r="K190" s="1183"/>
      <c r="L190" s="1183"/>
      <c r="M190" s="1183"/>
      <c r="N190" s="1183"/>
      <c r="O190" t="s">
        <v>915</v>
      </c>
      <c r="T190" s="1370">
        <v>3650.02</v>
      </c>
      <c r="U190" s="1370"/>
      <c r="V190" s="1370"/>
      <c r="W190" s="1370"/>
      <c r="X190" s="1370"/>
      <c r="Y190" s="1370"/>
      <c r="Z190" s="1370"/>
      <c r="AA190" s="1370"/>
      <c r="AB190" s="1370"/>
      <c r="AC190" s="1370"/>
      <c r="AD190" s="1370"/>
      <c r="AE190" s="1370"/>
      <c r="BC190" t="s">
        <v>916</v>
      </c>
      <c r="BH190" t="s">
        <v>916</v>
      </c>
      <c r="BN190" s="197" t="s">
        <v>917</v>
      </c>
      <c r="BT190" t="s">
        <v>918</v>
      </c>
    </row>
    <row r="191" spans="1:72" ht="12.95" customHeight="1">
      <c r="C191" s="814"/>
      <c r="D191" t="s">
        <v>919</v>
      </c>
      <c r="N191" s="1287" t="s">
        <v>920</v>
      </c>
      <c r="O191" s="1287"/>
      <c r="P191" s="1287"/>
      <c r="Q191" s="1287"/>
      <c r="R191" s="1287"/>
      <c r="S191" s="1287"/>
      <c r="T191" s="1287"/>
      <c r="U191" s="1287"/>
      <c r="V191" s="1287"/>
      <c r="W191" s="1287"/>
      <c r="X191" s="1287"/>
      <c r="Y191" s="1287"/>
      <c r="Z191" s="1287"/>
      <c r="AA191" s="1287"/>
      <c r="AB191" s="1287"/>
      <c r="AC191" s="1287"/>
      <c r="AD191" s="1287"/>
      <c r="AE191" s="1287"/>
      <c r="BC191" t="s">
        <v>921</v>
      </c>
      <c r="BH191" t="s">
        <v>921</v>
      </c>
      <c r="BN191" s="197" t="s">
        <v>922</v>
      </c>
      <c r="BT191" t="s">
        <v>923</v>
      </c>
    </row>
    <row r="192" spans="1:72" ht="12.95" customHeight="1">
      <c r="C192" s="814"/>
      <c r="M192" s="812"/>
      <c r="N192" s="1288"/>
      <c r="O192" s="1288"/>
      <c r="P192" s="1288"/>
      <c r="Q192" s="1288"/>
      <c r="R192" s="1288"/>
      <c r="S192" s="1288"/>
      <c r="T192" s="1288"/>
      <c r="U192" s="1288"/>
      <c r="V192" s="1288"/>
      <c r="W192" s="1288"/>
      <c r="X192" s="1288"/>
      <c r="Y192" s="1288"/>
      <c r="Z192" s="1288"/>
      <c r="AA192" s="1288"/>
      <c r="AB192" s="1288"/>
      <c r="AC192" s="1288"/>
      <c r="AD192" s="1288"/>
      <c r="AE192" s="1288"/>
      <c r="BC192" t="s">
        <v>924</v>
      </c>
      <c r="BH192" s="33" t="s">
        <v>925</v>
      </c>
      <c r="BN192" s="197" t="s">
        <v>926</v>
      </c>
      <c r="BT192" t="s">
        <v>927</v>
      </c>
    </row>
    <row r="193" spans="1:73" ht="12.95" customHeight="1">
      <c r="C193" s="814"/>
      <c r="D193" t="s">
        <v>928</v>
      </c>
      <c r="T193" s="1180" t="s">
        <v>821</v>
      </c>
      <c r="U193" s="1180"/>
      <c r="W193" s="33" t="s">
        <v>929</v>
      </c>
      <c r="AA193" s="1373"/>
      <c r="AB193" s="1373"/>
      <c r="AC193" s="1373"/>
      <c r="BC193" t="s">
        <v>930</v>
      </c>
      <c r="BH193" s="33" t="s">
        <v>931</v>
      </c>
      <c r="BN193" s="197" t="s">
        <v>932</v>
      </c>
      <c r="BT193" t="s">
        <v>933</v>
      </c>
    </row>
    <row r="194" spans="1:73" ht="12.95" customHeight="1">
      <c r="C194" s="814"/>
      <c r="D194" t="s">
        <v>934</v>
      </c>
      <c r="T194" s="1085" t="s">
        <v>712</v>
      </c>
      <c r="U194" s="1085"/>
      <c r="W194" t="s">
        <v>935</v>
      </c>
      <c r="AI194" s="1180" t="s">
        <v>821</v>
      </c>
      <c r="AJ194" s="1180"/>
      <c r="AX194" s="33" t="s">
        <v>325</v>
      </c>
      <c r="BC194" t="s">
        <v>936</v>
      </c>
      <c r="BN194" s="197" t="s">
        <v>937</v>
      </c>
      <c r="BT194" t="s">
        <v>938</v>
      </c>
    </row>
    <row r="195" spans="1:73" ht="12.95" customHeight="1">
      <c r="C195" s="814"/>
      <c r="D195" s="33" t="s">
        <v>939</v>
      </c>
      <c r="T195" s="1085" t="s">
        <v>821</v>
      </c>
      <c r="U195" s="1085"/>
      <c r="X195" s="617" t="s">
        <v>940</v>
      </c>
      <c r="AX195" s="33" t="s">
        <v>941</v>
      </c>
      <c r="BN195" s="197" t="s">
        <v>942</v>
      </c>
      <c r="BT195" t="s">
        <v>943</v>
      </c>
    </row>
    <row r="196" spans="1:73" ht="12.95" customHeight="1">
      <c r="C196" s="814"/>
      <c r="D196" s="33" t="s">
        <v>944</v>
      </c>
      <c r="T196" s="1085" t="s">
        <v>821</v>
      </c>
      <c r="U196" s="1085"/>
      <c r="AK196" s="1372"/>
      <c r="AL196" s="1372"/>
      <c r="AX196" s="33" t="s">
        <v>945</v>
      </c>
      <c r="BN196" s="197" t="s">
        <v>946</v>
      </c>
      <c r="BT196" t="s">
        <v>947</v>
      </c>
    </row>
    <row r="197" spans="1:73" ht="12.95" customHeight="1">
      <c r="C197" s="814"/>
      <c r="D197" s="33" t="s">
        <v>948</v>
      </c>
      <c r="T197" s="1180" t="s">
        <v>821</v>
      </c>
      <c r="U197" s="1180"/>
      <c r="AX197" s="33" t="s">
        <v>949</v>
      </c>
      <c r="BC197" t="s">
        <v>320</v>
      </c>
      <c r="BN197" s="197" t="s">
        <v>950</v>
      </c>
      <c r="BT197" t="s">
        <v>951</v>
      </c>
    </row>
    <row r="198" spans="1:73" ht="12.95" customHeight="1">
      <c r="C198" s="814"/>
      <c r="D198" s="33" t="s">
        <v>952</v>
      </c>
      <c r="W198" s="1204" t="s">
        <v>712</v>
      </c>
      <c r="X198" s="1180"/>
      <c r="AX198" s="33" t="s">
        <v>953</v>
      </c>
      <c r="BC198" t="s">
        <v>954</v>
      </c>
      <c r="BN198" s="197" t="s">
        <v>955</v>
      </c>
      <c r="BT198" t="s">
        <v>956</v>
      </c>
    </row>
    <row r="199" spans="1:73" ht="12.95" customHeight="1">
      <c r="C199" s="814"/>
      <c r="L199" s="229"/>
      <c r="M199" s="229"/>
      <c r="N199" s="229"/>
      <c r="O199" s="229"/>
      <c r="P199" s="229"/>
      <c r="Q199" s="722" t="s">
        <v>957</v>
      </c>
      <c r="R199" s="1184" t="s">
        <v>958</v>
      </c>
      <c r="S199" s="1184"/>
      <c r="T199" s="1184"/>
      <c r="U199" s="1184"/>
      <c r="V199" s="1184"/>
      <c r="W199" s="1184"/>
      <c r="X199" s="1184"/>
      <c r="Y199" s="1184"/>
      <c r="Z199" s="1184"/>
      <c r="AA199" s="1184"/>
      <c r="AB199" s="1184"/>
      <c r="AH199" s="781"/>
      <c r="AI199" s="781"/>
      <c r="AX199" s="33" t="s">
        <v>959</v>
      </c>
      <c r="BC199" s="33" t="s">
        <v>960</v>
      </c>
      <c r="BN199" s="197" t="s">
        <v>961</v>
      </c>
      <c r="BO199" s="31"/>
      <c r="BP199" s="32"/>
      <c r="BQ199" s="32"/>
      <c r="BR199" s="32"/>
      <c r="BS199" s="32"/>
      <c r="BT199" s="32" t="s">
        <v>962</v>
      </c>
    </row>
    <row r="200" spans="1:73" ht="12.95" customHeight="1">
      <c r="C200" s="814"/>
      <c r="D200" t="s">
        <v>963</v>
      </c>
      <c r="AH200" s="781"/>
      <c r="AI200" s="781"/>
      <c r="AX200" s="33" t="s">
        <v>964</v>
      </c>
      <c r="BC200" s="33" t="s">
        <v>965</v>
      </c>
      <c r="BN200" s="197" t="s">
        <v>966</v>
      </c>
      <c r="BO200" s="18"/>
      <c r="BP200" s="32"/>
      <c r="BQ200" s="32"/>
      <c r="BR200" s="32"/>
      <c r="BS200" s="32"/>
      <c r="BT200" s="32" t="s">
        <v>967</v>
      </c>
    </row>
    <row r="201" spans="1:73" ht="12.95" customHeight="1">
      <c r="C201" s="814"/>
      <c r="G201" s="697" t="s">
        <v>968</v>
      </c>
      <c r="AX201" s="33" t="s">
        <v>969</v>
      </c>
      <c r="BC201" t="s">
        <v>970</v>
      </c>
      <c r="BN201" s="197" t="s">
        <v>971</v>
      </c>
      <c r="BO201" s="18"/>
      <c r="BP201" s="32"/>
      <c r="BQ201" s="32"/>
      <c r="BR201" s="32"/>
      <c r="BS201" s="32"/>
      <c r="BT201" s="32" t="s">
        <v>972</v>
      </c>
    </row>
    <row r="202" spans="1:73" ht="12.95" customHeight="1">
      <c r="A202" s="2" t="s">
        <v>973</v>
      </c>
      <c r="C202" s="2" t="s">
        <v>974</v>
      </c>
      <c r="AX202" s="33" t="s">
        <v>930</v>
      </c>
      <c r="BC202" t="s">
        <v>975</v>
      </c>
      <c r="BN202" s="197" t="s">
        <v>976</v>
      </c>
      <c r="BT202" s="32" t="s">
        <v>977</v>
      </c>
      <c r="BU202" s="18"/>
    </row>
    <row r="203" spans="1:73" ht="12.95" customHeight="1">
      <c r="D203" s="1076" t="str">
        <f>IF(AND(M25&gt;0,M27&gt;0),"Federal and State","Federal Only")</f>
        <v>Federal Only</v>
      </c>
      <c r="E203" s="1076"/>
      <c r="F203" s="1076"/>
      <c r="G203" s="1076"/>
      <c r="H203" s="1076"/>
      <c r="I203" s="1076"/>
      <c r="J203" s="1076"/>
      <c r="K203" s="1076"/>
      <c r="L203" s="1076"/>
      <c r="M203" s="1076"/>
      <c r="P203" s="1309">
        <f>M25</f>
        <v>2376331</v>
      </c>
      <c r="Q203" s="1309"/>
      <c r="R203" s="1309"/>
      <c r="S203" s="1309"/>
      <c r="T203" s="1309"/>
      <c r="U203" s="1309"/>
      <c r="W203" s="1309">
        <f>M27</f>
        <v>0</v>
      </c>
      <c r="X203" s="1309"/>
      <c r="Y203" s="1309"/>
      <c r="Z203" s="1309"/>
      <c r="AA203" s="1309"/>
      <c r="AB203" s="1309"/>
      <c r="AV203" t="s">
        <v>325</v>
      </c>
      <c r="AX203" s="33" t="s">
        <v>924</v>
      </c>
      <c r="BC203" t="s">
        <v>978</v>
      </c>
      <c r="BN203" s="197" t="s">
        <v>979</v>
      </c>
      <c r="BT203" s="32" t="s">
        <v>980</v>
      </c>
      <c r="BU203" s="18"/>
    </row>
    <row r="204" spans="1:73" ht="12.95" customHeight="1">
      <c r="C204" s="814"/>
      <c r="P204" s="1319" t="s">
        <v>981</v>
      </c>
      <c r="Q204" s="1319"/>
      <c r="R204" s="1319"/>
      <c r="S204" s="1319"/>
      <c r="T204" s="1319"/>
      <c r="U204" s="1319"/>
      <c r="V204" s="3"/>
      <c r="W204" s="1319" t="s">
        <v>982</v>
      </c>
      <c r="X204" s="1319"/>
      <c r="Y204" s="1319"/>
      <c r="Z204" s="1319"/>
      <c r="AA204" s="1319"/>
      <c r="AB204" s="1319"/>
      <c r="AV204" t="s">
        <v>712</v>
      </c>
      <c r="AX204" s="33" t="s">
        <v>983</v>
      </c>
      <c r="BC204" t="s">
        <v>984</v>
      </c>
      <c r="BN204" s="197" t="s">
        <v>985</v>
      </c>
      <c r="BT204" s="32" t="s">
        <v>986</v>
      </c>
      <c r="BU204" s="18"/>
    </row>
    <row r="205" spans="1:73" ht="12.95" customHeight="1" thickBot="1">
      <c r="D205" s="336" t="s">
        <v>987</v>
      </c>
      <c r="E205" s="29"/>
      <c r="F205" s="29"/>
      <c r="G205" s="29"/>
      <c r="H205" s="29"/>
      <c r="I205" s="29"/>
      <c r="J205" s="29"/>
      <c r="K205" s="29"/>
      <c r="L205" s="29"/>
      <c r="M205" s="29"/>
      <c r="N205" s="29"/>
      <c r="O205" s="29"/>
      <c r="P205" s="29"/>
      <c r="AV205" t="s">
        <v>821</v>
      </c>
      <c r="BC205" t="s">
        <v>988</v>
      </c>
      <c r="BN205" s="197" t="s">
        <v>989</v>
      </c>
      <c r="BT205" s="32" t="s">
        <v>990</v>
      </c>
    </row>
    <row r="206" spans="1:73" ht="12.95" customHeight="1">
      <c r="X206" s="620"/>
      <c r="Y206" s="621"/>
      <c r="Z206" s="621"/>
      <c r="AA206" s="621"/>
      <c r="AB206" s="621"/>
      <c r="AC206" s="621"/>
      <c r="AD206" s="621"/>
      <c r="AE206" s="621"/>
      <c r="AF206" s="621"/>
      <c r="AG206" s="621"/>
      <c r="AH206" s="621"/>
      <c r="AI206" s="621"/>
      <c r="AJ206" s="621"/>
      <c r="AK206" s="622"/>
      <c r="AX206" t="s">
        <v>320</v>
      </c>
      <c r="BC206" s="131" t="s">
        <v>991</v>
      </c>
      <c r="BN206" s="197" t="s">
        <v>992</v>
      </c>
      <c r="BT206" s="32" t="s">
        <v>993</v>
      </c>
    </row>
    <row r="207" spans="1:73" ht="12.95" customHeight="1">
      <c r="A207" s="2" t="s">
        <v>994</v>
      </c>
      <c r="C207" s="2" t="s">
        <v>995</v>
      </c>
      <c r="X207" s="623"/>
      <c r="Y207" s="714"/>
      <c r="Z207" s="624"/>
      <c r="AA207" s="624"/>
      <c r="AB207" s="624"/>
      <c r="AC207" s="624"/>
      <c r="AD207" s="624"/>
      <c r="AE207" s="624"/>
      <c r="AF207" s="624"/>
      <c r="AG207" s="624"/>
      <c r="AH207" s="624"/>
      <c r="AI207" s="624"/>
      <c r="AJ207" s="624"/>
      <c r="AK207" s="625"/>
      <c r="AX207" t="s">
        <v>996</v>
      </c>
      <c r="BC207" t="s">
        <v>997</v>
      </c>
      <c r="BN207" s="197" t="s">
        <v>998</v>
      </c>
      <c r="BT207" s="32" t="s">
        <v>999</v>
      </c>
    </row>
    <row r="208" spans="1:73" ht="12.95" customHeight="1">
      <c r="C208" s="814"/>
      <c r="D208" s="1184" t="s">
        <v>1000</v>
      </c>
      <c r="E208" s="1184"/>
      <c r="F208" s="1184"/>
      <c r="G208" s="1184"/>
      <c r="H208" s="1184"/>
      <c r="I208" s="1184"/>
      <c r="J208" s="1184"/>
      <c r="K208" s="1184"/>
      <c r="L208" s="1184"/>
      <c r="M208" s="1184"/>
      <c r="X208" s="623"/>
      <c r="Y208" s="715"/>
      <c r="Z208" s="624"/>
      <c r="AA208" s="624"/>
      <c r="AB208" s="624"/>
      <c r="AC208" s="624"/>
      <c r="AD208" s="624"/>
      <c r="AE208" s="624"/>
      <c r="AF208" s="624"/>
      <c r="AG208" s="624"/>
      <c r="AH208" s="624"/>
      <c r="AI208" s="624"/>
      <c r="AJ208" s="624"/>
      <c r="AK208" s="625"/>
      <c r="AX208" t="s">
        <v>1001</v>
      </c>
      <c r="BC208" t="s">
        <v>1002</v>
      </c>
      <c r="BN208" s="197" t="s">
        <v>1003</v>
      </c>
      <c r="BT208" s="32" t="s">
        <v>1004</v>
      </c>
    </row>
    <row r="209" spans="1:72" ht="12.95" customHeight="1">
      <c r="C209" s="11"/>
      <c r="X209" s="623"/>
      <c r="Y209" s="715"/>
      <c r="Z209" s="624"/>
      <c r="AA209" s="624"/>
      <c r="AB209" s="624"/>
      <c r="AC209" s="624"/>
      <c r="AD209" s="624"/>
      <c r="AE209" s="624"/>
      <c r="AF209" s="624"/>
      <c r="AG209" s="624"/>
      <c r="AH209" s="624"/>
      <c r="AI209" s="624"/>
      <c r="AJ209" s="624"/>
      <c r="AK209" s="625"/>
      <c r="AX209" t="s">
        <v>1005</v>
      </c>
      <c r="BC209" t="s">
        <v>1006</v>
      </c>
      <c r="BN209" s="197" t="s">
        <v>1007</v>
      </c>
      <c r="BT209" s="32" t="s">
        <v>1008</v>
      </c>
    </row>
    <row r="210" spans="1:72" ht="12.95" customHeight="1">
      <c r="A210" s="2" t="s">
        <v>1009</v>
      </c>
      <c r="C210" s="2" t="s">
        <v>1010</v>
      </c>
      <c r="X210" s="623"/>
      <c r="Y210" s="715"/>
      <c r="Z210" s="624"/>
      <c r="AA210" s="624"/>
      <c r="AB210" s="624"/>
      <c r="AC210" s="624"/>
      <c r="AD210" s="624"/>
      <c r="AE210" s="624"/>
      <c r="AF210" s="624"/>
      <c r="AG210" s="624"/>
      <c r="AH210" s="624"/>
      <c r="AI210" s="624"/>
      <c r="AJ210" s="624"/>
      <c r="AK210" s="625"/>
      <c r="AX210" t="s">
        <v>1011</v>
      </c>
      <c r="BN210" s="197" t="s">
        <v>1012</v>
      </c>
      <c r="BT210" s="32" t="s">
        <v>1013</v>
      </c>
    </row>
    <row r="211" spans="1:72" ht="12.95" customHeight="1">
      <c r="C211" s="814"/>
      <c r="D211" s="1184" t="s">
        <v>941</v>
      </c>
      <c r="E211" s="1184"/>
      <c r="F211" s="1184"/>
      <c r="G211" s="1184"/>
      <c r="H211" s="1184"/>
      <c r="I211" s="1184"/>
      <c r="J211" s="1184"/>
      <c r="K211" s="1184"/>
      <c r="L211" s="1184"/>
      <c r="M211" s="1184"/>
      <c r="N211" s="1184"/>
      <c r="O211" s="1184"/>
      <c r="P211" s="1184"/>
      <c r="X211" s="623"/>
      <c r="Y211" s="1371" t="s">
        <v>821</v>
      </c>
      <c r="Z211" s="1371"/>
      <c r="AA211" s="624"/>
      <c r="AB211" s="624"/>
      <c r="AC211" s="624"/>
      <c r="AD211" s="624"/>
      <c r="AE211" s="624"/>
      <c r="AF211" s="624"/>
      <c r="AG211" s="624"/>
      <c r="AH211" s="624"/>
      <c r="AI211" s="624"/>
      <c r="AJ211" s="624"/>
      <c r="AK211" s="625"/>
      <c r="AX211" t="s">
        <v>958</v>
      </c>
      <c r="BN211" s="197" t="s">
        <v>1014</v>
      </c>
      <c r="BT211" s="32" t="s">
        <v>1015</v>
      </c>
    </row>
    <row r="212" spans="1:72" ht="12.95" customHeight="1" thickBot="1">
      <c r="X212" s="628"/>
      <c r="Y212" s="626"/>
      <c r="Z212" s="626"/>
      <c r="AA212" s="626"/>
      <c r="AB212" s="626"/>
      <c r="AC212" s="626"/>
      <c r="AD212" s="626"/>
      <c r="AE212" s="626"/>
      <c r="AF212" s="626"/>
      <c r="AG212" s="626"/>
      <c r="AH212" s="626"/>
      <c r="AI212" s="626"/>
      <c r="AJ212" s="626"/>
      <c r="AK212" s="627"/>
      <c r="AX212" t="s">
        <v>1016</v>
      </c>
      <c r="BC212" t="s">
        <v>320</v>
      </c>
      <c r="BN212" s="197" t="s">
        <v>1017</v>
      </c>
      <c r="BT212" s="32" t="s">
        <v>1018</v>
      </c>
    </row>
    <row r="213" spans="1:72" ht="12.95" customHeight="1">
      <c r="A213" s="2" t="s">
        <v>1019</v>
      </c>
      <c r="C213" s="2" t="s">
        <v>1020</v>
      </c>
      <c r="AX213" s="33" t="s">
        <v>1021</v>
      </c>
      <c r="BC213" t="s">
        <v>1022</v>
      </c>
      <c r="BN213" s="197" t="s">
        <v>1023</v>
      </c>
      <c r="BT213" s="32" t="s">
        <v>1024</v>
      </c>
    </row>
    <row r="214" spans="1:72" ht="12.95" customHeight="1">
      <c r="C214" s="814"/>
      <c r="D214" s="1184" t="s">
        <v>916</v>
      </c>
      <c r="E214" s="1184"/>
      <c r="F214" s="1184"/>
      <c r="G214" s="1184"/>
      <c r="H214" s="1184"/>
      <c r="I214" s="1184"/>
      <c r="J214" s="1184"/>
      <c r="K214" s="1184"/>
      <c r="L214" s="1184"/>
      <c r="M214" s="1184"/>
      <c r="N214" s="1184"/>
      <c r="O214" s="1184"/>
      <c r="P214" s="1184"/>
      <c r="Q214" s="1184"/>
      <c r="R214" s="1184"/>
      <c r="S214" s="1184"/>
      <c r="T214" s="1184"/>
      <c r="U214" s="1184"/>
      <c r="V214" s="1184"/>
      <c r="W214" s="1184"/>
      <c r="X214" s="1184"/>
      <c r="Y214" s="1184"/>
      <c r="Z214" s="1184"/>
      <c r="BC214" t="s">
        <v>1025</v>
      </c>
      <c r="BN214" s="197" t="s">
        <v>1026</v>
      </c>
      <c r="BT214" s="32" t="s">
        <v>1027</v>
      </c>
    </row>
    <row r="215" spans="1:72" ht="12.95" customHeight="1">
      <c r="D215" s="28"/>
      <c r="E215" s="33" t="s">
        <v>1028</v>
      </c>
      <c r="AC215" s="1374"/>
      <c r="AD215" s="1374"/>
      <c r="AF215" s="1325">
        <f>IFERROR(AC215/AG433,"")</f>
        <v>0</v>
      </c>
      <c r="AG215" s="1325"/>
      <c r="BC215" t="s">
        <v>1029</v>
      </c>
    </row>
    <row r="216" spans="1:72" ht="12.95" customHeight="1">
      <c r="D216" s="28"/>
      <c r="E216" s="737" t="s">
        <v>1030</v>
      </c>
      <c r="BC216" t="s">
        <v>1031</v>
      </c>
    </row>
    <row r="217" spans="1:72" ht="12.95" customHeight="1">
      <c r="E217" s="1317" t="s">
        <v>325</v>
      </c>
      <c r="F217" s="1317"/>
      <c r="G217" s="1317"/>
      <c r="H217" s="1317"/>
      <c r="I217" s="1317"/>
      <c r="J217" s="1317"/>
      <c r="K217" s="1317"/>
      <c r="L217" s="1317"/>
      <c r="M217" s="1317"/>
      <c r="N217" s="1317"/>
      <c r="O217" s="1317"/>
      <c r="P217" s="1317"/>
      <c r="Q217" s="1317"/>
      <c r="R217" s="1317"/>
      <c r="S217" s="1317"/>
      <c r="T217" s="1317"/>
      <c r="U217" s="1317"/>
      <c r="V217" s="1317"/>
      <c r="W217" s="1317"/>
      <c r="X217" s="1317"/>
      <c r="Y217" s="1317"/>
      <c r="Z217" s="1317"/>
      <c r="AA217" s="812"/>
      <c r="AB217" s="812"/>
      <c r="AC217" s="812"/>
      <c r="AD217" s="812"/>
      <c r="AE217" s="812"/>
      <c r="AF217" s="812"/>
      <c r="BC217" t="s">
        <v>1032</v>
      </c>
    </row>
    <row r="218" spans="1:72" ht="12.95" customHeight="1">
      <c r="E218" s="33" t="s">
        <v>1033</v>
      </c>
      <c r="AA218" s="812"/>
      <c r="AC218" s="1293"/>
      <c r="AD218" s="1293"/>
      <c r="AE218" s="1293"/>
      <c r="AF218" s="1293"/>
      <c r="AG218" s="1293"/>
      <c r="AH218" s="1293"/>
      <c r="AI218" s="1293"/>
      <c r="AJ218" s="1293"/>
      <c r="AK218" s="1293"/>
      <c r="AL218" s="1293"/>
      <c r="AM218" s="1293"/>
      <c r="BC218" t="s">
        <v>1034</v>
      </c>
      <c r="BI218" s="31"/>
    </row>
    <row r="219" spans="1:72" ht="12.95" customHeight="1">
      <c r="E219" s="33" t="s">
        <v>1035</v>
      </c>
      <c r="AA219" s="812"/>
      <c r="AC219" s="1293"/>
      <c r="AD219" s="1293"/>
      <c r="AE219" s="1293"/>
      <c r="AF219" s="1293"/>
      <c r="AG219" s="1293"/>
      <c r="AH219" s="1293"/>
      <c r="AI219" s="1293"/>
      <c r="AJ219" s="1293"/>
      <c r="AK219" s="1293"/>
      <c r="AL219" s="1293"/>
      <c r="AM219" s="1293"/>
      <c r="BC219" t="s">
        <v>1036</v>
      </c>
      <c r="BI219" s="18"/>
    </row>
    <row r="220" spans="1:72" s="18"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3"/>
      <c r="AK220"/>
      <c r="AL220"/>
      <c r="AM220" s="30"/>
      <c r="AN220" s="30"/>
      <c r="BC220" t="s">
        <v>228</v>
      </c>
      <c r="BD220"/>
    </row>
    <row r="221" spans="1:72" s="18" customFormat="1" ht="12.95" customHeight="1">
      <c r="A221" s="2" t="s">
        <v>1037</v>
      </c>
      <c r="C221" s="2" t="s">
        <v>1038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0"/>
      <c r="AN221" s="30"/>
      <c r="BI221"/>
    </row>
    <row r="222" spans="1:72" s="18" customFormat="1" ht="12.95" customHeight="1">
      <c r="B222"/>
      <c r="C222"/>
      <c r="D222" t="s">
        <v>1039</v>
      </c>
      <c r="E222"/>
      <c r="F222"/>
      <c r="G222"/>
      <c r="H222"/>
      <c r="I222"/>
      <c r="J222"/>
      <c r="K222"/>
      <c r="L222"/>
      <c r="M222"/>
      <c r="N222"/>
      <c r="O222"/>
      <c r="P222"/>
      <c r="Q222"/>
      <c r="R222"/>
      <c r="S222"/>
      <c r="T222"/>
      <c r="U222"/>
      <c r="V222"/>
      <c r="W222"/>
      <c r="X222"/>
      <c r="Y222"/>
      <c r="Z222"/>
      <c r="AA222"/>
      <c r="AB222"/>
      <c r="AC222"/>
      <c r="AD222"/>
      <c r="AE222"/>
      <c r="AF222"/>
      <c r="AG222"/>
      <c r="AH222"/>
      <c r="AI222"/>
      <c r="AM222" s="30"/>
      <c r="AN222" s="30"/>
      <c r="BI222"/>
    </row>
    <row r="223" spans="1:72" ht="12.95" customHeight="1">
      <c r="A223" s="18"/>
      <c r="D223" s="1184" t="s">
        <v>978</v>
      </c>
      <c r="E223" s="1184"/>
      <c r="F223" s="1184"/>
      <c r="G223" s="1184"/>
      <c r="H223" s="1184"/>
      <c r="I223" s="1184"/>
      <c r="J223" s="1184"/>
      <c r="K223" s="1184"/>
      <c r="L223" s="1184"/>
      <c r="M223" s="1184"/>
      <c r="N223" s="1184"/>
      <c r="O223" s="1184"/>
      <c r="P223" s="1184"/>
      <c r="Q223" s="1184"/>
      <c r="R223" s="1184"/>
      <c r="S223" s="1184"/>
      <c r="T223" s="1184"/>
      <c r="U223" s="1184"/>
      <c r="V223" s="1184"/>
      <c r="W223" s="1184"/>
      <c r="X223" s="1184"/>
      <c r="Y223" s="1184"/>
      <c r="Z223" s="1184"/>
      <c r="AA223" s="1184"/>
      <c r="AB223" s="1184"/>
      <c r="AC223" s="1184"/>
      <c r="AD223" s="1184"/>
      <c r="AE223" s="1184"/>
      <c r="AF223" s="1184"/>
      <c r="AG223" s="1184"/>
      <c r="AH223" s="1184"/>
      <c r="AI223" s="1184"/>
      <c r="AJ223" s="18"/>
      <c r="AK223" s="18"/>
      <c r="AL223" s="18"/>
    </row>
    <row r="224" spans="1:72" ht="12.95" customHeight="1">
      <c r="AJ224" s="33"/>
    </row>
    <row r="225" spans="1:59" ht="12.95" customHeight="1">
      <c r="D225" t="s">
        <v>1040</v>
      </c>
      <c r="O225" s="1180">
        <v>8</v>
      </c>
      <c r="P225" s="1180"/>
    </row>
    <row r="226" spans="1:59" ht="12.95" customHeight="1">
      <c r="D226" t="s">
        <v>1041</v>
      </c>
      <c r="O226" s="1180">
        <v>14</v>
      </c>
      <c r="P226" s="1180"/>
      <c r="BB226" s="33" t="s">
        <v>1042</v>
      </c>
      <c r="BG226" s="301">
        <f>IF(AND(AND($M$251="for profit",$M$259="for profit",$M$267="nonprofit")),2,0)</f>
        <v>0</v>
      </c>
    </row>
    <row r="227" spans="1:59" ht="12.95" customHeight="1">
      <c r="D227" t="s">
        <v>1043</v>
      </c>
      <c r="O227" s="1180">
        <v>9</v>
      </c>
      <c r="P227" s="1180"/>
      <c r="BB227" s="33" t="s">
        <v>1042</v>
      </c>
      <c r="BG227" s="301">
        <f>IF(AND(AND($M$251="for profit",$M$259="nonprofit",$M$267="for profit")),2,0)</f>
        <v>0</v>
      </c>
    </row>
    <row r="228" spans="1:59" ht="12.95" customHeight="1">
      <c r="D228" t="s">
        <v>963</v>
      </c>
      <c r="BB228" t="s">
        <v>1042</v>
      </c>
      <c r="BG228" s="301">
        <f>IF(AND(AND($M$251="nonprofit",$M$259="for profit",$M$267="for profit")),2,0)</f>
        <v>0</v>
      </c>
    </row>
    <row r="229" spans="1:59" ht="12.95" customHeight="1">
      <c r="D229" s="259" t="s">
        <v>1044</v>
      </c>
      <c r="U229" s="259" t="s">
        <v>1045</v>
      </c>
      <c r="BB229" t="s">
        <v>1042</v>
      </c>
      <c r="BG229" s="301">
        <f>IF(AND(AND($M$251="for profit",$M$259="nonprofit",$M$267="(select one)")),2,0)</f>
        <v>0</v>
      </c>
    </row>
    <row r="230" spans="1:59" ht="12.95" customHeight="1">
      <c r="BB230" t="s">
        <v>1042</v>
      </c>
      <c r="BG230" s="302">
        <f>IF(AND(AND($M$251="nonprofit",$M$259="for profit",$M$267="(select one)")),2,0)</f>
        <v>0</v>
      </c>
    </row>
    <row r="231" spans="1:59" ht="12.95" customHeight="1">
      <c r="A231" s="1320" t="s">
        <v>1046</v>
      </c>
      <c r="B231" s="1320"/>
      <c r="C231" s="1320"/>
      <c r="D231" s="1320"/>
      <c r="E231" s="1320"/>
      <c r="F231" s="1320"/>
      <c r="G231" s="1320"/>
      <c r="H231" s="1320"/>
      <c r="I231" s="1320"/>
      <c r="J231" s="1320"/>
      <c r="K231" s="1320"/>
      <c r="L231" s="1320"/>
      <c r="M231" s="1320"/>
      <c r="N231" s="1320"/>
      <c r="O231" s="1320"/>
      <c r="P231" s="1320"/>
      <c r="Q231" s="1320"/>
      <c r="R231" s="1320"/>
      <c r="S231" s="1320"/>
      <c r="T231" s="1320"/>
      <c r="U231" s="1320"/>
      <c r="V231" s="1320"/>
      <c r="W231" s="1320"/>
      <c r="X231" s="1320"/>
      <c r="Y231" s="1320"/>
      <c r="Z231" s="1320"/>
      <c r="AA231" s="1320"/>
      <c r="AB231" s="1320"/>
      <c r="AC231" s="1320"/>
      <c r="AD231" s="1320"/>
      <c r="AE231" s="1320"/>
      <c r="AF231" s="1320"/>
      <c r="AG231" s="1320"/>
      <c r="AH231" s="1320"/>
      <c r="AI231" s="1320"/>
      <c r="AJ231" s="1320"/>
      <c r="AK231" s="1320"/>
      <c r="AL231" s="1320"/>
    </row>
    <row r="232" spans="1:59" ht="12.95" customHeight="1" thickBot="1">
      <c r="A232" s="1321"/>
      <c r="B232" s="1321"/>
      <c r="C232" s="1321"/>
      <c r="D232" s="1321"/>
      <c r="E232" s="1321"/>
      <c r="F232" s="1321"/>
      <c r="G232" s="1321"/>
      <c r="H232" s="1321"/>
      <c r="I232" s="1321"/>
      <c r="J232" s="1321"/>
      <c r="K232" s="1321"/>
      <c r="L232" s="1321"/>
      <c r="M232" s="1321"/>
      <c r="N232" s="1321"/>
      <c r="O232" s="1321"/>
      <c r="P232" s="1321"/>
      <c r="Q232" s="1321"/>
      <c r="R232" s="1321"/>
      <c r="S232" s="1321"/>
      <c r="T232" s="1321"/>
      <c r="U232" s="1321"/>
      <c r="V232" s="1321"/>
      <c r="W232" s="1321"/>
      <c r="X232" s="1321"/>
      <c r="Y232" s="1321"/>
      <c r="Z232" s="1321"/>
      <c r="AA232" s="1321"/>
      <c r="AB232" s="1321"/>
      <c r="AC232" s="1321"/>
      <c r="AD232" s="1321"/>
      <c r="AE232" s="1321"/>
      <c r="AF232" s="1321"/>
      <c r="AG232" s="1321"/>
      <c r="AH232" s="1321"/>
      <c r="AI232" s="1321"/>
      <c r="AJ232" s="1321"/>
      <c r="AK232" s="1321"/>
      <c r="AL232" s="1321"/>
      <c r="BB232" s="2" t="s">
        <v>1042</v>
      </c>
      <c r="BC232" s="2"/>
      <c r="BD232" s="2"/>
      <c r="BE232" s="2"/>
      <c r="BF232" s="2"/>
      <c r="BG232" s="301">
        <f>IF(AND(AND($M$251="nonprofit",$M$259="nonprofit",$M$267="for profit")),2,0)</f>
        <v>0</v>
      </c>
    </row>
    <row r="233" spans="1:59" ht="12.95" customHeight="1" thickTop="1">
      <c r="B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L233" s="33"/>
      <c r="BB233" s="2" t="s">
        <v>1042</v>
      </c>
      <c r="BC233" s="2"/>
      <c r="BD233" s="2"/>
      <c r="BE233" s="2"/>
      <c r="BF233" s="2"/>
      <c r="BG233" s="301">
        <f>IF(AND(AND($M$251="nonprofit",$M$259="for profit",$M$267="nonprofit")),2,0)</f>
        <v>0</v>
      </c>
    </row>
    <row r="234" spans="1:59" ht="12.95" customHeight="1">
      <c r="A234" s="2" t="s">
        <v>854</v>
      </c>
      <c r="B234" s="33"/>
      <c r="C234" s="2" t="s">
        <v>123</v>
      </c>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L234" s="33"/>
      <c r="BB234" s="2" t="s">
        <v>1042</v>
      </c>
      <c r="BC234" s="2"/>
      <c r="BD234" s="2"/>
      <c r="BE234" s="2"/>
      <c r="BF234" s="2"/>
      <c r="BG234" s="302">
        <f>IF(AND(AND($M$251="for profit",$M$259="nonprofit",$M$267="nonprofit")),2,0)</f>
        <v>0</v>
      </c>
    </row>
    <row r="235" spans="1:59" ht="12.95" customHeight="1">
      <c r="D235" s="33" t="s">
        <v>1047</v>
      </c>
      <c r="E235" s="33"/>
      <c r="F235" s="33"/>
      <c r="G235" s="33"/>
      <c r="H235" s="33"/>
      <c r="I235" s="33"/>
      <c r="J235" s="33"/>
      <c r="K235" s="33"/>
      <c r="M235" s="1064" t="str">
        <f>H15</f>
        <v xml:space="preserve">Eden Housing, Inc. &amp; Community Housing Development Corporation of North Richmond </v>
      </c>
      <c r="N235" s="1064"/>
      <c r="O235" s="1064"/>
      <c r="P235" s="1064"/>
      <c r="Q235" s="1064"/>
      <c r="R235" s="1064"/>
      <c r="S235" s="1064"/>
      <c r="T235" s="1064"/>
      <c r="U235" s="1064"/>
      <c r="V235" s="1064"/>
      <c r="W235" s="1064"/>
      <c r="X235" s="1064"/>
      <c r="Y235" s="1064"/>
      <c r="Z235" s="1064"/>
      <c r="AA235" s="1064"/>
      <c r="AB235" s="1064"/>
      <c r="AC235" s="1064"/>
      <c r="AD235" s="1064"/>
      <c r="AE235" s="1064"/>
      <c r="AF235" s="1064"/>
      <c r="AG235" s="1064"/>
      <c r="AH235" s="1064"/>
      <c r="AI235" s="1064"/>
      <c r="AJ235" s="1064"/>
      <c r="AK235" s="1064"/>
      <c r="BB235" s="2"/>
      <c r="BG235" s="33"/>
    </row>
    <row r="236" spans="1:59" ht="12.95" customHeight="1">
      <c r="D236" s="33" t="s">
        <v>1048</v>
      </c>
      <c r="E236" s="33"/>
      <c r="F236" s="33"/>
      <c r="G236" s="33"/>
      <c r="H236" s="33"/>
      <c r="I236" s="33"/>
      <c r="J236" s="33"/>
      <c r="K236" s="33"/>
      <c r="M236" s="1184" t="s">
        <v>1049</v>
      </c>
      <c r="N236" s="1184"/>
      <c r="O236" s="1184"/>
      <c r="P236" s="1184"/>
      <c r="Q236" s="1184"/>
      <c r="R236" s="1184"/>
      <c r="S236" s="1184"/>
      <c r="T236" s="1184"/>
      <c r="U236" s="1184"/>
      <c r="V236" s="1184"/>
      <c r="W236" s="1184"/>
      <c r="X236" s="1184"/>
      <c r="Y236" s="1184"/>
      <c r="Z236" s="1184"/>
      <c r="AA236" s="1184"/>
      <c r="AB236" s="1184"/>
      <c r="AC236" s="1184"/>
      <c r="AD236" s="1184"/>
      <c r="AE236" s="1184"/>
      <c r="AM236" s="33"/>
      <c r="AN236" s="33"/>
      <c r="BB236" t="s">
        <v>1050</v>
      </c>
      <c r="BG236" s="301">
        <f>IF(AND(AND($M$251="nonprofit",$M$259="nonprofit",$M$267="nonprofit")),1,0)</f>
        <v>0</v>
      </c>
    </row>
    <row r="237" spans="1:59" ht="12.95" customHeight="1">
      <c r="D237" s="33" t="s">
        <v>908</v>
      </c>
      <c r="E237" s="33"/>
      <c r="M237" s="1184" t="s">
        <v>1051</v>
      </c>
      <c r="N237" s="1184"/>
      <c r="O237" s="1184"/>
      <c r="P237" s="1184"/>
      <c r="Q237" s="1184"/>
      <c r="R237" s="1184"/>
      <c r="S237" s="1184"/>
      <c r="T237" s="1184"/>
      <c r="V237" s="722" t="s">
        <v>1052</v>
      </c>
      <c r="W237" s="1179" t="s">
        <v>1053</v>
      </c>
      <c r="X237" s="1179"/>
      <c r="Y237" s="33" t="s">
        <v>913</v>
      </c>
      <c r="AC237" s="1184">
        <v>94541</v>
      </c>
      <c r="AD237" s="1184"/>
      <c r="AE237" s="1184"/>
      <c r="AN237" s="33"/>
      <c r="BB237" t="s">
        <v>1050</v>
      </c>
      <c r="BG237" s="301">
        <f>IF(AND(AND($M$251="nonprofit",$M$259="nonprofit",$M$267="(select one)")),1,0)</f>
        <v>0</v>
      </c>
    </row>
    <row r="238" spans="1:59" ht="12.95" customHeight="1">
      <c r="D238" s="33" t="s">
        <v>1054</v>
      </c>
      <c r="E238" s="33"/>
      <c r="F238" s="33"/>
      <c r="G238" s="33"/>
      <c r="H238" s="33"/>
      <c r="I238" s="33"/>
      <c r="J238" s="33"/>
      <c r="K238" s="859"/>
      <c r="M238" s="1184" t="s">
        <v>1055</v>
      </c>
      <c r="N238" s="1184"/>
      <c r="O238" s="1184"/>
      <c r="P238" s="1184"/>
      <c r="Q238" s="1184"/>
      <c r="R238" s="1184"/>
      <c r="S238" s="1184"/>
      <c r="T238" s="1184"/>
      <c r="U238" s="1184"/>
      <c r="V238" s="1184"/>
      <c r="W238" s="1184"/>
      <c r="X238" s="1184"/>
      <c r="Y238" s="1184"/>
      <c r="Z238" s="1184"/>
      <c r="AA238" s="1184"/>
      <c r="AB238" s="1184"/>
      <c r="AC238" s="1184"/>
      <c r="AD238" s="1184"/>
      <c r="AE238" s="1184"/>
      <c r="AI238" s="33"/>
      <c r="AJ238" s="33"/>
      <c r="AK238" s="33"/>
      <c r="AL238" s="33"/>
      <c r="AN238" s="33"/>
      <c r="BB238" t="s">
        <v>1050</v>
      </c>
      <c r="BG238" s="301">
        <f>IF(AND(AND($M$251="nonprofit",$M$259="(select one)",$M$267="(select one)")),1,0)</f>
        <v>1</v>
      </c>
    </row>
    <row r="239" spans="1:59" ht="12.95" customHeight="1">
      <c r="D239" s="33" t="s">
        <v>1056</v>
      </c>
      <c r="E239" s="33"/>
      <c r="F239" s="33"/>
      <c r="M239" s="1182" t="s">
        <v>1057</v>
      </c>
      <c r="N239" s="1182"/>
      <c r="O239" s="1182"/>
      <c r="P239" s="1182"/>
      <c r="Q239" s="1182"/>
      <c r="R239" s="1182"/>
      <c r="S239" s="33" t="s">
        <v>1058</v>
      </c>
      <c r="T239" s="33"/>
      <c r="U239" s="1179"/>
      <c r="V239" s="1179"/>
      <c r="W239" s="1179"/>
      <c r="X239" s="33" t="s">
        <v>1059</v>
      </c>
      <c r="Z239" s="1182"/>
      <c r="AA239" s="1182"/>
      <c r="AB239" s="1182"/>
      <c r="AC239" s="1182"/>
      <c r="AD239" s="1182"/>
      <c r="AE239" s="1182"/>
      <c r="AM239" s="33"/>
      <c r="AN239" s="33"/>
      <c r="BB239" t="s">
        <v>1060</v>
      </c>
      <c r="BG239" s="301">
        <f>IF(AND(AND($M$251="for profit",$M$259="for profit",$M$267="for profit")),3,0)</f>
        <v>0</v>
      </c>
    </row>
    <row r="240" spans="1:59" ht="12.95" customHeight="1">
      <c r="D240" s="33" t="s">
        <v>1061</v>
      </c>
      <c r="E240" s="33"/>
      <c r="F240" s="33"/>
      <c r="M240" s="1361" t="s">
        <v>1062</v>
      </c>
      <c r="N240" s="1361"/>
      <c r="O240" s="1361"/>
      <c r="P240" s="1361"/>
      <c r="Q240" s="1361"/>
      <c r="R240" s="1361"/>
      <c r="S240" s="1361"/>
      <c r="T240" s="1361"/>
      <c r="U240" s="1361"/>
      <c r="V240" s="1361"/>
      <c r="W240" s="1361"/>
      <c r="X240" s="1361"/>
      <c r="Y240" s="1361"/>
      <c r="Z240" s="1361"/>
      <c r="AA240" s="1361"/>
      <c r="AB240" s="1361"/>
      <c r="AC240" s="1361"/>
      <c r="AD240" s="1361"/>
      <c r="AE240" s="1361"/>
      <c r="AF240" s="33"/>
      <c r="AG240" s="33"/>
      <c r="AH240" s="33"/>
      <c r="AI240" s="33"/>
      <c r="AJ240" s="33"/>
      <c r="AK240" s="33"/>
      <c r="AL240" s="33"/>
      <c r="AN240" s="33"/>
      <c r="AO240" s="33"/>
      <c r="BB240" t="s">
        <v>1060</v>
      </c>
      <c r="BG240" s="302">
        <f>IF(AND(AND($M$251="for profit",$M$259="for profit",$M$267="(select one)")),3,0)</f>
        <v>0</v>
      </c>
    </row>
    <row r="241" spans="1:67" ht="12.95" customHeight="1">
      <c r="A241" s="2" t="s">
        <v>889</v>
      </c>
      <c r="C241" s="2" t="s">
        <v>1063</v>
      </c>
      <c r="M241" s="1183" t="s">
        <v>1036</v>
      </c>
      <c r="N241" s="1183"/>
      <c r="O241" s="1183"/>
      <c r="P241" s="1183"/>
      <c r="Q241" s="1183"/>
      <c r="R241" s="1183"/>
      <c r="S241" s="1183"/>
      <c r="T241" s="1183"/>
      <c r="U241" s="33" t="s">
        <v>1064</v>
      </c>
      <c r="AA241" s="1316"/>
      <c r="AB241" s="1316"/>
      <c r="AC241" s="1316"/>
      <c r="AD241" s="1316"/>
      <c r="AE241" s="1316"/>
      <c r="AF241" s="1316"/>
      <c r="AG241" s="1316"/>
      <c r="AH241" s="1316"/>
      <c r="AI241" s="1316"/>
      <c r="AJ241" s="1316"/>
      <c r="AK241" s="1316"/>
      <c r="AL241" s="33"/>
      <c r="AM241" s="33"/>
      <c r="AN241" s="33"/>
      <c r="AO241" s="33"/>
      <c r="BB241" t="s">
        <v>1060</v>
      </c>
      <c r="BG241" s="302">
        <f>IF(AND(AND($M$251="for profit",$M$259="(select one)",$M$267="(select one)")),3,0)</f>
        <v>0</v>
      </c>
    </row>
    <row r="242" spans="1:67" ht="12.95" customHeight="1">
      <c r="D242" t="s">
        <v>1065</v>
      </c>
      <c r="M242" s="1184"/>
      <c r="N242" s="1181"/>
      <c r="O242" s="1181"/>
      <c r="P242" s="1181"/>
      <c r="Q242" s="1181"/>
      <c r="R242" s="1181"/>
      <c r="S242" s="1181"/>
      <c r="T242" s="1181"/>
      <c r="U242" s="1181"/>
      <c r="V242" s="1181"/>
      <c r="W242" s="1181"/>
      <c r="X242" s="1181"/>
      <c r="Y242" s="1181"/>
      <c r="Z242" s="1181"/>
      <c r="AA242" s="1181"/>
      <c r="AB242" s="1181"/>
      <c r="AC242" s="1181"/>
      <c r="AD242" s="1181"/>
      <c r="AE242" s="1181"/>
      <c r="AF242" s="738" t="str">
        <f>IF(AND(M241="other",M242=""),"!","")</f>
        <v/>
      </c>
      <c r="AG242" s="738"/>
      <c r="AH242" s="33"/>
      <c r="AI242" s="33"/>
      <c r="AJ242" s="33"/>
      <c r="AK242" s="33"/>
      <c r="AL242" s="33"/>
    </row>
    <row r="243" spans="1:67" ht="12.95" customHeight="1">
      <c r="D243" s="33"/>
      <c r="AM243" s="33"/>
    </row>
    <row r="244" spans="1:67" ht="12.95" customHeight="1">
      <c r="A244" s="2" t="s">
        <v>973</v>
      </c>
      <c r="C244" s="2" t="s">
        <v>128</v>
      </c>
      <c r="D244" s="33"/>
      <c r="L244" s="11"/>
      <c r="M244" s="11"/>
      <c r="N244" s="11"/>
      <c r="AN244" s="33"/>
      <c r="BB244" t="s">
        <v>320</v>
      </c>
      <c r="BH244">
        <v>1</v>
      </c>
      <c r="BI244" t="s">
        <v>1066</v>
      </c>
    </row>
    <row r="245" spans="1:67" ht="12.95" customHeight="1">
      <c r="A245" s="859"/>
      <c r="C245" s="836" t="s">
        <v>1067</v>
      </c>
      <c r="D245" s="33" t="s">
        <v>1068</v>
      </c>
      <c r="E245" s="33"/>
      <c r="F245" s="33"/>
      <c r="G245" s="33"/>
      <c r="H245" s="33"/>
      <c r="I245" s="33"/>
      <c r="J245" s="33"/>
      <c r="K245" s="33"/>
      <c r="L245" s="33"/>
      <c r="M245" s="1311" t="s">
        <v>1069</v>
      </c>
      <c r="N245" s="1311"/>
      <c r="O245" s="1311"/>
      <c r="P245" s="1311"/>
      <c r="Q245" s="1311"/>
      <c r="R245" s="1311"/>
      <c r="S245" s="1311"/>
      <c r="T245" s="1311"/>
      <c r="U245" s="1311"/>
      <c r="V245" s="1311"/>
      <c r="W245" s="1311"/>
      <c r="X245" s="1311"/>
      <c r="Y245" s="1311"/>
      <c r="Z245" s="1311"/>
      <c r="AA245" s="1311"/>
      <c r="AB245" s="1311"/>
      <c r="AC245" s="1311"/>
      <c r="AD245" s="1311"/>
      <c r="AE245" s="1311"/>
      <c r="AF245" s="1311" t="s">
        <v>1070</v>
      </c>
      <c r="AG245" s="1311"/>
      <c r="AH245" s="1311"/>
      <c r="AI245" s="1311"/>
      <c r="AJ245" s="1311"/>
      <c r="AK245" s="1311"/>
      <c r="AM245" s="33"/>
      <c r="AN245" s="33"/>
      <c r="BB245" s="33" t="s">
        <v>1071</v>
      </c>
      <c r="BH245">
        <v>2</v>
      </c>
      <c r="BI245" t="s">
        <v>1031</v>
      </c>
      <c r="BO245" s="869" t="str">
        <f>VLOOKUP(AZ260,BH244:BI246,2,FALSE)</f>
        <v>Nonprofit</v>
      </c>
    </row>
    <row r="246" spans="1:67" ht="12.95" customHeight="1">
      <c r="A246" s="859"/>
      <c r="B246" s="33"/>
      <c r="C246" s="33"/>
      <c r="D246" s="33" t="s">
        <v>1048</v>
      </c>
      <c r="E246" s="33"/>
      <c r="F246" s="33"/>
      <c r="G246" s="33"/>
      <c r="H246" s="33"/>
      <c r="I246" s="33"/>
      <c r="J246" s="33"/>
      <c r="K246" s="33"/>
      <c r="L246" s="33"/>
      <c r="M246" s="1184" t="s">
        <v>1072</v>
      </c>
      <c r="N246" s="1184"/>
      <c r="O246" s="1184"/>
      <c r="P246" s="1184"/>
      <c r="Q246" s="1184"/>
      <c r="R246" s="1184"/>
      <c r="S246" s="1184"/>
      <c r="T246" s="1184"/>
      <c r="U246" s="1184"/>
      <c r="V246" s="1184"/>
      <c r="W246" s="1184"/>
      <c r="X246" s="1184"/>
      <c r="Y246" s="1184"/>
      <c r="Z246" s="1184"/>
      <c r="AA246" s="1184"/>
      <c r="AB246" s="1184"/>
      <c r="AC246" s="1184"/>
      <c r="AD246" s="1184"/>
      <c r="AE246" s="1184"/>
      <c r="AL246" s="33"/>
      <c r="AN246" s="33"/>
      <c r="BB246" s="33" t="s">
        <v>1073</v>
      </c>
      <c r="BH246">
        <v>3</v>
      </c>
      <c r="BI246" t="s">
        <v>1074</v>
      </c>
    </row>
    <row r="247" spans="1:67" ht="12.95" customHeight="1">
      <c r="A247" s="859"/>
      <c r="B247" s="33"/>
      <c r="C247" s="33"/>
      <c r="D247" s="33" t="s">
        <v>908</v>
      </c>
      <c r="E247" s="33"/>
      <c r="M247" s="1184" t="s">
        <v>1075</v>
      </c>
      <c r="N247" s="1184"/>
      <c r="O247" s="1184"/>
      <c r="P247" s="1184"/>
      <c r="Q247" s="1184"/>
      <c r="R247" s="1184"/>
      <c r="S247" s="1184"/>
      <c r="T247" s="1184"/>
      <c r="V247" s="722" t="s">
        <v>1052</v>
      </c>
      <c r="W247" s="1179"/>
      <c r="X247" s="1179"/>
      <c r="Y247" s="33" t="s">
        <v>913</v>
      </c>
      <c r="AC247" s="1184"/>
      <c r="AD247" s="1184"/>
      <c r="AE247" s="1184"/>
      <c r="AN247" s="33"/>
    </row>
    <row r="248" spans="1:67" ht="12.95" customHeight="1">
      <c r="A248" s="859"/>
      <c r="B248" s="33"/>
      <c r="C248" s="33"/>
      <c r="D248" s="33" t="s">
        <v>1054</v>
      </c>
      <c r="E248" s="33"/>
      <c r="F248" s="33"/>
      <c r="G248" s="33"/>
      <c r="H248" s="33"/>
      <c r="I248" s="33"/>
      <c r="J248" s="33"/>
      <c r="K248" s="33"/>
      <c r="L248" s="859"/>
      <c r="M248" s="1184" t="s">
        <v>1076</v>
      </c>
      <c r="N248" s="1184"/>
      <c r="O248" s="1184"/>
      <c r="P248" s="1184"/>
      <c r="Q248" s="1184"/>
      <c r="R248" s="1184"/>
      <c r="S248" s="1184"/>
      <c r="T248" s="1184"/>
      <c r="U248" s="1184"/>
      <c r="V248" s="1184"/>
      <c r="W248" s="1184"/>
      <c r="X248" s="1184"/>
      <c r="Y248" s="1184"/>
      <c r="Z248" s="1184"/>
      <c r="AA248" s="1184"/>
      <c r="AB248" s="1184"/>
      <c r="AC248" s="1184"/>
      <c r="AD248" s="1184"/>
      <c r="AE248" s="1184"/>
      <c r="AJ248" s="33"/>
      <c r="AK248" s="33"/>
      <c r="AL248" s="33"/>
      <c r="AN248" s="33"/>
    </row>
    <row r="249" spans="1:67" ht="12.95" customHeight="1">
      <c r="A249" s="859"/>
      <c r="B249" s="33"/>
      <c r="C249" s="33"/>
      <c r="D249" s="33" t="s">
        <v>1056</v>
      </c>
      <c r="E249" s="33"/>
      <c r="F249" s="33"/>
      <c r="M249" s="1182" t="s">
        <v>1057</v>
      </c>
      <c r="N249" s="1182"/>
      <c r="O249" s="1182"/>
      <c r="P249" s="1182"/>
      <c r="Q249" s="1182"/>
      <c r="R249" s="1182"/>
      <c r="S249" s="33" t="s">
        <v>1058</v>
      </c>
      <c r="T249" s="33"/>
      <c r="U249" s="1179"/>
      <c r="V249" s="1179"/>
      <c r="W249" s="1179"/>
      <c r="X249" s="33" t="s">
        <v>1059</v>
      </c>
      <c r="Z249" s="1182"/>
      <c r="AA249" s="1182"/>
      <c r="AB249" s="1182"/>
      <c r="AC249" s="1182"/>
      <c r="AD249" s="1182"/>
      <c r="AE249" s="1182"/>
      <c r="AM249" s="33"/>
      <c r="AN249" s="33"/>
    </row>
    <row r="250" spans="1:67" ht="12.95" customHeight="1">
      <c r="A250" s="859"/>
      <c r="B250" s="33"/>
      <c r="C250" s="33"/>
      <c r="D250" s="33" t="s">
        <v>1061</v>
      </c>
      <c r="E250" s="33"/>
      <c r="F250" s="33"/>
      <c r="M250" s="1361" t="s">
        <v>1062</v>
      </c>
      <c r="N250" s="1361"/>
      <c r="O250" s="1361"/>
      <c r="P250" s="1361"/>
      <c r="Q250" s="1361"/>
      <c r="R250" s="1361"/>
      <c r="S250" s="1361"/>
      <c r="T250" s="1361"/>
      <c r="U250" s="1361"/>
      <c r="V250" s="1361"/>
      <c r="W250" s="1361"/>
      <c r="X250" s="1361"/>
      <c r="Y250" s="1361"/>
      <c r="Z250" s="1361"/>
      <c r="AA250" s="1361"/>
      <c r="AB250" s="1361"/>
      <c r="AC250" s="1361"/>
      <c r="AD250" s="1361"/>
      <c r="AE250" s="1361"/>
      <c r="AG250" s="33"/>
      <c r="AH250" s="33"/>
      <c r="AI250" s="33"/>
      <c r="AJ250" s="33"/>
      <c r="AK250" s="33"/>
      <c r="AL250" s="33"/>
    </row>
    <row r="251" spans="1:67" ht="12.95" customHeight="1">
      <c r="A251" s="815"/>
      <c r="B251" s="33"/>
      <c r="C251" s="836"/>
      <c r="D251" s="33" t="s">
        <v>1077</v>
      </c>
      <c r="E251" s="33"/>
      <c r="F251" s="33"/>
      <c r="G251" s="33"/>
      <c r="H251" s="33"/>
      <c r="I251" s="33"/>
      <c r="J251" s="33"/>
      <c r="K251" s="33"/>
      <c r="L251" s="33"/>
      <c r="M251" s="1183" t="s">
        <v>1066</v>
      </c>
      <c r="N251" s="1183"/>
      <c r="O251" s="1183"/>
      <c r="P251" s="1183"/>
      <c r="Q251" s="1183"/>
      <c r="R251" s="1183"/>
      <c r="S251" s="1183"/>
      <c r="T251" s="1183"/>
      <c r="U251" s="33" t="s">
        <v>1064</v>
      </c>
      <c r="AA251" s="1316" t="s">
        <v>1078</v>
      </c>
      <c r="AB251" s="1316"/>
      <c r="AC251" s="1316"/>
      <c r="AD251" s="1316"/>
      <c r="AE251" s="1316"/>
      <c r="AF251" s="1316"/>
      <c r="AG251" s="1316"/>
      <c r="AH251" s="1316"/>
      <c r="AI251" s="1316"/>
      <c r="AJ251" s="1316"/>
      <c r="AK251" s="1316"/>
      <c r="AM251" s="33"/>
    </row>
    <row r="252" spans="1:67" ht="12.95" customHeight="1">
      <c r="A252" s="859"/>
      <c r="B252" s="33"/>
      <c r="C252" s="33"/>
      <c r="D252" s="33"/>
      <c r="E252" s="33"/>
      <c r="F252" s="33"/>
      <c r="G252" s="33"/>
      <c r="H252" s="33"/>
      <c r="I252" s="33"/>
      <c r="J252" s="33"/>
      <c r="K252" s="33"/>
      <c r="L252" s="33"/>
      <c r="AG252" s="33"/>
      <c r="AH252" s="33"/>
      <c r="AI252" s="33"/>
      <c r="AJ252" s="33"/>
    </row>
    <row r="253" spans="1:67" ht="12.95" customHeight="1">
      <c r="A253" s="2"/>
      <c r="B253" s="33"/>
      <c r="C253" s="836" t="s">
        <v>1079</v>
      </c>
      <c r="D253" s="33" t="s">
        <v>1080</v>
      </c>
      <c r="E253" s="33"/>
      <c r="F253" s="33"/>
      <c r="G253" s="33"/>
      <c r="H253" s="33"/>
      <c r="I253" s="33"/>
      <c r="J253" s="33"/>
      <c r="K253" s="33"/>
      <c r="L253" s="33"/>
      <c r="M253" s="1311"/>
      <c r="N253" s="1311"/>
      <c r="O253" s="1311"/>
      <c r="P253" s="1311"/>
      <c r="Q253" s="1311"/>
      <c r="R253" s="1311"/>
      <c r="S253" s="1311"/>
      <c r="T253" s="1311"/>
      <c r="U253" s="1311"/>
      <c r="V253" s="1311"/>
      <c r="W253" s="1311"/>
      <c r="X253" s="1311"/>
      <c r="Y253" s="1311"/>
      <c r="Z253" s="1311"/>
      <c r="AA253" s="1311"/>
      <c r="AB253" s="1311"/>
      <c r="AC253" s="1311"/>
      <c r="AD253" s="1311"/>
      <c r="AE253" s="1311"/>
      <c r="AF253" s="1311" t="s">
        <v>320</v>
      </c>
      <c r="AG253" s="1311"/>
      <c r="AH253" s="1311"/>
      <c r="AI253" s="1311"/>
      <c r="AJ253" s="1311"/>
      <c r="AK253" s="1311"/>
      <c r="AM253" s="33"/>
    </row>
    <row r="254" spans="1:67" ht="12.95" customHeight="1">
      <c r="A254" s="859"/>
      <c r="B254" s="33"/>
      <c r="C254" s="33"/>
      <c r="D254" s="33" t="s">
        <v>1048</v>
      </c>
      <c r="E254" s="33"/>
      <c r="F254" s="33"/>
      <c r="G254" s="33"/>
      <c r="H254" s="33"/>
      <c r="I254" s="33"/>
      <c r="J254" s="33"/>
      <c r="K254" s="33"/>
      <c r="L254" s="33"/>
      <c r="M254" s="1184"/>
      <c r="N254" s="1184"/>
      <c r="O254" s="1184"/>
      <c r="P254" s="1184"/>
      <c r="Q254" s="1184"/>
      <c r="R254" s="1184"/>
      <c r="S254" s="1184"/>
      <c r="T254" s="1184"/>
      <c r="U254" s="1184"/>
      <c r="V254" s="1184"/>
      <c r="W254" s="1184"/>
      <c r="X254" s="1184"/>
      <c r="Y254" s="1184"/>
      <c r="Z254" s="1184"/>
      <c r="AA254" s="1184"/>
      <c r="AB254" s="1184"/>
      <c r="AC254" s="1184"/>
      <c r="AD254" s="1184"/>
      <c r="AE254" s="1184"/>
      <c r="AL254" s="33"/>
    </row>
    <row r="255" spans="1:67" ht="12.95" customHeight="1">
      <c r="A255" s="859"/>
      <c r="B255" s="33"/>
      <c r="C255" s="33"/>
      <c r="D255" s="33" t="s">
        <v>908</v>
      </c>
      <c r="E255" s="33"/>
      <c r="M255" s="1184"/>
      <c r="N255" s="1184"/>
      <c r="O255" s="1184"/>
      <c r="P255" s="1184"/>
      <c r="Q255" s="1184"/>
      <c r="R255" s="1184"/>
      <c r="S255" s="1184"/>
      <c r="T255" s="1184"/>
      <c r="V255" s="722" t="s">
        <v>1052</v>
      </c>
      <c r="W255" s="1179"/>
      <c r="X255" s="1179"/>
      <c r="Y255" s="33" t="s">
        <v>913</v>
      </c>
      <c r="AC255" s="1184"/>
      <c r="AD255" s="1184"/>
      <c r="AE255" s="1184"/>
    </row>
    <row r="256" spans="1:67" ht="12.95" customHeight="1">
      <c r="A256" s="859"/>
      <c r="B256" s="33"/>
      <c r="C256" s="33"/>
      <c r="D256" s="33" t="s">
        <v>1054</v>
      </c>
      <c r="E256" s="33"/>
      <c r="F256" s="33"/>
      <c r="G256" s="33"/>
      <c r="H256" s="33"/>
      <c r="I256" s="33"/>
      <c r="J256" s="33"/>
      <c r="K256" s="33"/>
      <c r="L256" s="859"/>
      <c r="M256" s="1184"/>
      <c r="N256" s="1184"/>
      <c r="O256" s="1184"/>
      <c r="P256" s="1184"/>
      <c r="Q256" s="1184"/>
      <c r="R256" s="1184"/>
      <c r="S256" s="1184"/>
      <c r="T256" s="1184"/>
      <c r="U256" s="1184"/>
      <c r="V256" s="1184"/>
      <c r="W256" s="1184"/>
      <c r="X256" s="1184"/>
      <c r="Y256" s="1184"/>
      <c r="Z256" s="1184"/>
      <c r="AA256" s="1184"/>
      <c r="AB256" s="1184"/>
      <c r="AC256" s="1184"/>
      <c r="AD256" s="1184"/>
      <c r="AE256" s="1184"/>
      <c r="AJ256" s="33"/>
      <c r="AK256" s="33"/>
      <c r="AL256" s="33"/>
    </row>
    <row r="257" spans="1:53" ht="12.95" customHeight="1">
      <c r="A257" s="859"/>
      <c r="B257" s="33"/>
      <c r="C257" s="33"/>
      <c r="D257" s="33" t="s">
        <v>1056</v>
      </c>
      <c r="E257" s="33"/>
      <c r="F257" s="33"/>
      <c r="M257" s="1182"/>
      <c r="N257" s="1182"/>
      <c r="O257" s="1182"/>
      <c r="P257" s="1182"/>
      <c r="Q257" s="1182"/>
      <c r="R257" s="1182"/>
      <c r="S257" s="33" t="s">
        <v>1058</v>
      </c>
      <c r="T257" s="33"/>
      <c r="U257" s="1179"/>
      <c r="V257" s="1179"/>
      <c r="W257" s="1179"/>
      <c r="X257" s="33" t="s">
        <v>1059</v>
      </c>
      <c r="Z257" s="1182"/>
      <c r="AA257" s="1182"/>
      <c r="AB257" s="1182"/>
      <c r="AC257" s="1182"/>
      <c r="AD257" s="1182"/>
      <c r="AE257" s="1182"/>
      <c r="BA257" s="33"/>
    </row>
    <row r="258" spans="1:53" ht="12.95" customHeight="1">
      <c r="A258" s="859"/>
      <c r="B258" s="33"/>
      <c r="C258" s="33"/>
      <c r="D258" s="33" t="s">
        <v>1061</v>
      </c>
      <c r="E258" s="33"/>
      <c r="F258" s="33"/>
      <c r="M258" s="1361"/>
      <c r="N258" s="1361"/>
      <c r="O258" s="1361"/>
      <c r="P258" s="1361"/>
      <c r="Q258" s="1361"/>
      <c r="R258" s="1361"/>
      <c r="S258" s="1361"/>
      <c r="T258" s="1361"/>
      <c r="U258" s="1361"/>
      <c r="V258" s="1361"/>
      <c r="W258" s="1361"/>
      <c r="X258" s="1361"/>
      <c r="Y258" s="1361"/>
      <c r="Z258" s="1361"/>
      <c r="AA258" s="1361"/>
      <c r="AB258" s="1361"/>
      <c r="AC258" s="1361"/>
      <c r="AD258" s="1361"/>
      <c r="AE258" s="1361"/>
      <c r="AG258" s="33"/>
      <c r="AH258" s="33"/>
      <c r="AI258" s="33"/>
      <c r="AJ258" s="33"/>
      <c r="AK258" s="33"/>
      <c r="AL258" s="33"/>
    </row>
    <row r="259" spans="1:53" ht="12.95" customHeight="1">
      <c r="A259" s="815"/>
      <c r="B259" s="33"/>
      <c r="C259" s="836"/>
      <c r="D259" s="33" t="s">
        <v>1077</v>
      </c>
      <c r="E259" s="33"/>
      <c r="F259" s="33"/>
      <c r="G259" s="33"/>
      <c r="H259" s="33"/>
      <c r="I259" s="33"/>
      <c r="J259" s="33"/>
      <c r="K259" s="33"/>
      <c r="L259" s="33"/>
      <c r="M259" s="1183" t="s">
        <v>320</v>
      </c>
      <c r="N259" s="1183"/>
      <c r="O259" s="1183"/>
      <c r="P259" s="1183"/>
      <c r="Q259" s="1183"/>
      <c r="R259" s="1183"/>
      <c r="S259" s="1183"/>
      <c r="T259" s="1183"/>
      <c r="U259" s="33" t="s">
        <v>1064</v>
      </c>
      <c r="AA259" s="1316"/>
      <c r="AB259" s="1316"/>
      <c r="AC259" s="1316"/>
      <c r="AD259" s="1316"/>
      <c r="AE259" s="1316"/>
      <c r="AF259" s="1316"/>
      <c r="AG259" s="1316"/>
      <c r="AH259" s="1316"/>
      <c r="AI259" s="1316"/>
      <c r="AJ259" s="1316"/>
      <c r="AK259" s="1316"/>
      <c r="AL259" s="33"/>
    </row>
    <row r="260" spans="1:53" ht="12.95" customHeight="1">
      <c r="A260" s="815"/>
      <c r="B260" s="33"/>
      <c r="C260" s="836"/>
      <c r="D260" s="33"/>
      <c r="E260" s="33"/>
      <c r="F260" s="33"/>
      <c r="G260" s="33"/>
      <c r="H260" s="33"/>
      <c r="I260" s="33"/>
      <c r="J260" s="33"/>
      <c r="K260" s="33"/>
      <c r="L260" s="33"/>
      <c r="M260" s="11"/>
      <c r="N260" s="11"/>
      <c r="O260" s="11"/>
      <c r="P260" s="11"/>
      <c r="Q260" s="11"/>
      <c r="R260" s="11"/>
      <c r="S260" s="11"/>
      <c r="T260" s="11"/>
      <c r="U260" s="760"/>
      <c r="V260" s="760"/>
      <c r="W260" s="760"/>
      <c r="X260" s="760"/>
      <c r="Y260" s="760"/>
      <c r="Z260" s="760"/>
      <c r="AA260" s="760"/>
      <c r="AB260" s="760"/>
      <c r="AC260" s="760"/>
      <c r="AD260" s="760"/>
      <c r="AE260" s="33"/>
      <c r="AF260" s="33"/>
      <c r="AG260" s="33"/>
      <c r="AH260" s="33"/>
      <c r="AI260" s="33"/>
      <c r="AJ260" s="33"/>
      <c r="AK260" s="33"/>
      <c r="AL260" s="33"/>
      <c r="AZ260">
        <f>SUM(BG226:BG241)</f>
        <v>1</v>
      </c>
    </row>
    <row r="261" spans="1:53" ht="12.95" customHeight="1">
      <c r="A261" s="815"/>
      <c r="B261" s="33"/>
      <c r="C261" s="836" t="s">
        <v>1081</v>
      </c>
      <c r="D261" s="33" t="s">
        <v>1068</v>
      </c>
      <c r="E261" s="33"/>
      <c r="F261" s="33"/>
      <c r="G261" s="33"/>
      <c r="H261" s="33"/>
      <c r="I261" s="33"/>
      <c r="J261" s="33"/>
      <c r="K261" s="33"/>
      <c r="L261" s="33"/>
      <c r="M261" s="1311"/>
      <c r="N261" s="1311"/>
      <c r="O261" s="1311"/>
      <c r="P261" s="1311"/>
      <c r="Q261" s="1311"/>
      <c r="R261" s="1311"/>
      <c r="S261" s="1311"/>
      <c r="T261" s="1311"/>
      <c r="U261" s="1311"/>
      <c r="V261" s="1311"/>
      <c r="W261" s="1311"/>
      <c r="X261" s="1311"/>
      <c r="Y261" s="1311"/>
      <c r="Z261" s="1311"/>
      <c r="AA261" s="1311"/>
      <c r="AB261" s="1311"/>
      <c r="AC261" s="1311"/>
      <c r="AD261" s="1311"/>
      <c r="AE261" s="1311"/>
      <c r="AF261" s="1311" t="s">
        <v>320</v>
      </c>
      <c r="AG261" s="1311"/>
      <c r="AH261" s="1311"/>
      <c r="AI261" s="1311"/>
      <c r="AJ261" s="1311"/>
      <c r="AK261" s="1311"/>
      <c r="AL261" s="33"/>
    </row>
    <row r="262" spans="1:53" ht="12.95" customHeight="1">
      <c r="A262" s="815"/>
      <c r="B262" s="33"/>
      <c r="C262" s="33"/>
      <c r="D262" s="33" t="s">
        <v>1048</v>
      </c>
      <c r="E262" s="33"/>
      <c r="F262" s="33"/>
      <c r="G262" s="33"/>
      <c r="H262" s="33"/>
      <c r="I262" s="33"/>
      <c r="J262" s="33"/>
      <c r="K262" s="33"/>
      <c r="L262" s="33"/>
      <c r="M262" s="1184"/>
      <c r="N262" s="1184"/>
      <c r="O262" s="1184"/>
      <c r="P262" s="1184"/>
      <c r="Q262" s="1184"/>
      <c r="R262" s="1184"/>
      <c r="S262" s="1184"/>
      <c r="T262" s="1184"/>
      <c r="U262" s="1184"/>
      <c r="V262" s="1184"/>
      <c r="W262" s="1184"/>
      <c r="X262" s="1184"/>
      <c r="Y262" s="1184"/>
      <c r="Z262" s="1184"/>
      <c r="AA262" s="1184"/>
      <c r="AB262" s="1184"/>
      <c r="AC262" s="1184"/>
      <c r="AD262" s="1184"/>
      <c r="AE262" s="1184"/>
      <c r="AL262" s="33"/>
      <c r="BA262" s="33"/>
    </row>
    <row r="263" spans="1:53" ht="12.95" customHeight="1">
      <c r="A263" s="815"/>
      <c r="B263" s="33"/>
      <c r="C263" s="33"/>
      <c r="D263" s="33" t="s">
        <v>908</v>
      </c>
      <c r="E263" s="33"/>
      <c r="M263" s="1184"/>
      <c r="N263" s="1184"/>
      <c r="O263" s="1184"/>
      <c r="P263" s="1184"/>
      <c r="Q263" s="1184"/>
      <c r="R263" s="1184"/>
      <c r="S263" s="1184"/>
      <c r="T263" s="1184"/>
      <c r="V263" s="722" t="s">
        <v>1052</v>
      </c>
      <c r="W263" s="1179"/>
      <c r="X263" s="1179"/>
      <c r="Y263" s="33" t="s">
        <v>913</v>
      </c>
      <c r="AC263" s="1184"/>
      <c r="AD263" s="1184"/>
      <c r="AE263" s="1184"/>
      <c r="AL263" s="33"/>
      <c r="BA263" s="33"/>
    </row>
    <row r="264" spans="1:53" ht="12.95" customHeight="1">
      <c r="A264" s="815"/>
      <c r="B264" s="33"/>
      <c r="C264" s="33"/>
      <c r="D264" s="33" t="s">
        <v>1054</v>
      </c>
      <c r="E264" s="33"/>
      <c r="F264" s="33"/>
      <c r="G264" s="33"/>
      <c r="H264" s="33"/>
      <c r="I264" s="33"/>
      <c r="J264" s="33"/>
      <c r="K264" s="33"/>
      <c r="L264" s="859"/>
      <c r="M264" s="1184"/>
      <c r="N264" s="1184"/>
      <c r="O264" s="1184"/>
      <c r="P264" s="1184"/>
      <c r="Q264" s="1184"/>
      <c r="R264" s="1184"/>
      <c r="S264" s="1184"/>
      <c r="T264" s="1184"/>
      <c r="U264" s="1184"/>
      <c r="V264" s="1184"/>
      <c r="W264" s="1184"/>
      <c r="X264" s="1184"/>
      <c r="Y264" s="1184"/>
      <c r="Z264" s="1184"/>
      <c r="AA264" s="1184"/>
      <c r="AB264" s="1184"/>
      <c r="AC264" s="1184"/>
      <c r="AD264" s="1184"/>
      <c r="AE264" s="1184"/>
      <c r="AJ264" s="33"/>
      <c r="AK264" s="33"/>
      <c r="AL264" s="33"/>
      <c r="BA264" s="33"/>
    </row>
    <row r="265" spans="1:53" ht="12.95" customHeight="1">
      <c r="A265" s="815"/>
      <c r="B265" s="33"/>
      <c r="C265" s="33"/>
      <c r="D265" s="33" t="s">
        <v>1056</v>
      </c>
      <c r="E265" s="33"/>
      <c r="F265" s="33"/>
      <c r="M265" s="1182"/>
      <c r="N265" s="1182"/>
      <c r="O265" s="1182"/>
      <c r="P265" s="1182"/>
      <c r="Q265" s="1182"/>
      <c r="R265" s="1182"/>
      <c r="S265" s="33" t="s">
        <v>1058</v>
      </c>
      <c r="T265" s="33"/>
      <c r="U265" s="1179"/>
      <c r="V265" s="1179"/>
      <c r="W265" s="1179"/>
      <c r="X265" s="33" t="s">
        <v>1059</v>
      </c>
      <c r="Z265" s="1182"/>
      <c r="AA265" s="1182"/>
      <c r="AB265" s="1182"/>
      <c r="AC265" s="1182"/>
      <c r="AD265" s="1182"/>
      <c r="AE265" s="1182"/>
      <c r="AL265" s="33"/>
      <c r="BA265" s="33"/>
    </row>
    <row r="266" spans="1:53" ht="12.95" customHeight="1">
      <c r="A266" s="815"/>
      <c r="B266" s="33"/>
      <c r="C266" s="33"/>
      <c r="D266" s="33" t="s">
        <v>1061</v>
      </c>
      <c r="E266" s="33"/>
      <c r="F266" s="33"/>
      <c r="M266" s="1361"/>
      <c r="N266" s="1361"/>
      <c r="O266" s="1361"/>
      <c r="P266" s="1361"/>
      <c r="Q266" s="1361"/>
      <c r="R266" s="1361"/>
      <c r="S266" s="1361"/>
      <c r="T266" s="1361"/>
      <c r="U266" s="1361"/>
      <c r="V266" s="1361"/>
      <c r="W266" s="1361"/>
      <c r="X266" s="1361"/>
      <c r="Y266" s="1361"/>
      <c r="Z266" s="1361"/>
      <c r="AA266" s="1361"/>
      <c r="AB266" s="1361"/>
      <c r="AC266" s="1361"/>
      <c r="AD266" s="1361"/>
      <c r="AE266" s="1361"/>
      <c r="AG266" s="33"/>
      <c r="AH266" s="33"/>
      <c r="AI266" s="33"/>
      <c r="AJ266" s="33"/>
      <c r="AK266" s="33"/>
      <c r="AL266" s="33"/>
      <c r="BA266" s="33"/>
    </row>
    <row r="267" spans="1:53" ht="12.95" customHeight="1">
      <c r="A267" s="815"/>
      <c r="B267" s="33"/>
      <c r="C267" s="836"/>
      <c r="D267" s="33" t="s">
        <v>1077</v>
      </c>
      <c r="E267" s="33"/>
      <c r="F267" s="33"/>
      <c r="G267" s="33"/>
      <c r="H267" s="33"/>
      <c r="I267" s="33"/>
      <c r="J267" s="33"/>
      <c r="K267" s="33"/>
      <c r="L267" s="33"/>
      <c r="M267" s="1183" t="s">
        <v>320</v>
      </c>
      <c r="N267" s="1183"/>
      <c r="O267" s="1183"/>
      <c r="P267" s="1183"/>
      <c r="Q267" s="1183"/>
      <c r="R267" s="1183"/>
      <c r="S267" s="1183"/>
      <c r="T267" s="1183"/>
      <c r="U267" s="33" t="s">
        <v>1064</v>
      </c>
      <c r="AA267" s="1316"/>
      <c r="AB267" s="1316"/>
      <c r="AC267" s="1316"/>
      <c r="AD267" s="1316"/>
      <c r="AE267" s="1316"/>
      <c r="AF267" s="1316"/>
      <c r="AG267" s="1316"/>
      <c r="AH267" s="1316"/>
      <c r="AI267" s="1316"/>
      <c r="AJ267" s="1316"/>
      <c r="AK267" s="1316"/>
      <c r="AL267" s="33"/>
      <c r="BA267" s="33"/>
    </row>
    <row r="268" spans="1:53" ht="12.95" customHeight="1">
      <c r="A268" s="859"/>
      <c r="B268" s="33"/>
      <c r="C268" s="33"/>
      <c r="D268" s="33"/>
      <c r="E268" s="33"/>
      <c r="F268" s="33"/>
      <c r="J268" s="194"/>
      <c r="K268" s="760"/>
      <c r="L268" s="760"/>
      <c r="M268" s="760"/>
      <c r="N268" s="760"/>
      <c r="O268" s="760"/>
      <c r="P268" s="760"/>
      <c r="Q268" s="760"/>
      <c r="R268" s="760"/>
      <c r="S268" s="760"/>
      <c r="T268" s="760"/>
      <c r="U268" s="760"/>
      <c r="V268" s="760"/>
      <c r="W268" s="760"/>
      <c r="X268" s="760"/>
      <c r="Y268" s="760"/>
      <c r="Z268" s="760"/>
      <c r="AA268" s="760"/>
      <c r="AB268" s="760"/>
      <c r="AC268" s="760"/>
      <c r="AD268" s="33"/>
      <c r="AE268" s="33"/>
      <c r="AF268" s="33"/>
      <c r="AG268" s="33"/>
      <c r="AH268" s="33"/>
      <c r="AI268" s="33"/>
      <c r="AJ268" s="33"/>
      <c r="AK268" s="33"/>
      <c r="BA268" s="33"/>
    </row>
    <row r="269" spans="1:53" ht="12.95" customHeight="1">
      <c r="A269" s="769" t="s">
        <v>994</v>
      </c>
      <c r="B269" s="33"/>
      <c r="C269" s="2" t="s">
        <v>1082</v>
      </c>
      <c r="D269" s="33"/>
      <c r="E269" s="33"/>
      <c r="F269" s="33"/>
      <c r="G269" s="33"/>
      <c r="H269" s="33"/>
      <c r="I269" s="33"/>
      <c r="J269" s="33"/>
      <c r="K269" s="33"/>
      <c r="L269" s="33"/>
      <c r="M269" s="760"/>
      <c r="N269" s="760"/>
      <c r="O269" s="760"/>
      <c r="P269" s="760"/>
      <c r="Q269" s="760"/>
      <c r="T269" s="1363" t="str">
        <f>BO245</f>
        <v>Nonprofit</v>
      </c>
      <c r="U269" s="1363"/>
      <c r="V269" s="1363"/>
      <c r="W269" s="1363"/>
      <c r="X269" s="1363"/>
      <c r="Z269" s="346" t="s">
        <v>1083</v>
      </c>
      <c r="AA269" s="6"/>
      <c r="AB269" s="6"/>
      <c r="AC269" s="6"/>
      <c r="AD269" s="6"/>
      <c r="AE269" s="6"/>
      <c r="AF269" s="870"/>
      <c r="AG269" s="870"/>
      <c r="AH269" s="870"/>
      <c r="AI269" s="870"/>
      <c r="AJ269" s="870"/>
      <c r="AK269" s="6"/>
      <c r="AL269" s="44"/>
      <c r="BA269" s="33"/>
    </row>
    <row r="270" spans="1:53" ht="12.95" customHeight="1">
      <c r="A270" s="2"/>
      <c r="B270" s="33"/>
      <c r="C270" s="2"/>
      <c r="I270" s="33"/>
      <c r="J270" s="33"/>
      <c r="K270" s="33"/>
      <c r="L270" s="33"/>
      <c r="M270" s="760"/>
      <c r="N270" s="760"/>
      <c r="O270" s="760"/>
      <c r="P270" s="760"/>
      <c r="Q270" s="760"/>
      <c r="T270" s="33"/>
      <c r="U270" s="33"/>
      <c r="V270" s="33"/>
      <c r="W270" s="760"/>
      <c r="Z270" s="347" t="s">
        <v>1084</v>
      </c>
      <c r="AF270" s="33"/>
      <c r="AG270" s="33"/>
      <c r="AH270" s="33"/>
      <c r="AI270" s="33"/>
      <c r="AJ270" s="33"/>
      <c r="AL270" s="47"/>
      <c r="BA270" s="33"/>
    </row>
    <row r="271" spans="1:53" ht="12.95" customHeight="1">
      <c r="A271" s="2" t="s">
        <v>1009</v>
      </c>
      <c r="B271" s="33"/>
      <c r="C271" s="2" t="s">
        <v>134</v>
      </c>
      <c r="D271" s="33"/>
      <c r="E271" s="33"/>
      <c r="F271" s="33"/>
      <c r="G271" s="33"/>
      <c r="H271" s="33"/>
      <c r="I271" s="33"/>
      <c r="J271" s="33"/>
      <c r="K271" s="33"/>
      <c r="L271" s="33"/>
      <c r="M271" s="33"/>
      <c r="N271" s="33"/>
      <c r="O271" s="33"/>
      <c r="P271" s="33"/>
      <c r="Q271" s="33"/>
      <c r="R271" s="33"/>
      <c r="S271" s="33"/>
      <c r="T271" s="33"/>
      <c r="U271" s="33"/>
      <c r="V271" s="33"/>
      <c r="W271" s="33"/>
      <c r="Z271" s="348" t="s">
        <v>1085</v>
      </c>
      <c r="AA271" s="39"/>
      <c r="AB271" s="39"/>
      <c r="AC271" s="39"/>
      <c r="AD271" s="301"/>
      <c r="AE271" s="301"/>
      <c r="AF271" s="301"/>
      <c r="AG271" s="301"/>
      <c r="AH271" s="301"/>
      <c r="AI271" s="301"/>
      <c r="AJ271" s="301"/>
      <c r="AK271" s="301"/>
      <c r="AL271" s="349"/>
    </row>
    <row r="272" spans="1:53" ht="12.95" customHeight="1">
      <c r="A272" s="33"/>
      <c r="B272" s="34">
        <v>0</v>
      </c>
      <c r="D272" s="1184" t="s">
        <v>1071</v>
      </c>
      <c r="E272" s="1184"/>
      <c r="F272" s="1184"/>
      <c r="G272" s="1184"/>
      <c r="H272" s="1184"/>
      <c r="J272" t="s">
        <v>1086</v>
      </c>
      <c r="X272" s="1362"/>
      <c r="Y272" s="1362"/>
      <c r="Z272" s="1362"/>
      <c r="AA272" s="1362"/>
      <c r="AB272" s="1362"/>
      <c r="AC272" s="1362"/>
      <c r="BA272" s="33"/>
    </row>
    <row r="273" spans="1:53" ht="12.95" customHeight="1">
      <c r="A273" s="33"/>
      <c r="B273" s="859"/>
      <c r="D273" s="35" t="s">
        <v>1087</v>
      </c>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H273" s="33"/>
      <c r="AI273" s="33"/>
      <c r="AJ273" s="33"/>
      <c r="AK273" s="33"/>
      <c r="AL273" s="33"/>
      <c r="BA273" s="33"/>
    </row>
    <row r="274" spans="1:53" ht="12.95" customHeight="1">
      <c r="A274" s="760"/>
      <c r="B274" s="760"/>
      <c r="C274" s="760"/>
      <c r="D274" s="760"/>
      <c r="E274" s="760"/>
      <c r="F274" s="760"/>
      <c r="G274" s="760"/>
      <c r="H274" s="760"/>
      <c r="I274" s="760"/>
      <c r="J274" s="760"/>
      <c r="K274" s="760"/>
      <c r="L274" s="760"/>
      <c r="M274" s="760"/>
      <c r="N274" s="760"/>
      <c r="O274" s="760"/>
      <c r="P274" s="760"/>
      <c r="Q274" s="760"/>
      <c r="R274" s="760"/>
      <c r="S274" s="760"/>
      <c r="T274" s="760"/>
      <c r="U274" s="33"/>
      <c r="V274" s="33"/>
      <c r="W274" s="34"/>
      <c r="X274" s="33"/>
      <c r="Y274" s="33"/>
      <c r="Z274" s="801"/>
      <c r="AA274" s="801"/>
      <c r="AB274" s="801"/>
      <c r="AC274" s="801"/>
      <c r="AD274" s="801"/>
      <c r="AE274" s="33"/>
      <c r="AK274" s="33"/>
      <c r="AL274" s="33"/>
      <c r="BA274" s="33"/>
    </row>
    <row r="275" spans="1:53" ht="12.95" customHeight="1">
      <c r="A275" s="2" t="s">
        <v>1019</v>
      </c>
      <c r="B275" s="2"/>
      <c r="C275" s="2" t="s">
        <v>138</v>
      </c>
      <c r="D275" s="33"/>
      <c r="E275" s="33"/>
      <c r="F275" s="33"/>
      <c r="G275" s="33"/>
      <c r="H275" s="33"/>
      <c r="I275" s="33"/>
      <c r="J275" s="33"/>
      <c r="K275" s="33"/>
      <c r="L275" s="33"/>
      <c r="M275" s="33"/>
      <c r="N275" s="33"/>
      <c r="O275" s="33"/>
      <c r="P275" s="33"/>
      <c r="Q275" s="33"/>
      <c r="R275" s="33"/>
      <c r="S275" s="33"/>
      <c r="T275" s="33"/>
      <c r="BA275" s="33"/>
    </row>
    <row r="276" spans="1:53" ht="12.95" customHeight="1">
      <c r="D276" s="33" t="s">
        <v>1088</v>
      </c>
      <c r="E276" s="33"/>
      <c r="F276" s="33"/>
      <c r="G276" s="33"/>
      <c r="H276" s="33"/>
      <c r="I276" s="33"/>
      <c r="J276" s="33"/>
      <c r="K276" s="33"/>
      <c r="L276" s="1311" t="s">
        <v>1089</v>
      </c>
      <c r="M276" s="1311"/>
      <c r="N276" s="1311"/>
      <c r="O276" s="1311"/>
      <c r="P276" s="1311"/>
      <c r="Q276" s="1311"/>
      <c r="R276" s="1311"/>
      <c r="S276" s="1311"/>
      <c r="T276" s="1311"/>
      <c r="U276" s="1311"/>
      <c r="V276" s="1311"/>
      <c r="W276" s="1311"/>
      <c r="X276" s="1311"/>
      <c r="Y276" s="1311"/>
      <c r="Z276" s="1311"/>
      <c r="AA276" s="1311"/>
      <c r="AB276" s="1311"/>
      <c r="AC276" s="1311"/>
      <c r="AD276" s="1311"/>
      <c r="AE276" s="1311"/>
      <c r="AF276" s="1311"/>
      <c r="AG276" s="1311"/>
      <c r="AH276" s="1311"/>
      <c r="AI276" s="1311"/>
      <c r="AJ276" s="1311"/>
      <c r="AK276" s="33"/>
      <c r="AL276" s="33"/>
      <c r="BA276" s="33"/>
    </row>
    <row r="277" spans="1:53" ht="12.95" customHeight="1">
      <c r="D277" s="33" t="s">
        <v>1048</v>
      </c>
      <c r="E277" s="33"/>
      <c r="F277" s="33"/>
      <c r="G277" s="33"/>
      <c r="H277" s="33"/>
      <c r="I277" s="33"/>
      <c r="J277" s="33"/>
      <c r="K277" s="33"/>
      <c r="L277" s="1184" t="s">
        <v>1049</v>
      </c>
      <c r="M277" s="1184"/>
      <c r="N277" s="1184"/>
      <c r="O277" s="1184"/>
      <c r="P277" s="1184"/>
      <c r="Q277" s="1184"/>
      <c r="R277" s="1184"/>
      <c r="S277" s="1184"/>
      <c r="T277" s="1184"/>
      <c r="U277" s="1184"/>
      <c r="V277" s="1184"/>
      <c r="W277" s="1184"/>
      <c r="X277" s="1184"/>
      <c r="Y277" s="1184"/>
      <c r="Z277" s="1184"/>
      <c r="AA277" s="1184"/>
      <c r="AB277" s="1184"/>
      <c r="AC277" s="1184"/>
      <c r="AD277" s="1184"/>
      <c r="AK277" s="33"/>
      <c r="AL277" s="33"/>
      <c r="BA277" s="33"/>
    </row>
    <row r="278" spans="1:53" ht="12.95" customHeight="1">
      <c r="D278" s="33" t="s">
        <v>908</v>
      </c>
      <c r="E278" s="33"/>
      <c r="L278" s="1184" t="s">
        <v>1090</v>
      </c>
      <c r="M278" s="1184"/>
      <c r="N278" s="1184"/>
      <c r="O278" s="1184"/>
      <c r="P278" s="1184"/>
      <c r="Q278" s="1184"/>
      <c r="R278" s="1184"/>
      <c r="S278" s="1184"/>
      <c r="U278" s="722" t="s">
        <v>1052</v>
      </c>
      <c r="V278" s="1179" t="s">
        <v>1091</v>
      </c>
      <c r="W278" s="1179"/>
      <c r="X278" s="33" t="s">
        <v>913</v>
      </c>
      <c r="AB278" s="1184">
        <v>94541</v>
      </c>
      <c r="AC278" s="1184"/>
      <c r="AD278" s="1184"/>
      <c r="AK278" s="33"/>
      <c r="AL278" s="33"/>
      <c r="BA278" s="33"/>
    </row>
    <row r="279" spans="1:53" ht="12.95" customHeight="1">
      <c r="D279" s="33" t="s">
        <v>1054</v>
      </c>
      <c r="E279" s="33"/>
      <c r="F279" s="33"/>
      <c r="G279" s="33"/>
      <c r="H279" s="33"/>
      <c r="I279" s="33"/>
      <c r="J279" s="33"/>
      <c r="K279" s="859"/>
      <c r="L279" s="1184" t="s">
        <v>1092</v>
      </c>
      <c r="M279" s="1184"/>
      <c r="N279" s="1184"/>
      <c r="O279" s="1184"/>
      <c r="P279" s="1184"/>
      <c r="Q279" s="1184"/>
      <c r="R279" s="1184"/>
      <c r="S279" s="1184"/>
      <c r="T279" s="1184"/>
      <c r="U279" s="1184"/>
      <c r="V279" s="1184"/>
      <c r="W279" s="1184"/>
      <c r="X279" s="1184"/>
      <c r="Y279" s="1184"/>
      <c r="Z279" s="1184"/>
      <c r="AA279" s="1184"/>
      <c r="AB279" s="1184"/>
      <c r="AC279" s="1184"/>
      <c r="AD279" s="1184"/>
      <c r="AI279" s="33"/>
      <c r="AJ279" s="33"/>
      <c r="AK279" s="33"/>
      <c r="AL279" s="33"/>
      <c r="BA279" s="33"/>
    </row>
    <row r="280" spans="1:53" ht="12.95" customHeight="1">
      <c r="D280" s="33" t="s">
        <v>1056</v>
      </c>
      <c r="E280" s="33"/>
      <c r="F280" s="33"/>
      <c r="L280" s="1182" t="s">
        <v>1093</v>
      </c>
      <c r="M280" s="1182"/>
      <c r="N280" s="1182"/>
      <c r="O280" s="1182"/>
      <c r="P280" s="1182"/>
      <c r="Q280" s="1182"/>
      <c r="R280" s="33" t="s">
        <v>1058</v>
      </c>
      <c r="S280" s="33"/>
      <c r="T280" s="1179"/>
      <c r="U280" s="1179"/>
      <c r="V280" s="1179"/>
      <c r="W280" s="33" t="s">
        <v>1059</v>
      </c>
      <c r="Y280" s="1182"/>
      <c r="Z280" s="1182"/>
      <c r="AA280" s="1182"/>
      <c r="AB280" s="1182"/>
      <c r="AC280" s="1182"/>
      <c r="AD280" s="1182"/>
      <c r="BA280" s="33"/>
    </row>
    <row r="281" spans="1:53" ht="12.95" customHeight="1">
      <c r="D281" s="33" t="s">
        <v>1061</v>
      </c>
      <c r="E281" s="33"/>
      <c r="F281" s="33"/>
      <c r="L281" s="1361" t="s">
        <v>1094</v>
      </c>
      <c r="M281" s="1361"/>
      <c r="N281" s="1361"/>
      <c r="O281" s="1361"/>
      <c r="P281" s="1361"/>
      <c r="Q281" s="1361"/>
      <c r="R281" s="1361"/>
      <c r="S281" s="1361"/>
      <c r="T281" s="1361"/>
      <c r="U281" s="1361"/>
      <c r="V281" s="1361"/>
      <c r="W281" s="1361"/>
      <c r="X281" s="1361"/>
      <c r="Y281" s="1361"/>
      <c r="Z281" s="1361"/>
      <c r="AA281" s="1361"/>
      <c r="AB281" s="1361"/>
      <c r="AC281" s="1361"/>
      <c r="AD281" s="1361"/>
      <c r="AF281" s="33"/>
      <c r="AG281" s="33"/>
      <c r="AH281" s="33"/>
      <c r="AI281" s="33"/>
      <c r="AJ281" s="33"/>
      <c r="BA281" s="33"/>
    </row>
    <row r="282" spans="1:53" ht="12.95" customHeight="1">
      <c r="D282" s="33" t="s">
        <v>1095</v>
      </c>
      <c r="E282" s="33"/>
      <c r="F282" s="33"/>
      <c r="G282" s="33"/>
      <c r="H282" s="33"/>
      <c r="I282" s="33"/>
      <c r="L282" s="1179" t="s">
        <v>1096</v>
      </c>
      <c r="M282" s="1179"/>
      <c r="N282" s="1179"/>
      <c r="O282" s="1179"/>
      <c r="P282" s="1179"/>
      <c r="Q282" s="1179"/>
      <c r="R282" s="1179"/>
      <c r="S282" s="1179"/>
      <c r="T282" s="1179"/>
      <c r="U282" s="1179"/>
      <c r="V282" s="1179"/>
      <c r="W282" s="1179"/>
      <c r="X282" s="1179"/>
      <c r="Y282" s="1179"/>
      <c r="Z282" s="1179"/>
      <c r="AA282" s="1179"/>
      <c r="AB282" s="1179"/>
      <c r="AC282" s="1179"/>
      <c r="AD282" s="1179"/>
      <c r="AK282" s="33"/>
      <c r="AL282" s="33"/>
      <c r="BA282" s="33"/>
    </row>
    <row r="283" spans="1:53" ht="12.95" customHeight="1">
      <c r="L283" s="3" t="s">
        <v>1097</v>
      </c>
      <c r="BA283" s="33"/>
    </row>
    <row r="284" spans="1:53" ht="12.95" customHeight="1">
      <c r="A284" s="1320" t="s">
        <v>1098</v>
      </c>
      <c r="B284" s="1320"/>
      <c r="C284" s="1320"/>
      <c r="D284" s="1320"/>
      <c r="E284" s="1320"/>
      <c r="F284" s="1320"/>
      <c r="G284" s="1320"/>
      <c r="H284" s="1320"/>
      <c r="I284" s="1320"/>
      <c r="J284" s="1320"/>
      <c r="K284" s="1320"/>
      <c r="L284" s="1320"/>
      <c r="M284" s="1320"/>
      <c r="N284" s="1320"/>
      <c r="O284" s="1320"/>
      <c r="P284" s="1320"/>
      <c r="Q284" s="1320"/>
      <c r="R284" s="1320"/>
      <c r="S284" s="1320"/>
      <c r="T284" s="1320"/>
      <c r="U284" s="1320"/>
      <c r="V284" s="1320"/>
      <c r="W284" s="1320"/>
      <c r="X284" s="1320"/>
      <c r="Y284" s="1320"/>
      <c r="Z284" s="1320"/>
      <c r="AA284" s="1320"/>
      <c r="AB284" s="1320"/>
      <c r="AC284" s="1320"/>
      <c r="AD284" s="1320"/>
      <c r="AE284" s="1320"/>
      <c r="AF284" s="1320"/>
      <c r="AG284" s="1320"/>
      <c r="AH284" s="1320"/>
      <c r="AI284" s="1320"/>
      <c r="AJ284" s="1320"/>
      <c r="AK284" s="1320"/>
      <c r="AL284" s="1320"/>
      <c r="BA284" s="33"/>
    </row>
    <row r="285" spans="1:53" ht="12.95" customHeight="1" thickBot="1">
      <c r="A285" s="1321"/>
      <c r="B285" s="1321"/>
      <c r="C285" s="1321"/>
      <c r="D285" s="1321"/>
      <c r="E285" s="1321"/>
      <c r="F285" s="1321"/>
      <c r="G285" s="1321"/>
      <c r="H285" s="1321"/>
      <c r="I285" s="1321"/>
      <c r="J285" s="1321"/>
      <c r="K285" s="1321"/>
      <c r="L285" s="1321"/>
      <c r="M285" s="1321"/>
      <c r="N285" s="1321"/>
      <c r="O285" s="1321"/>
      <c r="P285" s="1321"/>
      <c r="Q285" s="1321"/>
      <c r="R285" s="1321"/>
      <c r="S285" s="1321"/>
      <c r="T285" s="1321"/>
      <c r="U285" s="1321"/>
      <c r="V285" s="1321"/>
      <c r="W285" s="1321"/>
      <c r="X285" s="1321"/>
      <c r="Y285" s="1321"/>
      <c r="Z285" s="1321"/>
      <c r="AA285" s="1321"/>
      <c r="AB285" s="1321"/>
      <c r="AC285" s="1321"/>
      <c r="AD285" s="1321"/>
      <c r="AE285" s="1321"/>
      <c r="AF285" s="1321"/>
      <c r="AG285" s="1321"/>
      <c r="AH285" s="1321"/>
      <c r="AI285" s="1321"/>
      <c r="AJ285" s="1321"/>
      <c r="AK285" s="1321"/>
      <c r="AL285" s="1321"/>
      <c r="BA285" s="33"/>
    </row>
    <row r="286" spans="1:53" ht="12.95" customHeight="1" thickTop="1">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33"/>
      <c r="AL286" s="25"/>
      <c r="BA286" s="33"/>
    </row>
    <row r="287" spans="1:53" ht="12.95" customHeight="1">
      <c r="A287" s="2" t="s">
        <v>854</v>
      </c>
      <c r="C287" s="2" t="s">
        <v>1099</v>
      </c>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BA287" s="33"/>
    </row>
    <row r="288" spans="1:53" ht="12.95" customHeight="1">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BA288" s="33"/>
    </row>
    <row r="289" spans="2:53" ht="12.95" customHeight="1">
      <c r="B289" s="33" t="s">
        <v>1100</v>
      </c>
      <c r="C289" s="33"/>
      <c r="D289" s="33"/>
      <c r="E289" s="33"/>
      <c r="F289" s="33"/>
      <c r="H289" s="1181" t="s">
        <v>1101</v>
      </c>
      <c r="I289" s="1181"/>
      <c r="J289" s="1181"/>
      <c r="K289" s="1181"/>
      <c r="L289" s="1181"/>
      <c r="M289" s="1181"/>
      <c r="N289" s="1181"/>
      <c r="O289" s="1181"/>
      <c r="P289" s="1181"/>
      <c r="Q289" s="1181"/>
      <c r="R289" s="1181"/>
      <c r="T289" s="33" t="s">
        <v>1102</v>
      </c>
      <c r="V289" s="33"/>
      <c r="W289" s="33"/>
      <c r="X289" s="33"/>
      <c r="Y289" s="33"/>
      <c r="AA289" s="1181" t="s">
        <v>1103</v>
      </c>
      <c r="AB289" s="1181"/>
      <c r="AC289" s="1181"/>
      <c r="AD289" s="1181"/>
      <c r="AE289" s="1181"/>
      <c r="AF289" s="1181"/>
      <c r="AG289" s="1181"/>
      <c r="AH289" s="1181"/>
      <c r="AI289" s="1181"/>
      <c r="AJ289" s="1181"/>
      <c r="AK289" s="1181"/>
      <c r="BA289" s="33"/>
    </row>
    <row r="290" spans="2:53" ht="12.95" customHeight="1">
      <c r="B290" s="33" t="s">
        <v>1104</v>
      </c>
      <c r="C290" s="33"/>
      <c r="D290" s="33"/>
      <c r="E290" s="33"/>
      <c r="F290" s="33"/>
      <c r="H290" s="1183" t="s">
        <v>1105</v>
      </c>
      <c r="I290" s="1183"/>
      <c r="J290" s="1183"/>
      <c r="K290" s="1183"/>
      <c r="L290" s="1183"/>
      <c r="M290" s="1183"/>
      <c r="N290" s="1183"/>
      <c r="O290" s="1183"/>
      <c r="P290" s="1183"/>
      <c r="Q290" s="1183"/>
      <c r="R290" s="1183"/>
      <c r="T290" s="33" t="s">
        <v>1104</v>
      </c>
      <c r="V290" s="33"/>
      <c r="W290" s="33"/>
      <c r="X290" s="33"/>
      <c r="Y290" s="33"/>
      <c r="AA290" s="1183" t="s">
        <v>1106</v>
      </c>
      <c r="AB290" s="1183"/>
      <c r="AC290" s="1183"/>
      <c r="AD290" s="1183"/>
      <c r="AE290" s="1183"/>
      <c r="AF290" s="1183"/>
      <c r="AG290" s="1183"/>
      <c r="AH290" s="1183"/>
      <c r="AI290" s="1183"/>
      <c r="AJ290" s="1183"/>
      <c r="AK290" s="1183"/>
      <c r="BA290" s="33"/>
    </row>
    <row r="291" spans="2:53" ht="12.95" customHeight="1">
      <c r="B291" s="33" t="s">
        <v>1107</v>
      </c>
      <c r="C291" s="33"/>
      <c r="D291" s="33"/>
      <c r="E291" s="33"/>
      <c r="F291" s="33"/>
      <c r="H291" s="1183" t="s">
        <v>1108</v>
      </c>
      <c r="I291" s="1183"/>
      <c r="J291" s="1183"/>
      <c r="K291" s="1183"/>
      <c r="L291" s="1183"/>
      <c r="M291" s="1183"/>
      <c r="N291" s="1183"/>
      <c r="O291" s="1183"/>
      <c r="P291" s="1183"/>
      <c r="Q291" s="1183"/>
      <c r="R291" s="1183"/>
      <c r="T291" s="33" t="s">
        <v>1109</v>
      </c>
      <c r="V291" s="33"/>
      <c r="W291" s="33"/>
      <c r="X291" s="33"/>
      <c r="Y291" s="33"/>
      <c r="AA291" s="1183" t="s">
        <v>1110</v>
      </c>
      <c r="AB291" s="1183"/>
      <c r="AC291" s="1183"/>
      <c r="AD291" s="1183"/>
      <c r="AE291" s="1183"/>
      <c r="AF291" s="1183"/>
      <c r="AG291" s="1183"/>
      <c r="AH291" s="1183"/>
      <c r="AI291" s="1183"/>
      <c r="AJ291" s="1183"/>
      <c r="AK291" s="1183"/>
      <c r="BA291" s="33"/>
    </row>
    <row r="292" spans="2:53" ht="12.95" customHeight="1">
      <c r="B292" s="33" t="s">
        <v>1054</v>
      </c>
      <c r="C292" s="33"/>
      <c r="D292" s="33"/>
      <c r="E292" s="33"/>
      <c r="F292" s="33"/>
      <c r="H292" s="1183" t="s">
        <v>1111</v>
      </c>
      <c r="I292" s="1183"/>
      <c r="J292" s="1183"/>
      <c r="K292" s="1183"/>
      <c r="L292" s="1183"/>
      <c r="M292" s="1183"/>
      <c r="N292" s="1183"/>
      <c r="O292" s="1183"/>
      <c r="P292" s="1183"/>
      <c r="Q292" s="1183"/>
      <c r="R292" s="1183"/>
      <c r="T292" s="33" t="s">
        <v>1054</v>
      </c>
      <c r="V292" s="33"/>
      <c r="W292" s="33"/>
      <c r="X292" s="33"/>
      <c r="Y292" s="33"/>
      <c r="AA292" s="1183" t="s">
        <v>1112</v>
      </c>
      <c r="AB292" s="1183"/>
      <c r="AC292" s="1183"/>
      <c r="AD292" s="1183"/>
      <c r="AE292" s="1183"/>
      <c r="AF292" s="1183"/>
      <c r="AG292" s="1183"/>
      <c r="AH292" s="1183"/>
      <c r="AI292" s="1183"/>
      <c r="AJ292" s="1183"/>
      <c r="AK292" s="1183"/>
      <c r="BA292" s="33"/>
    </row>
    <row r="293" spans="2:53" ht="12.95" customHeight="1">
      <c r="B293" s="33" t="s">
        <v>1056</v>
      </c>
      <c r="C293" s="33"/>
      <c r="D293" s="33"/>
      <c r="E293" s="33"/>
      <c r="F293" s="33"/>
      <c r="G293" s="33"/>
      <c r="H293" s="1316" t="s">
        <v>1057</v>
      </c>
      <c r="I293" s="1316"/>
      <c r="J293" s="1316"/>
      <c r="K293" s="1316"/>
      <c r="L293" s="1316"/>
      <c r="M293" s="1316"/>
      <c r="N293" s="33" t="s">
        <v>1058</v>
      </c>
      <c r="O293" s="33"/>
      <c r="P293" s="1184"/>
      <c r="Q293" s="1184"/>
      <c r="R293" s="1184"/>
      <c r="S293" s="33"/>
      <c r="T293" s="33" t="s">
        <v>1056</v>
      </c>
      <c r="V293" s="33"/>
      <c r="W293" s="33"/>
      <c r="X293" s="33"/>
      <c r="Y293" s="33"/>
      <c r="AA293" s="1316" t="s">
        <v>1113</v>
      </c>
      <c r="AB293" s="1316"/>
      <c r="AC293" s="1316"/>
      <c r="AD293" s="1316"/>
      <c r="AE293" s="1316"/>
      <c r="AF293" s="1316"/>
      <c r="AG293" s="33" t="s">
        <v>1058</v>
      </c>
      <c r="AH293" s="33"/>
      <c r="AI293" s="1184"/>
      <c r="AJ293" s="1184"/>
      <c r="AK293" s="1184"/>
      <c r="BA293" s="33"/>
    </row>
    <row r="294" spans="2:53" ht="12.95" customHeight="1">
      <c r="B294" s="33" t="s">
        <v>1059</v>
      </c>
      <c r="C294" s="33"/>
      <c r="D294" s="33"/>
      <c r="E294" s="33"/>
      <c r="F294" s="33"/>
      <c r="G294" s="33"/>
      <c r="H294" s="1182"/>
      <c r="I294" s="1182"/>
      <c r="J294" s="1182"/>
      <c r="K294" s="1182"/>
      <c r="L294" s="1182"/>
      <c r="M294" s="1182"/>
      <c r="N294" s="33"/>
      <c r="O294" s="33"/>
      <c r="P294" s="760"/>
      <c r="Q294" s="760"/>
      <c r="R294" s="760"/>
      <c r="S294" s="33"/>
      <c r="T294" s="33" t="s">
        <v>1059</v>
      </c>
      <c r="V294" s="33"/>
      <c r="W294" s="33"/>
      <c r="X294" s="33"/>
      <c r="Y294" s="33"/>
      <c r="AA294" s="1182"/>
      <c r="AB294" s="1182"/>
      <c r="AC294" s="1182"/>
      <c r="AD294" s="1182"/>
      <c r="AE294" s="1182"/>
      <c r="AF294" s="1182"/>
      <c r="AG294" s="33"/>
      <c r="AH294" s="33"/>
      <c r="AI294" s="760"/>
      <c r="AJ294" s="760"/>
      <c r="AK294" s="760"/>
      <c r="BA294" s="33"/>
    </row>
    <row r="295" spans="2:53" ht="12.95" customHeight="1">
      <c r="B295" s="33" t="s">
        <v>1114</v>
      </c>
      <c r="C295" s="33"/>
      <c r="D295" s="33"/>
      <c r="E295" s="33"/>
      <c r="F295" s="33"/>
      <c r="G295" s="33"/>
      <c r="H295" s="1183" t="s">
        <v>1115</v>
      </c>
      <c r="I295" s="1183"/>
      <c r="J295" s="1183"/>
      <c r="K295" s="1183"/>
      <c r="L295" s="1183"/>
      <c r="M295" s="1183"/>
      <c r="N295" s="1181"/>
      <c r="O295" s="1181"/>
      <c r="P295" s="1181"/>
      <c r="Q295" s="1181"/>
      <c r="R295" s="1181"/>
      <c r="S295" s="33"/>
      <c r="T295" s="33" t="s">
        <v>1114</v>
      </c>
      <c r="V295" s="33"/>
      <c r="W295" s="33"/>
      <c r="X295" s="33"/>
      <c r="Y295" s="33"/>
      <c r="AA295" s="926" t="s">
        <v>1116</v>
      </c>
      <c r="AB295" s="926"/>
      <c r="AC295" s="926"/>
      <c r="AD295" s="926"/>
      <c r="AE295" s="926"/>
      <c r="AF295" s="926"/>
      <c r="AG295" s="925"/>
      <c r="AH295" s="925"/>
      <c r="AI295" s="925"/>
      <c r="AJ295" s="925"/>
      <c r="AK295" s="925"/>
      <c r="BA295" s="33"/>
    </row>
    <row r="296" spans="2:53" ht="12.95" customHeight="1">
      <c r="B296" s="33"/>
      <c r="C296" s="33"/>
      <c r="D296" s="33"/>
      <c r="E296" s="33"/>
      <c r="F296" s="33"/>
      <c r="G296" s="33"/>
      <c r="H296" s="33"/>
      <c r="I296" s="33"/>
      <c r="J296" s="33"/>
      <c r="K296" s="33"/>
      <c r="L296" s="33"/>
      <c r="M296" s="33"/>
      <c r="N296" s="33"/>
      <c r="O296" s="33"/>
      <c r="P296" s="33"/>
      <c r="Q296" s="33"/>
      <c r="R296" s="33"/>
      <c r="S296" s="33"/>
      <c r="T296" s="33"/>
      <c r="V296" s="33"/>
      <c r="W296" s="33"/>
      <c r="X296" s="33"/>
      <c r="Y296" s="33"/>
      <c r="AA296" s="33"/>
      <c r="AB296" s="33"/>
      <c r="AC296" s="33"/>
      <c r="AD296" s="33"/>
      <c r="AE296" s="33"/>
      <c r="AF296" s="33"/>
      <c r="AG296" s="33"/>
      <c r="AH296" s="33"/>
      <c r="AI296" s="33"/>
      <c r="AJ296" s="33"/>
      <c r="AK296" s="33"/>
      <c r="BA296" s="33"/>
    </row>
    <row r="297" spans="2:53" ht="12.95" customHeight="1">
      <c r="B297" s="33" t="s">
        <v>1117</v>
      </c>
      <c r="C297" s="33"/>
      <c r="D297" s="33"/>
      <c r="E297" s="33"/>
      <c r="F297" s="33"/>
      <c r="H297" s="1181" t="s">
        <v>1118</v>
      </c>
      <c r="I297" s="1181"/>
      <c r="J297" s="1181"/>
      <c r="K297" s="1181"/>
      <c r="L297" s="1181"/>
      <c r="M297" s="1181"/>
      <c r="N297" s="1181"/>
      <c r="O297" s="1181"/>
      <c r="P297" s="1181"/>
      <c r="Q297" s="1181"/>
      <c r="R297" s="1181"/>
      <c r="T297" s="33" t="s">
        <v>1119</v>
      </c>
      <c r="V297" s="33"/>
      <c r="W297" s="33"/>
      <c r="X297" s="33"/>
      <c r="Y297" s="33"/>
      <c r="AA297" s="1181" t="s">
        <v>1120</v>
      </c>
      <c r="AB297" s="1181"/>
      <c r="AC297" s="1181"/>
      <c r="AD297" s="1181"/>
      <c r="AE297" s="1181"/>
      <c r="AF297" s="1181"/>
      <c r="AG297" s="1181"/>
      <c r="AH297" s="1181"/>
      <c r="AI297" s="1181"/>
      <c r="AJ297" s="1181"/>
      <c r="AK297" s="1181"/>
      <c r="BA297" s="33"/>
    </row>
    <row r="298" spans="2:53" ht="12.95" customHeight="1">
      <c r="B298" s="33" t="s">
        <v>1104</v>
      </c>
      <c r="C298" s="33"/>
      <c r="D298" s="33"/>
      <c r="E298" s="33"/>
      <c r="F298" s="33"/>
      <c r="H298" s="1183" t="s">
        <v>1121</v>
      </c>
      <c r="I298" s="1183"/>
      <c r="J298" s="1183"/>
      <c r="K298" s="1183"/>
      <c r="L298" s="1183"/>
      <c r="M298" s="1183"/>
      <c r="N298" s="1183"/>
      <c r="O298" s="1183"/>
      <c r="P298" s="1183"/>
      <c r="Q298" s="1183"/>
      <c r="R298" s="1183"/>
      <c r="T298" s="33" t="s">
        <v>1104</v>
      </c>
      <c r="V298" s="33"/>
      <c r="W298" s="33"/>
      <c r="X298" s="33"/>
      <c r="Y298" s="33"/>
      <c r="AA298" s="1183"/>
      <c r="AB298" s="1183"/>
      <c r="AC298" s="1183"/>
      <c r="AD298" s="1183"/>
      <c r="AE298" s="1183"/>
      <c r="AF298" s="1183"/>
      <c r="AG298" s="1183"/>
      <c r="AH298" s="1183"/>
      <c r="AI298" s="1183"/>
      <c r="AJ298" s="1183"/>
      <c r="AK298" s="1183"/>
      <c r="BA298" s="33"/>
    </row>
    <row r="299" spans="2:53" ht="12.95" customHeight="1">
      <c r="B299" s="33" t="s">
        <v>1107</v>
      </c>
      <c r="C299" s="33"/>
      <c r="D299" s="33"/>
      <c r="E299" s="33"/>
      <c r="F299" s="33"/>
      <c r="H299" s="1183" t="s">
        <v>1122</v>
      </c>
      <c r="I299" s="1183"/>
      <c r="J299" s="1183"/>
      <c r="K299" s="1183"/>
      <c r="L299" s="1183"/>
      <c r="M299" s="1183"/>
      <c r="N299" s="1183"/>
      <c r="O299" s="1183"/>
      <c r="P299" s="1183"/>
      <c r="Q299" s="1183"/>
      <c r="R299" s="1183"/>
      <c r="T299" s="33" t="s">
        <v>1109</v>
      </c>
      <c r="V299" s="33"/>
      <c r="W299" s="33"/>
      <c r="X299" s="33"/>
      <c r="Y299" s="33"/>
      <c r="AA299" s="1183"/>
      <c r="AB299" s="1183"/>
      <c r="AC299" s="1183"/>
      <c r="AD299" s="1183"/>
      <c r="AE299" s="1183"/>
      <c r="AF299" s="1183"/>
      <c r="AG299" s="1183"/>
      <c r="AH299" s="1183"/>
      <c r="AI299" s="1183"/>
      <c r="AJ299" s="1183"/>
      <c r="AK299" s="1183"/>
      <c r="BA299" s="33"/>
    </row>
    <row r="300" spans="2:53" ht="12.95" customHeight="1">
      <c r="B300" s="33" t="s">
        <v>1054</v>
      </c>
      <c r="C300" s="33"/>
      <c r="D300" s="33"/>
      <c r="E300" s="33"/>
      <c r="F300" s="33"/>
      <c r="H300" s="1183" t="s">
        <v>1123</v>
      </c>
      <c r="I300" s="1183"/>
      <c r="J300" s="1183"/>
      <c r="K300" s="1183"/>
      <c r="L300" s="1183"/>
      <c r="M300" s="1183"/>
      <c r="N300" s="1183"/>
      <c r="O300" s="1183"/>
      <c r="P300" s="1183"/>
      <c r="Q300" s="1183"/>
      <c r="R300" s="1183"/>
      <c r="T300" s="33" t="s">
        <v>1054</v>
      </c>
      <c r="V300" s="33"/>
      <c r="W300" s="33"/>
      <c r="X300" s="33"/>
      <c r="Y300" s="33"/>
      <c r="AA300" s="1183"/>
      <c r="AB300" s="1183"/>
      <c r="AC300" s="1183"/>
      <c r="AD300" s="1183"/>
      <c r="AE300" s="1183"/>
      <c r="AF300" s="1183"/>
      <c r="AG300" s="1183"/>
      <c r="AH300" s="1183"/>
      <c r="AI300" s="1183"/>
      <c r="AJ300" s="1183"/>
      <c r="AK300" s="1183"/>
      <c r="BA300" s="33"/>
    </row>
    <row r="301" spans="2:53" ht="12.95" customHeight="1">
      <c r="B301" s="33" t="s">
        <v>1056</v>
      </c>
      <c r="C301" s="33"/>
      <c r="D301" s="33"/>
      <c r="E301" s="33"/>
      <c r="F301" s="33"/>
      <c r="G301" s="33"/>
      <c r="H301" s="1316" t="s">
        <v>1124</v>
      </c>
      <c r="I301" s="1316"/>
      <c r="J301" s="1316"/>
      <c r="K301" s="1316"/>
      <c r="L301" s="1316"/>
      <c r="M301" s="1316"/>
      <c r="N301" s="33" t="s">
        <v>1058</v>
      </c>
      <c r="O301" s="33"/>
      <c r="P301" s="1184">
        <v>6</v>
      </c>
      <c r="Q301" s="1184"/>
      <c r="R301" s="1184"/>
      <c r="S301" s="33"/>
      <c r="T301" s="33" t="s">
        <v>1056</v>
      </c>
      <c r="V301" s="33"/>
      <c r="W301" s="33"/>
      <c r="X301" s="33"/>
      <c r="Y301" s="33"/>
      <c r="AA301" s="1316"/>
      <c r="AB301" s="1316"/>
      <c r="AC301" s="1316"/>
      <c r="AD301" s="1316"/>
      <c r="AE301" s="1316"/>
      <c r="AF301" s="1316"/>
      <c r="AG301" s="33" t="s">
        <v>1058</v>
      </c>
      <c r="AH301" s="33"/>
      <c r="AI301" s="1184"/>
      <c r="AJ301" s="1184"/>
      <c r="AK301" s="1184"/>
      <c r="BA301" s="33"/>
    </row>
    <row r="302" spans="2:53" ht="12.95" customHeight="1">
      <c r="B302" s="33" t="s">
        <v>1059</v>
      </c>
      <c r="C302" s="33"/>
      <c r="D302" s="33"/>
      <c r="E302" s="33"/>
      <c r="F302" s="33"/>
      <c r="G302" s="33"/>
      <c r="H302" s="1182"/>
      <c r="I302" s="1182"/>
      <c r="J302" s="1182"/>
      <c r="K302" s="1182"/>
      <c r="L302" s="1182"/>
      <c r="M302" s="1182"/>
      <c r="N302" s="33"/>
      <c r="O302" s="33"/>
      <c r="P302" s="760"/>
      <c r="Q302" s="760"/>
      <c r="R302" s="760"/>
      <c r="S302" s="33"/>
      <c r="T302" s="33" t="s">
        <v>1059</v>
      </c>
      <c r="V302" s="33"/>
      <c r="W302" s="33"/>
      <c r="X302" s="33"/>
      <c r="Y302" s="33"/>
      <c r="AA302" s="1182"/>
      <c r="AB302" s="1182"/>
      <c r="AC302" s="1182"/>
      <c r="AD302" s="1182"/>
      <c r="AE302" s="1182"/>
      <c r="AF302" s="1182"/>
      <c r="AG302" s="33"/>
      <c r="AH302" s="33"/>
      <c r="AI302" s="760"/>
      <c r="AJ302" s="760"/>
      <c r="AK302" s="760"/>
      <c r="BA302" s="33"/>
    </row>
    <row r="303" spans="2:53" ht="12.95" customHeight="1">
      <c r="B303" s="33" t="s">
        <v>1114</v>
      </c>
      <c r="C303" s="33"/>
      <c r="D303" s="33"/>
      <c r="E303" s="33"/>
      <c r="F303" s="33"/>
      <c r="G303" s="33"/>
      <c r="H303" s="1183" t="s">
        <v>1125</v>
      </c>
      <c r="I303" s="1183"/>
      <c r="J303" s="1183"/>
      <c r="K303" s="1183"/>
      <c r="L303" s="1183"/>
      <c r="M303" s="1183"/>
      <c r="N303" s="1181"/>
      <c r="O303" s="1181"/>
      <c r="P303" s="1181"/>
      <c r="Q303" s="1181"/>
      <c r="R303" s="1181"/>
      <c r="S303" s="33"/>
      <c r="T303" s="33" t="s">
        <v>1114</v>
      </c>
      <c r="V303" s="33"/>
      <c r="W303" s="33"/>
      <c r="X303" s="33"/>
      <c r="Y303" s="33"/>
      <c r="AA303" s="1183"/>
      <c r="AB303" s="1183"/>
      <c r="AC303" s="1183"/>
      <c r="AD303" s="1183"/>
      <c r="AE303" s="1183"/>
      <c r="AF303" s="1183"/>
      <c r="AG303" s="1181"/>
      <c r="AH303" s="1181"/>
      <c r="AI303" s="1181"/>
      <c r="AJ303" s="1181"/>
      <c r="AK303" s="1181"/>
      <c r="BA303" s="33"/>
    </row>
    <row r="304" spans="2:53" ht="12.95" customHeight="1">
      <c r="BA304" s="33"/>
    </row>
    <row r="305" spans="2:53" ht="12.95" customHeight="1">
      <c r="B305" s="33" t="s">
        <v>1126</v>
      </c>
      <c r="C305" s="33"/>
      <c r="D305" s="33"/>
      <c r="E305" s="33"/>
      <c r="F305" s="33"/>
      <c r="H305" s="925" t="s">
        <v>1118</v>
      </c>
      <c r="I305" s="925"/>
      <c r="J305" s="925"/>
      <c r="K305" s="925"/>
      <c r="L305" s="925"/>
      <c r="M305" s="925"/>
      <c r="N305" s="925"/>
      <c r="O305" s="925"/>
      <c r="P305" s="925"/>
      <c r="Q305" s="925"/>
      <c r="R305" s="925"/>
      <c r="T305" s="33" t="s">
        <v>1127</v>
      </c>
      <c r="V305" s="33"/>
      <c r="W305" s="33"/>
      <c r="X305" s="33"/>
      <c r="Y305" s="33"/>
      <c r="AA305" s="1181"/>
      <c r="AB305" s="1181"/>
      <c r="AC305" s="1181"/>
      <c r="AD305" s="1181"/>
      <c r="AE305" s="1181"/>
      <c r="AF305" s="1181"/>
      <c r="AG305" s="1181"/>
      <c r="AH305" s="1181"/>
      <c r="AI305" s="1181"/>
      <c r="AJ305" s="1181"/>
      <c r="AK305" s="1181"/>
      <c r="BA305" s="33"/>
    </row>
    <row r="306" spans="2:53" ht="12.95" customHeight="1">
      <c r="B306" s="33" t="s">
        <v>1104</v>
      </c>
      <c r="C306" s="33"/>
      <c r="D306" s="33"/>
      <c r="E306" s="33"/>
      <c r="F306" s="33"/>
      <c r="H306" s="1179" t="s">
        <v>1121</v>
      </c>
      <c r="I306" s="1183"/>
      <c r="J306" s="1183"/>
      <c r="K306" s="1183"/>
      <c r="L306" s="1183"/>
      <c r="M306" s="1183"/>
      <c r="N306" s="1183"/>
      <c r="O306" s="1183"/>
      <c r="P306" s="1183"/>
      <c r="Q306" s="1183"/>
      <c r="R306" s="1183"/>
      <c r="T306" s="33" t="s">
        <v>1104</v>
      </c>
      <c r="V306" s="33"/>
      <c r="W306" s="33"/>
      <c r="X306" s="33"/>
      <c r="Y306" s="33"/>
      <c r="AA306" s="1183"/>
      <c r="AB306" s="1183"/>
      <c r="AC306" s="1183"/>
      <c r="AD306" s="1183"/>
      <c r="AE306" s="1183"/>
      <c r="AF306" s="1183"/>
      <c r="AG306" s="1183"/>
      <c r="AH306" s="1183"/>
      <c r="AI306" s="1183"/>
      <c r="AJ306" s="1183"/>
      <c r="AK306" s="1183"/>
      <c r="BA306" s="33"/>
    </row>
    <row r="307" spans="2:53" ht="12.95" customHeight="1">
      <c r="B307" s="33" t="s">
        <v>1107</v>
      </c>
      <c r="C307" s="33"/>
      <c r="D307" s="33"/>
      <c r="E307" s="33"/>
      <c r="F307" s="33"/>
      <c r="H307" s="1179" t="s">
        <v>1122</v>
      </c>
      <c r="I307" s="1183"/>
      <c r="J307" s="1183"/>
      <c r="K307" s="1183"/>
      <c r="L307" s="1183"/>
      <c r="M307" s="1183"/>
      <c r="N307" s="1183"/>
      <c r="O307" s="1183"/>
      <c r="P307" s="1183"/>
      <c r="Q307" s="1183"/>
      <c r="R307" s="1183"/>
      <c r="T307" s="33" t="s">
        <v>1109</v>
      </c>
      <c r="V307" s="33"/>
      <c r="W307" s="33"/>
      <c r="X307" s="33"/>
      <c r="Y307" s="33"/>
      <c r="AA307" s="1183"/>
      <c r="AB307" s="1183"/>
      <c r="AC307" s="1183"/>
      <c r="AD307" s="1183"/>
      <c r="AE307" s="1183"/>
      <c r="AF307" s="1183"/>
      <c r="AG307" s="1183"/>
      <c r="AH307" s="1183"/>
      <c r="AI307" s="1183"/>
      <c r="AJ307" s="1183"/>
      <c r="AK307" s="1183"/>
      <c r="BA307" s="33"/>
    </row>
    <row r="308" spans="2:53" ht="12.95" customHeight="1">
      <c r="B308" s="33" t="s">
        <v>1054</v>
      </c>
      <c r="C308" s="33"/>
      <c r="D308" s="33"/>
      <c r="E308" s="33"/>
      <c r="F308" s="33"/>
      <c r="H308" s="1183" t="s">
        <v>1123</v>
      </c>
      <c r="I308" s="1183"/>
      <c r="J308" s="1183"/>
      <c r="K308" s="1183"/>
      <c r="L308" s="1183"/>
      <c r="M308" s="1183"/>
      <c r="N308" s="1183"/>
      <c r="O308" s="1183"/>
      <c r="P308" s="1183"/>
      <c r="Q308" s="1183"/>
      <c r="R308" s="1183"/>
      <c r="T308" s="33" t="s">
        <v>1054</v>
      </c>
      <c r="V308" s="33"/>
      <c r="W308" s="33"/>
      <c r="X308" s="33"/>
      <c r="Y308" s="33"/>
      <c r="AA308" s="1183"/>
      <c r="AB308" s="1183"/>
      <c r="AC308" s="1183"/>
      <c r="AD308" s="1183"/>
      <c r="AE308" s="1183"/>
      <c r="AF308" s="1183"/>
      <c r="AG308" s="1183"/>
      <c r="AH308" s="1183"/>
      <c r="AI308" s="1183"/>
      <c r="AJ308" s="1183"/>
      <c r="AK308" s="1183"/>
      <c r="BA308" s="33"/>
    </row>
    <row r="309" spans="2:53" ht="12.95" customHeight="1">
      <c r="B309" s="33" t="s">
        <v>1056</v>
      </c>
      <c r="C309" s="33"/>
      <c r="D309" s="33"/>
      <c r="E309" s="33"/>
      <c r="F309" s="33"/>
      <c r="G309" s="33"/>
      <c r="H309" s="1316" t="s">
        <v>1124</v>
      </c>
      <c r="I309" s="1316"/>
      <c r="J309" s="1316"/>
      <c r="K309" s="1316"/>
      <c r="L309" s="1316"/>
      <c r="M309" s="1316"/>
      <c r="N309" s="33" t="s">
        <v>1058</v>
      </c>
      <c r="O309" s="33"/>
      <c r="P309" s="1184">
        <v>6</v>
      </c>
      <c r="Q309" s="1184"/>
      <c r="R309" s="1184"/>
      <c r="S309" s="33"/>
      <c r="T309" s="33" t="s">
        <v>1056</v>
      </c>
      <c r="V309" s="33"/>
      <c r="W309" s="33"/>
      <c r="X309" s="33"/>
      <c r="Y309" s="33"/>
      <c r="AA309" s="1316"/>
      <c r="AB309" s="1316"/>
      <c r="AC309" s="1316"/>
      <c r="AD309" s="1316"/>
      <c r="AE309" s="1316"/>
      <c r="AF309" s="1316"/>
      <c r="AG309" s="33" t="s">
        <v>1058</v>
      </c>
      <c r="AH309" s="33"/>
      <c r="AI309" s="1184"/>
      <c r="AJ309" s="1184"/>
      <c r="AK309" s="1184"/>
      <c r="BA309" s="33"/>
    </row>
    <row r="310" spans="2:53" ht="12.95" customHeight="1">
      <c r="B310" s="33" t="s">
        <v>1059</v>
      </c>
      <c r="C310" s="33"/>
      <c r="D310" s="33"/>
      <c r="E310" s="33"/>
      <c r="F310" s="33"/>
      <c r="G310" s="33"/>
      <c r="H310" s="1182"/>
      <c r="I310" s="1182"/>
      <c r="J310" s="1182"/>
      <c r="K310" s="1182"/>
      <c r="L310" s="1182"/>
      <c r="M310" s="1182"/>
      <c r="N310" s="33"/>
      <c r="O310" s="33"/>
      <c r="P310" s="760"/>
      <c r="Q310" s="760"/>
      <c r="R310" s="760"/>
      <c r="S310" s="33"/>
      <c r="T310" s="33" t="s">
        <v>1059</v>
      </c>
      <c r="V310" s="33"/>
      <c r="W310" s="33"/>
      <c r="X310" s="33"/>
      <c r="Y310" s="33"/>
      <c r="AA310" s="1182"/>
      <c r="AB310" s="1182"/>
      <c r="AC310" s="1182"/>
      <c r="AD310" s="1182"/>
      <c r="AE310" s="1182"/>
      <c r="AF310" s="1182"/>
      <c r="AG310" s="33"/>
      <c r="AH310" s="33"/>
      <c r="AI310" s="760"/>
      <c r="AJ310" s="760"/>
      <c r="AK310" s="760"/>
      <c r="BA310" s="33"/>
    </row>
    <row r="311" spans="2:53" ht="12.95" customHeight="1">
      <c r="B311" s="33" t="s">
        <v>1114</v>
      </c>
      <c r="C311" s="33"/>
      <c r="D311" s="33"/>
      <c r="E311" s="33"/>
      <c r="F311" s="33"/>
      <c r="G311" s="33"/>
      <c r="H311" s="1183" t="s">
        <v>1125</v>
      </c>
      <c r="I311" s="1183"/>
      <c r="J311" s="1183"/>
      <c r="K311" s="1183"/>
      <c r="L311" s="1183"/>
      <c r="M311" s="1183"/>
      <c r="N311" s="1181"/>
      <c r="O311" s="1181"/>
      <c r="P311" s="1181"/>
      <c r="Q311" s="1181"/>
      <c r="R311" s="1181"/>
      <c r="S311" s="33"/>
      <c r="T311" s="33" t="s">
        <v>1114</v>
      </c>
      <c r="V311" s="33"/>
      <c r="W311" s="33"/>
      <c r="X311" s="33"/>
      <c r="Y311" s="33"/>
      <c r="AA311" s="1183"/>
      <c r="AB311" s="1183"/>
      <c r="AC311" s="1183"/>
      <c r="AD311" s="1183"/>
      <c r="AE311" s="1183"/>
      <c r="AF311" s="1183"/>
      <c r="AG311" s="1181"/>
      <c r="AH311" s="1181"/>
      <c r="AI311" s="1181"/>
      <c r="AJ311" s="1181"/>
      <c r="AK311" s="1181"/>
      <c r="BA311" s="33"/>
    </row>
    <row r="312" spans="2:53" ht="12.95" customHeight="1">
      <c r="BA312" s="33"/>
    </row>
    <row r="313" spans="2:53" ht="12.95" customHeight="1">
      <c r="B313" s="33" t="s">
        <v>1128</v>
      </c>
      <c r="C313" s="33"/>
      <c r="D313" s="33"/>
      <c r="E313" s="33"/>
      <c r="F313" s="33"/>
      <c r="H313" s="925" t="s">
        <v>1129</v>
      </c>
      <c r="I313" s="925"/>
      <c r="J313" s="925"/>
      <c r="K313" s="925"/>
      <c r="L313" s="925"/>
      <c r="M313" s="925"/>
      <c r="N313" s="925"/>
      <c r="O313" s="925"/>
      <c r="P313" s="925"/>
      <c r="Q313" s="925"/>
      <c r="R313" s="925"/>
      <c r="T313" s="33" t="s">
        <v>1130</v>
      </c>
      <c r="V313" s="33"/>
      <c r="W313" s="33"/>
      <c r="X313" s="33"/>
      <c r="Y313" s="33"/>
      <c r="AA313" s="925" t="s">
        <v>1131</v>
      </c>
      <c r="AB313" s="925"/>
      <c r="AC313" s="925"/>
      <c r="AD313" s="925"/>
      <c r="AE313" s="925"/>
      <c r="AF313" s="925"/>
      <c r="AG313" s="925"/>
      <c r="AH313" s="925"/>
      <c r="AI313" s="925"/>
      <c r="AJ313" s="925"/>
      <c r="AK313" s="925"/>
      <c r="BA313" s="33"/>
    </row>
    <row r="314" spans="2:53" ht="12.95" customHeight="1">
      <c r="B314" s="33" t="s">
        <v>1104</v>
      </c>
      <c r="C314" s="33"/>
      <c r="D314" s="33"/>
      <c r="E314" s="33"/>
      <c r="F314" s="33"/>
      <c r="H314" s="1179" t="s">
        <v>1132</v>
      </c>
      <c r="I314" s="1183"/>
      <c r="J314" s="1183"/>
      <c r="K314" s="1183"/>
      <c r="L314" s="1183"/>
      <c r="M314" s="1183"/>
      <c r="N314" s="1183"/>
      <c r="O314" s="1183"/>
      <c r="P314" s="1183"/>
      <c r="Q314" s="1183"/>
      <c r="R314" s="1183"/>
      <c r="T314" s="33" t="s">
        <v>1104</v>
      </c>
      <c r="V314" s="33"/>
      <c r="W314" s="33"/>
      <c r="X314" s="33"/>
      <c r="Y314" s="33"/>
      <c r="AA314" s="1183"/>
      <c r="AB314" s="1183"/>
      <c r="AC314" s="1183"/>
      <c r="AD314" s="1183"/>
      <c r="AE314" s="1183"/>
      <c r="AF314" s="1183"/>
      <c r="AG314" s="1183"/>
      <c r="AH314" s="1183"/>
      <c r="AI314" s="1183"/>
      <c r="AJ314" s="1183"/>
      <c r="AK314" s="1183"/>
      <c r="BA314" s="33"/>
    </row>
    <row r="315" spans="2:53" ht="12.95" customHeight="1">
      <c r="B315" s="33" t="s">
        <v>1107</v>
      </c>
      <c r="C315" s="33"/>
      <c r="D315" s="33"/>
      <c r="E315" s="33"/>
      <c r="F315" s="33"/>
      <c r="H315" s="1179" t="s">
        <v>1133</v>
      </c>
      <c r="I315" s="1183"/>
      <c r="J315" s="1183"/>
      <c r="K315" s="1183"/>
      <c r="L315" s="1183"/>
      <c r="M315" s="1183"/>
      <c r="N315" s="1183"/>
      <c r="O315" s="1183"/>
      <c r="P315" s="1183"/>
      <c r="Q315" s="1183"/>
      <c r="R315" s="1183"/>
      <c r="T315" s="33" t="s">
        <v>1109</v>
      </c>
      <c r="V315" s="33"/>
      <c r="W315" s="33"/>
      <c r="X315" s="33"/>
      <c r="Y315" s="33"/>
      <c r="AA315" s="1183"/>
      <c r="AB315" s="1183"/>
      <c r="AC315" s="1183"/>
      <c r="AD315" s="1183"/>
      <c r="AE315" s="1183"/>
      <c r="AF315" s="1183"/>
      <c r="AG315" s="1183"/>
      <c r="AH315" s="1183"/>
      <c r="AI315" s="1183"/>
      <c r="AJ315" s="1183"/>
      <c r="AK315" s="1183"/>
      <c r="BA315" s="33"/>
    </row>
    <row r="316" spans="2:53" ht="12.95" customHeight="1">
      <c r="B316" s="33" t="s">
        <v>1054</v>
      </c>
      <c r="C316" s="33"/>
      <c r="D316" s="33"/>
      <c r="E316" s="33"/>
      <c r="F316" s="33"/>
      <c r="H316" s="1183" t="s">
        <v>1134</v>
      </c>
      <c r="I316" s="1183"/>
      <c r="J316" s="1183"/>
      <c r="K316" s="1183"/>
      <c r="L316" s="1183"/>
      <c r="M316" s="1183"/>
      <c r="N316" s="1183"/>
      <c r="O316" s="1183"/>
      <c r="P316" s="1183"/>
      <c r="Q316" s="1183"/>
      <c r="R316" s="1183"/>
      <c r="T316" s="33" t="s">
        <v>1054</v>
      </c>
      <c r="V316" s="33"/>
      <c r="W316" s="33"/>
      <c r="X316" s="33"/>
      <c r="Y316" s="33"/>
      <c r="AA316" s="1183"/>
      <c r="AB316" s="1183"/>
      <c r="AC316" s="1183"/>
      <c r="AD316" s="1183"/>
      <c r="AE316" s="1183"/>
      <c r="AF316" s="1183"/>
      <c r="AG316" s="1183"/>
      <c r="AH316" s="1183"/>
      <c r="AI316" s="1183"/>
      <c r="AJ316" s="1183"/>
      <c r="AK316" s="1183"/>
      <c r="BA316" s="33"/>
    </row>
    <row r="317" spans="2:53" ht="12.95" customHeight="1">
      <c r="B317" s="33" t="s">
        <v>1056</v>
      </c>
      <c r="C317" s="33"/>
      <c r="D317" s="33"/>
      <c r="E317" s="33"/>
      <c r="F317" s="33"/>
      <c r="G317" s="33"/>
      <c r="H317" s="1316" t="s">
        <v>1135</v>
      </c>
      <c r="I317" s="1316"/>
      <c r="J317" s="1316"/>
      <c r="K317" s="1316"/>
      <c r="L317" s="1316"/>
      <c r="M317" s="1316"/>
      <c r="N317" s="33" t="s">
        <v>1058</v>
      </c>
      <c r="O317" s="33"/>
      <c r="P317" s="1184"/>
      <c r="Q317" s="1184"/>
      <c r="R317" s="1184"/>
      <c r="S317" s="33"/>
      <c r="T317" s="33" t="s">
        <v>1056</v>
      </c>
      <c r="V317" s="33"/>
      <c r="W317" s="33"/>
      <c r="X317" s="33"/>
      <c r="Y317" s="33"/>
      <c r="AA317" s="1316"/>
      <c r="AB317" s="1316"/>
      <c r="AC317" s="1316"/>
      <c r="AD317" s="1316"/>
      <c r="AE317" s="1316"/>
      <c r="AF317" s="1316"/>
      <c r="AG317" s="33" t="s">
        <v>1058</v>
      </c>
      <c r="AH317" s="33"/>
      <c r="AI317" s="1184"/>
      <c r="AJ317" s="1184"/>
      <c r="AK317" s="1184"/>
      <c r="BA317" s="33"/>
    </row>
    <row r="318" spans="2:53" ht="12.95" customHeight="1">
      <c r="B318" s="33" t="s">
        <v>1059</v>
      </c>
      <c r="C318" s="33"/>
      <c r="D318" s="33"/>
      <c r="E318" s="33"/>
      <c r="F318" s="33"/>
      <c r="G318" s="33"/>
      <c r="H318" s="1182" t="s">
        <v>1136</v>
      </c>
      <c r="I318" s="1182"/>
      <c r="J318" s="1182"/>
      <c r="K318" s="1182"/>
      <c r="L318" s="1182"/>
      <c r="M318" s="1182"/>
      <c r="N318" s="33"/>
      <c r="O318" s="33"/>
      <c r="P318" s="760"/>
      <c r="Q318" s="760"/>
      <c r="R318" s="760"/>
      <c r="S318" s="33"/>
      <c r="T318" s="33" t="s">
        <v>1059</v>
      </c>
      <c r="V318" s="33"/>
      <c r="W318" s="33"/>
      <c r="X318" s="33"/>
      <c r="Y318" s="33"/>
      <c r="AA318" s="1182"/>
      <c r="AB318" s="1182"/>
      <c r="AC318" s="1182"/>
      <c r="AD318" s="1182"/>
      <c r="AE318" s="1182"/>
      <c r="AF318" s="1182"/>
      <c r="AG318" s="33"/>
      <c r="AH318" s="33"/>
      <c r="AI318" s="760"/>
      <c r="AJ318" s="760"/>
      <c r="AK318" s="760"/>
      <c r="BA318" s="33"/>
    </row>
    <row r="319" spans="2:53" ht="12.95" customHeight="1">
      <c r="B319" s="33" t="s">
        <v>1114</v>
      </c>
      <c r="C319" s="33"/>
      <c r="D319" s="33"/>
      <c r="E319" s="33"/>
      <c r="F319" s="33"/>
      <c r="G319" s="33"/>
      <c r="H319" s="926" t="s">
        <v>1137</v>
      </c>
      <c r="I319" s="926"/>
      <c r="J319" s="926"/>
      <c r="K319" s="926"/>
      <c r="L319" s="926"/>
      <c r="M319" s="926"/>
      <c r="N319" s="925"/>
      <c r="O319" s="925"/>
      <c r="P319" s="925"/>
      <c r="Q319" s="925"/>
      <c r="R319" s="925"/>
      <c r="S319" s="33"/>
      <c r="T319" s="33" t="s">
        <v>1114</v>
      </c>
      <c r="V319" s="33"/>
      <c r="W319" s="33"/>
      <c r="X319" s="33"/>
      <c r="Y319" s="33"/>
      <c r="AA319" s="1183"/>
      <c r="AB319" s="1183"/>
      <c r="AC319" s="1183"/>
      <c r="AD319" s="1183"/>
      <c r="AE319" s="1183"/>
      <c r="AF319" s="1183"/>
      <c r="AG319" s="1181"/>
      <c r="AH319" s="1181"/>
      <c r="AI319" s="1181"/>
      <c r="AJ319" s="1181"/>
      <c r="AK319" s="1181"/>
      <c r="BA319" s="33"/>
    </row>
    <row r="320" spans="2:53" ht="12.95" customHeight="1">
      <c r="B320" s="33"/>
      <c r="C320" s="33"/>
      <c r="D320" s="33"/>
      <c r="E320" s="33"/>
      <c r="F320" s="33"/>
      <c r="G320" s="33"/>
      <c r="P320" s="871"/>
      <c r="Q320" s="871"/>
      <c r="R320" s="871"/>
      <c r="S320" s="871"/>
      <c r="T320" s="871"/>
      <c r="U320" s="871"/>
      <c r="V320" s="33"/>
      <c r="W320" s="33"/>
      <c r="X320" s="760"/>
      <c r="Y320" s="760"/>
      <c r="Z320" s="760"/>
      <c r="BA320" s="33"/>
    </row>
    <row r="321" spans="2:53" ht="12.95" customHeight="1">
      <c r="B321" s="33" t="s">
        <v>1138</v>
      </c>
      <c r="C321" s="33"/>
      <c r="D321" s="33"/>
      <c r="E321" s="33"/>
      <c r="F321" s="33"/>
      <c r="H321" s="1184" t="s">
        <v>1139</v>
      </c>
      <c r="I321" s="1181"/>
      <c r="J321" s="1181"/>
      <c r="K321" s="1181"/>
      <c r="L321" s="1181"/>
      <c r="M321" s="1181"/>
      <c r="N321" s="1181"/>
      <c r="O321" s="1181"/>
      <c r="P321" s="1181"/>
      <c r="Q321" s="1181"/>
      <c r="R321" s="1181"/>
      <c r="T321" s="33" t="s">
        <v>1140</v>
      </c>
      <c r="V321" s="33"/>
      <c r="W321" s="33"/>
      <c r="X321" s="33"/>
      <c r="Y321" s="33"/>
      <c r="AA321" s="1312" t="s">
        <v>1141</v>
      </c>
      <c r="AB321" s="1312"/>
      <c r="AC321" s="1312"/>
      <c r="AD321" s="1312"/>
      <c r="AE321" s="1312"/>
      <c r="AF321" s="1312"/>
      <c r="AG321" s="1312"/>
      <c r="AH321" s="1312"/>
      <c r="AI321" s="1312"/>
      <c r="AJ321" s="1312"/>
      <c r="AK321" s="1312"/>
      <c r="BA321" s="33"/>
    </row>
    <row r="322" spans="2:53" ht="12.95" customHeight="1">
      <c r="B322" s="33" t="s">
        <v>1104</v>
      </c>
      <c r="C322" s="33"/>
      <c r="D322" s="33"/>
      <c r="E322" s="33"/>
      <c r="F322" s="33"/>
      <c r="H322" s="1179" t="s">
        <v>1142</v>
      </c>
      <c r="I322" s="1183"/>
      <c r="J322" s="1183"/>
      <c r="K322" s="1183"/>
      <c r="L322" s="1183"/>
      <c r="M322" s="1183"/>
      <c r="N322" s="1183"/>
      <c r="O322" s="1183"/>
      <c r="P322" s="1183"/>
      <c r="Q322" s="1183"/>
      <c r="R322" s="1183"/>
      <c r="T322" s="33" t="s">
        <v>1104</v>
      </c>
      <c r="V322" s="33"/>
      <c r="W322" s="33"/>
      <c r="X322" s="33"/>
      <c r="Y322" s="33"/>
      <c r="AA322" s="1183" t="s">
        <v>1143</v>
      </c>
      <c r="AB322" s="1183"/>
      <c r="AC322" s="1183"/>
      <c r="AD322" s="1183"/>
      <c r="AE322" s="1183"/>
      <c r="AF322" s="1183"/>
      <c r="AG322" s="1183"/>
      <c r="AH322" s="1183"/>
      <c r="AI322" s="1183"/>
      <c r="AJ322" s="1183"/>
      <c r="AK322" s="1183"/>
      <c r="BA322" s="33"/>
    </row>
    <row r="323" spans="2:53" ht="12.95" customHeight="1">
      <c r="B323" s="33" t="s">
        <v>1107</v>
      </c>
      <c r="C323" s="33"/>
      <c r="D323" s="33"/>
      <c r="E323" s="33"/>
      <c r="F323" s="33"/>
      <c r="H323" s="1179" t="s">
        <v>1144</v>
      </c>
      <c r="I323" s="1183"/>
      <c r="J323" s="1183"/>
      <c r="K323" s="1183"/>
      <c r="L323" s="1183"/>
      <c r="M323" s="1183"/>
      <c r="N323" s="1183"/>
      <c r="O323" s="1183"/>
      <c r="P323" s="1183"/>
      <c r="Q323" s="1183"/>
      <c r="R323" s="1183"/>
      <c r="T323" s="33" t="s">
        <v>1109</v>
      </c>
      <c r="V323" s="33"/>
      <c r="W323" s="33"/>
      <c r="X323" s="33"/>
      <c r="Y323" s="33"/>
      <c r="AA323" s="1183" t="s">
        <v>1145</v>
      </c>
      <c r="AB323" s="1183"/>
      <c r="AC323" s="1183"/>
      <c r="AD323" s="1183"/>
      <c r="AE323" s="1183"/>
      <c r="AF323" s="1183"/>
      <c r="AG323" s="1183"/>
      <c r="AH323" s="1183"/>
      <c r="AI323" s="1183"/>
      <c r="AJ323" s="1183"/>
      <c r="AK323" s="1183"/>
      <c r="BA323" s="33"/>
    </row>
    <row r="324" spans="2:53" ht="12.95" customHeight="1">
      <c r="B324" s="33" t="s">
        <v>1054</v>
      </c>
      <c r="C324" s="33"/>
      <c r="D324" s="33"/>
      <c r="E324" s="33"/>
      <c r="F324" s="33"/>
      <c r="H324" s="1179" t="s">
        <v>1146</v>
      </c>
      <c r="I324" s="1183"/>
      <c r="J324" s="1183"/>
      <c r="K324" s="1183"/>
      <c r="L324" s="1183"/>
      <c r="M324" s="1183"/>
      <c r="N324" s="1183"/>
      <c r="O324" s="1183"/>
      <c r="P324" s="1183"/>
      <c r="Q324" s="1183"/>
      <c r="R324" s="1183"/>
      <c r="T324" s="33" t="s">
        <v>1054</v>
      </c>
      <c r="V324" s="33"/>
      <c r="W324" s="33"/>
      <c r="X324" s="33"/>
      <c r="Y324" s="33"/>
      <c r="AA324" s="1179" t="s">
        <v>1147</v>
      </c>
      <c r="AB324" s="1183"/>
      <c r="AC324" s="1183"/>
      <c r="AD324" s="1183"/>
      <c r="AE324" s="1183"/>
      <c r="AF324" s="1183"/>
      <c r="AG324" s="1183"/>
      <c r="AH324" s="1183"/>
      <c r="AI324" s="1183"/>
      <c r="AJ324" s="1183"/>
      <c r="AK324" s="1183"/>
      <c r="BA324" s="33"/>
    </row>
    <row r="325" spans="2:53" ht="12.95" customHeight="1">
      <c r="B325" s="33" t="s">
        <v>1056</v>
      </c>
      <c r="C325" s="33"/>
      <c r="D325" s="33"/>
      <c r="E325" s="33"/>
      <c r="F325" s="33"/>
      <c r="G325" s="33"/>
      <c r="H325" s="1316" t="s">
        <v>1148</v>
      </c>
      <c r="I325" s="1316"/>
      <c r="J325" s="1316"/>
      <c r="K325" s="1316"/>
      <c r="L325" s="1316"/>
      <c r="M325" s="1316"/>
      <c r="N325" s="33" t="s">
        <v>1058</v>
      </c>
      <c r="O325" s="33"/>
      <c r="P325" s="1184" t="s">
        <v>1149</v>
      </c>
      <c r="Q325" s="1184"/>
      <c r="R325" s="1184"/>
      <c r="S325" s="33"/>
      <c r="T325" s="33" t="s">
        <v>1056</v>
      </c>
      <c r="V325" s="33"/>
      <c r="W325" s="33"/>
      <c r="X325" s="33"/>
      <c r="Y325" s="33"/>
      <c r="AA325" s="1426" t="s">
        <v>1150</v>
      </c>
      <c r="AB325" s="1426"/>
      <c r="AC325" s="1426"/>
      <c r="AD325" s="1426"/>
      <c r="AE325" s="1426"/>
      <c r="AF325" s="1426"/>
      <c r="AG325" s="33" t="s">
        <v>1058</v>
      </c>
      <c r="AH325" s="33"/>
      <c r="AI325" s="1184"/>
      <c r="AJ325" s="1184"/>
      <c r="AK325" s="1184"/>
      <c r="BA325" s="33"/>
    </row>
    <row r="326" spans="2:53" ht="12.95" customHeight="1">
      <c r="B326" s="33" t="s">
        <v>1059</v>
      </c>
      <c r="C326" s="33"/>
      <c r="D326" s="33"/>
      <c r="E326" s="33"/>
      <c r="F326" s="33"/>
      <c r="G326" s="33"/>
      <c r="H326" s="1182"/>
      <c r="I326" s="1182"/>
      <c r="J326" s="1182"/>
      <c r="K326" s="1182"/>
      <c r="L326" s="1182"/>
      <c r="M326" s="1182"/>
      <c r="N326" s="33"/>
      <c r="O326" s="33"/>
      <c r="P326" s="760"/>
      <c r="Q326" s="760"/>
      <c r="R326" s="760"/>
      <c r="S326" s="33"/>
      <c r="T326" s="33" t="s">
        <v>1059</v>
      </c>
      <c r="V326" s="33"/>
      <c r="W326" s="33"/>
      <c r="X326" s="33"/>
      <c r="Y326" s="33"/>
      <c r="AA326" s="1182"/>
      <c r="AB326" s="1182"/>
      <c r="AC326" s="1182"/>
      <c r="AD326" s="1182"/>
      <c r="AE326" s="1182"/>
      <c r="AF326" s="1182"/>
      <c r="AG326" s="33"/>
      <c r="AH326" s="33"/>
      <c r="AI326" s="760"/>
      <c r="AJ326" s="760"/>
      <c r="AK326" s="760"/>
      <c r="BA326" s="33"/>
    </row>
    <row r="327" spans="2:53" ht="12.95" customHeight="1">
      <c r="B327" s="33" t="s">
        <v>1114</v>
      </c>
      <c r="C327" s="33"/>
      <c r="D327" s="33"/>
      <c r="E327" s="33"/>
      <c r="F327" s="33"/>
      <c r="G327" s="33"/>
      <c r="H327" s="1179" t="s">
        <v>1151</v>
      </c>
      <c r="I327" s="1183"/>
      <c r="J327" s="1183"/>
      <c r="K327" s="1183"/>
      <c r="L327" s="1183"/>
      <c r="M327" s="1183"/>
      <c r="N327" s="1181"/>
      <c r="O327" s="1181"/>
      <c r="P327" s="1181"/>
      <c r="Q327" s="1181"/>
      <c r="R327" s="1181"/>
      <c r="S327" s="33"/>
      <c r="T327" s="33" t="s">
        <v>1114</v>
      </c>
      <c r="V327" s="33"/>
      <c r="W327" s="33"/>
      <c r="X327" s="33"/>
      <c r="Y327" s="33"/>
      <c r="AA327" s="1312" t="s">
        <v>1152</v>
      </c>
      <c r="AB327" s="1312"/>
      <c r="AC327" s="1312"/>
      <c r="AD327" s="1312"/>
      <c r="AE327" s="1312"/>
      <c r="AF327" s="1312"/>
      <c r="AG327" s="1312"/>
      <c r="AH327" s="1312"/>
      <c r="AI327" s="1312"/>
      <c r="AJ327" s="1312"/>
      <c r="AK327" s="1312"/>
      <c r="BA327" s="33"/>
    </row>
    <row r="328" spans="2:53" ht="12.95" customHeight="1">
      <c r="B328" s="33"/>
      <c r="C328" s="33"/>
      <c r="D328" s="33"/>
      <c r="E328" s="33"/>
      <c r="F328" s="33"/>
      <c r="G328" s="33"/>
      <c r="P328" s="871"/>
      <c r="Q328" s="871"/>
      <c r="R328" s="871"/>
      <c r="S328" s="871"/>
      <c r="T328" s="871"/>
      <c r="U328" s="871"/>
      <c r="V328" s="33"/>
      <c r="W328" s="33"/>
      <c r="X328" s="760"/>
      <c r="Y328" s="760"/>
      <c r="Z328" s="760"/>
      <c r="BA328" s="33"/>
    </row>
    <row r="329" spans="2:53" ht="12.95" customHeight="1">
      <c r="B329" s="33" t="s">
        <v>1153</v>
      </c>
      <c r="C329" s="33"/>
      <c r="D329" s="33"/>
      <c r="E329" s="33"/>
      <c r="F329" s="33"/>
      <c r="H329" s="1184" t="s">
        <v>1141</v>
      </c>
      <c r="I329" s="1181"/>
      <c r="J329" s="1181"/>
      <c r="K329" s="1181"/>
      <c r="L329" s="1181"/>
      <c r="M329" s="1181"/>
      <c r="N329" s="1181"/>
      <c r="O329" s="1181"/>
      <c r="P329" s="1181"/>
      <c r="Q329" s="1181"/>
      <c r="R329" s="1181"/>
      <c r="T329" s="33" t="s">
        <v>1154</v>
      </c>
      <c r="V329" s="33"/>
      <c r="W329" s="33"/>
      <c r="X329" s="33"/>
      <c r="Y329" s="33"/>
      <c r="AA329" s="1184" t="s">
        <v>1155</v>
      </c>
      <c r="AB329" s="1181"/>
      <c r="AC329" s="1181"/>
      <c r="AD329" s="1181"/>
      <c r="AE329" s="1181"/>
      <c r="AF329" s="1181"/>
      <c r="AG329" s="1181"/>
      <c r="AH329" s="1181"/>
      <c r="AI329" s="1181"/>
      <c r="AJ329" s="1181"/>
      <c r="AK329" s="1181"/>
      <c r="BA329" s="33"/>
    </row>
    <row r="330" spans="2:53" ht="12.95" customHeight="1">
      <c r="B330" s="33" t="s">
        <v>1104</v>
      </c>
      <c r="C330" s="33"/>
      <c r="D330" s="33"/>
      <c r="E330" s="33"/>
      <c r="F330" s="33"/>
      <c r="H330" s="1183" t="s">
        <v>1156</v>
      </c>
      <c r="I330" s="1183"/>
      <c r="J330" s="1183"/>
      <c r="K330" s="1183"/>
      <c r="L330" s="1183"/>
      <c r="M330" s="1183"/>
      <c r="N330" s="1183"/>
      <c r="O330" s="1183"/>
      <c r="P330" s="1183"/>
      <c r="Q330" s="1183"/>
      <c r="R330" s="1183"/>
      <c r="T330" s="33" t="s">
        <v>1104</v>
      </c>
      <c r="V330" s="33"/>
      <c r="W330" s="33"/>
      <c r="X330" s="33"/>
      <c r="Y330" s="33"/>
      <c r="AA330" s="1179" t="s">
        <v>1105</v>
      </c>
      <c r="AB330" s="1183"/>
      <c r="AC330" s="1183"/>
      <c r="AD330" s="1183"/>
      <c r="AE330" s="1183"/>
      <c r="AF330" s="1183"/>
      <c r="AG330" s="1183"/>
      <c r="AH330" s="1183"/>
      <c r="AI330" s="1183"/>
      <c r="AJ330" s="1183"/>
      <c r="AK330" s="1183"/>
      <c r="BA330" s="33"/>
    </row>
    <row r="331" spans="2:53" ht="12.95" customHeight="1">
      <c r="B331" s="33" t="s">
        <v>1107</v>
      </c>
      <c r="C331" s="33"/>
      <c r="D331" s="33"/>
      <c r="E331" s="33"/>
      <c r="F331" s="33"/>
      <c r="G331" s="33"/>
      <c r="H331" s="1183" t="s">
        <v>1145</v>
      </c>
      <c r="I331" s="1183"/>
      <c r="J331" s="1183"/>
      <c r="K331" s="1183"/>
      <c r="L331" s="1183"/>
      <c r="M331" s="1183"/>
      <c r="N331" s="1183"/>
      <c r="O331" s="1183"/>
      <c r="P331" s="1183"/>
      <c r="Q331" s="1183"/>
      <c r="R331" s="1183"/>
      <c r="T331" s="33" t="s">
        <v>1109</v>
      </c>
      <c r="V331" s="33"/>
      <c r="W331" s="33"/>
      <c r="X331" s="33"/>
      <c r="Y331" s="33"/>
      <c r="AA331" s="1179" t="s">
        <v>1108</v>
      </c>
      <c r="AB331" s="1183"/>
      <c r="AC331" s="1183"/>
      <c r="AD331" s="1183"/>
      <c r="AE331" s="1183"/>
      <c r="AF331" s="1183"/>
      <c r="AG331" s="1183"/>
      <c r="AH331" s="1183"/>
      <c r="AI331" s="1183"/>
      <c r="AJ331" s="1183"/>
      <c r="AK331" s="1183"/>
      <c r="BA331" s="33"/>
    </row>
    <row r="332" spans="2:53" ht="12.95" customHeight="1">
      <c r="B332" s="33" t="s">
        <v>1054</v>
      </c>
      <c r="C332" s="33"/>
      <c r="D332" s="33"/>
      <c r="E332" s="33"/>
      <c r="F332" s="33"/>
      <c r="H332" s="1427" t="s">
        <v>1157</v>
      </c>
      <c r="I332" s="1427"/>
      <c r="J332" s="1427"/>
      <c r="K332" s="1427"/>
      <c r="L332" s="1427"/>
      <c r="M332" s="1427"/>
      <c r="N332" s="1427"/>
      <c r="O332" s="1427"/>
      <c r="P332" s="1427"/>
      <c r="Q332" s="1427"/>
      <c r="R332" s="1427"/>
      <c r="T332" s="33" t="s">
        <v>1054</v>
      </c>
      <c r="V332" s="33"/>
      <c r="W332" s="33"/>
      <c r="X332" s="33"/>
      <c r="Y332" s="33"/>
      <c r="AA332" s="1179" t="s">
        <v>1158</v>
      </c>
      <c r="AB332" s="1183"/>
      <c r="AC332" s="1183"/>
      <c r="AD332" s="1183"/>
      <c r="AE332" s="1183"/>
      <c r="AF332" s="1183"/>
      <c r="AG332" s="1183"/>
      <c r="AH332" s="1183"/>
      <c r="AI332" s="1183"/>
      <c r="AJ332" s="1183"/>
      <c r="AK332" s="1183"/>
      <c r="BA332" s="33"/>
    </row>
    <row r="333" spans="2:53" ht="12.95" customHeight="1">
      <c r="B333" s="33" t="s">
        <v>1056</v>
      </c>
      <c r="C333" s="33"/>
      <c r="D333" s="33"/>
      <c r="E333" s="33"/>
      <c r="F333" s="33"/>
      <c r="G333" s="33"/>
      <c r="H333" s="1426" t="s">
        <v>1159</v>
      </c>
      <c r="I333" s="1426"/>
      <c r="J333" s="1426"/>
      <c r="K333" s="1426"/>
      <c r="L333" s="1426"/>
      <c r="M333" s="1426"/>
      <c r="N333" s="33" t="s">
        <v>1058</v>
      </c>
      <c r="O333" s="33"/>
      <c r="P333" s="1184"/>
      <c r="Q333" s="1184"/>
      <c r="R333" s="1184"/>
      <c r="T333" s="33" t="s">
        <v>1056</v>
      </c>
      <c r="V333" s="33"/>
      <c r="W333" s="33"/>
      <c r="X333" s="33"/>
      <c r="Y333" s="33"/>
      <c r="AA333" s="1426" t="s">
        <v>1160</v>
      </c>
      <c r="AB333" s="1426"/>
      <c r="AC333" s="1426"/>
      <c r="AD333" s="1426"/>
      <c r="AE333" s="1426"/>
      <c r="AF333" s="1426"/>
      <c r="AG333" s="33" t="s">
        <v>1058</v>
      </c>
      <c r="AH333" s="33"/>
      <c r="AI333" s="1184" t="s">
        <v>1161</v>
      </c>
      <c r="AJ333" s="1184"/>
      <c r="AK333" s="1184"/>
      <c r="BA333" s="33"/>
    </row>
    <row r="334" spans="2:53" ht="12.95" customHeight="1">
      <c r="B334" s="33" t="s">
        <v>1059</v>
      </c>
      <c r="C334" s="33"/>
      <c r="D334" s="33"/>
      <c r="E334" s="33"/>
      <c r="F334" s="33"/>
      <c r="G334" s="33"/>
      <c r="H334" s="1182"/>
      <c r="I334" s="1182"/>
      <c r="J334" s="1182"/>
      <c r="K334" s="1182"/>
      <c r="L334" s="1182"/>
      <c r="M334" s="1182"/>
      <c r="N334" s="33"/>
      <c r="O334" s="33"/>
      <c r="P334" s="760"/>
      <c r="Q334" s="760"/>
      <c r="R334" s="760"/>
      <c r="T334" s="33" t="s">
        <v>1059</v>
      </c>
      <c r="V334" s="33"/>
      <c r="W334" s="33"/>
      <c r="X334" s="33"/>
      <c r="Y334" s="33"/>
      <c r="AA334" s="1182"/>
      <c r="AB334" s="1182"/>
      <c r="AC334" s="1182"/>
      <c r="AD334" s="1182"/>
      <c r="AE334" s="1182"/>
      <c r="AF334" s="1182"/>
      <c r="AG334" s="33"/>
      <c r="AH334" s="33"/>
      <c r="AI334" s="760"/>
      <c r="AJ334" s="760"/>
      <c r="AK334" s="760"/>
      <c r="BA334" s="33"/>
    </row>
    <row r="335" spans="2:53" ht="12.95" customHeight="1">
      <c r="B335" s="33" t="s">
        <v>1114</v>
      </c>
      <c r="C335" s="33"/>
      <c r="D335" s="33"/>
      <c r="E335" s="33"/>
      <c r="F335" s="33"/>
      <c r="G335" s="33"/>
      <c r="H335" s="1312" t="s">
        <v>1152</v>
      </c>
      <c r="I335" s="1312"/>
      <c r="J335" s="1312"/>
      <c r="K335" s="1312"/>
      <c r="L335" s="1312"/>
      <c r="M335" s="1312"/>
      <c r="N335" s="1312"/>
      <c r="O335" s="1312"/>
      <c r="P335" s="1312"/>
      <c r="Q335" s="1312"/>
      <c r="R335" s="1312"/>
      <c r="T335" s="33" t="s">
        <v>1114</v>
      </c>
      <c r="V335" s="33"/>
      <c r="W335" s="33"/>
      <c r="X335" s="33"/>
      <c r="Y335" s="33"/>
      <c r="AA335" s="1179" t="s">
        <v>1162</v>
      </c>
      <c r="AB335" s="1183"/>
      <c r="AC335" s="1183"/>
      <c r="AD335" s="1183"/>
      <c r="AE335" s="1183"/>
      <c r="AF335" s="1183"/>
      <c r="AG335" s="1181"/>
      <c r="AH335" s="1181"/>
      <c r="AI335" s="1181"/>
      <c r="AJ335" s="1181"/>
      <c r="AK335" s="1181"/>
      <c r="BA335" s="33"/>
    </row>
    <row r="336" spans="2:53" ht="12.95" customHeight="1">
      <c r="B336" s="33"/>
      <c r="C336" s="33"/>
      <c r="D336" s="33"/>
      <c r="E336" s="33"/>
      <c r="F336" s="33"/>
      <c r="G336" s="33"/>
      <c r="H336" s="11"/>
      <c r="I336" s="11"/>
      <c r="J336" s="11"/>
      <c r="K336" s="11"/>
      <c r="L336" s="11"/>
      <c r="M336" s="11"/>
      <c r="N336" s="11"/>
      <c r="O336" s="11"/>
      <c r="P336" s="11"/>
      <c r="Q336" s="11"/>
      <c r="R336" s="11"/>
      <c r="T336" s="33"/>
      <c r="V336" s="33"/>
      <c r="W336" s="33"/>
      <c r="X336" s="33"/>
      <c r="Y336" s="33"/>
      <c r="AA336" s="11"/>
      <c r="AB336" s="11"/>
      <c r="AC336" s="11"/>
      <c r="AD336" s="11"/>
      <c r="AE336" s="11"/>
      <c r="AF336" s="11"/>
      <c r="AG336" s="11"/>
      <c r="AH336" s="11"/>
      <c r="AI336" s="11"/>
      <c r="AJ336" s="11"/>
      <c r="AK336" s="11"/>
      <c r="BA336" s="33"/>
    </row>
    <row r="337" spans="1:53" ht="12.95" customHeight="1">
      <c r="B337" s="33" t="s">
        <v>1163</v>
      </c>
      <c r="C337" s="780"/>
      <c r="D337" s="780"/>
      <c r="E337" s="780"/>
      <c r="F337" s="780"/>
      <c r="G337" s="780"/>
      <c r="H337" s="1181"/>
      <c r="I337" s="1181"/>
      <c r="J337" s="1181"/>
      <c r="K337" s="1181"/>
      <c r="L337" s="1181"/>
      <c r="M337" s="1181"/>
      <c r="N337" s="1181"/>
      <c r="O337" s="1181"/>
      <c r="P337" s="1181"/>
      <c r="Q337" s="1181"/>
      <c r="R337" s="1181"/>
      <c r="T337" s="780" t="s">
        <v>1164</v>
      </c>
      <c r="AA337" s="1181"/>
      <c r="AB337" s="1181"/>
      <c r="AC337" s="1181"/>
      <c r="AD337" s="1181"/>
      <c r="AE337" s="1181"/>
      <c r="AF337" s="1181"/>
      <c r="AG337" s="1181"/>
      <c r="AH337" s="1181"/>
      <c r="AI337" s="1181"/>
      <c r="AJ337" s="1181"/>
      <c r="AK337" s="1181"/>
      <c r="BA337" s="33"/>
    </row>
    <row r="338" spans="1:53" ht="12.95" customHeight="1">
      <c r="B338" s="780" t="s">
        <v>1104</v>
      </c>
      <c r="C338" s="780"/>
      <c r="D338" s="780"/>
      <c r="E338" s="780"/>
      <c r="F338" s="780"/>
      <c r="G338" s="780"/>
      <c r="H338" s="1183"/>
      <c r="I338" s="1183"/>
      <c r="J338" s="1183"/>
      <c r="K338" s="1183"/>
      <c r="L338" s="1183"/>
      <c r="M338" s="1183"/>
      <c r="N338" s="1183"/>
      <c r="O338" s="1183"/>
      <c r="P338" s="1183"/>
      <c r="Q338" s="1183"/>
      <c r="R338" s="1183"/>
      <c r="T338" s="33" t="s">
        <v>1104</v>
      </c>
      <c r="AA338" s="1183"/>
      <c r="AB338" s="1183"/>
      <c r="AC338" s="1183"/>
      <c r="AD338" s="1183"/>
      <c r="AE338" s="1183"/>
      <c r="AF338" s="1183"/>
      <c r="AG338" s="1183"/>
      <c r="AH338" s="1183"/>
      <c r="AI338" s="1183"/>
      <c r="AJ338" s="1183"/>
      <c r="AK338" s="1183"/>
      <c r="BA338" s="33"/>
    </row>
    <row r="339" spans="1:53" ht="12.95" customHeight="1">
      <c r="B339" s="780" t="s">
        <v>1107</v>
      </c>
      <c r="C339" s="780"/>
      <c r="D339" s="780"/>
      <c r="E339" s="780"/>
      <c r="F339" s="780"/>
      <c r="G339" s="780"/>
      <c r="H339" s="1183"/>
      <c r="I339" s="1183"/>
      <c r="J339" s="1183"/>
      <c r="K339" s="1183"/>
      <c r="L339" s="1183"/>
      <c r="M339" s="1183"/>
      <c r="N339" s="1183"/>
      <c r="O339" s="1183"/>
      <c r="P339" s="1183"/>
      <c r="Q339" s="1183"/>
      <c r="R339" s="1183"/>
      <c r="T339" s="33" t="s">
        <v>1109</v>
      </c>
      <c r="AA339" s="1183"/>
      <c r="AB339" s="1183"/>
      <c r="AC339" s="1183"/>
      <c r="AD339" s="1183"/>
      <c r="AE339" s="1183"/>
      <c r="AF339" s="1183"/>
      <c r="AG339" s="1183"/>
      <c r="AH339" s="1183"/>
      <c r="AI339" s="1183"/>
      <c r="AJ339" s="1183"/>
      <c r="AK339" s="1183"/>
    </row>
    <row r="340" spans="1:53" ht="12.95" customHeight="1">
      <c r="B340" s="780" t="s">
        <v>1054</v>
      </c>
      <c r="C340" s="780"/>
      <c r="D340" s="780"/>
      <c r="E340" s="780"/>
      <c r="F340" s="780"/>
      <c r="G340" s="780"/>
      <c r="H340" s="1183"/>
      <c r="I340" s="1183"/>
      <c r="J340" s="1183"/>
      <c r="K340" s="1183"/>
      <c r="L340" s="1183"/>
      <c r="M340" s="1183"/>
      <c r="N340" s="1183"/>
      <c r="O340" s="1183"/>
      <c r="P340" s="1183"/>
      <c r="Q340" s="1183"/>
      <c r="R340" s="1183"/>
      <c r="T340" s="33" t="s">
        <v>1054</v>
      </c>
      <c r="AA340" s="1183"/>
      <c r="AB340" s="1183"/>
      <c r="AC340" s="1183"/>
      <c r="AD340" s="1183"/>
      <c r="AE340" s="1183"/>
      <c r="AF340" s="1183"/>
      <c r="AG340" s="1183"/>
      <c r="AH340" s="1183"/>
      <c r="AI340" s="1183"/>
      <c r="AJ340" s="1183"/>
      <c r="AK340" s="1183"/>
    </row>
    <row r="341" spans="1:53" ht="12.95" customHeight="1">
      <c r="B341" s="780" t="s">
        <v>1056</v>
      </c>
      <c r="C341" s="780"/>
      <c r="D341" s="780"/>
      <c r="E341" s="780"/>
      <c r="F341" s="780"/>
      <c r="G341" s="780"/>
      <c r="H341" s="1316"/>
      <c r="I341" s="1316"/>
      <c r="J341" s="1316"/>
      <c r="K341" s="1316"/>
      <c r="L341" s="1316"/>
      <c r="M341" s="1316"/>
      <c r="N341" s="33" t="s">
        <v>1058</v>
      </c>
      <c r="O341" s="33"/>
      <c r="P341" s="1184"/>
      <c r="Q341" s="1184"/>
      <c r="R341" s="1184"/>
      <c r="T341" s="33" t="s">
        <v>1056</v>
      </c>
      <c r="AA341" s="1316"/>
      <c r="AB341" s="1316"/>
      <c r="AC341" s="1316"/>
      <c r="AD341" s="1316"/>
      <c r="AE341" s="1316"/>
      <c r="AF341" s="1316"/>
      <c r="AG341" s="33" t="s">
        <v>1058</v>
      </c>
      <c r="AH341" s="33"/>
      <c r="AI341" s="1184"/>
      <c r="AJ341" s="1184"/>
      <c r="AK341" s="1184"/>
    </row>
    <row r="342" spans="1:53" ht="12.95" customHeight="1">
      <c r="B342" s="780" t="s">
        <v>1059</v>
      </c>
      <c r="C342" s="780"/>
      <c r="D342" s="780"/>
      <c r="E342" s="780"/>
      <c r="F342" s="780"/>
      <c r="G342" s="780"/>
      <c r="H342" s="1182"/>
      <c r="I342" s="1182"/>
      <c r="J342" s="1182"/>
      <c r="K342" s="1182"/>
      <c r="L342" s="1182"/>
      <c r="M342" s="1182"/>
      <c r="N342" s="33"/>
      <c r="O342" s="33"/>
      <c r="P342" s="760"/>
      <c r="Q342" s="760"/>
      <c r="R342" s="760"/>
      <c r="T342" s="33" t="s">
        <v>1059</v>
      </c>
      <c r="AA342" s="1182"/>
      <c r="AB342" s="1182"/>
      <c r="AC342" s="1182"/>
      <c r="AD342" s="1182"/>
      <c r="AE342" s="1182"/>
      <c r="AF342" s="1182"/>
      <c r="AG342" s="33"/>
      <c r="AH342" s="33"/>
      <c r="AI342" s="760"/>
      <c r="AJ342" s="760"/>
      <c r="AK342" s="760"/>
    </row>
    <row r="343" spans="1:53" ht="12.95" customHeight="1">
      <c r="B343" s="780" t="s">
        <v>1114</v>
      </c>
      <c r="C343" s="780"/>
      <c r="D343" s="780"/>
      <c r="E343" s="780"/>
      <c r="F343" s="780"/>
      <c r="G343" s="780"/>
      <c r="H343" s="1183"/>
      <c r="I343" s="1183"/>
      <c r="J343" s="1183"/>
      <c r="K343" s="1183"/>
      <c r="L343" s="1183"/>
      <c r="M343" s="1183"/>
      <c r="N343" s="1181"/>
      <c r="O343" s="1181"/>
      <c r="P343" s="1181"/>
      <c r="Q343" s="1181"/>
      <c r="R343" s="1181"/>
      <c r="T343" s="33" t="s">
        <v>1114</v>
      </c>
      <c r="AA343" s="1183"/>
      <c r="AB343" s="1183"/>
      <c r="AC343" s="1183"/>
      <c r="AD343" s="1183"/>
      <c r="AE343" s="1183"/>
      <c r="AF343" s="1183"/>
      <c r="AG343" s="1181"/>
      <c r="AH343" s="1181"/>
      <c r="AI343" s="1181"/>
      <c r="AJ343" s="1181"/>
      <c r="AK343" s="1181"/>
    </row>
    <row r="344" spans="1:53" ht="12.95" customHeight="1">
      <c r="B344" s="33"/>
      <c r="C344" s="33"/>
      <c r="D344" s="33"/>
      <c r="E344" s="33"/>
      <c r="F344" s="33"/>
      <c r="G344" s="33"/>
      <c r="H344" s="11"/>
      <c r="I344" s="11"/>
      <c r="J344" s="11"/>
      <c r="K344" s="11"/>
      <c r="L344" s="11"/>
      <c r="M344" s="11"/>
      <c r="N344" s="11"/>
      <c r="O344" s="11"/>
      <c r="P344" s="11"/>
      <c r="Q344" s="11"/>
      <c r="R344" s="11"/>
      <c r="T344" s="33"/>
      <c r="V344" s="33"/>
      <c r="W344" s="33"/>
      <c r="X344" s="33"/>
      <c r="Y344" s="33"/>
      <c r="AA344" s="11"/>
      <c r="AB344" s="11"/>
      <c r="AC344" s="11"/>
      <c r="AD344" s="11"/>
      <c r="AE344" s="11"/>
      <c r="AF344" s="11"/>
      <c r="AG344" s="11"/>
      <c r="AH344" s="11"/>
      <c r="AI344" s="11"/>
      <c r="AJ344" s="11"/>
      <c r="AK344" s="11"/>
    </row>
    <row r="345" spans="1:53" ht="12.95" customHeight="1">
      <c r="A345" s="1320" t="s">
        <v>1165</v>
      </c>
      <c r="B345" s="1320"/>
      <c r="C345" s="1320"/>
      <c r="D345" s="1320"/>
      <c r="E345" s="1320"/>
      <c r="F345" s="1320"/>
      <c r="G345" s="1320"/>
      <c r="H345" s="1320"/>
      <c r="I345" s="1320"/>
      <c r="J345" s="1320"/>
      <c r="K345" s="1320"/>
      <c r="L345" s="1320"/>
      <c r="M345" s="1320"/>
      <c r="N345" s="1320"/>
      <c r="O345" s="1320"/>
      <c r="P345" s="1320"/>
      <c r="Q345" s="1320"/>
      <c r="R345" s="1320"/>
      <c r="S345" s="1320"/>
      <c r="T345" s="1320"/>
      <c r="U345" s="1320"/>
      <c r="V345" s="1320"/>
      <c r="W345" s="1320"/>
      <c r="X345" s="1320"/>
      <c r="Y345" s="1320"/>
      <c r="Z345" s="1320"/>
      <c r="AA345" s="1320"/>
      <c r="AB345" s="1320"/>
      <c r="AC345" s="1320"/>
      <c r="AD345" s="1320"/>
      <c r="AE345" s="1320"/>
      <c r="AF345" s="1320"/>
      <c r="AG345" s="1320"/>
      <c r="AH345" s="1320"/>
      <c r="AI345" s="1320"/>
      <c r="AJ345" s="1320"/>
      <c r="AK345" s="1320"/>
      <c r="AL345" s="1320"/>
    </row>
    <row r="346" spans="1:53" ht="12.95" customHeight="1" thickBot="1">
      <c r="A346" s="1321"/>
      <c r="B346" s="1321"/>
      <c r="C346" s="1321"/>
      <c r="D346" s="1321"/>
      <c r="E346" s="1321"/>
      <c r="F346" s="1321"/>
      <c r="G346" s="1321"/>
      <c r="H346" s="1321"/>
      <c r="I346" s="1321"/>
      <c r="J346" s="1321"/>
      <c r="K346" s="1321"/>
      <c r="L346" s="1321"/>
      <c r="M346" s="1321"/>
      <c r="N346" s="1321"/>
      <c r="O346" s="1321"/>
      <c r="P346" s="1321"/>
      <c r="Q346" s="1321"/>
      <c r="R346" s="1321"/>
      <c r="S346" s="1321"/>
      <c r="T346" s="1321"/>
      <c r="U346" s="1321"/>
      <c r="V346" s="1321"/>
      <c r="W346" s="1321"/>
      <c r="X346" s="1321"/>
      <c r="Y346" s="1321"/>
      <c r="Z346" s="1321"/>
      <c r="AA346" s="1321"/>
      <c r="AB346" s="1321"/>
      <c r="AC346" s="1321"/>
      <c r="AD346" s="1321"/>
      <c r="AE346" s="1321"/>
      <c r="AF346" s="1321"/>
      <c r="AG346" s="1321"/>
      <c r="AH346" s="1321"/>
      <c r="AI346" s="1321"/>
      <c r="AJ346" s="1321"/>
      <c r="AK346" s="1321"/>
      <c r="AL346" s="1321"/>
    </row>
    <row r="347" spans="1:53" ht="12.95" customHeight="1" thickTop="1">
      <c r="I347" s="33"/>
      <c r="J347" s="33"/>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33"/>
      <c r="AL347" s="25"/>
    </row>
    <row r="348" spans="1:53" ht="12.95" customHeight="1">
      <c r="A348" s="2" t="s">
        <v>854</v>
      </c>
      <c r="B348" s="2"/>
      <c r="C348" s="2" t="s">
        <v>1166</v>
      </c>
    </row>
    <row r="349" spans="1:53" ht="12.95" customHeight="1">
      <c r="D349" t="s">
        <v>1167</v>
      </c>
      <c r="M349" s="1180" t="s">
        <v>712</v>
      </c>
      <c r="N349" s="1180"/>
      <c r="P349" t="s">
        <v>1168</v>
      </c>
      <c r="AJ349" s="1180" t="s">
        <v>325</v>
      </c>
      <c r="AK349" s="1180"/>
    </row>
    <row r="350" spans="1:53" ht="12.95" customHeight="1">
      <c r="D350" s="33" t="s">
        <v>1169</v>
      </c>
      <c r="M350" s="1180" t="s">
        <v>325</v>
      </c>
      <c r="N350" s="1180"/>
      <c r="P350" s="33" t="s">
        <v>1170</v>
      </c>
      <c r="AJ350" s="1186"/>
      <c r="AK350" s="1186"/>
    </row>
    <row r="351" spans="1:53" ht="12.95" customHeight="1">
      <c r="D351" t="s">
        <v>1171</v>
      </c>
      <c r="M351" s="1180" t="s">
        <v>325</v>
      </c>
      <c r="N351" s="1180"/>
      <c r="P351" t="s">
        <v>1172</v>
      </c>
      <c r="AJ351" s="1180" t="s">
        <v>325</v>
      </c>
      <c r="AK351" s="1180"/>
    </row>
    <row r="352" spans="1:53" ht="12.95" customHeight="1">
      <c r="D352" t="s">
        <v>1173</v>
      </c>
      <c r="M352" s="1180" t="s">
        <v>325</v>
      </c>
      <c r="N352" s="1180"/>
      <c r="Q352" s="33"/>
    </row>
    <row r="353" spans="1:57" ht="12.95" customHeight="1">
      <c r="P353" s="780"/>
      <c r="Q353" s="780"/>
      <c r="R353" s="780"/>
    </row>
    <row r="354" spans="1:57" ht="12.95" customHeight="1"/>
    <row r="355" spans="1:57" ht="12.95" customHeight="1">
      <c r="A355" s="2" t="s">
        <v>889</v>
      </c>
      <c r="B355" s="2"/>
      <c r="C355" s="2" t="s">
        <v>1174</v>
      </c>
      <c r="D355" s="2"/>
    </row>
    <row r="356" spans="1:57" ht="12.95" customHeight="1">
      <c r="D356" s="36" t="s">
        <v>1175</v>
      </c>
      <c r="E356" s="812"/>
      <c r="F356" s="812"/>
      <c r="G356" s="812"/>
      <c r="H356" s="812"/>
      <c r="I356" s="812"/>
      <c r="J356" s="812"/>
      <c r="K356" s="812"/>
      <c r="L356" s="812"/>
      <c r="M356" s="812"/>
      <c r="N356" s="812"/>
      <c r="O356" s="812"/>
      <c r="P356" s="812"/>
      <c r="Q356" s="812"/>
      <c r="R356" s="812"/>
      <c r="S356" s="812"/>
      <c r="T356" s="812"/>
      <c r="U356" s="812"/>
      <c r="V356" s="812"/>
      <c r="W356" s="812"/>
      <c r="X356" s="812"/>
      <c r="Y356" s="812"/>
      <c r="Z356" s="812"/>
      <c r="AA356" s="812"/>
      <c r="AB356" s="812"/>
      <c r="AC356" s="812"/>
      <c r="AD356" s="812"/>
      <c r="AE356" s="812"/>
    </row>
    <row r="357" spans="1:57" ht="12.95" customHeight="1">
      <c r="D357" s="36" t="s">
        <v>1176</v>
      </c>
      <c r="E357" s="812"/>
      <c r="F357" s="812"/>
      <c r="G357" s="812"/>
      <c r="H357" s="812"/>
      <c r="I357" s="812"/>
      <c r="J357" s="812"/>
      <c r="K357" s="812"/>
      <c r="L357" s="812"/>
      <c r="M357" s="812"/>
      <c r="N357" s="1180" t="s">
        <v>325</v>
      </c>
      <c r="O357" s="1180"/>
      <c r="P357" s="812"/>
      <c r="Q357" s="812"/>
      <c r="R357" s="812"/>
      <c r="S357" s="812"/>
      <c r="T357" s="812"/>
      <c r="U357" s="812"/>
      <c r="V357" s="812"/>
      <c r="W357" s="812"/>
      <c r="X357" s="812"/>
      <c r="Y357" s="812"/>
      <c r="Z357" s="812"/>
      <c r="AC357" s="812"/>
      <c r="AD357" s="812"/>
      <c r="AE357" s="812"/>
    </row>
    <row r="358" spans="1:57" ht="12.95" customHeight="1">
      <c r="E358" t="s">
        <v>1177</v>
      </c>
      <c r="Y358" s="1180" t="s">
        <v>325</v>
      </c>
      <c r="Z358" s="1180"/>
    </row>
    <row r="359" spans="1:57" ht="12.95" customHeight="1">
      <c r="D359" t="s">
        <v>1178</v>
      </c>
      <c r="E359" s="812"/>
      <c r="F359" s="812"/>
      <c r="G359" s="812"/>
      <c r="H359" s="812"/>
      <c r="I359" s="812"/>
      <c r="J359" s="812"/>
      <c r="K359" s="812"/>
      <c r="L359" s="812"/>
      <c r="M359" s="812"/>
      <c r="N359" s="812"/>
      <c r="O359" s="812"/>
      <c r="P359" s="812"/>
      <c r="Q359" s="812"/>
      <c r="R359" s="812"/>
      <c r="S359" s="812"/>
      <c r="T359" s="812"/>
      <c r="U359" s="812"/>
      <c r="V359" s="812"/>
      <c r="W359" s="812"/>
      <c r="X359" s="812"/>
      <c r="Y359" s="812"/>
      <c r="Z359" s="812"/>
      <c r="AA359" s="812"/>
      <c r="AB359" s="812"/>
      <c r="AC359" s="812"/>
      <c r="AD359" s="812"/>
      <c r="AE359" s="812"/>
    </row>
    <row r="360" spans="1:57" ht="12.95" customHeight="1">
      <c r="D360" t="s">
        <v>1179</v>
      </c>
      <c r="E360" s="812"/>
      <c r="F360" s="812"/>
      <c r="G360" s="812"/>
      <c r="H360" s="812"/>
      <c r="I360" s="812"/>
      <c r="J360" s="1180" t="s">
        <v>325</v>
      </c>
      <c r="K360" s="1180"/>
      <c r="L360" s="812"/>
      <c r="M360" s="812"/>
      <c r="N360" s="812"/>
      <c r="O360" s="812"/>
      <c r="P360" s="812"/>
      <c r="Q360" s="812"/>
      <c r="R360" s="812"/>
      <c r="S360" s="812"/>
      <c r="T360" s="812"/>
      <c r="U360" s="812"/>
      <c r="V360" s="812"/>
      <c r="W360" s="812"/>
      <c r="X360" s="812"/>
      <c r="Y360" s="812"/>
      <c r="Z360" s="812"/>
      <c r="AC360" s="812"/>
      <c r="AD360" s="812"/>
      <c r="AE360" s="812"/>
    </row>
    <row r="361" spans="1:57" ht="12.95" customHeight="1">
      <c r="E361" s="928" t="s">
        <v>1180</v>
      </c>
      <c r="F361" s="928"/>
      <c r="G361" s="928"/>
      <c r="H361" s="928"/>
      <c r="I361" s="928"/>
      <c r="J361" s="928"/>
      <c r="K361" s="928"/>
      <c r="L361" s="928"/>
      <c r="M361" s="928"/>
      <c r="N361" s="928"/>
      <c r="O361" s="928"/>
      <c r="P361" s="928"/>
      <c r="Q361" s="928"/>
      <c r="R361" s="928"/>
      <c r="S361" s="928"/>
      <c r="T361" s="928"/>
      <c r="U361" s="928"/>
      <c r="V361" s="928"/>
      <c r="W361" s="928"/>
      <c r="X361" s="928"/>
      <c r="Y361" s="928"/>
      <c r="Z361" s="928"/>
      <c r="AA361" s="928"/>
      <c r="AB361" s="928"/>
      <c r="AC361" s="928"/>
      <c r="AD361" s="928"/>
      <c r="AE361" s="928"/>
      <c r="AF361" s="928"/>
      <c r="AG361" s="928"/>
      <c r="AH361" s="928"/>
      <c r="BE361" t="s">
        <v>325</v>
      </c>
    </row>
    <row r="362" spans="1:57" ht="12.95" customHeight="1">
      <c r="E362" s="928"/>
      <c r="F362" s="928"/>
      <c r="G362" s="928"/>
      <c r="H362" s="928"/>
      <c r="I362" s="928"/>
      <c r="J362" s="928"/>
      <c r="K362" s="928"/>
      <c r="L362" s="928"/>
      <c r="M362" s="928"/>
      <c r="N362" s="928"/>
      <c r="O362" s="928"/>
      <c r="P362" s="928"/>
      <c r="Q362" s="928"/>
      <c r="R362" s="928"/>
      <c r="S362" s="928"/>
      <c r="T362" s="928"/>
      <c r="U362" s="928"/>
      <c r="V362" s="928"/>
      <c r="W362" s="928"/>
      <c r="X362" s="928"/>
      <c r="Y362" s="928"/>
      <c r="Z362" s="928"/>
      <c r="AA362" s="928"/>
      <c r="AB362" s="928"/>
      <c r="AC362" s="928"/>
      <c r="AD362" s="928"/>
      <c r="AE362" s="928"/>
      <c r="AF362" s="928"/>
      <c r="AG362" s="928"/>
      <c r="AH362" s="928"/>
      <c r="BE362" t="s">
        <v>821</v>
      </c>
    </row>
    <row r="363" spans="1:57" ht="12.95" customHeight="1">
      <c r="E363" s="33" t="s">
        <v>1181</v>
      </c>
      <c r="F363" s="33"/>
      <c r="G363" s="33"/>
      <c r="H363" s="33"/>
      <c r="I363" s="33"/>
      <c r="J363" s="33"/>
      <c r="K363" s="33"/>
      <c r="L363" s="33"/>
      <c r="N363" s="1204"/>
      <c r="O363" s="1204"/>
      <c r="P363" s="1204"/>
      <c r="Q363" s="1204"/>
      <c r="R363" s="33"/>
      <c r="U363" s="33" t="s">
        <v>1182</v>
      </c>
      <c r="V363" s="33"/>
      <c r="W363" s="33"/>
      <c r="X363" s="33"/>
      <c r="Y363" s="33"/>
      <c r="Z363" s="33"/>
      <c r="AA363" s="33"/>
      <c r="AB363" s="33"/>
      <c r="AC363" s="1204"/>
      <c r="AD363" s="1204"/>
      <c r="AE363" s="1204"/>
      <c r="AF363" s="1204"/>
      <c r="BE363" t="s">
        <v>712</v>
      </c>
    </row>
    <row r="364" spans="1:57" ht="12.95" customHeight="1">
      <c r="E364" s="33" t="s">
        <v>1183</v>
      </c>
      <c r="F364" s="33"/>
      <c r="G364" s="33"/>
      <c r="H364" s="33"/>
      <c r="I364" s="33"/>
      <c r="J364" s="33"/>
      <c r="K364" s="33"/>
      <c r="L364" s="33"/>
      <c r="N364" s="1204"/>
      <c r="O364" s="1204"/>
      <c r="P364" s="1204"/>
      <c r="Q364" s="1204"/>
      <c r="R364" s="33"/>
      <c r="U364" s="33" t="s">
        <v>1184</v>
      </c>
      <c r="V364" s="33"/>
      <c r="W364" s="33"/>
      <c r="X364" s="33"/>
      <c r="Y364" s="33"/>
      <c r="Z364" s="33"/>
      <c r="AA364" s="33"/>
      <c r="AB364" s="33"/>
      <c r="AC364" s="1204"/>
      <c r="AD364" s="1204"/>
      <c r="AE364" s="1204"/>
      <c r="AF364" s="1204"/>
    </row>
    <row r="365" spans="1:57" ht="12.95" customHeight="1">
      <c r="E365" s="33" t="s">
        <v>1185</v>
      </c>
      <c r="F365" s="33"/>
      <c r="G365" s="33"/>
      <c r="H365" s="33"/>
      <c r="I365" s="33"/>
      <c r="J365" s="33"/>
      <c r="K365" s="33"/>
      <c r="L365" s="33"/>
      <c r="N365" s="1204"/>
      <c r="O365" s="1204"/>
      <c r="P365" s="1204"/>
      <c r="Q365" s="1204"/>
      <c r="R365" s="33"/>
      <c r="V365" s="33"/>
      <c r="W365" s="33"/>
      <c r="X365" s="33"/>
      <c r="Y365" s="33"/>
      <c r="Z365" s="33"/>
      <c r="AA365" s="33"/>
      <c r="AB365" s="33"/>
    </row>
    <row r="366" spans="1:57" ht="12.95" customHeight="1">
      <c r="E366" s="33" t="s">
        <v>1186</v>
      </c>
      <c r="F366" s="33"/>
      <c r="G366" s="33"/>
      <c r="H366" s="33"/>
      <c r="I366" s="33"/>
      <c r="J366" s="33"/>
      <c r="K366" s="33"/>
      <c r="L366" s="33"/>
      <c r="N366" s="1358"/>
      <c r="O366" s="1358"/>
      <c r="P366" s="1358"/>
      <c r="Q366" s="1358"/>
      <c r="R366" s="1358"/>
      <c r="S366" s="1358"/>
      <c r="T366" s="1358"/>
      <c r="U366" s="1358"/>
      <c r="V366" s="1358"/>
      <c r="W366" s="1358"/>
      <c r="X366" s="1358"/>
      <c r="Y366" s="1358"/>
      <c r="Z366" s="1358"/>
      <c r="AA366" s="1358"/>
      <c r="AB366" s="1358"/>
      <c r="AC366" s="1358"/>
      <c r="AD366" s="1358"/>
      <c r="AE366" s="1358"/>
      <c r="AF366" s="1358"/>
    </row>
    <row r="367" spans="1:57" ht="12.95" customHeight="1">
      <c r="E367" s="33"/>
      <c r="F367" s="33"/>
      <c r="G367" s="33"/>
      <c r="H367" s="33"/>
      <c r="I367" s="33"/>
      <c r="J367" s="33"/>
      <c r="K367" s="33"/>
      <c r="L367" s="33"/>
      <c r="N367" s="1359"/>
      <c r="O367" s="1359"/>
      <c r="P367" s="1359"/>
      <c r="Q367" s="1359"/>
      <c r="R367" s="1359"/>
      <c r="S367" s="1359"/>
      <c r="T367" s="1359"/>
      <c r="U367" s="1359"/>
      <c r="V367" s="1359"/>
      <c r="W367" s="1359"/>
      <c r="X367" s="1359"/>
      <c r="Y367" s="1359"/>
      <c r="Z367" s="1359"/>
      <c r="AA367" s="1359"/>
      <c r="AB367" s="1359"/>
      <c r="AC367" s="1359"/>
      <c r="AD367" s="1359"/>
      <c r="AE367" s="1359"/>
      <c r="AF367" s="1359"/>
    </row>
    <row r="368" spans="1:57" ht="12.95" customHeight="1">
      <c r="E368" s="33"/>
      <c r="F368" s="33"/>
      <c r="G368" s="33"/>
      <c r="H368" s="33"/>
      <c r="I368" s="33"/>
      <c r="J368" s="33"/>
      <c r="K368" s="33"/>
      <c r="L368" s="33"/>
    </row>
    <row r="369" spans="1:36" ht="12.95" customHeight="1">
      <c r="D369" s="266" t="s">
        <v>1187</v>
      </c>
      <c r="E369" s="266"/>
      <c r="F369" s="780"/>
      <c r="G369" s="780"/>
      <c r="H369" s="780"/>
      <c r="I369" s="780"/>
      <c r="J369" s="780"/>
      <c r="K369" s="780"/>
      <c r="L369" s="780"/>
      <c r="M369" s="780"/>
      <c r="N369" s="780"/>
      <c r="O369" s="780"/>
      <c r="P369" s="780"/>
      <c r="Q369" s="780"/>
      <c r="R369" s="780"/>
      <c r="S369" s="780"/>
      <c r="T369" s="780"/>
      <c r="U369" s="780"/>
      <c r="V369" s="780"/>
      <c r="W369" s="780"/>
      <c r="X369" s="780"/>
      <c r="Y369" s="780"/>
      <c r="Z369" s="780"/>
      <c r="AA369" s="780"/>
      <c r="AB369" s="780"/>
      <c r="AC369" s="780"/>
      <c r="AD369" s="780"/>
      <c r="AE369" s="780"/>
      <c r="AF369" s="780"/>
      <c r="AG369" s="780"/>
      <c r="AH369" s="780"/>
    </row>
    <row r="370" spans="1:36" ht="12.95" customHeight="1">
      <c r="D370" s="780"/>
      <c r="E370" s="780" t="s">
        <v>1188</v>
      </c>
      <c r="F370" s="780"/>
      <c r="G370" s="780"/>
      <c r="H370" s="780"/>
      <c r="I370" s="780"/>
      <c r="J370" s="780"/>
      <c r="K370" s="780"/>
      <c r="L370" s="780"/>
      <c r="M370" s="780"/>
      <c r="O370" s="780"/>
      <c r="P370" s="739" t="s">
        <v>865</v>
      </c>
      <c r="Q370" s="780" t="s">
        <v>866</v>
      </c>
      <c r="R370" s="780"/>
      <c r="S370" s="1219"/>
      <c r="T370" s="1219"/>
      <c r="U370" s="263" t="s">
        <v>867</v>
      </c>
      <c r="V370" s="1219"/>
      <c r="W370" s="1219"/>
      <c r="X370" s="780"/>
      <c r="Z370" s="780"/>
      <c r="AA370" s="739" t="s">
        <v>865</v>
      </c>
      <c r="AB370" s="780" t="s">
        <v>866</v>
      </c>
      <c r="AC370" s="780"/>
      <c r="AD370" s="1219"/>
      <c r="AE370" s="1219"/>
      <c r="AF370" s="263" t="s">
        <v>867</v>
      </c>
      <c r="AG370" s="1219"/>
      <c r="AH370" s="1219"/>
    </row>
    <row r="371" spans="1:36" ht="12.95" customHeight="1">
      <c r="D371" s="780"/>
      <c r="E371" s="780" t="s">
        <v>1189</v>
      </c>
      <c r="F371" s="780"/>
      <c r="G371" s="780"/>
      <c r="H371" s="780"/>
      <c r="I371" s="780"/>
      <c r="J371" s="780"/>
      <c r="K371" s="780"/>
      <c r="L371" s="780"/>
      <c r="M371" s="780"/>
      <c r="N371" s="1219"/>
      <c r="O371" s="1219"/>
      <c r="P371" s="1219"/>
      <c r="Q371" s="780"/>
      <c r="R371" s="780"/>
      <c r="S371" s="780"/>
      <c r="T371" s="780"/>
      <c r="U371" s="780"/>
      <c r="V371" s="780"/>
      <c r="W371" s="780"/>
      <c r="X371" s="780"/>
      <c r="Y371" s="780"/>
      <c r="Z371" s="780"/>
      <c r="AA371" s="780"/>
      <c r="AB371" s="780"/>
      <c r="AC371" s="780"/>
      <c r="AD371" s="780"/>
      <c r="AE371" s="780"/>
      <c r="AF371" s="780"/>
      <c r="AG371" s="780"/>
      <c r="AH371" s="780"/>
    </row>
    <row r="372" spans="1:36" ht="12.95" customHeight="1">
      <c r="D372" s="780"/>
      <c r="E372" s="780" t="s">
        <v>1190</v>
      </c>
      <c r="F372" s="780"/>
      <c r="G372" s="780"/>
      <c r="H372" s="780"/>
      <c r="I372" s="780"/>
      <c r="J372" s="780"/>
      <c r="K372" s="780"/>
      <c r="L372" s="780"/>
      <c r="M372" s="780"/>
      <c r="N372" s="780"/>
      <c r="O372" s="780"/>
      <c r="P372" s="780"/>
      <c r="Q372" s="780"/>
      <c r="R372" s="780"/>
      <c r="S372" s="780"/>
      <c r="T372" s="780"/>
      <c r="U372" s="780"/>
      <c r="V372" s="780"/>
      <c r="W372" s="780"/>
      <c r="X372" s="780"/>
      <c r="Y372" s="780"/>
      <c r="Z372" s="780"/>
      <c r="AA372" s="780"/>
      <c r="AB372" s="780"/>
      <c r="AC372" s="780"/>
      <c r="AD372" s="780"/>
      <c r="AE372" s="780"/>
      <c r="AF372" s="780"/>
      <c r="AG372" s="1323" t="s">
        <v>325</v>
      </c>
      <c r="AH372" s="1323"/>
    </row>
    <row r="373" spans="1:36" ht="12.95" customHeight="1">
      <c r="D373" s="780"/>
      <c r="E373" s="780"/>
      <c r="F373" s="780"/>
      <c r="G373" s="780" t="s">
        <v>1191</v>
      </c>
      <c r="H373" s="780"/>
      <c r="I373" s="780"/>
      <c r="J373" s="780"/>
      <c r="K373" s="780"/>
      <c r="L373" s="780"/>
      <c r="M373" s="780"/>
      <c r="N373" s="780"/>
      <c r="O373" s="780"/>
      <c r="P373" s="780"/>
      <c r="Q373" s="780"/>
      <c r="R373" s="780"/>
      <c r="S373" s="780"/>
      <c r="T373" s="780"/>
      <c r="U373" s="780"/>
      <c r="V373" s="780"/>
      <c r="W373" s="780"/>
      <c r="X373" s="780"/>
      <c r="Y373" s="780"/>
      <c r="Z373" s="780"/>
      <c r="AA373" s="780"/>
      <c r="AB373" s="780"/>
      <c r="AC373" s="780"/>
      <c r="AD373" s="780"/>
      <c r="AE373" s="780"/>
      <c r="AF373" s="780"/>
      <c r="AG373" s="1323" t="s">
        <v>325</v>
      </c>
      <c r="AH373" s="1323"/>
    </row>
    <row r="374" spans="1:36" ht="12.95" customHeight="1">
      <c r="D374" s="780"/>
      <c r="E374" s="780"/>
      <c r="F374" s="780"/>
      <c r="G374" s="376" t="s">
        <v>1192</v>
      </c>
      <c r="H374" s="780"/>
      <c r="I374" s="780"/>
      <c r="J374" s="780"/>
      <c r="K374" s="780"/>
      <c r="L374" s="780"/>
      <c r="M374" s="780"/>
      <c r="N374" s="780"/>
      <c r="O374" s="780"/>
      <c r="P374" s="780"/>
      <c r="Q374" s="780"/>
      <c r="R374" s="780"/>
      <c r="S374" s="780"/>
      <c r="T374" s="780"/>
      <c r="U374" s="780"/>
      <c r="V374" s="1323" t="s">
        <v>325</v>
      </c>
      <c r="W374" s="1323"/>
      <c r="X374" s="780"/>
      <c r="Y374" s="327" t="s">
        <v>1193</v>
      </c>
      <c r="Z374" s="780"/>
      <c r="AA374" s="780"/>
      <c r="AB374" s="780"/>
      <c r="AC374" s="780"/>
      <c r="AD374" s="780"/>
      <c r="AE374" s="780"/>
      <c r="AF374" s="780"/>
      <c r="AG374" s="780"/>
      <c r="AH374" s="780"/>
    </row>
    <row r="375" spans="1:36" ht="12.95" customHeight="1">
      <c r="D375" s="780"/>
      <c r="E375" s="780" t="s">
        <v>1194</v>
      </c>
      <c r="F375" s="780"/>
      <c r="G375" s="780"/>
      <c r="H375" s="780"/>
      <c r="I375" s="780"/>
      <c r="J375" s="780"/>
      <c r="K375" s="780"/>
      <c r="L375" s="780"/>
      <c r="M375" s="780"/>
      <c r="N375" s="780"/>
      <c r="O375" s="780"/>
      <c r="P375" s="780"/>
      <c r="Q375" s="780"/>
      <c r="R375" s="780"/>
      <c r="S375" s="780"/>
      <c r="T375" s="780"/>
      <c r="U375" s="780"/>
      <c r="V375" s="1323" t="s">
        <v>325</v>
      </c>
      <c r="W375" s="1323"/>
      <c r="X375" s="780"/>
      <c r="Y375" s="780" t="s">
        <v>1195</v>
      </c>
      <c r="Z375" s="780"/>
      <c r="AA375" s="780"/>
      <c r="AB375" s="780"/>
      <c r="AC375" s="780"/>
      <c r="AD375" s="780"/>
      <c r="AE375" s="780"/>
      <c r="AF375" s="780"/>
      <c r="AG375" s="780"/>
      <c r="AH375" s="780"/>
    </row>
    <row r="376" spans="1:36" ht="12.95" customHeight="1">
      <c r="D376" s="780"/>
      <c r="E376" s="780"/>
      <c r="F376" s="780"/>
      <c r="G376" s="780"/>
      <c r="H376" s="780"/>
      <c r="I376" s="780"/>
      <c r="J376" s="780"/>
      <c r="K376" s="780"/>
      <c r="L376" s="780"/>
      <c r="M376" s="780"/>
      <c r="N376" s="780"/>
      <c r="O376" s="780"/>
      <c r="P376" s="780"/>
      <c r="Q376" s="780"/>
      <c r="R376" s="780"/>
      <c r="S376" s="780"/>
      <c r="T376" s="780"/>
      <c r="U376" s="780"/>
      <c r="V376" s="780"/>
      <c r="W376" s="780"/>
      <c r="X376" s="780"/>
      <c r="Y376" s="780"/>
      <c r="Z376" s="780"/>
      <c r="AA376" s="780"/>
      <c r="AB376" s="780"/>
      <c r="AC376" s="780"/>
      <c r="AD376" s="780"/>
      <c r="AE376" s="780"/>
      <c r="AF376" s="780"/>
      <c r="AG376" s="780"/>
      <c r="AH376" s="780"/>
    </row>
    <row r="377" spans="1:36" ht="12.95" customHeight="1">
      <c r="A377" s="2" t="s">
        <v>973</v>
      </c>
      <c r="B377" s="2"/>
      <c r="C377" s="2" t="s">
        <v>153</v>
      </c>
    </row>
    <row r="378" spans="1:36" ht="12.95" customHeight="1">
      <c r="D378" t="s">
        <v>1196</v>
      </c>
      <c r="J378" s="1181" t="s">
        <v>1197</v>
      </c>
      <c r="K378" s="1181"/>
      <c r="L378" s="1181"/>
      <c r="M378" s="1181"/>
      <c r="N378" s="1181"/>
      <c r="O378" s="1181"/>
      <c r="P378" s="1181"/>
      <c r="Q378" s="1181"/>
      <c r="R378" s="1181"/>
      <c r="S378" s="1181"/>
      <c r="T378" s="1181"/>
      <c r="U378" s="1181"/>
      <c r="V378" s="11" t="s">
        <v>1198</v>
      </c>
      <c r="W378" s="11"/>
      <c r="X378" s="11"/>
      <c r="Y378" s="11"/>
      <c r="Z378" s="11"/>
      <c r="AA378" s="11"/>
      <c r="AB378" s="11"/>
      <c r="AC378" s="1181" t="s">
        <v>1199</v>
      </c>
      <c r="AD378" s="1181"/>
      <c r="AE378" s="1181"/>
      <c r="AF378" s="1181"/>
      <c r="AG378" s="1181"/>
      <c r="AH378" s="1181"/>
      <c r="AI378" s="1181"/>
      <c r="AJ378" s="1181"/>
    </row>
    <row r="379" spans="1:36" ht="12.95" customHeight="1">
      <c r="D379" s="33" t="s">
        <v>1200</v>
      </c>
      <c r="J379" s="1183"/>
      <c r="K379" s="1183"/>
      <c r="L379" s="1183"/>
      <c r="M379" s="1183"/>
      <c r="N379" s="1183"/>
      <c r="O379" s="1183"/>
      <c r="P379" s="1183"/>
      <c r="Q379" s="1183"/>
      <c r="R379" s="1183"/>
      <c r="S379" s="1183"/>
      <c r="T379" s="1183"/>
      <c r="U379" s="1183"/>
      <c r="V379" s="33" t="s">
        <v>1200</v>
      </c>
      <c r="W379" s="11"/>
      <c r="X379" s="11"/>
      <c r="Y379" s="11"/>
      <c r="Z379" s="11"/>
      <c r="AA379" s="11"/>
      <c r="AB379" s="11"/>
      <c r="AC379" s="1181"/>
      <c r="AD379" s="1181"/>
      <c r="AE379" s="1181"/>
      <c r="AF379" s="1181"/>
      <c r="AG379" s="1181"/>
      <c r="AH379" s="1181"/>
      <c r="AI379" s="1181"/>
      <c r="AJ379" s="1181"/>
    </row>
    <row r="380" spans="1:36" ht="12.95" customHeight="1">
      <c r="D380" s="33" t="s">
        <v>808</v>
      </c>
      <c r="J380" s="1183"/>
      <c r="K380" s="1183"/>
      <c r="L380" s="1183"/>
      <c r="M380" s="1183"/>
      <c r="N380" s="1183"/>
      <c r="O380" s="1183"/>
      <c r="P380" s="1183"/>
      <c r="Q380" s="1183"/>
      <c r="R380" s="1183"/>
      <c r="S380" s="1183"/>
      <c r="T380" s="1183"/>
      <c r="U380" s="1183"/>
      <c r="V380" s="33" t="s">
        <v>808</v>
      </c>
      <c r="W380" s="11"/>
      <c r="X380" s="11"/>
      <c r="Y380" s="11"/>
      <c r="Z380" s="11"/>
      <c r="AA380" s="11"/>
      <c r="AB380" s="11"/>
      <c r="AC380" s="1181"/>
      <c r="AD380" s="1181"/>
      <c r="AE380" s="1181"/>
      <c r="AF380" s="1181"/>
      <c r="AG380" s="1181"/>
      <c r="AH380" s="1181"/>
      <c r="AI380" s="1181"/>
      <c r="AJ380" s="1181"/>
    </row>
    <row r="381" spans="1:36" ht="12.95" customHeight="1">
      <c r="D381" t="s">
        <v>1201</v>
      </c>
      <c r="J381" s="1085"/>
      <c r="K381" s="1085"/>
      <c r="L381" s="1085"/>
      <c r="M381" s="1085"/>
      <c r="N381" s="1085"/>
      <c r="O381" s="1085"/>
      <c r="P381" s="1085"/>
      <c r="Q381" s="1085"/>
      <c r="R381" s="1085"/>
      <c r="S381" s="1085"/>
      <c r="T381" s="1085"/>
      <c r="U381" s="1085"/>
      <c r="V381" s="1181"/>
      <c r="W381" s="1181"/>
      <c r="X381" s="1181"/>
      <c r="Y381" s="1181"/>
      <c r="Z381" s="1181"/>
      <c r="AA381" s="1181"/>
      <c r="AB381" s="1181"/>
      <c r="AC381" s="1181"/>
      <c r="AD381" s="1181"/>
      <c r="AE381" s="1181"/>
      <c r="AF381" s="1181"/>
      <c r="AG381" s="1181"/>
      <c r="AH381" s="1181"/>
      <c r="AI381" s="1181"/>
      <c r="AJ381" s="1181"/>
    </row>
    <row r="382" spans="1:36" ht="12.95" customHeight="1">
      <c r="D382" t="s">
        <v>1202</v>
      </c>
      <c r="Q382" s="1292" t="s">
        <v>1203</v>
      </c>
      <c r="R382" s="1292"/>
      <c r="S382" s="1292"/>
      <c r="T382" s="1292"/>
      <c r="U382" s="1292"/>
      <c r="V382" t="s">
        <v>1204</v>
      </c>
      <c r="AI382" s="1180" t="s">
        <v>821</v>
      </c>
      <c r="AJ382" s="1180"/>
    </row>
    <row r="383" spans="1:36" ht="12.95" customHeight="1">
      <c r="D383" t="s">
        <v>1205</v>
      </c>
      <c r="Q383" s="1360"/>
      <c r="R383" s="1105"/>
      <c r="S383" s="1105"/>
      <c r="T383" s="1105"/>
      <c r="U383" s="1105"/>
      <c r="W383" s="814" t="s">
        <v>1206</v>
      </c>
      <c r="AG383" s="1283"/>
      <c r="AH383" s="1283"/>
      <c r="AI383" s="1283"/>
      <c r="AJ383" s="1283"/>
    </row>
    <row r="384" spans="1:36" ht="12.95" customHeight="1">
      <c r="D384" t="s">
        <v>1207</v>
      </c>
      <c r="Q384" s="1102">
        <v>1960012</v>
      </c>
      <c r="R384" s="1102"/>
      <c r="S384" s="1102"/>
      <c r="T384" s="1102"/>
      <c r="U384" s="1102"/>
      <c r="V384" s="33" t="s">
        <v>1208</v>
      </c>
      <c r="AG384" s="1391"/>
      <c r="AH384" s="1391"/>
      <c r="AI384" s="1391"/>
      <c r="AJ384" s="1391"/>
    </row>
    <row r="385" spans="4:36" ht="12.95" customHeight="1">
      <c r="D385" t="s">
        <v>1056</v>
      </c>
      <c r="I385" s="1316"/>
      <c r="J385" s="1316"/>
      <c r="K385" s="1316"/>
      <c r="L385" s="1316"/>
      <c r="M385" s="1316"/>
      <c r="N385" s="1316"/>
      <c r="Q385" s="33" t="s">
        <v>1058</v>
      </c>
      <c r="S385" s="1417"/>
      <c r="T385" s="1417"/>
      <c r="U385" s="1417"/>
      <c r="V385" t="s">
        <v>1209</v>
      </c>
      <c r="AI385" s="1180" t="s">
        <v>821</v>
      </c>
      <c r="AJ385" s="1180"/>
    </row>
    <row r="386" spans="4:36" ht="12.95" customHeight="1">
      <c r="D386" t="s">
        <v>1210</v>
      </c>
      <c r="Q386" s="1052"/>
      <c r="R386" s="1052"/>
      <c r="S386" s="1052"/>
      <c r="T386" s="1052"/>
      <c r="U386" s="1052"/>
      <c r="V386" t="s">
        <v>1211</v>
      </c>
      <c r="AG386" s="1283"/>
      <c r="AH386" s="1283"/>
      <c r="AI386" s="1283"/>
      <c r="AJ386" s="1283"/>
    </row>
    <row r="387" spans="4:36" ht="12.95" customHeight="1">
      <c r="D387" t="s">
        <v>1212</v>
      </c>
      <c r="Q387" s="1454"/>
      <c r="R387" s="1454"/>
      <c r="S387" s="1454"/>
      <c r="T387" s="1454"/>
      <c r="U387" s="1454"/>
      <c r="V387" t="s">
        <v>1213</v>
      </c>
      <c r="AG387" s="1283"/>
      <c r="AH387" s="1283"/>
      <c r="AI387" s="1283"/>
      <c r="AJ387" s="1283"/>
    </row>
    <row r="388" spans="4:36" ht="12.95" customHeight="1">
      <c r="D388" t="s">
        <v>1214</v>
      </c>
      <c r="AG388" s="1283"/>
      <c r="AH388" s="1283"/>
      <c r="AI388" s="1283"/>
      <c r="AJ388" s="1283"/>
    </row>
    <row r="389" spans="4:36" ht="12.95" customHeight="1">
      <c r="AG389" s="644"/>
      <c r="AH389" s="644"/>
      <c r="AI389" s="644"/>
      <c r="AJ389" s="644"/>
    </row>
    <row r="390" spans="4:36" ht="12.95" customHeight="1">
      <c r="D390" s="33" t="s">
        <v>1215</v>
      </c>
      <c r="AG390" s="644"/>
      <c r="AH390" s="644"/>
      <c r="AI390" s="1180" t="s">
        <v>821</v>
      </c>
      <c r="AJ390" s="1180"/>
    </row>
    <row r="391" spans="4:36" ht="12.95" customHeight="1">
      <c r="D391" s="33" t="s">
        <v>1216</v>
      </c>
      <c r="T391" s="1220"/>
      <c r="U391" s="1220"/>
      <c r="V391" s="1220"/>
      <c r="W391" s="1220"/>
      <c r="X391" s="1220"/>
      <c r="Y391" s="1220"/>
      <c r="Z391" s="1220"/>
      <c r="AA391" s="1220"/>
      <c r="AB391" s="1220"/>
      <c r="AC391" s="1220"/>
      <c r="AD391" s="1220"/>
      <c r="AE391" s="1220"/>
      <c r="AF391" s="1220"/>
      <c r="AG391" s="1220"/>
      <c r="AH391" s="1220"/>
      <c r="AI391" s="1220"/>
      <c r="AJ391" s="1220"/>
    </row>
    <row r="392" spans="4:36" ht="12.95" customHeight="1">
      <c r="D392" s="33" t="s">
        <v>1217</v>
      </c>
      <c r="T392" s="1220"/>
      <c r="U392" s="1220"/>
      <c r="V392" s="1220"/>
      <c r="W392" s="1220"/>
      <c r="X392" s="1220"/>
      <c r="Y392" s="1220"/>
      <c r="Z392" s="1220"/>
      <c r="AA392" s="1220"/>
      <c r="AB392" s="1220"/>
      <c r="AC392" s="1220"/>
      <c r="AD392" s="1220"/>
      <c r="AE392" s="1220"/>
      <c r="AF392" s="1220"/>
      <c r="AG392" s="1220"/>
      <c r="AH392" s="1220"/>
      <c r="AI392" s="1220"/>
      <c r="AJ392" s="1220"/>
    </row>
    <row r="393" spans="4:36" ht="12.95" customHeight="1">
      <c r="AG393" s="644"/>
      <c r="AH393" s="644"/>
      <c r="AI393" s="644"/>
      <c r="AJ393" s="644"/>
    </row>
    <row r="394" spans="4:36" ht="12.95" customHeight="1">
      <c r="D394" s="33" t="s">
        <v>1218</v>
      </c>
      <c r="S394" s="1220" t="s">
        <v>821</v>
      </c>
      <c r="T394" s="1220"/>
      <c r="U394" s="1220"/>
      <c r="V394" t="s">
        <v>1219</v>
      </c>
      <c r="AG394" s="1249"/>
      <c r="AH394" s="1249"/>
      <c r="AI394" s="1249"/>
      <c r="AJ394" s="1249"/>
    </row>
    <row r="395" spans="4:36" ht="12.95" customHeight="1">
      <c r="D395" s="33" t="s">
        <v>1220</v>
      </c>
      <c r="S395" s="1220" t="s">
        <v>325</v>
      </c>
      <c r="T395" s="1220"/>
      <c r="U395" s="1220"/>
      <c r="V395" t="s">
        <v>1221</v>
      </c>
      <c r="AE395" s="1282"/>
      <c r="AF395" s="1282"/>
      <c r="AG395" s="1282"/>
      <c r="AH395" s="1282"/>
      <c r="AI395" s="1282"/>
      <c r="AJ395" s="1282"/>
    </row>
    <row r="396" spans="4:36" ht="12.95" customHeight="1">
      <c r="D396" s="33" t="s">
        <v>1222</v>
      </c>
      <c r="K396" s="1293"/>
      <c r="L396" s="1293"/>
      <c r="M396" s="1293"/>
      <c r="N396" s="1293"/>
      <c r="O396" s="1293"/>
      <c r="P396" s="1293"/>
      <c r="Q396" s="1293"/>
      <c r="R396" s="1293"/>
      <c r="S396" s="1293"/>
      <c r="T396" s="1293"/>
      <c r="U396" s="1293"/>
      <c r="V396" s="1293"/>
      <c r="W396" s="1293"/>
      <c r="X396" s="1293"/>
      <c r="Y396" s="1293"/>
      <c r="Z396" s="1293"/>
      <c r="AA396" s="1293"/>
      <c r="AB396" s="1293"/>
      <c r="AC396" s="1293"/>
      <c r="AD396" s="1293"/>
      <c r="AE396" s="1293"/>
      <c r="AF396" s="1293"/>
      <c r="AG396" s="1293"/>
      <c r="AH396" s="1293"/>
      <c r="AI396" s="1293"/>
      <c r="AJ396" s="1293"/>
    </row>
    <row r="397" spans="4:36" ht="12.95" customHeight="1">
      <c r="D397" s="33" t="s">
        <v>1223</v>
      </c>
      <c r="K397" s="1293"/>
      <c r="L397" s="1293"/>
      <c r="M397" s="1293"/>
      <c r="N397" s="1293"/>
      <c r="O397" s="1293"/>
      <c r="P397" s="1293"/>
      <c r="Q397" s="1293"/>
      <c r="R397" s="1293"/>
      <c r="S397" s="1293"/>
      <c r="T397" s="1293"/>
      <c r="U397" s="1293"/>
      <c r="V397" s="1293"/>
      <c r="W397" s="1293"/>
      <c r="X397" s="1293"/>
      <c r="Y397" s="1293"/>
      <c r="Z397" s="1293"/>
      <c r="AA397" s="1293"/>
      <c r="AB397" s="1293"/>
      <c r="AC397" s="1293"/>
      <c r="AD397" s="1293"/>
      <c r="AE397" s="1293"/>
      <c r="AF397" s="1293"/>
      <c r="AG397" s="1293"/>
      <c r="AH397" s="1293"/>
      <c r="AI397" s="1293"/>
      <c r="AJ397" s="1293"/>
    </row>
    <row r="398" spans="4:36" ht="12.95" customHeight="1">
      <c r="D398" s="33" t="s">
        <v>1224</v>
      </c>
      <c r="E398" s="757"/>
      <c r="F398" s="757"/>
      <c r="G398" s="757"/>
      <c r="H398" s="757"/>
      <c r="I398" s="757"/>
      <c r="J398" s="757"/>
      <c r="K398" s="757"/>
      <c r="L398" s="757"/>
      <c r="M398" s="757"/>
      <c r="N398" s="757"/>
      <c r="O398" s="757"/>
      <c r="P398" s="757"/>
      <c r="Q398" s="757"/>
      <c r="R398" s="757"/>
      <c r="S398" s="1294" t="s">
        <v>1225</v>
      </c>
      <c r="T398" s="1294"/>
      <c r="U398" s="1294"/>
      <c r="V398" s="1294"/>
      <c r="W398" s="1294"/>
      <c r="X398" s="1294"/>
      <c r="Y398" s="1294"/>
      <c r="Z398" s="1294"/>
      <c r="AA398" s="1294"/>
      <c r="AB398" s="1294"/>
      <c r="AC398" s="1294"/>
      <c r="AD398" s="1294"/>
      <c r="AE398" s="1294"/>
      <c r="AF398" s="1294"/>
      <c r="AG398" s="1294"/>
      <c r="AH398" s="1294"/>
      <c r="AI398" s="1294"/>
      <c r="AJ398" s="1294"/>
    </row>
    <row r="399" spans="4:36" ht="12.95" customHeight="1">
      <c r="D399" s="932" t="s">
        <v>1226</v>
      </c>
      <c r="E399" s="932"/>
      <c r="F399" s="932"/>
      <c r="G399" s="932"/>
      <c r="H399" s="932"/>
      <c r="I399" s="932"/>
      <c r="J399" s="932"/>
      <c r="K399" s="932"/>
      <c r="L399" s="932"/>
      <c r="M399" s="932"/>
      <c r="N399" s="932"/>
      <c r="O399" s="932"/>
      <c r="P399" s="932"/>
      <c r="Q399" s="932"/>
      <c r="R399" s="932"/>
      <c r="S399" s="932"/>
      <c r="T399" s="932"/>
      <c r="U399" s="932"/>
      <c r="V399" s="932"/>
      <c r="W399" s="932"/>
      <c r="X399" s="932"/>
      <c r="Y399" s="932"/>
      <c r="Z399" s="932"/>
      <c r="AA399" s="932"/>
      <c r="AB399" s="932"/>
      <c r="AC399" s="932"/>
      <c r="AD399" s="932"/>
      <c r="AE399" s="932"/>
      <c r="AF399" s="932"/>
      <c r="AG399" s="932"/>
      <c r="AH399" s="932"/>
      <c r="AI399" s="932"/>
      <c r="AJ399" s="932"/>
    </row>
    <row r="400" spans="4:36" ht="12.95" customHeight="1">
      <c r="D400" s="932"/>
      <c r="E400" s="932"/>
      <c r="F400" s="932"/>
      <c r="G400" s="932"/>
      <c r="H400" s="932"/>
      <c r="I400" s="932"/>
      <c r="J400" s="932"/>
      <c r="K400" s="932"/>
      <c r="L400" s="932"/>
      <c r="M400" s="932"/>
      <c r="N400" s="932"/>
      <c r="O400" s="932"/>
      <c r="P400" s="932"/>
      <c r="Q400" s="932"/>
      <c r="R400" s="932"/>
      <c r="S400" s="932"/>
      <c r="T400" s="932"/>
      <c r="U400" s="932"/>
      <c r="V400" s="932"/>
      <c r="W400" s="932"/>
      <c r="X400" s="932"/>
      <c r="Y400" s="932"/>
      <c r="Z400" s="932"/>
      <c r="AA400" s="932"/>
      <c r="AB400" s="932"/>
      <c r="AC400" s="932"/>
      <c r="AD400" s="932"/>
      <c r="AE400" s="932"/>
      <c r="AF400" s="932"/>
      <c r="AG400" s="932"/>
      <c r="AH400" s="932"/>
      <c r="AI400" s="932"/>
      <c r="AJ400" s="932"/>
    </row>
    <row r="401" spans="1:36" ht="12.95" customHeight="1">
      <c r="AG401" s="644"/>
      <c r="AH401" s="644"/>
      <c r="AI401" s="644"/>
      <c r="AJ401" s="644"/>
    </row>
    <row r="402" spans="1:36" ht="12.95" customHeight="1">
      <c r="A402" s="2" t="s">
        <v>994</v>
      </c>
      <c r="B402" s="2"/>
      <c r="C402" s="2" t="s">
        <v>155</v>
      </c>
    </row>
    <row r="403" spans="1:36" ht="12.95" customHeight="1">
      <c r="D403" s="2" t="s">
        <v>1227</v>
      </c>
      <c r="I403" s="1184" t="s">
        <v>1228</v>
      </c>
      <c r="J403" s="1184"/>
      <c r="K403" s="1184"/>
      <c r="L403" s="1184"/>
      <c r="M403" s="1184"/>
      <c r="N403" s="1184"/>
      <c r="O403" s="1184"/>
      <c r="P403" s="1184"/>
      <c r="Q403" s="1184"/>
      <c r="R403" s="1184"/>
      <c r="S403" s="1184"/>
      <c r="T403" s="1184"/>
      <c r="U403" s="1184"/>
      <c r="V403" s="1184"/>
      <c r="W403" s="1184"/>
      <c r="X403" s="1184"/>
      <c r="Y403" s="1184"/>
      <c r="Z403" s="1184"/>
      <c r="AA403" s="1184"/>
      <c r="AB403" s="1184"/>
      <c r="AC403" s="1184"/>
      <c r="AD403" s="1184"/>
    </row>
    <row r="404" spans="1:36" ht="12.95" customHeight="1">
      <c r="E404" t="s">
        <v>1229</v>
      </c>
      <c r="R404" s="1180" t="s">
        <v>325</v>
      </c>
      <c r="S404" s="1180"/>
      <c r="T404" t="s">
        <v>1230</v>
      </c>
      <c r="AD404" s="1204">
        <v>0</v>
      </c>
      <c r="AE404" s="1204"/>
    </row>
    <row r="405" spans="1:36" ht="12.95" customHeight="1">
      <c r="E405" t="s">
        <v>1231</v>
      </c>
      <c r="R405" s="1180" t="s">
        <v>712</v>
      </c>
      <c r="S405" s="1180"/>
      <c r="T405" t="s">
        <v>1230</v>
      </c>
      <c r="AD405" s="1204">
        <v>3</v>
      </c>
      <c r="AE405" s="1204"/>
    </row>
    <row r="406" spans="1:36" ht="12.95" customHeight="1">
      <c r="E406" t="s">
        <v>1232</v>
      </c>
      <c r="S406" s="1180" t="s">
        <v>325</v>
      </c>
      <c r="T406" s="1180"/>
    </row>
    <row r="407" spans="1:36" ht="12.95" customHeight="1">
      <c r="E407" t="s">
        <v>1233</v>
      </c>
      <c r="H407" s="1255" t="s">
        <v>1234</v>
      </c>
      <c r="I407" s="1255"/>
      <c r="J407" s="1255"/>
      <c r="K407" s="1255"/>
      <c r="L407" s="1255"/>
      <c r="M407" s="1255"/>
      <c r="N407" s="1255"/>
      <c r="O407" s="1255"/>
      <c r="P407" s="1255"/>
      <c r="Q407" s="1255"/>
      <c r="R407" s="1255"/>
      <c r="S407" s="1255"/>
      <c r="T407" s="1255"/>
      <c r="U407" s="1255"/>
      <c r="V407" s="1255"/>
      <c r="W407" s="1255"/>
      <c r="X407" s="1255"/>
      <c r="Y407" s="1255"/>
      <c r="Z407" s="1255"/>
      <c r="AA407" s="1255"/>
      <c r="AB407" s="1255"/>
      <c r="AC407" s="1255"/>
      <c r="AD407" s="1255"/>
      <c r="AE407" s="1255"/>
      <c r="AF407" s="1255"/>
      <c r="AG407" s="1255"/>
      <c r="AH407" s="1255"/>
      <c r="AI407" s="1255"/>
      <c r="AJ407" s="1255"/>
    </row>
    <row r="408" spans="1:36" ht="12.95" customHeight="1">
      <c r="H408" s="1256"/>
      <c r="I408" s="1256"/>
      <c r="J408" s="1256"/>
      <c r="K408" s="1256"/>
      <c r="L408" s="1256"/>
      <c r="M408" s="1256"/>
      <c r="N408" s="1256"/>
      <c r="O408" s="1256"/>
      <c r="P408" s="1256"/>
      <c r="Q408" s="1256"/>
      <c r="R408" s="1256"/>
      <c r="S408" s="1256"/>
      <c r="T408" s="1256"/>
      <c r="U408" s="1256"/>
      <c r="V408" s="1256"/>
      <c r="W408" s="1256"/>
      <c r="X408" s="1256"/>
      <c r="Y408" s="1256"/>
      <c r="Z408" s="1256"/>
      <c r="AA408" s="1256"/>
      <c r="AB408" s="1256"/>
      <c r="AC408" s="1256"/>
      <c r="AD408" s="1256"/>
      <c r="AE408" s="1256"/>
      <c r="AF408" s="1256"/>
      <c r="AG408" s="1256"/>
      <c r="AH408" s="1256"/>
      <c r="AI408" s="1256"/>
      <c r="AJ408" s="1256"/>
    </row>
    <row r="409" spans="1:36" ht="12.95" customHeight="1"/>
    <row r="410" spans="1:36" ht="12.95" customHeight="1">
      <c r="A410" s="2" t="s">
        <v>1009</v>
      </c>
      <c r="B410" s="2"/>
      <c r="C410" s="2"/>
      <c r="D410" s="2" t="s">
        <v>160</v>
      </c>
      <c r="AE410" s="33"/>
      <c r="AF410" s="2" t="s">
        <v>1235</v>
      </c>
    </row>
    <row r="411" spans="1:36" ht="12.95" customHeight="1">
      <c r="E411" s="1227"/>
      <c r="F411" s="1227"/>
      <c r="G411" s="1227"/>
      <c r="H411" s="815" t="s">
        <v>1236</v>
      </c>
      <c r="I411" s="1227"/>
      <c r="J411" s="1227"/>
      <c r="K411" s="1227"/>
      <c r="L411" t="s">
        <v>1237</v>
      </c>
      <c r="N411" s="27" t="s">
        <v>1238</v>
      </c>
      <c r="P411" s="1303">
        <v>1.35</v>
      </c>
      <c r="Q411" s="1303"/>
      <c r="R411" s="1303"/>
      <c r="S411" t="s">
        <v>1239</v>
      </c>
      <c r="W411" s="1304">
        <f>IF(E411&gt;0,(E411*I411),(P411*43560))</f>
        <v>58806.000000000007</v>
      </c>
      <c r="X411" s="1304"/>
      <c r="Y411" s="1304"/>
      <c r="Z411" t="s">
        <v>1240</v>
      </c>
      <c r="AF411" s="1228">
        <f>IF(P411&gt;0,(AG430/P411),(AG430/(W411/43560)))</f>
        <v>31.851851851851851</v>
      </c>
      <c r="AG411" s="1228"/>
      <c r="AH411" s="1228"/>
    </row>
    <row r="412" spans="1:36" ht="12.95" customHeight="1">
      <c r="E412" t="s">
        <v>1241</v>
      </c>
    </row>
    <row r="413" spans="1:36" ht="12.95" customHeight="1">
      <c r="E413" s="1302"/>
      <c r="F413" s="1302"/>
      <c r="G413" s="1302"/>
      <c r="H413" s="1302"/>
      <c r="I413" s="1302"/>
      <c r="J413" s="1302"/>
      <c r="K413" s="1302"/>
      <c r="L413" s="1302"/>
      <c r="M413" s="1302"/>
      <c r="N413" s="1302"/>
      <c r="O413" s="1302"/>
      <c r="P413" s="1302"/>
      <c r="Q413" s="1302"/>
      <c r="R413" s="1302"/>
      <c r="S413" s="1302"/>
      <c r="T413" s="1302"/>
      <c r="U413" s="1302"/>
      <c r="V413" s="1302"/>
      <c r="W413" s="1302"/>
      <c r="X413" s="1302"/>
      <c r="Y413" s="1302"/>
      <c r="Z413" s="1302"/>
      <c r="AA413" s="1302"/>
      <c r="AB413" s="1302"/>
      <c r="AC413" s="1302"/>
      <c r="AD413" s="1302"/>
      <c r="AE413" s="1302"/>
      <c r="AF413" s="1302"/>
      <c r="AG413" s="1302"/>
      <c r="AH413" s="1302"/>
      <c r="AI413" s="1302"/>
      <c r="AJ413" s="1302"/>
    </row>
    <row r="414" spans="1:36" ht="12.95" customHeight="1">
      <c r="E414" s="760" t="s">
        <v>1242</v>
      </c>
      <c r="F414" s="814"/>
      <c r="G414" s="814"/>
      <c r="H414" s="814"/>
      <c r="I414" s="1289">
        <v>1.35</v>
      </c>
      <c r="J414" s="1289"/>
      <c r="K414" s="1289"/>
      <c r="L414" s="814"/>
      <c r="M414" s="760"/>
      <c r="N414" s="814"/>
      <c r="O414" s="814"/>
      <c r="P414" s="1226">
        <f>(CQ615+CS620+CQ634)/I414</f>
        <v>56.296296296296291</v>
      </c>
      <c r="Q414" s="1226"/>
      <c r="R414" s="1226"/>
      <c r="S414" s="760" t="s">
        <v>1243</v>
      </c>
      <c r="T414" s="814"/>
      <c r="U414" s="814"/>
      <c r="V414" s="814"/>
      <c r="W414" s="814"/>
      <c r="X414" s="814"/>
      <c r="Y414" s="814"/>
      <c r="Z414" s="814"/>
      <c r="AA414" s="814"/>
      <c r="AB414" s="814"/>
      <c r="AC414" s="814"/>
      <c r="AD414" s="814"/>
      <c r="AE414" s="814"/>
      <c r="AF414" s="814"/>
      <c r="AG414" s="814"/>
      <c r="AH414" s="814"/>
      <c r="AI414" s="814"/>
      <c r="AJ414" s="814"/>
    </row>
    <row r="415" spans="1:36" ht="12.95" customHeight="1"/>
    <row r="416" spans="1:36" ht="12.95" customHeight="1">
      <c r="A416" s="2" t="s">
        <v>1019</v>
      </c>
      <c r="B416" s="2"/>
      <c r="C416" s="2"/>
      <c r="D416" s="2" t="s">
        <v>162</v>
      </c>
    </row>
    <row r="417" spans="1:36" ht="12.95" customHeight="1">
      <c r="E417" t="s">
        <v>1244</v>
      </c>
      <c r="P417" s="1180">
        <v>7</v>
      </c>
      <c r="Q417" s="1180"/>
      <c r="S417" t="s">
        <v>1245</v>
      </c>
      <c r="AE417" s="1180">
        <v>7</v>
      </c>
      <c r="AF417" s="1180"/>
    </row>
    <row r="418" spans="1:36" ht="12.95" customHeight="1">
      <c r="E418" t="s">
        <v>1246</v>
      </c>
      <c r="P418" s="1180">
        <v>2</v>
      </c>
      <c r="Q418" s="1180"/>
      <c r="S418" t="s">
        <v>1247</v>
      </c>
      <c r="AE418" s="1180" t="s">
        <v>325</v>
      </c>
      <c r="AF418" s="1180"/>
    </row>
    <row r="419" spans="1:36" ht="12.95" customHeight="1">
      <c r="F419" s="3" t="s">
        <v>1248</v>
      </c>
    </row>
    <row r="420" spans="1:36" ht="12.95" customHeight="1">
      <c r="F420" s="1287"/>
      <c r="G420" s="1287"/>
      <c r="H420" s="1287"/>
      <c r="I420" s="1287"/>
      <c r="J420" s="1287"/>
      <c r="K420" s="1287"/>
      <c r="L420" s="1287"/>
      <c r="M420" s="1287"/>
      <c r="N420" s="1287"/>
      <c r="O420" s="1287"/>
      <c r="P420" s="1287"/>
      <c r="Q420" s="1287"/>
      <c r="R420" s="1287"/>
      <c r="S420" s="1287"/>
      <c r="T420" s="1287"/>
      <c r="U420" s="1287"/>
      <c r="V420" s="1287"/>
      <c r="W420" s="1287"/>
      <c r="X420" s="1287"/>
      <c r="Y420" s="1287"/>
      <c r="Z420" s="1287"/>
      <c r="AA420" s="1287"/>
      <c r="AB420" s="1287"/>
      <c r="AC420" s="1287"/>
      <c r="AD420" s="1287"/>
      <c r="AE420" s="1287"/>
      <c r="AF420" s="1287"/>
      <c r="AG420" s="1287"/>
      <c r="AH420" s="1287"/>
    </row>
    <row r="421" spans="1:36" ht="12.95" customHeight="1">
      <c r="F421" s="1288"/>
      <c r="G421" s="1288"/>
      <c r="H421" s="1288"/>
      <c r="I421" s="1288"/>
      <c r="J421" s="1288"/>
      <c r="K421" s="1288"/>
      <c r="L421" s="1288"/>
      <c r="M421" s="1288"/>
      <c r="N421" s="1288"/>
      <c r="O421" s="1288"/>
      <c r="P421" s="1288"/>
      <c r="Q421" s="1288"/>
      <c r="R421" s="1288"/>
      <c r="S421" s="1288"/>
      <c r="T421" s="1288"/>
      <c r="U421" s="1288"/>
      <c r="V421" s="1288"/>
      <c r="W421" s="1288"/>
      <c r="X421" s="1288"/>
      <c r="Y421" s="1288"/>
      <c r="Z421" s="1288"/>
      <c r="AA421" s="1288"/>
      <c r="AB421" s="1288"/>
      <c r="AC421" s="1288"/>
      <c r="AD421" s="1288"/>
      <c r="AE421" s="1288"/>
      <c r="AF421" s="1288"/>
      <c r="AG421" s="1288"/>
      <c r="AH421" s="1288"/>
    </row>
    <row r="422" spans="1:36" ht="12.95" customHeight="1">
      <c r="E422" t="s">
        <v>1249</v>
      </c>
      <c r="P422" s="781"/>
      <c r="Q422" s="1180" t="s">
        <v>712</v>
      </c>
      <c r="R422" s="1180"/>
      <c r="AE422" s="781"/>
      <c r="AF422" s="781"/>
    </row>
    <row r="423" spans="1:36" ht="12.95" customHeight="1">
      <c r="F423" t="s">
        <v>1250</v>
      </c>
      <c r="P423" s="781"/>
      <c r="Q423" s="781"/>
      <c r="AE423" s="1180" t="s">
        <v>325</v>
      </c>
      <c r="AF423" s="1832"/>
    </row>
    <row r="424" spans="1:36" ht="12.95" customHeight="1"/>
    <row r="425" spans="1:36" ht="12.95" customHeight="1">
      <c r="A425" s="2"/>
      <c r="B425" s="2"/>
      <c r="C425" s="2"/>
      <c r="E425" s="33" t="s">
        <v>1251</v>
      </c>
      <c r="Z425" s="1180" t="s">
        <v>712</v>
      </c>
      <c r="AA425" s="1180"/>
    </row>
    <row r="426" spans="1:36" ht="12.95" customHeight="1">
      <c r="F426" s="36" t="s">
        <v>1252</v>
      </c>
      <c r="G426" s="812"/>
      <c r="H426" s="812"/>
      <c r="I426" s="812"/>
      <c r="J426" s="812"/>
      <c r="K426" s="812"/>
      <c r="L426" s="812"/>
      <c r="M426" s="812"/>
      <c r="N426" s="812"/>
      <c r="O426" s="812"/>
      <c r="P426" s="812"/>
      <c r="Q426" s="812"/>
      <c r="R426" s="812"/>
      <c r="S426" s="812"/>
      <c r="T426" s="812"/>
      <c r="U426" s="812"/>
      <c r="V426" s="812"/>
      <c r="W426" s="812"/>
      <c r="AB426" s="812"/>
    </row>
    <row r="427" spans="1:36" ht="12.95" customHeight="1">
      <c r="F427" t="s">
        <v>1253</v>
      </c>
      <c r="G427" s="812"/>
      <c r="I427" s="812"/>
      <c r="J427" s="812"/>
      <c r="K427" s="812"/>
      <c r="L427" s="812"/>
      <c r="M427" s="812"/>
      <c r="N427" s="812"/>
      <c r="Q427" s="33"/>
      <c r="R427" s="812"/>
      <c r="S427" s="812"/>
      <c r="T427" s="812"/>
      <c r="U427" s="812"/>
      <c r="V427" s="812"/>
      <c r="W427" s="812"/>
      <c r="Z427" s="1180" t="s">
        <v>325</v>
      </c>
      <c r="AA427" s="1180"/>
    </row>
    <row r="428" spans="1:36" ht="12.95" customHeight="1"/>
    <row r="429" spans="1:36" ht="12.95" customHeight="1">
      <c r="A429" s="2" t="s">
        <v>1037</v>
      </c>
      <c r="B429" s="2"/>
      <c r="C429" s="2"/>
      <c r="D429" s="2" t="s">
        <v>169</v>
      </c>
      <c r="AF429" s="39"/>
    </row>
    <row r="430" spans="1:36" ht="12.95" customHeight="1">
      <c r="D430" s="1077" t="s">
        <v>1254</v>
      </c>
      <c r="E430" s="1078"/>
      <c r="F430" s="1078"/>
      <c r="G430" s="1078"/>
      <c r="H430" s="1078"/>
      <c r="I430" s="1078"/>
      <c r="J430" s="1078"/>
      <c r="K430" s="1078"/>
      <c r="L430" s="1078"/>
      <c r="M430" s="1078"/>
      <c r="N430" s="1078"/>
      <c r="O430" s="1078"/>
      <c r="P430" s="1078"/>
      <c r="Q430" s="1078"/>
      <c r="R430" s="1078"/>
      <c r="S430" s="1078"/>
      <c r="T430" s="1078"/>
      <c r="U430" s="1078"/>
      <c r="V430" s="1078"/>
      <c r="W430" s="1078"/>
      <c r="X430" s="1078"/>
      <c r="Y430" s="1078"/>
      <c r="Z430" s="1078"/>
      <c r="AA430" s="1078"/>
      <c r="AB430" s="1078"/>
      <c r="AC430" s="1078"/>
      <c r="AD430" s="1078"/>
      <c r="AE430" s="1078"/>
      <c r="AF430" s="1271"/>
      <c r="AG430" s="1274">
        <v>43</v>
      </c>
      <c r="AH430" s="1274"/>
      <c r="AI430" s="1274"/>
      <c r="AJ430" s="1274"/>
    </row>
    <row r="431" spans="1:36" ht="12.95" customHeight="1">
      <c r="D431" s="1080" t="s">
        <v>1255</v>
      </c>
      <c r="E431" s="1221"/>
      <c r="F431" s="1221"/>
      <c r="G431" s="1221"/>
      <c r="H431" s="1221"/>
      <c r="I431" s="1221"/>
      <c r="J431" s="1221"/>
      <c r="K431" s="1221"/>
      <c r="L431" s="1221"/>
      <c r="M431" s="1221"/>
      <c r="N431" s="1221"/>
      <c r="O431" s="1221"/>
      <c r="P431" s="1221"/>
      <c r="Q431" s="1221"/>
      <c r="R431" s="1221"/>
      <c r="S431" s="1221"/>
      <c r="T431" s="1221"/>
      <c r="U431" s="1221"/>
      <c r="V431" s="1221"/>
      <c r="W431" s="1221"/>
      <c r="X431" s="1221"/>
      <c r="Y431" s="1221"/>
      <c r="Z431" s="1221"/>
      <c r="AA431" s="1221"/>
      <c r="AB431" s="1221"/>
      <c r="AC431" s="1221"/>
      <c r="AD431" s="1221"/>
      <c r="AE431" s="1221"/>
      <c r="AF431" s="1222"/>
      <c r="AG431" s="1272"/>
      <c r="AH431" s="1273"/>
      <c r="AI431" s="1273"/>
      <c r="AJ431" s="1273"/>
    </row>
    <row r="432" spans="1:36" ht="12.95" customHeight="1">
      <c r="D432" s="1080" t="s">
        <v>1256</v>
      </c>
      <c r="E432" s="1221"/>
      <c r="F432" s="1221"/>
      <c r="G432" s="1221"/>
      <c r="H432" s="1221"/>
      <c r="I432" s="1221"/>
      <c r="J432" s="1221"/>
      <c r="K432" s="1221"/>
      <c r="L432" s="1221"/>
      <c r="M432" s="1221"/>
      <c r="N432" s="1221"/>
      <c r="O432" s="1221"/>
      <c r="P432" s="1221"/>
      <c r="Q432" s="1221"/>
      <c r="R432" s="1221"/>
      <c r="S432" s="1221"/>
      <c r="T432" s="1221"/>
      <c r="U432" s="1221"/>
      <c r="V432" s="1221"/>
      <c r="W432" s="1221"/>
      <c r="X432" s="1221"/>
      <c r="Y432" s="1221"/>
      <c r="Z432" s="1221"/>
      <c r="AA432" s="1221"/>
      <c r="AB432" s="1221"/>
      <c r="AC432" s="1221"/>
      <c r="AD432" s="1221"/>
      <c r="AE432" s="1221"/>
      <c r="AF432" s="1222"/>
      <c r="AG432" s="1274">
        <v>42</v>
      </c>
      <c r="AH432" s="1274"/>
      <c r="AI432" s="1274"/>
      <c r="AJ432" s="1274"/>
    </row>
    <row r="433" spans="4:36" ht="12.95" customHeight="1">
      <c r="D433" s="1080" t="s">
        <v>1257</v>
      </c>
      <c r="E433" s="1221"/>
      <c r="F433" s="1221"/>
      <c r="G433" s="1221"/>
      <c r="H433" s="1221"/>
      <c r="I433" s="1221"/>
      <c r="J433" s="1221"/>
      <c r="K433" s="1221"/>
      <c r="L433" s="1221"/>
      <c r="M433" s="1221"/>
      <c r="N433" s="1221"/>
      <c r="O433" s="1221"/>
      <c r="P433" s="1221"/>
      <c r="Q433" s="1221"/>
      <c r="R433" s="1221"/>
      <c r="S433" s="1221"/>
      <c r="T433" s="1221"/>
      <c r="U433" s="1221"/>
      <c r="V433" s="1221"/>
      <c r="W433" s="1221"/>
      <c r="X433" s="1221"/>
      <c r="Y433" s="1221"/>
      <c r="Z433" s="1221"/>
      <c r="AA433" s="1221"/>
      <c r="AB433" s="1221"/>
      <c r="AC433" s="1221"/>
      <c r="AD433" s="1221"/>
      <c r="AE433" s="1221"/>
      <c r="AF433" s="1222"/>
      <c r="AG433" s="1274">
        <v>42</v>
      </c>
      <c r="AH433" s="1274"/>
      <c r="AI433" s="1274"/>
      <c r="AJ433" s="1274"/>
    </row>
    <row r="434" spans="4:36" ht="12.95" customHeight="1">
      <c r="D434" s="1080" t="s">
        <v>1258</v>
      </c>
      <c r="E434" s="1221"/>
      <c r="F434" s="1221"/>
      <c r="G434" s="1221"/>
      <c r="H434" s="1221"/>
      <c r="I434" s="1221"/>
      <c r="J434" s="1221"/>
      <c r="K434" s="1221"/>
      <c r="L434" s="1221"/>
      <c r="M434" s="1221"/>
      <c r="N434" s="1221"/>
      <c r="O434" s="1221"/>
      <c r="P434" s="1221"/>
      <c r="Q434" s="1221"/>
      <c r="R434" s="1221"/>
      <c r="S434" s="1221"/>
      <c r="T434" s="1221"/>
      <c r="U434" s="1221"/>
      <c r="V434" s="1221"/>
      <c r="W434" s="1221"/>
      <c r="X434" s="1221"/>
      <c r="Y434" s="1221"/>
      <c r="Z434" s="1221"/>
      <c r="AA434" s="1221"/>
      <c r="AB434" s="1221"/>
      <c r="AC434" s="1221"/>
      <c r="AD434" s="1221"/>
      <c r="AE434" s="1221"/>
      <c r="AF434" s="1222"/>
      <c r="AG434" s="1246">
        <f>IF(ISERROR(AG433/AG432),"",AG433/AG432)</f>
        <v>1</v>
      </c>
      <c r="AH434" s="1246"/>
      <c r="AI434" s="1246"/>
      <c r="AJ434" s="1246"/>
    </row>
    <row r="435" spans="4:36" ht="12.95" customHeight="1">
      <c r="D435" s="1080" t="s">
        <v>1259</v>
      </c>
      <c r="E435" s="1221"/>
      <c r="F435" s="1221"/>
      <c r="G435" s="1221"/>
      <c r="H435" s="1221"/>
      <c r="I435" s="1221"/>
      <c r="J435" s="1221"/>
      <c r="K435" s="1221"/>
      <c r="L435" s="1221"/>
      <c r="M435" s="1221"/>
      <c r="N435" s="1221"/>
      <c r="O435" s="1221"/>
      <c r="P435" s="1221"/>
      <c r="Q435" s="1221"/>
      <c r="R435" s="1221"/>
      <c r="S435" s="1221"/>
      <c r="T435" s="1221"/>
      <c r="U435" s="1221"/>
      <c r="V435" s="1221"/>
      <c r="W435" s="1221"/>
      <c r="X435" s="1221"/>
      <c r="Y435" s="1221"/>
      <c r="Z435" s="1221"/>
      <c r="AA435" s="1221"/>
      <c r="AB435" s="1221"/>
      <c r="AC435" s="1221"/>
      <c r="AD435" s="1221"/>
      <c r="AE435" s="1221"/>
      <c r="AF435" s="1222"/>
      <c r="AG435" s="1257">
        <v>39423</v>
      </c>
      <c r="AH435" s="1257"/>
      <c r="AI435" s="1257"/>
      <c r="AJ435" s="1257"/>
    </row>
    <row r="436" spans="4:36" ht="12.95" customHeight="1">
      <c r="D436" s="1080" t="s">
        <v>1260</v>
      </c>
      <c r="E436" s="1221"/>
      <c r="F436" s="1221"/>
      <c r="G436" s="1221"/>
      <c r="H436" s="1221"/>
      <c r="I436" s="1221"/>
      <c r="J436" s="1221"/>
      <c r="K436" s="1221"/>
      <c r="L436" s="1221"/>
      <c r="M436" s="1221"/>
      <c r="N436" s="1221"/>
      <c r="O436" s="1221"/>
      <c r="P436" s="1221"/>
      <c r="Q436" s="1221"/>
      <c r="R436" s="1221"/>
      <c r="S436" s="1221"/>
      <c r="T436" s="1221"/>
      <c r="U436" s="1221"/>
      <c r="V436" s="1221"/>
      <c r="W436" s="1221"/>
      <c r="X436" s="1221"/>
      <c r="Y436" s="1221"/>
      <c r="Z436" s="1221"/>
      <c r="AA436" s="1221"/>
      <c r="AB436" s="1221"/>
      <c r="AC436" s="1221"/>
      <c r="AD436" s="1221"/>
      <c r="AE436" s="1221"/>
      <c r="AF436" s="1222"/>
      <c r="AG436" s="1257">
        <v>39423</v>
      </c>
      <c r="AH436" s="1257"/>
      <c r="AI436" s="1257"/>
      <c r="AJ436" s="1257"/>
    </row>
    <row r="437" spans="4:36" ht="12.95" customHeight="1">
      <c r="D437" s="1080" t="s">
        <v>1261</v>
      </c>
      <c r="E437" s="1221"/>
      <c r="F437" s="1221"/>
      <c r="G437" s="1221"/>
      <c r="H437" s="1221"/>
      <c r="I437" s="1221"/>
      <c r="J437" s="1221"/>
      <c r="K437" s="1221"/>
      <c r="L437" s="1221"/>
      <c r="M437" s="1221"/>
      <c r="N437" s="1221"/>
      <c r="O437" s="1221"/>
      <c r="P437" s="1221"/>
      <c r="Q437" s="1221"/>
      <c r="R437" s="1221"/>
      <c r="S437" s="1221"/>
      <c r="T437" s="1221"/>
      <c r="U437" s="1221"/>
      <c r="V437" s="1221"/>
      <c r="W437" s="1221"/>
      <c r="X437" s="1221"/>
      <c r="Y437" s="1221"/>
      <c r="Z437" s="1221"/>
      <c r="AA437" s="1221"/>
      <c r="AB437" s="1221"/>
      <c r="AC437" s="1221"/>
      <c r="AD437" s="1221"/>
      <c r="AE437" s="1221"/>
      <c r="AF437" s="1222"/>
      <c r="AG437" s="1246">
        <f>IF(ISERROR(AG436/AG435),"",AG436/AG435)</f>
        <v>1</v>
      </c>
      <c r="AH437" s="1246"/>
      <c r="AI437" s="1246"/>
      <c r="AJ437" s="1246"/>
    </row>
    <row r="438" spans="4:36" ht="12.95" customHeight="1">
      <c r="D438" s="1080" t="s">
        <v>1262</v>
      </c>
      <c r="E438" s="1221"/>
      <c r="F438" s="1221"/>
      <c r="G438" s="1221"/>
      <c r="H438" s="1221"/>
      <c r="I438" s="1221"/>
      <c r="J438" s="1221"/>
      <c r="K438" s="1221"/>
      <c r="L438" s="1221"/>
      <c r="M438" s="1221"/>
      <c r="N438" s="1221"/>
      <c r="O438" s="1221"/>
      <c r="P438" s="1221"/>
      <c r="Q438" s="1221"/>
      <c r="R438" s="1221"/>
      <c r="S438" s="1221"/>
      <c r="T438" s="1221"/>
      <c r="U438" s="1221"/>
      <c r="V438" s="1221"/>
      <c r="W438" s="1221"/>
      <c r="X438" s="1221"/>
      <c r="Y438" s="1221"/>
      <c r="Z438" s="1221"/>
      <c r="AA438" s="1221"/>
      <c r="AB438" s="1221"/>
      <c r="AC438" s="1221"/>
      <c r="AD438" s="1221"/>
      <c r="AE438" s="1221"/>
      <c r="AF438" s="1222"/>
      <c r="AG438" s="1246">
        <f>MIN(IF(AG434&gt;AG437,AG437,AG434),1)</f>
        <v>1</v>
      </c>
      <c r="AH438" s="1246"/>
      <c r="AI438" s="1246"/>
      <c r="AJ438" s="1246"/>
    </row>
    <row r="439" spans="4:36" ht="12.95" customHeight="1">
      <c r="D439" s="1080" t="s">
        <v>1263</v>
      </c>
      <c r="E439" s="1078"/>
      <c r="F439" s="1078"/>
      <c r="G439" s="1078"/>
      <c r="H439" s="1078"/>
      <c r="I439" s="1078"/>
      <c r="J439" s="1078"/>
      <c r="K439" s="1078"/>
      <c r="L439" s="1078"/>
      <c r="M439" s="1078"/>
      <c r="N439" s="1078"/>
      <c r="O439" s="1078"/>
      <c r="P439" s="1078"/>
      <c r="Q439" s="1078"/>
      <c r="R439" s="1078"/>
      <c r="S439" s="1078"/>
      <c r="T439" s="1078"/>
      <c r="U439" s="1078"/>
      <c r="V439" s="1078"/>
      <c r="W439" s="1078"/>
      <c r="X439" s="1078"/>
      <c r="Y439" s="1078"/>
      <c r="Z439" s="1078"/>
      <c r="AA439" s="1078"/>
      <c r="AB439" s="1078"/>
      <c r="AC439" s="1078"/>
      <c r="AD439" s="1078"/>
      <c r="AE439" s="1078"/>
      <c r="AF439" s="1271"/>
      <c r="AG439" s="1257">
        <v>2600</v>
      </c>
      <c r="AH439" s="1257"/>
      <c r="AI439" s="1257"/>
      <c r="AJ439" s="1257"/>
    </row>
    <row r="440" spans="4:36" ht="12.95" customHeight="1">
      <c r="D440" s="1080" t="s">
        <v>1264</v>
      </c>
      <c r="E440" s="1221"/>
      <c r="F440" s="1221"/>
      <c r="G440" s="1221"/>
      <c r="H440" s="1221"/>
      <c r="I440" s="1221"/>
      <c r="J440" s="1221"/>
      <c r="K440" s="1221"/>
      <c r="L440" s="1221"/>
      <c r="M440" s="1221"/>
      <c r="N440" s="1221"/>
      <c r="O440" s="1221"/>
      <c r="P440" s="1221"/>
      <c r="Q440" s="1221"/>
      <c r="R440" s="1221"/>
      <c r="S440" s="1221"/>
      <c r="T440" s="1221"/>
      <c r="U440" s="1221"/>
      <c r="V440" s="1221"/>
      <c r="W440" s="1221"/>
      <c r="X440" s="1221"/>
      <c r="Y440" s="1221"/>
      <c r="Z440" s="1221"/>
      <c r="AA440" s="1221"/>
      <c r="AB440" s="1221"/>
      <c r="AC440" s="1221"/>
      <c r="AD440" s="1221"/>
      <c r="AE440" s="1221"/>
      <c r="AF440" s="1222"/>
      <c r="AG440" s="1257">
        <v>0</v>
      </c>
      <c r="AH440" s="1257"/>
      <c r="AI440" s="1257"/>
      <c r="AJ440" s="1257"/>
    </row>
    <row r="441" spans="4:36" ht="12.95" customHeight="1">
      <c r="D441" s="1080" t="s">
        <v>1265</v>
      </c>
      <c r="E441" s="1221"/>
      <c r="F441" s="1221"/>
      <c r="G441" s="1221"/>
      <c r="H441" s="1221"/>
      <c r="I441" s="1221"/>
      <c r="J441" s="1221"/>
      <c r="K441" s="1221"/>
      <c r="L441" s="1221"/>
      <c r="M441" s="1221"/>
      <c r="N441" s="1221"/>
      <c r="O441" s="1221"/>
      <c r="P441" s="1221"/>
      <c r="Q441" s="1221"/>
      <c r="R441" s="1221"/>
      <c r="S441" s="1221"/>
      <c r="T441" s="1221"/>
      <c r="U441" s="1221"/>
      <c r="V441" s="1221"/>
      <c r="W441" s="1221"/>
      <c r="X441" s="1221"/>
      <c r="Y441" s="1221"/>
      <c r="Z441" s="1221"/>
      <c r="AA441" s="1221"/>
      <c r="AB441" s="1221"/>
      <c r="AC441" s="1221"/>
      <c r="AD441" s="1221"/>
      <c r="AE441" s="1221"/>
      <c r="AF441" s="1222"/>
      <c r="AG441" s="1257">
        <v>3367</v>
      </c>
      <c r="AH441" s="1257"/>
      <c r="AI441" s="1257"/>
      <c r="AJ441" s="1257"/>
    </row>
    <row r="442" spans="4:36" ht="12.95" customHeight="1">
      <c r="D442" s="1080" t="s">
        <v>1266</v>
      </c>
      <c r="E442" s="1221"/>
      <c r="F442" s="1221"/>
      <c r="G442" s="1221"/>
      <c r="H442" s="1221"/>
      <c r="I442" s="1221"/>
      <c r="J442" s="1221"/>
      <c r="K442" s="1221"/>
      <c r="L442" s="1221"/>
      <c r="M442" s="1221"/>
      <c r="N442" s="1221"/>
      <c r="O442" s="1221"/>
      <c r="P442" s="1221"/>
      <c r="Q442" s="1221"/>
      <c r="R442" s="1221"/>
      <c r="S442" s="1221"/>
      <c r="T442" s="1221"/>
      <c r="U442" s="1221"/>
      <c r="V442" s="1221"/>
      <c r="W442" s="1221"/>
      <c r="X442" s="1221"/>
      <c r="Y442" s="1221"/>
      <c r="Z442" s="1221"/>
      <c r="AA442" s="1221"/>
      <c r="AB442" s="1221"/>
      <c r="AC442" s="1221"/>
      <c r="AD442" s="1221"/>
      <c r="AE442" s="1221"/>
      <c r="AF442" s="1222"/>
      <c r="AG442" s="1257">
        <v>0</v>
      </c>
      <c r="AH442" s="1257"/>
      <c r="AI442" s="1257"/>
      <c r="AJ442" s="1257"/>
    </row>
    <row r="443" spans="4:36" ht="12.95" customHeight="1">
      <c r="D443" s="1080" t="s">
        <v>1267</v>
      </c>
      <c r="E443" s="1221"/>
      <c r="F443" s="1221"/>
      <c r="G443" s="1221"/>
      <c r="H443" s="1221"/>
      <c r="I443" s="1221"/>
      <c r="J443" s="1221"/>
      <c r="K443" s="1221"/>
      <c r="L443" s="1221"/>
      <c r="M443" s="1221"/>
      <c r="N443" s="1221"/>
      <c r="O443" s="1221"/>
      <c r="P443" s="1221"/>
      <c r="Q443" s="1221"/>
      <c r="R443" s="1221"/>
      <c r="S443" s="1221"/>
      <c r="T443" s="1221"/>
      <c r="U443" s="1221"/>
      <c r="V443" s="1221"/>
      <c r="W443" s="1221"/>
      <c r="X443" s="1221"/>
      <c r="Y443" s="1221"/>
      <c r="Z443" s="1221"/>
      <c r="AA443" s="1221"/>
      <c r="AB443" s="1221"/>
      <c r="AC443" s="1221"/>
      <c r="AD443" s="1221"/>
      <c r="AE443" s="1221"/>
      <c r="AF443" s="1222"/>
      <c r="AG443" s="1286">
        <f>AG435+AG439+AG441+AG442</f>
        <v>45390</v>
      </c>
      <c r="AH443" s="1286"/>
      <c r="AI443" s="1286"/>
      <c r="AJ443" s="1286"/>
    </row>
    <row r="444" spans="4:36" ht="12.95" customHeight="1">
      <c r="D444" s="1290" t="s">
        <v>1268</v>
      </c>
      <c r="E444" s="1290"/>
      <c r="F444" s="1290"/>
      <c r="G444" s="1290"/>
      <c r="H444" s="1290"/>
      <c r="I444" s="1290"/>
      <c r="J444" s="1290"/>
      <c r="K444" s="1290"/>
      <c r="L444" s="1290"/>
      <c r="M444" s="1290"/>
      <c r="N444" s="1290"/>
      <c r="O444" s="1290"/>
      <c r="P444" s="1290"/>
      <c r="Q444" s="1290"/>
      <c r="R444" s="1290"/>
      <c r="S444" s="1290"/>
      <c r="T444" s="1290"/>
      <c r="U444" s="1290"/>
      <c r="V444" s="1290"/>
      <c r="W444" s="1290"/>
      <c r="X444" s="1290"/>
      <c r="Y444" s="1290"/>
      <c r="Z444" s="1290"/>
      <c r="AA444" s="1290"/>
      <c r="AB444" s="1290"/>
      <c r="AC444" s="1290"/>
      <c r="AD444" s="1290"/>
      <c r="AE444" s="1290"/>
      <c r="AF444" s="1290"/>
      <c r="AG444" s="1290"/>
      <c r="AH444" s="1290"/>
      <c r="AI444" s="1290"/>
      <c r="AJ444" s="1290"/>
    </row>
    <row r="445" spans="4:36" ht="12.95" customHeight="1">
      <c r="D445" s="1291"/>
      <c r="E445" s="1291"/>
      <c r="F445" s="1291"/>
      <c r="G445" s="1291"/>
      <c r="H445" s="1291"/>
      <c r="I445" s="1291"/>
      <c r="J445" s="1291"/>
      <c r="K445" s="1291"/>
      <c r="L445" s="1291"/>
      <c r="M445" s="1291"/>
      <c r="N445" s="1291"/>
      <c r="O445" s="1291"/>
      <c r="P445" s="1291"/>
      <c r="Q445" s="1291"/>
      <c r="R445" s="1291"/>
      <c r="S445" s="1291"/>
      <c r="T445" s="1291"/>
      <c r="U445" s="1291"/>
      <c r="V445" s="1291"/>
      <c r="W445" s="1291"/>
      <c r="X445" s="1291"/>
      <c r="Y445" s="1291"/>
      <c r="Z445" s="1291"/>
      <c r="AA445" s="1291"/>
      <c r="AB445" s="1291"/>
      <c r="AC445" s="1291"/>
      <c r="AD445" s="1291"/>
      <c r="AE445" s="1291"/>
      <c r="AF445" s="1291"/>
      <c r="AG445" s="1291"/>
      <c r="AH445" s="1291"/>
      <c r="AI445" s="1291"/>
      <c r="AJ445" s="1291"/>
    </row>
    <row r="446" spans="4:36" ht="12.95" customHeight="1">
      <c r="D446" s="1247"/>
      <c r="E446" s="1247"/>
      <c r="F446" s="1247"/>
      <c r="G446" s="1247"/>
      <c r="H446" s="1247"/>
      <c r="I446" s="1247"/>
      <c r="J446" s="1247"/>
      <c r="K446" s="1247"/>
      <c r="L446" s="1247"/>
      <c r="M446" s="1247"/>
      <c r="N446" s="1247"/>
      <c r="O446" s="1247"/>
      <c r="P446" s="1247"/>
      <c r="Q446" s="1247"/>
      <c r="R446" s="1247"/>
      <c r="S446" s="1247"/>
      <c r="T446" s="1247"/>
      <c r="U446" s="1247"/>
      <c r="V446" s="1247"/>
      <c r="W446" s="1247"/>
      <c r="X446" s="1247"/>
      <c r="Y446" s="1247"/>
      <c r="Z446" s="1247"/>
      <c r="AA446" s="1247"/>
      <c r="AB446" s="1247"/>
      <c r="AC446" s="1247"/>
      <c r="AD446" s="1247"/>
      <c r="AE446" s="1247"/>
      <c r="AF446" s="1247"/>
      <c r="AG446" s="1247"/>
      <c r="AH446" s="1247"/>
      <c r="AI446" s="1247"/>
      <c r="AJ446" s="1247"/>
    </row>
    <row r="447" spans="4:36" ht="12.95" customHeight="1">
      <c r="D447" s="2" t="s">
        <v>1269</v>
      </c>
      <c r="E447" s="800"/>
      <c r="F447" s="800"/>
      <c r="G447" s="800"/>
      <c r="H447" s="800"/>
      <c r="I447" s="800"/>
      <c r="J447" s="800"/>
      <c r="K447" s="800"/>
      <c r="L447" s="800"/>
      <c r="M447" s="800"/>
      <c r="N447" s="800"/>
      <c r="O447" s="800"/>
      <c r="P447" s="800"/>
      <c r="Q447" s="800"/>
      <c r="R447" s="800"/>
      <c r="S447" s="800"/>
      <c r="T447" s="800"/>
      <c r="U447" s="800"/>
      <c r="V447" s="800"/>
      <c r="W447" s="800"/>
      <c r="X447" s="800"/>
      <c r="Y447" s="800"/>
      <c r="Z447" s="800"/>
      <c r="AA447" s="800"/>
      <c r="AB447" s="800"/>
      <c r="AC447" s="1248">
        <f>'Sources and Uses Budget'!B104/Application!AG430</f>
        <v>952645.71967007429</v>
      </c>
      <c r="AD447" s="1248"/>
      <c r="AE447" s="1248"/>
      <c r="AF447" s="1248"/>
      <c r="AG447" s="1301"/>
      <c r="AH447" s="1301"/>
      <c r="AI447" s="1301"/>
      <c r="AJ447" s="1301"/>
    </row>
    <row r="448" spans="4:36" ht="12.95" customHeight="1">
      <c r="D448" s="2" t="s">
        <v>1270</v>
      </c>
      <c r="E448" s="800"/>
      <c r="F448" s="800"/>
      <c r="G448" s="800"/>
      <c r="H448" s="800"/>
      <c r="I448" s="800"/>
      <c r="J448" s="800"/>
      <c r="K448" s="800"/>
      <c r="L448" s="800"/>
      <c r="M448" s="800"/>
      <c r="N448" s="800"/>
      <c r="O448" s="800"/>
      <c r="P448" s="800"/>
      <c r="Q448" s="800"/>
      <c r="R448" s="800"/>
      <c r="S448" s="800"/>
      <c r="T448" s="800"/>
      <c r="U448" s="800"/>
      <c r="V448" s="800"/>
      <c r="W448" s="800"/>
      <c r="X448" s="800"/>
      <c r="Y448" s="800"/>
      <c r="Z448" s="800"/>
      <c r="AA448" s="800"/>
      <c r="AB448" s="800"/>
      <c r="AC448" s="1248">
        <f>'Sources and Uses Budget'!C104/Application!AG430</f>
        <v>952645.71967007429</v>
      </c>
      <c r="AD448" s="1248"/>
      <c r="AE448" s="1248"/>
      <c r="AF448" s="1248"/>
      <c r="AG448" s="1301"/>
      <c r="AH448" s="1301"/>
      <c r="AI448" s="1301"/>
      <c r="AJ448" s="1301"/>
    </row>
    <row r="449" spans="1:38" ht="12.95" customHeight="1">
      <c r="D449" s="266" t="s">
        <v>1271</v>
      </c>
      <c r="E449" s="800"/>
      <c r="F449" s="800"/>
      <c r="G449" s="800"/>
      <c r="H449" s="800"/>
      <c r="I449" s="800"/>
      <c r="J449" s="800"/>
      <c r="K449" s="800"/>
      <c r="L449" s="800"/>
      <c r="M449" s="800"/>
      <c r="N449" s="800"/>
      <c r="O449" s="800"/>
      <c r="P449" s="800"/>
      <c r="Q449" s="800"/>
      <c r="R449" s="800"/>
      <c r="S449" s="800"/>
      <c r="T449" s="800"/>
      <c r="U449" s="800"/>
      <c r="V449" s="800"/>
      <c r="W449" s="800"/>
      <c r="X449" s="800"/>
      <c r="Y449" s="800"/>
      <c r="Z449" s="800"/>
      <c r="AA449" s="800"/>
      <c r="AB449" s="800"/>
      <c r="AC449" s="1248">
        <f>('Sources and Uses Budget'!S106+'Sources and Uses Budget'!T106)/Application!AG430</f>
        <v>841438.71173970122</v>
      </c>
      <c r="AD449" s="1248"/>
      <c r="AE449" s="1248"/>
      <c r="AF449" s="1248"/>
      <c r="AG449" s="872"/>
      <c r="AH449" s="872"/>
      <c r="AI449" s="872"/>
      <c r="AJ449" s="872"/>
    </row>
    <row r="450" spans="1:38" ht="12.95" customHeight="1">
      <c r="D450" s="800"/>
      <c r="E450" s="800"/>
      <c r="F450" s="800"/>
      <c r="G450" s="800"/>
      <c r="H450" s="800"/>
      <c r="I450" s="800"/>
      <c r="J450" s="800"/>
      <c r="K450" s="800"/>
      <c r="L450" s="800"/>
      <c r="M450" s="800"/>
      <c r="N450" s="800"/>
      <c r="O450" s="800"/>
      <c r="P450" s="800"/>
      <c r="Q450" s="800"/>
      <c r="R450" s="800"/>
      <c r="S450" s="800"/>
      <c r="T450" s="800"/>
      <c r="U450" s="800"/>
      <c r="V450" s="800"/>
      <c r="W450" s="800"/>
      <c r="X450" s="800"/>
      <c r="Y450" s="800"/>
      <c r="Z450" s="800"/>
      <c r="AA450" s="800"/>
      <c r="AB450" s="800"/>
      <c r="AC450" s="800"/>
      <c r="AD450" s="800"/>
      <c r="AE450" s="800"/>
      <c r="AF450" s="800"/>
      <c r="AG450" s="800"/>
      <c r="AH450" s="800"/>
      <c r="AI450" s="800"/>
    </row>
    <row r="451" spans="1:38" ht="12.95" customHeight="1">
      <c r="A451" s="2" t="s">
        <v>1272</v>
      </c>
      <c r="D451" s="2" t="s">
        <v>172</v>
      </c>
      <c r="E451" s="800"/>
      <c r="F451" s="800"/>
      <c r="G451" s="800"/>
      <c r="H451" s="800"/>
      <c r="I451" s="800"/>
      <c r="J451" s="800"/>
      <c r="K451" s="800"/>
      <c r="L451" s="800"/>
      <c r="M451" s="800"/>
      <c r="N451" s="800"/>
      <c r="O451" s="800"/>
      <c r="P451" s="800"/>
      <c r="Q451" s="800"/>
      <c r="R451" s="800"/>
      <c r="S451" s="800"/>
      <c r="T451" s="800"/>
      <c r="U451" s="800"/>
      <c r="V451" s="800"/>
      <c r="W451" s="800"/>
      <c r="X451" s="800"/>
      <c r="Y451" s="800"/>
      <c r="Z451" s="800"/>
      <c r="AA451" s="800"/>
      <c r="AB451" s="800"/>
      <c r="AC451" s="800"/>
      <c r="AD451" s="800"/>
      <c r="AE451" s="800"/>
      <c r="AF451" s="800"/>
      <c r="AG451" s="800"/>
      <c r="AH451" s="800"/>
      <c r="AI451" s="800"/>
    </row>
    <row r="452" spans="1:38" ht="12.95" customHeight="1">
      <c r="D452" s="230" t="s">
        <v>1273</v>
      </c>
      <c r="E452" s="800"/>
      <c r="F452" s="800"/>
      <c r="G452" s="800"/>
      <c r="H452" s="800"/>
      <c r="I452" s="800"/>
      <c r="J452" s="800"/>
      <c r="K452" s="800"/>
      <c r="L452" s="800"/>
      <c r="M452" s="800"/>
      <c r="N452" s="800"/>
      <c r="O452" s="800"/>
      <c r="P452" s="800"/>
      <c r="Q452" s="800"/>
      <c r="R452" s="800"/>
      <c r="S452" s="800"/>
      <c r="T452" s="800"/>
      <c r="U452" s="800"/>
      <c r="V452" s="800"/>
      <c r="W452" s="800"/>
      <c r="X452" s="800"/>
      <c r="Y452" s="800"/>
      <c r="Z452" s="800"/>
      <c r="AA452" s="800"/>
      <c r="AB452" s="800"/>
      <c r="AC452" s="800"/>
      <c r="AD452" s="800"/>
      <c r="AE452" s="800"/>
      <c r="AF452" s="800"/>
      <c r="AG452" s="800"/>
      <c r="AH452" s="800"/>
      <c r="AI452" s="800"/>
    </row>
    <row r="453" spans="1:38" ht="12.95" customHeight="1">
      <c r="D453" s="231" t="s">
        <v>1274</v>
      </c>
      <c r="E453" s="800"/>
      <c r="F453" s="800"/>
      <c r="G453" s="800"/>
      <c r="H453" s="800"/>
      <c r="I453" s="800"/>
      <c r="J453" s="800"/>
      <c r="K453" s="800"/>
      <c r="L453" s="800"/>
      <c r="M453" s="800"/>
      <c r="N453" s="800"/>
      <c r="O453" s="800"/>
      <c r="P453" s="800"/>
      <c r="Q453" s="800"/>
      <c r="R453" s="800"/>
      <c r="S453" s="800"/>
      <c r="T453" s="800"/>
      <c r="U453" s="800"/>
      <c r="V453" s="800"/>
      <c r="W453" s="800"/>
      <c r="X453" s="800"/>
      <c r="Y453" s="800"/>
      <c r="Z453" s="800"/>
      <c r="AA453" s="800"/>
      <c r="AB453" s="800"/>
      <c r="AC453" s="800"/>
      <c r="AD453" s="800"/>
      <c r="AE453" s="800"/>
      <c r="AF453" s="800"/>
      <c r="AG453" s="800"/>
      <c r="AH453" s="800"/>
      <c r="AI453" s="800"/>
    </row>
    <row r="454" spans="1:38" ht="12.95" customHeight="1">
      <c r="D454" s="230" t="s">
        <v>1275</v>
      </c>
      <c r="E454" s="800"/>
      <c r="F454" s="800"/>
      <c r="G454" s="800"/>
      <c r="H454" s="800"/>
      <c r="I454" s="800"/>
      <c r="J454" s="800"/>
      <c r="K454" s="800"/>
      <c r="L454" s="800"/>
      <c r="M454" s="800"/>
      <c r="N454" s="800"/>
      <c r="O454" s="800"/>
      <c r="P454" s="800"/>
      <c r="Q454" s="800"/>
      <c r="R454" s="800"/>
      <c r="S454" s="800"/>
      <c r="T454" s="800"/>
      <c r="U454" s="800"/>
      <c r="V454" s="800"/>
      <c r="W454" s="800"/>
      <c r="X454" s="800"/>
      <c r="Y454" s="800"/>
      <c r="Z454" s="800"/>
      <c r="AA454" s="800"/>
      <c r="AB454" s="800"/>
      <c r="AC454" s="800"/>
      <c r="AD454" s="800"/>
      <c r="AE454" s="800"/>
      <c r="AF454" s="800"/>
      <c r="AG454" s="800"/>
      <c r="AH454" s="800"/>
      <c r="AI454" s="800"/>
    </row>
    <row r="455" spans="1:38" ht="12.95" customHeight="1">
      <c r="D455" s="230" t="s">
        <v>1276</v>
      </c>
      <c r="E455" s="800"/>
      <c r="F455" s="800"/>
      <c r="G455" s="800"/>
      <c r="H455" s="800"/>
      <c r="I455" s="800"/>
      <c r="J455" s="800"/>
      <c r="K455" s="800"/>
      <c r="L455" s="800"/>
      <c r="M455" s="800"/>
      <c r="N455" s="800"/>
      <c r="O455" s="800"/>
      <c r="P455" s="800"/>
      <c r="Q455" s="800"/>
      <c r="R455" s="800"/>
      <c r="S455" s="800"/>
      <c r="T455" s="800"/>
      <c r="U455" s="800"/>
      <c r="V455" s="800"/>
      <c r="W455" s="800"/>
      <c r="X455" s="800"/>
      <c r="Y455" s="800"/>
      <c r="Z455" s="800"/>
      <c r="AA455" s="800"/>
      <c r="AB455" s="800"/>
      <c r="AC455" s="800"/>
      <c r="AD455" s="800"/>
      <c r="AE455" s="800"/>
      <c r="AF455" s="800"/>
      <c r="AG455" s="800"/>
      <c r="AH455" s="800"/>
      <c r="AI455" s="800"/>
    </row>
    <row r="456" spans="1:38" ht="12.95" customHeight="1">
      <c r="D456" s="800"/>
      <c r="E456" s="800"/>
      <c r="F456" s="800"/>
      <c r="G456" s="800"/>
      <c r="H456" s="800"/>
      <c r="I456" s="800"/>
      <c r="J456" s="800"/>
      <c r="K456" s="800"/>
      <c r="L456" s="800"/>
      <c r="M456" s="800"/>
      <c r="N456" s="800"/>
      <c r="O456" s="800"/>
      <c r="P456" s="800"/>
      <c r="Q456" s="800"/>
      <c r="R456" s="800"/>
      <c r="S456" s="800"/>
      <c r="T456" s="800"/>
      <c r="U456" s="800"/>
      <c r="V456" s="800"/>
      <c r="W456" s="800"/>
      <c r="X456" s="800"/>
      <c r="Y456" s="800"/>
      <c r="Z456" s="800"/>
      <c r="AA456" s="800"/>
      <c r="AB456" s="800"/>
      <c r="AC456" s="800"/>
      <c r="AD456" s="800"/>
      <c r="AE456" s="800"/>
      <c r="AF456" s="800"/>
      <c r="AG456" s="800"/>
      <c r="AH456" s="800"/>
      <c r="AI456" s="800"/>
    </row>
    <row r="457" spans="1:38" ht="12.95" customHeight="1">
      <c r="A457" s="33"/>
      <c r="B457" s="33"/>
      <c r="C457" s="33"/>
      <c r="D457" s="230" t="s">
        <v>1277</v>
      </c>
      <c r="E457" s="230"/>
      <c r="F457" s="230"/>
      <c r="G457" s="230"/>
      <c r="H457" s="230"/>
      <c r="I457" s="230"/>
      <c r="J457" s="230"/>
      <c r="K457" s="230"/>
      <c r="L457" s="230"/>
      <c r="M457" s="230"/>
      <c r="N457" s="230"/>
      <c r="O457" s="230"/>
      <c r="P457" s="230"/>
      <c r="Q457" s="230"/>
      <c r="R457" s="230"/>
      <c r="S457" s="230"/>
      <c r="T457" s="230"/>
      <c r="U457" s="230"/>
      <c r="V457" s="230"/>
      <c r="W457" s="230"/>
      <c r="X457" s="230"/>
      <c r="Y457" s="230"/>
      <c r="Z457" s="230"/>
      <c r="AA457" s="230"/>
      <c r="AB457" s="230"/>
      <c r="AC457" s="230"/>
      <c r="AD457" s="230"/>
      <c r="AE457" s="230"/>
      <c r="AF457" s="230"/>
      <c r="AG457" s="230"/>
      <c r="AH457" s="230"/>
      <c r="AI457" s="230"/>
      <c r="AJ457" s="33"/>
      <c r="AK457" s="33"/>
      <c r="AL457" s="33"/>
    </row>
    <row r="458" spans="1:38" ht="12.95" customHeight="1">
      <c r="A458" s="33"/>
      <c r="B458" s="33"/>
      <c r="C458" s="33"/>
      <c r="D458" s="1250" t="s">
        <v>1278</v>
      </c>
      <c r="E458" s="1251"/>
      <c r="F458" s="1251"/>
      <c r="G458" s="1251"/>
      <c r="H458" s="1251"/>
      <c r="I458" s="1251"/>
      <c r="J458" s="1251"/>
      <c r="K458" s="1251"/>
      <c r="L458" s="1251"/>
      <c r="M458" s="1251"/>
      <c r="N458" s="1251"/>
      <c r="O458" s="1251"/>
      <c r="P458" s="1251"/>
      <c r="Q458" s="1251"/>
      <c r="R458" s="1251"/>
      <c r="S458" s="1251"/>
      <c r="T458" s="1251"/>
      <c r="U458" s="1251"/>
      <c r="V458" s="1252"/>
      <c r="W458" s="1223">
        <v>13</v>
      </c>
      <c r="X458" s="1224"/>
      <c r="Y458" s="1225"/>
      <c r="Z458" s="230"/>
      <c r="AA458" s="230"/>
      <c r="AB458" s="230"/>
      <c r="AC458" s="230"/>
      <c r="AD458" s="230"/>
      <c r="AE458" s="230"/>
      <c r="AF458" s="230"/>
      <c r="AG458" s="230"/>
      <c r="AH458" s="230"/>
      <c r="AI458" s="230"/>
      <c r="AJ458" s="33"/>
      <c r="AK458" s="33"/>
      <c r="AL458" s="33"/>
    </row>
    <row r="459" spans="1:38" ht="12.95" customHeight="1">
      <c r="A459" s="33"/>
      <c r="B459" s="33"/>
      <c r="C459" s="33"/>
      <c r="D459" s="1250" t="s">
        <v>1279</v>
      </c>
      <c r="E459" s="1251"/>
      <c r="F459" s="1251"/>
      <c r="G459" s="1251"/>
      <c r="H459" s="1251"/>
      <c r="I459" s="1251"/>
      <c r="J459" s="1251"/>
      <c r="K459" s="1251"/>
      <c r="L459" s="1251"/>
      <c r="M459" s="1251"/>
      <c r="N459" s="1251"/>
      <c r="O459" s="1251"/>
      <c r="P459" s="1251"/>
      <c r="Q459" s="1251"/>
      <c r="R459" s="1251"/>
      <c r="S459" s="1251"/>
      <c r="T459" s="1251"/>
      <c r="U459" s="1251"/>
      <c r="V459" s="1252"/>
      <c r="W459" s="1223">
        <v>0</v>
      </c>
      <c r="X459" s="1224"/>
      <c r="Y459" s="1225"/>
      <c r="Z459" s="230"/>
      <c r="AA459" s="230"/>
      <c r="AB459" s="230"/>
      <c r="AC459" s="230"/>
      <c r="AD459" s="230"/>
      <c r="AE459" s="230"/>
      <c r="AF459" s="230"/>
      <c r="AG459" s="230"/>
      <c r="AH459" s="230"/>
      <c r="AI459" s="230"/>
      <c r="AJ459" s="33"/>
      <c r="AK459" s="33"/>
      <c r="AL459" s="33"/>
    </row>
    <row r="460" spans="1:38" ht="12.95" customHeight="1">
      <c r="A460" s="33"/>
      <c r="B460" s="33"/>
      <c r="C460" s="33"/>
      <c r="D460" s="1250" t="s">
        <v>1280</v>
      </c>
      <c r="E460" s="1251"/>
      <c r="F460" s="1251"/>
      <c r="G460" s="1251"/>
      <c r="H460" s="1251"/>
      <c r="I460" s="1251"/>
      <c r="J460" s="1251"/>
      <c r="K460" s="1251"/>
      <c r="L460" s="1251"/>
      <c r="M460" s="1251"/>
      <c r="N460" s="1251"/>
      <c r="O460" s="1251"/>
      <c r="P460" s="1251"/>
      <c r="Q460" s="1251"/>
      <c r="R460" s="1251"/>
      <c r="S460" s="1251"/>
      <c r="T460" s="1251"/>
      <c r="U460" s="1251"/>
      <c r="V460" s="1252"/>
      <c r="W460" s="1223">
        <v>0</v>
      </c>
      <c r="X460" s="1224"/>
      <c r="Y460" s="1225"/>
      <c r="Z460" s="230"/>
      <c r="AA460" s="230"/>
      <c r="AB460" s="230"/>
      <c r="AC460" s="230"/>
      <c r="AD460" s="230"/>
      <c r="AE460" s="230"/>
      <c r="AF460" s="230"/>
      <c r="AG460" s="230"/>
      <c r="AH460" s="230"/>
      <c r="AI460" s="230"/>
      <c r="AJ460" s="33"/>
      <c r="AK460" s="33"/>
      <c r="AL460" s="33"/>
    </row>
    <row r="461" spans="1:38" ht="12.95" customHeight="1">
      <c r="A461" s="33"/>
      <c r="B461" s="33"/>
      <c r="C461" s="33"/>
      <c r="D461" s="1250" t="s">
        <v>1281</v>
      </c>
      <c r="E461" s="1251"/>
      <c r="F461" s="1251"/>
      <c r="G461" s="1251"/>
      <c r="H461" s="1251"/>
      <c r="I461" s="1251"/>
      <c r="J461" s="1251"/>
      <c r="K461" s="1251"/>
      <c r="L461" s="1251"/>
      <c r="M461" s="1251"/>
      <c r="N461" s="1251"/>
      <c r="O461" s="1251"/>
      <c r="P461" s="1251"/>
      <c r="Q461" s="1251"/>
      <c r="R461" s="1251"/>
      <c r="S461" s="1251"/>
      <c r="T461" s="1251"/>
      <c r="U461" s="1251"/>
      <c r="V461" s="1252"/>
      <c r="W461" s="1223">
        <v>0</v>
      </c>
      <c r="X461" s="1224"/>
      <c r="Y461" s="1225"/>
      <c r="Z461" s="230"/>
      <c r="AA461" s="230"/>
      <c r="AB461" s="230"/>
      <c r="AC461" s="230"/>
      <c r="AD461" s="230"/>
      <c r="AE461" s="230"/>
      <c r="AF461" s="230"/>
      <c r="AG461" s="230"/>
      <c r="AH461" s="230"/>
      <c r="AI461" s="230"/>
      <c r="AJ461" s="33"/>
      <c r="AK461" s="33"/>
      <c r="AL461" s="33"/>
    </row>
    <row r="462" spans="1:38" ht="12.95" customHeight="1">
      <c r="A462" s="33"/>
      <c r="B462" s="33"/>
      <c r="C462" s="33"/>
      <c r="D462" s="1250" t="s">
        <v>1282</v>
      </c>
      <c r="E462" s="1251"/>
      <c r="F462" s="1251"/>
      <c r="G462" s="1251"/>
      <c r="H462" s="1251"/>
      <c r="I462" s="1251"/>
      <c r="J462" s="1251"/>
      <c r="K462" s="1251"/>
      <c r="L462" s="1251"/>
      <c r="M462" s="1251"/>
      <c r="N462" s="1251"/>
      <c r="O462" s="1251"/>
      <c r="P462" s="1251"/>
      <c r="Q462" s="1251"/>
      <c r="R462" s="1251"/>
      <c r="S462" s="1251"/>
      <c r="T462" s="1251"/>
      <c r="U462" s="1251"/>
      <c r="V462" s="1252"/>
      <c r="W462" s="1223">
        <v>0</v>
      </c>
      <c r="X462" s="1224"/>
      <c r="Y462" s="1225"/>
      <c r="Z462" s="230"/>
      <c r="AA462" s="230"/>
      <c r="AB462" s="230"/>
      <c r="AC462" s="230"/>
      <c r="AD462" s="230"/>
      <c r="AE462" s="230"/>
      <c r="AF462" s="230"/>
      <c r="AG462" s="230"/>
      <c r="AH462" s="230"/>
      <c r="AI462" s="230"/>
      <c r="AJ462" s="33"/>
      <c r="AK462" s="33"/>
      <c r="AL462" s="33"/>
    </row>
    <row r="463" spans="1:38" ht="12.95" customHeight="1">
      <c r="A463" s="33"/>
      <c r="B463" s="33"/>
      <c r="C463" s="33"/>
      <c r="D463" s="1250" t="s">
        <v>1283</v>
      </c>
      <c r="E463" s="1251"/>
      <c r="F463" s="1251"/>
      <c r="G463" s="1251"/>
      <c r="H463" s="1251"/>
      <c r="I463" s="1251"/>
      <c r="J463" s="1251"/>
      <c r="K463" s="1251"/>
      <c r="L463" s="1251"/>
      <c r="M463" s="1251"/>
      <c r="N463" s="1251"/>
      <c r="O463" s="1251"/>
      <c r="P463" s="1251"/>
      <c r="Q463" s="1251"/>
      <c r="R463" s="1251"/>
      <c r="S463" s="1251"/>
      <c r="T463" s="1251"/>
      <c r="U463" s="1251"/>
      <c r="V463" s="1252"/>
      <c r="W463" s="1223">
        <v>0</v>
      </c>
      <c r="X463" s="1224"/>
      <c r="Y463" s="1225"/>
      <c r="Z463" s="230"/>
      <c r="AA463" s="230"/>
      <c r="AB463" s="230"/>
      <c r="AC463" s="230"/>
      <c r="AD463" s="230"/>
      <c r="AE463" s="230"/>
      <c r="AF463" s="230"/>
      <c r="AG463" s="230"/>
      <c r="AH463" s="230"/>
      <c r="AI463" s="230"/>
      <c r="AJ463" s="33"/>
      <c r="AK463" s="33"/>
      <c r="AL463" s="33"/>
    </row>
    <row r="464" spans="1:38" ht="12.95" customHeight="1">
      <c r="A464" s="33"/>
      <c r="B464" s="33"/>
      <c r="C464" s="33"/>
      <c r="D464" s="1250" t="s">
        <v>1284</v>
      </c>
      <c r="E464" s="1251"/>
      <c r="F464" s="1251"/>
      <c r="G464" s="1251"/>
      <c r="H464" s="1251"/>
      <c r="I464" s="1251"/>
      <c r="J464" s="1251"/>
      <c r="K464" s="1251"/>
      <c r="L464" s="1251"/>
      <c r="M464" s="1251"/>
      <c r="N464" s="1251"/>
      <c r="O464" s="1251"/>
      <c r="P464" s="1251"/>
      <c r="Q464" s="1251"/>
      <c r="R464" s="1251"/>
      <c r="S464" s="1251"/>
      <c r="T464" s="1251"/>
      <c r="U464" s="1251"/>
      <c r="V464" s="1252"/>
      <c r="W464" s="1223">
        <v>0</v>
      </c>
      <c r="X464" s="1224"/>
      <c r="Y464" s="1225"/>
      <c r="Z464" s="230"/>
      <c r="AA464" s="230"/>
      <c r="AB464" s="230"/>
      <c r="AC464" s="230"/>
      <c r="AD464" s="800"/>
      <c r="AE464" s="800"/>
      <c r="AF464" s="800"/>
      <c r="AG464" s="800"/>
      <c r="AH464" s="800"/>
      <c r="AI464" s="800"/>
      <c r="AJ464" s="872"/>
    </row>
    <row r="465" spans="1:97" ht="12.95" customHeight="1">
      <c r="A465" s="33"/>
      <c r="B465" s="33"/>
      <c r="C465" s="33"/>
      <c r="D465" s="1250" t="s">
        <v>1285</v>
      </c>
      <c r="E465" s="1251"/>
      <c r="F465" s="1251"/>
      <c r="G465" s="1251"/>
      <c r="H465" s="1251"/>
      <c r="I465" s="1251"/>
      <c r="J465" s="1251"/>
      <c r="K465" s="1251"/>
      <c r="L465" s="1251"/>
      <c r="M465" s="1251"/>
      <c r="N465" s="1251"/>
      <c r="O465" s="1251"/>
      <c r="P465" s="1251"/>
      <c r="Q465" s="1251"/>
      <c r="R465" s="1251"/>
      <c r="S465" s="1251"/>
      <c r="T465" s="1251"/>
      <c r="U465" s="1251"/>
      <c r="V465" s="1252"/>
      <c r="W465" s="1223">
        <v>0</v>
      </c>
      <c r="X465" s="1224"/>
      <c r="Y465" s="1225"/>
      <c r="Z465" s="230"/>
      <c r="AA465" s="230"/>
      <c r="AB465" s="230"/>
      <c r="AC465" s="230"/>
      <c r="AD465" s="230"/>
      <c r="AE465" s="230"/>
      <c r="AF465" s="230"/>
      <c r="AG465" s="230"/>
      <c r="AH465" s="230"/>
      <c r="AI465" s="230"/>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c r="BM465" s="33"/>
      <c r="BN465" s="33"/>
      <c r="BO465" s="33"/>
      <c r="BP465" s="33"/>
      <c r="BQ465" s="33"/>
      <c r="BR465" s="33"/>
      <c r="BS465" s="33"/>
      <c r="BT465" s="33"/>
      <c r="BU465" s="33"/>
      <c r="BV465" s="33"/>
      <c r="BW465" s="33"/>
      <c r="BX465" s="33"/>
      <c r="BY465" s="33"/>
      <c r="BZ465" s="33"/>
      <c r="CA465" s="33"/>
      <c r="CB465" s="33"/>
      <c r="CC465" s="33"/>
      <c r="CD465" s="33"/>
      <c r="CE465" s="33"/>
      <c r="CF465" s="33"/>
      <c r="CG465" s="33"/>
      <c r="CH465" s="33"/>
      <c r="CI465" s="33"/>
      <c r="CJ465" s="33"/>
      <c r="CK465" s="33"/>
      <c r="CL465" s="33"/>
      <c r="CM465" s="33"/>
      <c r="CN465" s="33"/>
      <c r="CO465" s="33"/>
      <c r="CP465" s="33"/>
      <c r="CQ465" s="33"/>
      <c r="CR465" s="33"/>
      <c r="CS465" s="33"/>
    </row>
    <row r="466" spans="1:97" ht="12.95" customHeight="1">
      <c r="A466" s="33"/>
      <c r="B466" s="33"/>
      <c r="C466" s="33"/>
      <c r="D466" s="873" t="s">
        <v>1233</v>
      </c>
      <c r="E466" s="304"/>
      <c r="F466" s="305"/>
      <c r="G466" s="1267"/>
      <c r="H466" s="1268"/>
      <c r="I466" s="1268"/>
      <c r="J466" s="1268"/>
      <c r="K466" s="1268"/>
      <c r="L466" s="1268"/>
      <c r="M466" s="1268"/>
      <c r="N466" s="1268"/>
      <c r="O466" s="1268"/>
      <c r="P466" s="1268"/>
      <c r="Q466" s="1268"/>
      <c r="R466" s="1268"/>
      <c r="S466" s="1268"/>
      <c r="T466" s="1268"/>
      <c r="U466" s="1268"/>
      <c r="V466" s="1269"/>
      <c r="W466" s="1223">
        <v>0</v>
      </c>
      <c r="X466" s="1224"/>
      <c r="Y466" s="1225"/>
      <c r="Z466" s="230"/>
      <c r="AA466" s="230"/>
      <c r="AB466" s="230"/>
      <c r="AC466" s="230"/>
      <c r="AD466" s="230"/>
      <c r="AE466" s="230"/>
      <c r="AF466" s="230"/>
      <c r="AG466" s="230"/>
      <c r="AH466" s="230"/>
      <c r="AI466" s="230"/>
      <c r="AJ466" s="33"/>
      <c r="AK466" s="33"/>
      <c r="AL466" s="33"/>
    </row>
    <row r="467" spans="1:97" ht="12.95" customHeight="1">
      <c r="A467" s="33"/>
      <c r="B467" s="33"/>
      <c r="C467" s="33"/>
      <c r="D467" s="747" t="s">
        <v>1286</v>
      </c>
      <c r="E467" s="748"/>
      <c r="F467" s="748"/>
      <c r="G467" s="748"/>
      <c r="H467" s="748"/>
      <c r="I467" s="748"/>
      <c r="J467" s="748"/>
      <c r="K467" s="748"/>
      <c r="L467" s="748"/>
      <c r="M467" s="748"/>
      <c r="N467" s="748"/>
      <c r="O467" s="748"/>
      <c r="P467" s="748"/>
      <c r="Q467" s="748"/>
      <c r="R467" s="748"/>
      <c r="S467" s="748"/>
      <c r="T467" s="748"/>
      <c r="U467" s="748"/>
      <c r="V467" s="748"/>
      <c r="W467" s="748"/>
      <c r="X467" s="748"/>
      <c r="Y467" s="748"/>
      <c r="Z467" s="230"/>
      <c r="AA467" s="230"/>
      <c r="AB467" s="230"/>
      <c r="AC467" s="230"/>
      <c r="AD467" s="230"/>
      <c r="AE467" s="230"/>
      <c r="AF467" s="230"/>
      <c r="AG467" s="230"/>
      <c r="AH467" s="230"/>
      <c r="AI467" s="230"/>
      <c r="AJ467" s="33"/>
      <c r="AK467" s="33"/>
      <c r="AL467" s="33"/>
    </row>
    <row r="468" spans="1:97" ht="12.95" customHeight="1">
      <c r="A468" s="33"/>
      <c r="B468" s="33"/>
      <c r="C468" s="33"/>
      <c r="D468" s="1244"/>
      <c r="E468" s="1244"/>
      <c r="F468" s="1244"/>
      <c r="G468" s="1244"/>
      <c r="H468" s="1244"/>
      <c r="I468" s="1244"/>
      <c r="J468" s="1244"/>
      <c r="K468" s="1244"/>
      <c r="L468" s="1244"/>
      <c r="M468" s="1244"/>
      <c r="N468" s="1244"/>
      <c r="O468" s="1244"/>
      <c r="P468" s="1244"/>
      <c r="Q468" s="1244"/>
      <c r="R468" s="1244"/>
      <c r="S468" s="1244"/>
      <c r="T468" s="1244"/>
      <c r="U468" s="1244"/>
      <c r="V468" s="1244"/>
      <c r="W468" s="1244"/>
      <c r="X468" s="1244"/>
      <c r="Y468" s="1244"/>
      <c r="Z468" s="230"/>
      <c r="AA468" s="230"/>
      <c r="AB468" s="230"/>
      <c r="AC468" s="230"/>
      <c r="AD468" s="230"/>
      <c r="AE468" s="230"/>
      <c r="AF468" s="230"/>
      <c r="AG468" s="230"/>
      <c r="AH468" s="230"/>
      <c r="AI468" s="230"/>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c r="BM468" s="33"/>
      <c r="BN468" s="33"/>
      <c r="BO468" s="33"/>
      <c r="BP468" s="33"/>
      <c r="BQ468" s="33"/>
      <c r="BR468" s="33"/>
      <c r="BS468" s="33"/>
      <c r="BT468" s="33"/>
      <c r="BU468" s="33"/>
      <c r="BV468" s="33"/>
      <c r="BW468" s="33"/>
      <c r="BX468" s="33"/>
      <c r="BY468" s="33"/>
      <c r="BZ468" s="33"/>
      <c r="CA468" s="33"/>
      <c r="CB468" s="33"/>
      <c r="CC468" s="33"/>
      <c r="CD468" s="33"/>
      <c r="CE468" s="33"/>
      <c r="CF468" s="33"/>
      <c r="CG468" s="33"/>
      <c r="CH468" s="33"/>
      <c r="CI468" s="33"/>
      <c r="CJ468" s="33"/>
      <c r="CK468" s="33"/>
      <c r="CL468" s="33"/>
      <c r="CM468" s="33"/>
      <c r="CN468" s="33"/>
      <c r="CO468" s="33"/>
      <c r="CP468" s="33"/>
      <c r="CQ468" s="33"/>
      <c r="CR468" s="33"/>
      <c r="CS468" s="33"/>
    </row>
    <row r="469" spans="1:97" ht="12.95" customHeight="1">
      <c r="A469" s="33"/>
      <c r="B469" s="33"/>
      <c r="C469" s="33"/>
      <c r="D469" s="1245"/>
      <c r="E469" s="1245"/>
      <c r="F469" s="1245"/>
      <c r="G469" s="1245"/>
      <c r="H469" s="1245"/>
      <c r="I469" s="1245"/>
      <c r="J469" s="1245"/>
      <c r="K469" s="1245"/>
      <c r="L469" s="1245"/>
      <c r="M469" s="1245"/>
      <c r="N469" s="1245"/>
      <c r="O469" s="1245"/>
      <c r="P469" s="1245"/>
      <c r="Q469" s="1245"/>
      <c r="R469" s="1245"/>
      <c r="S469" s="1245"/>
      <c r="T469" s="1245"/>
      <c r="U469" s="1245"/>
      <c r="V469" s="1245"/>
      <c r="W469" s="1245"/>
      <c r="X469" s="1245"/>
      <c r="Y469" s="1245"/>
      <c r="Z469" s="230"/>
      <c r="AA469" s="230"/>
      <c r="AB469" s="230"/>
      <c r="AC469" s="230"/>
      <c r="AD469" s="230"/>
      <c r="AE469" s="230"/>
      <c r="AF469" s="230"/>
      <c r="AG469" s="230"/>
      <c r="AH469" s="230"/>
      <c r="AI469" s="230"/>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c r="CM469" s="33"/>
      <c r="CN469" s="33"/>
      <c r="CO469" s="33"/>
      <c r="CP469" s="33"/>
      <c r="CQ469" s="33"/>
      <c r="CR469" s="33"/>
      <c r="CS469" s="33"/>
    </row>
    <row r="470" spans="1:97" ht="12.95" customHeight="1">
      <c r="A470" s="33"/>
      <c r="B470" s="33"/>
      <c r="C470" s="33"/>
      <c r="D470" s="1245"/>
      <c r="E470" s="1245"/>
      <c r="F470" s="1245"/>
      <c r="G470" s="1245"/>
      <c r="H470" s="1245"/>
      <c r="I470" s="1245"/>
      <c r="J470" s="1245"/>
      <c r="K470" s="1245"/>
      <c r="L470" s="1245"/>
      <c r="M470" s="1245"/>
      <c r="N470" s="1245"/>
      <c r="O470" s="1245"/>
      <c r="P470" s="1245"/>
      <c r="Q470" s="1245"/>
      <c r="R470" s="1245"/>
      <c r="S470" s="1245"/>
      <c r="T470" s="1245"/>
      <c r="U470" s="1245"/>
      <c r="V470" s="1245"/>
      <c r="W470" s="1245"/>
      <c r="X470" s="1245"/>
      <c r="Y470" s="1245"/>
      <c r="Z470" s="230"/>
      <c r="AA470" s="230"/>
      <c r="AB470" s="230"/>
      <c r="AC470" s="230"/>
      <c r="AD470" s="230"/>
      <c r="AE470" s="230"/>
      <c r="AF470" s="230"/>
      <c r="AG470" s="230"/>
      <c r="AH470" s="230"/>
      <c r="AI470" s="230"/>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c r="BM470" s="33"/>
      <c r="BN470" s="33"/>
      <c r="BO470" s="33"/>
      <c r="BP470" s="33"/>
      <c r="BQ470" s="33"/>
      <c r="BR470" s="33"/>
      <c r="BS470" s="33"/>
      <c r="BT470" s="33"/>
      <c r="BU470" s="33"/>
      <c r="BV470" s="33"/>
      <c r="BW470" s="33"/>
      <c r="BX470" s="33"/>
      <c r="BY470" s="33"/>
      <c r="BZ470" s="33"/>
      <c r="CA470" s="33"/>
      <c r="CB470" s="33"/>
      <c r="CC470" s="33"/>
      <c r="CD470" s="33"/>
      <c r="CE470" s="33"/>
      <c r="CF470" s="33"/>
      <c r="CG470" s="33"/>
      <c r="CH470" s="33"/>
      <c r="CI470" s="33"/>
      <c r="CJ470" s="33"/>
      <c r="CK470" s="33"/>
      <c r="CL470" s="33"/>
      <c r="CM470" s="33"/>
      <c r="CN470" s="33"/>
      <c r="CO470" s="33"/>
      <c r="CP470" s="33"/>
      <c r="CQ470" s="33"/>
      <c r="CR470" s="33"/>
      <c r="CS470" s="33"/>
    </row>
    <row r="471" spans="1:97" ht="12.95" customHeight="1">
      <c r="A471" s="33"/>
      <c r="B471" s="33"/>
      <c r="C471" s="33"/>
      <c r="D471" s="230"/>
      <c r="E471" s="230"/>
      <c r="F471" s="230"/>
      <c r="G471" s="230"/>
      <c r="H471" s="230"/>
      <c r="I471" s="230"/>
      <c r="J471" s="230"/>
      <c r="K471" s="230"/>
      <c r="L471" s="230"/>
      <c r="M471" s="230"/>
      <c r="N471" s="230"/>
      <c r="O471" s="230"/>
      <c r="P471" s="230"/>
      <c r="Q471" s="230"/>
      <c r="R471" s="230"/>
      <c r="S471" s="230"/>
      <c r="T471" s="230"/>
      <c r="U471" s="230"/>
      <c r="V471" s="230"/>
      <c r="W471" s="230"/>
      <c r="X471" s="230"/>
      <c r="Y471" s="230"/>
      <c r="Z471" s="230"/>
      <c r="AA471" s="230"/>
      <c r="AB471" s="230"/>
      <c r="AC471" s="230"/>
      <c r="AD471" s="230"/>
      <c r="AE471" s="230"/>
      <c r="AF471" s="230"/>
      <c r="AG471" s="230"/>
      <c r="AH471" s="230"/>
      <c r="AI471" s="230"/>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33"/>
      <c r="BF471" s="33"/>
      <c r="BG471" s="33"/>
      <c r="BH471" s="33"/>
      <c r="BI471" s="33"/>
      <c r="BJ471" s="33"/>
      <c r="BK471" s="33"/>
      <c r="BL471" s="33"/>
      <c r="BM471" s="33"/>
      <c r="BN471" s="33"/>
      <c r="BO471" s="33"/>
      <c r="BP471" s="33"/>
      <c r="BQ471" s="33"/>
      <c r="BR471" s="33"/>
      <c r="BS471" s="33"/>
      <c r="BT471" s="33"/>
      <c r="BU471" s="33"/>
      <c r="BV471" s="33"/>
      <c r="BW471" s="33"/>
      <c r="BX471" s="33"/>
      <c r="BY471" s="33"/>
      <c r="BZ471" s="33"/>
      <c r="CA471" s="33"/>
      <c r="CB471" s="33"/>
      <c r="CC471" s="33"/>
      <c r="CD471" s="33"/>
      <c r="CE471" s="33"/>
      <c r="CF471" s="33"/>
      <c r="CG471" s="33"/>
      <c r="CH471" s="33"/>
      <c r="CI471" s="33"/>
      <c r="CJ471" s="33"/>
      <c r="CK471" s="33"/>
      <c r="CL471" s="33"/>
      <c r="CM471" s="33"/>
      <c r="CN471" s="33"/>
      <c r="CO471" s="33"/>
      <c r="CP471" s="33"/>
      <c r="CQ471" s="33"/>
      <c r="CR471" s="33"/>
      <c r="CS471" s="33"/>
    </row>
    <row r="472" spans="1:97" ht="12.95" customHeight="1">
      <c r="A472" s="33"/>
      <c r="B472" s="33"/>
      <c r="C472" s="33"/>
      <c r="D472" s="771"/>
      <c r="E472" s="771"/>
      <c r="F472" s="771"/>
      <c r="G472" s="771"/>
      <c r="H472" s="771"/>
      <c r="I472" s="771"/>
      <c r="J472" s="771"/>
      <c r="K472" s="771"/>
      <c r="L472" s="771"/>
      <c r="M472" s="771"/>
      <c r="N472" s="771"/>
      <c r="O472" s="771"/>
      <c r="P472" s="771"/>
      <c r="Q472" s="771"/>
      <c r="R472" s="771"/>
      <c r="S472" s="771"/>
      <c r="T472" s="771"/>
      <c r="U472" s="771"/>
      <c r="V472" s="771"/>
      <c r="W472" s="771"/>
      <c r="X472" s="771"/>
      <c r="Y472" s="771"/>
      <c r="Z472" s="771"/>
      <c r="AA472" s="771"/>
      <c r="AB472" s="771"/>
      <c r="AC472" s="771"/>
      <c r="AD472" s="771"/>
      <c r="AE472" s="771"/>
      <c r="AF472" s="771"/>
      <c r="AG472" s="771"/>
      <c r="AH472" s="771"/>
      <c r="AI472" s="771"/>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c r="BM472" s="33"/>
      <c r="BN472" s="33"/>
      <c r="BO472" s="33"/>
      <c r="BP472" s="33"/>
      <c r="BQ472" s="33"/>
      <c r="BR472" s="33"/>
      <c r="BS472" s="33"/>
      <c r="BT472" s="33"/>
      <c r="BU472" s="33"/>
      <c r="BV472" s="33"/>
      <c r="BW472" s="33"/>
      <c r="BX472" s="33"/>
      <c r="BY472" s="33"/>
      <c r="BZ472" s="33"/>
      <c r="CA472" s="33"/>
      <c r="CB472" s="33"/>
      <c r="CC472" s="33"/>
      <c r="CD472" s="33"/>
      <c r="CE472" s="33"/>
      <c r="CF472" s="33"/>
      <c r="CG472" s="33"/>
      <c r="CH472" s="33"/>
      <c r="CI472" s="33"/>
      <c r="CJ472" s="33"/>
      <c r="CK472" s="33"/>
      <c r="CL472" s="33"/>
      <c r="CM472" s="33"/>
      <c r="CN472" s="33"/>
      <c r="CO472" s="33"/>
      <c r="CP472" s="33"/>
      <c r="CQ472" s="33"/>
      <c r="CR472" s="33"/>
      <c r="CS472" s="33"/>
    </row>
    <row r="473" spans="1:97" ht="12.95" customHeight="1">
      <c r="A473" s="1320" t="s">
        <v>1287</v>
      </c>
      <c r="B473" s="1320"/>
      <c r="C473" s="1320"/>
      <c r="D473" s="1320"/>
      <c r="E473" s="1320"/>
      <c r="F473" s="1320"/>
      <c r="G473" s="1320"/>
      <c r="H473" s="1320"/>
      <c r="I473" s="1320"/>
      <c r="J473" s="1320"/>
      <c r="K473" s="1320"/>
      <c r="L473" s="1320"/>
      <c r="M473" s="1320"/>
      <c r="N473" s="1320"/>
      <c r="O473" s="1320"/>
      <c r="P473" s="1320"/>
      <c r="Q473" s="1320"/>
      <c r="R473" s="1320"/>
      <c r="S473" s="1320"/>
      <c r="T473" s="1320"/>
      <c r="U473" s="1320"/>
      <c r="V473" s="1320"/>
      <c r="W473" s="1320"/>
      <c r="X473" s="1320"/>
      <c r="Y473" s="1320"/>
      <c r="Z473" s="1320"/>
      <c r="AA473" s="1320"/>
      <c r="AB473" s="1320"/>
      <c r="AC473" s="1320"/>
      <c r="AD473" s="1320"/>
      <c r="AE473" s="1320"/>
      <c r="AF473" s="1320"/>
      <c r="AG473" s="1320"/>
      <c r="AH473" s="1320"/>
      <c r="AI473" s="1320"/>
      <c r="AJ473" s="1320"/>
      <c r="AK473" s="1320"/>
      <c r="AL473" s="1320"/>
      <c r="AM473" s="3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c r="CA473" s="33"/>
      <c r="CB473" s="33"/>
      <c r="CC473" s="33"/>
      <c r="CD473" s="33"/>
      <c r="CE473" s="33"/>
      <c r="CF473" s="33"/>
      <c r="CG473" s="33"/>
      <c r="CH473" s="33"/>
      <c r="CI473" s="33"/>
      <c r="CJ473" s="33"/>
      <c r="CK473" s="33"/>
      <c r="CL473" s="33"/>
      <c r="CM473" s="33"/>
      <c r="CN473" s="33"/>
      <c r="CO473" s="33"/>
      <c r="CP473" s="33"/>
      <c r="CQ473" s="33"/>
      <c r="CR473" s="33"/>
      <c r="CS473" s="33"/>
    </row>
    <row r="474" spans="1:97" ht="12.95" customHeight="1" thickBot="1">
      <c r="A474" s="1321"/>
      <c r="B474" s="1321"/>
      <c r="C474" s="1321"/>
      <c r="D474" s="1321"/>
      <c r="E474" s="1321"/>
      <c r="F474" s="1321"/>
      <c r="G474" s="1321"/>
      <c r="H474" s="1321"/>
      <c r="I474" s="1321"/>
      <c r="J474" s="1321"/>
      <c r="K474" s="1321"/>
      <c r="L474" s="1321"/>
      <c r="M474" s="1321"/>
      <c r="N474" s="1321"/>
      <c r="O474" s="1321"/>
      <c r="P474" s="1321"/>
      <c r="Q474" s="1321"/>
      <c r="R474" s="1321"/>
      <c r="S474" s="1321"/>
      <c r="T474" s="1321"/>
      <c r="U474" s="1321"/>
      <c r="V474" s="1321"/>
      <c r="W474" s="1321"/>
      <c r="X474" s="1321"/>
      <c r="Y474" s="1321"/>
      <c r="Z474" s="1321"/>
      <c r="AA474" s="1321"/>
      <c r="AB474" s="1321"/>
      <c r="AC474" s="1321"/>
      <c r="AD474" s="1321"/>
      <c r="AE474" s="1321"/>
      <c r="AF474" s="1321"/>
      <c r="AG474" s="1321"/>
      <c r="AH474" s="1321"/>
      <c r="AI474" s="1321"/>
      <c r="AJ474" s="1321"/>
      <c r="AK474" s="1321"/>
      <c r="AL474" s="1321"/>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c r="BM474" s="33"/>
      <c r="BN474" s="33"/>
      <c r="BO474" s="33"/>
      <c r="BP474" s="33"/>
      <c r="BQ474" s="33"/>
      <c r="BR474" s="33"/>
      <c r="BS474" s="33"/>
      <c r="BT474" s="33"/>
      <c r="BU474" s="33"/>
      <c r="BV474" s="33"/>
      <c r="BW474" s="33"/>
      <c r="BX474" s="33"/>
      <c r="BY474" s="33"/>
      <c r="BZ474" s="33"/>
      <c r="CA474" s="33"/>
      <c r="CB474" s="33"/>
      <c r="CC474" s="33"/>
      <c r="CD474" s="33"/>
      <c r="CE474" s="33"/>
      <c r="CF474" s="33"/>
      <c r="CG474" s="33"/>
      <c r="CH474" s="33"/>
      <c r="CI474" s="33"/>
      <c r="CJ474" s="33"/>
      <c r="CK474" s="33"/>
      <c r="CL474" s="33"/>
      <c r="CM474" s="33"/>
      <c r="CN474" s="33"/>
      <c r="CO474" s="33"/>
      <c r="CP474" s="33"/>
      <c r="CQ474" s="33"/>
      <c r="CR474" s="33"/>
      <c r="CS474" s="33"/>
    </row>
    <row r="475" spans="1:97" ht="12.95" customHeight="1" thickTop="1">
      <c r="AM475" s="3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c r="CA475" s="33"/>
      <c r="CB475" s="33"/>
      <c r="CC475" s="33"/>
      <c r="CD475" s="33"/>
      <c r="CE475" s="33"/>
      <c r="CF475" s="33"/>
      <c r="CG475" s="33"/>
      <c r="CH475" s="33"/>
      <c r="CI475" s="33"/>
      <c r="CJ475" s="33"/>
      <c r="CK475" s="33"/>
      <c r="CL475" s="33"/>
      <c r="CM475" s="33"/>
      <c r="CN475" s="33"/>
      <c r="CO475" s="33"/>
      <c r="CP475" s="33"/>
      <c r="CQ475" s="33"/>
      <c r="CR475" s="33"/>
      <c r="CS475" s="33"/>
    </row>
    <row r="476" spans="1:97" ht="12.95" customHeight="1">
      <c r="A476" s="2" t="s">
        <v>854</v>
      </c>
      <c r="C476" s="2" t="s">
        <v>175</v>
      </c>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row>
    <row r="477" spans="1:97" ht="12.95" customHeight="1">
      <c r="B477" s="2"/>
      <c r="C477" s="2"/>
      <c r="D477" s="2"/>
      <c r="AM477" s="33"/>
      <c r="AN477" s="33"/>
      <c r="AO477" s="33"/>
      <c r="AP477" s="33"/>
      <c r="AQ477" s="33"/>
      <c r="AR477" s="33"/>
      <c r="AS477" s="33"/>
      <c r="AT477" s="33"/>
      <c r="AU477" s="33"/>
      <c r="AV477" s="33"/>
      <c r="AW477" s="33"/>
      <c r="AX477" s="33"/>
      <c r="AY477" s="33"/>
      <c r="AZ477" s="33"/>
      <c r="BA477" s="33"/>
      <c r="BB477" s="33"/>
      <c r="BC477" s="33"/>
      <c r="BD477" s="33"/>
      <c r="BE477" s="33"/>
      <c r="BF477" s="33"/>
      <c r="BG477" s="33"/>
      <c r="BH477" s="33"/>
      <c r="BI477" s="33"/>
      <c r="BJ477" s="33"/>
      <c r="BK477" s="33"/>
      <c r="BL477" s="33"/>
      <c r="BM477" s="33"/>
      <c r="BN477" s="33"/>
      <c r="BO477" s="33"/>
      <c r="BP477" s="33"/>
      <c r="BQ477" s="33"/>
      <c r="BR477" s="33"/>
      <c r="BS477" s="33"/>
      <c r="BT477" s="33"/>
      <c r="BU477" s="33"/>
      <c r="BV477" s="33"/>
      <c r="BW477" s="33"/>
      <c r="BX477" s="33"/>
      <c r="BY477" s="33"/>
      <c r="BZ477" s="33"/>
      <c r="CA477" s="33"/>
      <c r="CB477" s="33"/>
      <c r="CC477" s="33"/>
      <c r="CD477" s="33"/>
      <c r="CE477" s="33"/>
      <c r="CF477" s="33"/>
      <c r="CG477" s="33"/>
      <c r="CH477" s="33"/>
      <c r="CI477" s="33"/>
      <c r="CJ477" s="33"/>
      <c r="CK477" s="33"/>
      <c r="CL477" s="33"/>
      <c r="CM477" s="33"/>
      <c r="CN477" s="33"/>
      <c r="CO477" s="33"/>
      <c r="CP477" s="33"/>
      <c r="CQ477" s="33"/>
      <c r="CR477" s="33"/>
      <c r="CS477" s="33"/>
    </row>
    <row r="478" spans="1:97" ht="12.95" customHeight="1">
      <c r="B478" s="7"/>
      <c r="C478" s="8"/>
      <c r="D478" s="8"/>
      <c r="E478" s="8"/>
      <c r="F478" s="8"/>
      <c r="G478" s="8"/>
      <c r="H478" s="8"/>
      <c r="I478" s="8"/>
      <c r="J478" s="8"/>
      <c r="K478" s="8"/>
      <c r="L478" s="8"/>
      <c r="M478" s="8"/>
      <c r="N478" s="8"/>
      <c r="O478" s="8"/>
      <c r="P478" s="37"/>
      <c r="Q478" s="1253" t="s">
        <v>1288</v>
      </c>
      <c r="R478" s="1254"/>
      <c r="S478" s="1254"/>
      <c r="T478" s="1254"/>
      <c r="U478" s="1254"/>
      <c r="V478" s="1254"/>
      <c r="W478" s="1254"/>
      <c r="X478" s="1254"/>
      <c r="Y478" s="1254"/>
      <c r="Z478" s="1254"/>
      <c r="AA478" s="1254"/>
      <c r="AB478" s="1254"/>
      <c r="AC478" s="1254"/>
      <c r="AD478" s="1254"/>
      <c r="AE478" s="1254"/>
      <c r="AF478" s="1254"/>
      <c r="AG478" s="1254"/>
      <c r="AH478" s="1254"/>
      <c r="AI478" s="1254"/>
      <c r="AJ478" s="1254"/>
      <c r="AK478" s="1270"/>
      <c r="AM478" s="33"/>
      <c r="AN478" s="33"/>
      <c r="AO478" s="33"/>
      <c r="AP478" s="33"/>
      <c r="AQ478" s="33"/>
      <c r="AR478" s="33"/>
      <c r="AS478" s="33"/>
      <c r="AT478" s="33"/>
      <c r="AU478" s="33"/>
      <c r="AV478" s="33"/>
      <c r="AW478" s="33"/>
      <c r="AX478" s="33"/>
      <c r="AY478" s="33"/>
      <c r="AZ478" s="33"/>
      <c r="BA478" s="33"/>
      <c r="BB478" s="33"/>
      <c r="BC478" s="33"/>
      <c r="BD478" s="33"/>
      <c r="BE478" s="33"/>
      <c r="BF478" s="33"/>
      <c r="BG478" s="33"/>
      <c r="BH478" s="33"/>
      <c r="BI478" s="33"/>
      <c r="BJ478" s="33"/>
      <c r="BK478" s="33"/>
      <c r="BL478" s="33"/>
      <c r="BM478" s="33"/>
      <c r="BN478" s="33"/>
      <c r="BO478" s="33"/>
      <c r="BP478" s="33"/>
      <c r="BQ478" s="33"/>
      <c r="BR478" s="33"/>
      <c r="BS478" s="33"/>
      <c r="BT478" s="33"/>
      <c r="BU478" s="33"/>
      <c r="BV478" s="33"/>
      <c r="BW478" s="33"/>
      <c r="BX478" s="33"/>
      <c r="BY478" s="33"/>
      <c r="BZ478" s="33"/>
      <c r="CA478" s="33"/>
      <c r="CB478" s="33"/>
      <c r="CC478" s="33"/>
      <c r="CD478" s="33"/>
      <c r="CE478" s="33"/>
      <c r="CF478" s="33"/>
      <c r="CG478" s="33"/>
      <c r="CH478" s="33"/>
      <c r="CI478" s="33"/>
      <c r="CJ478" s="33"/>
      <c r="CK478" s="33"/>
      <c r="CL478" s="33"/>
      <c r="CM478" s="33"/>
      <c r="CN478" s="33"/>
      <c r="CO478" s="33"/>
      <c r="CP478" s="33"/>
      <c r="CQ478" s="33"/>
      <c r="CR478" s="33"/>
      <c r="CS478" s="33"/>
    </row>
    <row r="479" spans="1:97" ht="12.95" customHeight="1">
      <c r="B479" s="7" t="s">
        <v>1289</v>
      </c>
      <c r="C479" s="8"/>
      <c r="D479" s="8"/>
      <c r="E479" s="8"/>
      <c r="F479" s="8"/>
      <c r="G479" s="8"/>
      <c r="H479" s="8"/>
      <c r="I479" s="8"/>
      <c r="J479" s="8"/>
      <c r="K479" s="8"/>
      <c r="L479" s="8"/>
      <c r="M479" s="8"/>
      <c r="N479" s="8"/>
      <c r="O479" s="8"/>
      <c r="P479" s="8"/>
      <c r="Q479" s="1242" t="s">
        <v>1290</v>
      </c>
      <c r="R479" s="1183"/>
      <c r="S479" s="1183"/>
      <c r="T479" s="1183"/>
      <c r="U479" s="1183"/>
      <c r="V479" s="1183"/>
      <c r="W479" s="1183"/>
      <c r="X479" s="1183"/>
      <c r="Y479" s="1183"/>
      <c r="Z479" s="1183"/>
      <c r="AA479" s="1183"/>
      <c r="AB479" s="1183"/>
      <c r="AC479" s="1183"/>
      <c r="AD479" s="1183"/>
      <c r="AE479" s="1183"/>
      <c r="AF479" s="1183"/>
      <c r="AG479" s="1183"/>
      <c r="AH479" s="1183"/>
      <c r="AI479" s="1183"/>
      <c r="AJ479" s="1183"/>
      <c r="AK479" s="1243"/>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c r="CM479" s="33"/>
      <c r="CN479" s="33"/>
      <c r="CO479" s="33"/>
      <c r="CP479" s="33"/>
      <c r="CQ479" s="33"/>
      <c r="CR479" s="33"/>
      <c r="CS479" s="33"/>
    </row>
    <row r="480" spans="1:97" ht="12.95" customHeight="1">
      <c r="B480" s="7" t="s">
        <v>1291</v>
      </c>
      <c r="C480" s="8"/>
      <c r="D480" s="8"/>
      <c r="E480" s="8"/>
      <c r="F480" s="8"/>
      <c r="G480" s="8"/>
      <c r="H480" s="8"/>
      <c r="I480" s="8"/>
      <c r="J480" s="8"/>
      <c r="K480" s="8"/>
      <c r="L480" s="8"/>
      <c r="M480" s="8"/>
      <c r="N480" s="8"/>
      <c r="O480" s="8"/>
      <c r="P480" s="8"/>
      <c r="Q480" s="1242" t="s">
        <v>1292</v>
      </c>
      <c r="R480" s="1183"/>
      <c r="S480" s="1183"/>
      <c r="T480" s="1183"/>
      <c r="U480" s="1183"/>
      <c r="V480" s="1183"/>
      <c r="W480" s="1183"/>
      <c r="X480" s="1183"/>
      <c r="Y480" s="1183"/>
      <c r="Z480" s="1183"/>
      <c r="AA480" s="1183"/>
      <c r="AB480" s="1183"/>
      <c r="AC480" s="1183"/>
      <c r="AD480" s="1183"/>
      <c r="AE480" s="1183"/>
      <c r="AF480" s="1183"/>
      <c r="AG480" s="1183"/>
      <c r="AH480" s="1183"/>
      <c r="AI480" s="1183"/>
      <c r="AJ480" s="1183"/>
      <c r="AK480" s="1243"/>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c r="CM480" s="33"/>
      <c r="CN480" s="33"/>
      <c r="CO480" s="33"/>
      <c r="CP480" s="33"/>
      <c r="CQ480" s="33"/>
      <c r="CR480" s="33"/>
      <c r="CS480" s="33"/>
    </row>
    <row r="481" spans="1:97" ht="12.95" customHeight="1">
      <c r="B481" s="7" t="s">
        <v>1293</v>
      </c>
      <c r="C481" s="8"/>
      <c r="D481" s="8"/>
      <c r="E481" s="8"/>
      <c r="F481" s="8"/>
      <c r="G481" s="8"/>
      <c r="H481" s="8"/>
      <c r="I481" s="8"/>
      <c r="J481" s="8"/>
      <c r="K481" s="8"/>
      <c r="L481" s="8"/>
      <c r="M481" s="8"/>
      <c r="N481" s="8"/>
      <c r="O481" s="8"/>
      <c r="P481" s="8"/>
      <c r="Q481" s="1242" t="s">
        <v>1292</v>
      </c>
      <c r="R481" s="1183"/>
      <c r="S481" s="1183"/>
      <c r="T481" s="1183"/>
      <c r="U481" s="1183"/>
      <c r="V481" s="1183"/>
      <c r="W481" s="1183"/>
      <c r="X481" s="1183"/>
      <c r="Y481" s="1183"/>
      <c r="Z481" s="1183"/>
      <c r="AA481" s="1183"/>
      <c r="AB481" s="1183"/>
      <c r="AC481" s="1183"/>
      <c r="AD481" s="1183"/>
      <c r="AE481" s="1183"/>
      <c r="AF481" s="1183"/>
      <c r="AG481" s="1183"/>
      <c r="AH481" s="1183"/>
      <c r="AI481" s="1183"/>
      <c r="AJ481" s="1183"/>
      <c r="AK481" s="1243"/>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c r="CA481" s="33"/>
      <c r="CB481" s="33"/>
      <c r="CC481" s="33"/>
      <c r="CD481" s="33"/>
      <c r="CE481" s="33"/>
      <c r="CF481" s="33"/>
      <c r="CG481" s="33"/>
      <c r="CH481" s="33"/>
      <c r="CI481" s="33"/>
      <c r="CJ481" s="33"/>
      <c r="CK481" s="33"/>
      <c r="CL481" s="33"/>
      <c r="CM481" s="33"/>
      <c r="CN481" s="33"/>
      <c r="CO481" s="33"/>
      <c r="CP481" s="33"/>
      <c r="CQ481" s="33"/>
      <c r="CR481" s="33"/>
      <c r="CS481" s="33"/>
    </row>
    <row r="482" spans="1:97" ht="12.95" customHeight="1">
      <c r="B482" s="1295" t="s">
        <v>1294</v>
      </c>
      <c r="C482" s="1296"/>
      <c r="D482" s="1296"/>
      <c r="E482" s="1296"/>
      <c r="F482" s="1296"/>
      <c r="G482" s="1296"/>
      <c r="H482" s="1296"/>
      <c r="I482" s="1296"/>
      <c r="J482" s="1296"/>
      <c r="K482" s="1296"/>
      <c r="L482" s="1296"/>
      <c r="M482" s="1296"/>
      <c r="N482" s="1296"/>
      <c r="O482" s="1296"/>
      <c r="P482" s="1297"/>
      <c r="Q482" s="1229" t="s">
        <v>821</v>
      </c>
      <c r="R482" s="1230"/>
      <c r="S482" s="1233" t="s">
        <v>1295</v>
      </c>
      <c r="T482" s="1234"/>
      <c r="U482" s="1234"/>
      <c r="V482" s="1234"/>
      <c r="W482" s="1234"/>
      <c r="X482" s="1234"/>
      <c r="Y482" s="1234"/>
      <c r="Z482" s="1234"/>
      <c r="AA482" s="1234"/>
      <c r="AB482" s="1234"/>
      <c r="AC482" s="1234"/>
      <c r="AD482" s="1234"/>
      <c r="AE482" s="1234"/>
      <c r="AF482" s="1234"/>
      <c r="AG482" s="1234"/>
      <c r="AH482" s="1234"/>
      <c r="AI482" s="1234"/>
      <c r="AJ482" s="1234"/>
      <c r="AK482" s="1235"/>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c r="BM482" s="33"/>
      <c r="BN482" s="33"/>
      <c r="BO482" s="33"/>
      <c r="BP482" s="33"/>
      <c r="BQ482" s="33"/>
      <c r="BR482" s="33"/>
      <c r="BS482" s="33"/>
      <c r="BT482" s="33"/>
      <c r="BU482" s="33"/>
      <c r="BV482" s="33"/>
      <c r="BW482" s="33"/>
      <c r="BX482" s="33"/>
      <c r="BY482" s="33"/>
      <c r="BZ482" s="33"/>
      <c r="CA482" s="33"/>
      <c r="CB482" s="33"/>
      <c r="CC482" s="33"/>
      <c r="CD482" s="33"/>
      <c r="CE482" s="33"/>
      <c r="CF482" s="33"/>
      <c r="CG482" s="33"/>
      <c r="CH482" s="33"/>
      <c r="CI482" s="33"/>
      <c r="CJ482" s="33"/>
      <c r="CK482" s="33"/>
      <c r="CL482" s="33"/>
      <c r="CM482" s="33"/>
      <c r="CN482" s="33"/>
      <c r="CO482" s="33"/>
      <c r="CP482" s="33"/>
      <c r="CQ482" s="33"/>
      <c r="CR482" s="33"/>
      <c r="CS482" s="33"/>
    </row>
    <row r="483" spans="1:97" ht="12.95" customHeight="1">
      <c r="B483" s="1298"/>
      <c r="C483" s="1299"/>
      <c r="D483" s="1299"/>
      <c r="E483" s="1299"/>
      <c r="F483" s="1299"/>
      <c r="G483" s="1299"/>
      <c r="H483" s="1299"/>
      <c r="I483" s="1299"/>
      <c r="J483" s="1299"/>
      <c r="K483" s="1299"/>
      <c r="L483" s="1299"/>
      <c r="M483" s="1299"/>
      <c r="N483" s="1299"/>
      <c r="O483" s="1299"/>
      <c r="P483" s="1300"/>
      <c r="Q483" s="1231"/>
      <c r="R483" s="1232"/>
      <c r="S483" s="1236"/>
      <c r="T483" s="1237"/>
      <c r="U483" s="1237"/>
      <c r="V483" s="1237"/>
      <c r="W483" s="1237"/>
      <c r="X483" s="1237"/>
      <c r="Y483" s="1237"/>
      <c r="Z483" s="1237"/>
      <c r="AA483" s="1237"/>
      <c r="AB483" s="1237"/>
      <c r="AC483" s="1237"/>
      <c r="AD483" s="1237"/>
      <c r="AE483" s="1237"/>
      <c r="AF483" s="1237"/>
      <c r="AG483" s="1237"/>
      <c r="AH483" s="1237"/>
      <c r="AI483" s="1237"/>
      <c r="AJ483" s="1237"/>
      <c r="AK483" s="1238"/>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c r="BM483" s="33"/>
      <c r="BN483" s="33"/>
      <c r="BO483" s="33"/>
      <c r="BP483" s="33"/>
      <c r="BQ483" s="33"/>
      <c r="BR483" s="33"/>
      <c r="BS483" s="33"/>
      <c r="BT483" s="33"/>
      <c r="BU483" s="33"/>
      <c r="BV483" s="33"/>
      <c r="BW483" s="33"/>
      <c r="BX483" s="33"/>
      <c r="BY483" s="33"/>
      <c r="BZ483" s="33"/>
      <c r="CA483" s="33"/>
      <c r="CB483" s="33"/>
      <c r="CC483" s="33"/>
      <c r="CD483" s="33"/>
      <c r="CE483" s="33"/>
      <c r="CF483" s="33"/>
      <c r="CG483" s="33"/>
      <c r="CH483" s="33"/>
      <c r="CI483" s="33"/>
      <c r="CJ483" s="33"/>
      <c r="CK483" s="33"/>
      <c r="CL483" s="33"/>
      <c r="CM483" s="33"/>
      <c r="CN483" s="33"/>
      <c r="CO483" s="33"/>
      <c r="CP483" s="33"/>
      <c r="CQ483" s="33"/>
      <c r="CR483" s="33"/>
      <c r="CS483" s="33"/>
    </row>
    <row r="484" spans="1:97" ht="12.95" customHeight="1">
      <c r="B484" s="645" t="s">
        <v>1296</v>
      </c>
      <c r="C484" s="799"/>
      <c r="D484" s="799"/>
      <c r="E484" s="799"/>
      <c r="F484" s="799"/>
      <c r="G484" s="799"/>
      <c r="H484" s="799"/>
      <c r="I484" s="799"/>
      <c r="J484" s="799"/>
      <c r="K484" s="799"/>
      <c r="L484" s="799"/>
      <c r="M484" s="799"/>
      <c r="N484" s="799"/>
      <c r="O484" s="799"/>
      <c r="P484" s="799"/>
      <c r="Q484" s="1239"/>
      <c r="R484" s="1240"/>
      <c r="S484" s="1240"/>
      <c r="T484" s="1240"/>
      <c r="U484" s="1240"/>
      <c r="V484" s="1240"/>
      <c r="W484" s="1240"/>
      <c r="X484" s="1240"/>
      <c r="Y484" s="1240"/>
      <c r="Z484" s="1240"/>
      <c r="AA484" s="1240"/>
      <c r="AB484" s="1240"/>
      <c r="AC484" s="1240"/>
      <c r="AD484" s="1240"/>
      <c r="AE484" s="1240"/>
      <c r="AF484" s="1240"/>
      <c r="AG484" s="1240"/>
      <c r="AH484" s="1240"/>
      <c r="AI484" s="1240"/>
      <c r="AJ484" s="1240"/>
      <c r="AK484" s="1241"/>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c r="CM484" s="33"/>
      <c r="CN484" s="33"/>
      <c r="CO484" s="33"/>
      <c r="CP484" s="33"/>
      <c r="CQ484" s="33"/>
      <c r="CR484" s="33"/>
      <c r="CS484" s="33"/>
    </row>
    <row r="485" spans="1:97" ht="12.95" customHeight="1">
      <c r="B485" s="7" t="s">
        <v>1297</v>
      </c>
      <c r="C485" s="8"/>
      <c r="D485" s="8"/>
      <c r="E485" s="8"/>
      <c r="F485" s="8"/>
      <c r="G485" s="8"/>
      <c r="H485" s="8"/>
      <c r="I485" s="8"/>
      <c r="J485" s="8"/>
      <c r="K485" s="8"/>
      <c r="L485" s="8"/>
      <c r="M485" s="8"/>
      <c r="N485" s="8"/>
      <c r="O485" s="8"/>
      <c r="P485" s="8"/>
      <c r="Q485" s="1242" t="s">
        <v>1298</v>
      </c>
      <c r="R485" s="1183"/>
      <c r="S485" s="1183"/>
      <c r="T485" s="1183"/>
      <c r="U485" s="1183"/>
      <c r="V485" s="1183"/>
      <c r="W485" s="1183"/>
      <c r="X485" s="1183"/>
      <c r="Y485" s="1183"/>
      <c r="Z485" s="1183"/>
      <c r="AA485" s="1183"/>
      <c r="AB485" s="1183"/>
      <c r="AC485" s="1183"/>
      <c r="AD485" s="1183"/>
      <c r="AE485" s="1183"/>
      <c r="AF485" s="1183"/>
      <c r="AG485" s="1183"/>
      <c r="AH485" s="1183"/>
      <c r="AI485" s="1183"/>
      <c r="AJ485" s="1183"/>
      <c r="AK485" s="1243"/>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c r="BM485" s="33"/>
      <c r="BN485" s="33"/>
      <c r="BO485" s="33"/>
      <c r="BP485" s="33"/>
      <c r="BQ485" s="33"/>
      <c r="BR485" s="33"/>
      <c r="BS485" s="33"/>
      <c r="BT485" s="33"/>
      <c r="BU485" s="33"/>
      <c r="BV485" s="33"/>
      <c r="BW485" s="33"/>
      <c r="BX485" s="33"/>
      <c r="BY485" s="33"/>
      <c r="BZ485" s="33"/>
      <c r="CA485" s="33"/>
      <c r="CB485" s="33"/>
      <c r="CC485" s="33"/>
      <c r="CD485" s="33"/>
      <c r="CE485" s="33"/>
      <c r="CF485" s="33"/>
      <c r="CG485" s="33"/>
      <c r="CH485" s="33"/>
      <c r="CI485" s="33"/>
      <c r="CJ485" s="33"/>
      <c r="CK485" s="33"/>
      <c r="CL485" s="33"/>
      <c r="CM485" s="33"/>
      <c r="CN485" s="33"/>
      <c r="CO485" s="33"/>
      <c r="CP485" s="33"/>
      <c r="CQ485" s="33"/>
      <c r="CR485" s="33"/>
      <c r="CS485" s="33"/>
    </row>
    <row r="486" spans="1:97" ht="12.95" customHeight="1">
      <c r="B486" s="7" t="s">
        <v>1299</v>
      </c>
      <c r="C486" s="8"/>
      <c r="D486" s="8"/>
      <c r="E486" s="8"/>
      <c r="F486" s="8"/>
      <c r="G486" s="8"/>
      <c r="H486" s="8"/>
      <c r="I486" s="8"/>
      <c r="J486" s="8"/>
      <c r="K486" s="8"/>
      <c r="L486" s="8"/>
      <c r="M486" s="8"/>
      <c r="N486" s="8"/>
      <c r="O486" s="8"/>
      <c r="P486" s="8"/>
      <c r="Q486" s="1242" t="s">
        <v>1300</v>
      </c>
      <c r="R486" s="1183"/>
      <c r="S486" s="1183"/>
      <c r="T486" s="1183"/>
      <c r="U486" s="1183"/>
      <c r="V486" s="1183"/>
      <c r="W486" s="1183"/>
      <c r="X486" s="1183"/>
      <c r="Y486" s="1183"/>
      <c r="Z486" s="1183"/>
      <c r="AA486" s="1183"/>
      <c r="AB486" s="1183"/>
      <c r="AC486" s="1183"/>
      <c r="AD486" s="1183"/>
      <c r="AE486" s="1183"/>
      <c r="AF486" s="1183"/>
      <c r="AG486" s="1183"/>
      <c r="AH486" s="1183"/>
      <c r="AI486" s="1183"/>
      <c r="AJ486" s="1183"/>
      <c r="AK486" s="124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row>
    <row r="487" spans="1:97" ht="12.95" customHeight="1">
      <c r="B487" s="150" t="s">
        <v>1301</v>
      </c>
      <c r="C487" s="8"/>
      <c r="D487" s="8"/>
      <c r="E487" s="8"/>
      <c r="F487" s="8"/>
      <c r="G487" s="8"/>
      <c r="H487" s="8"/>
      <c r="I487" s="8"/>
      <c r="J487" s="8"/>
      <c r="K487" s="8"/>
      <c r="L487" s="8"/>
      <c r="M487" s="8"/>
      <c r="N487" s="8"/>
      <c r="O487" s="8"/>
      <c r="P487" s="8"/>
      <c r="Q487" s="1242">
        <v>48</v>
      </c>
      <c r="R487" s="1183"/>
      <c r="S487" s="1183"/>
      <c r="T487" s="1183"/>
      <c r="U487" s="1183"/>
      <c r="V487" s="1183"/>
      <c r="W487" s="1183"/>
      <c r="X487" s="1183"/>
      <c r="Y487" s="1183"/>
      <c r="Z487" s="1183"/>
      <c r="AA487" s="1183"/>
      <c r="AB487" s="1183"/>
      <c r="AC487" s="1183"/>
      <c r="AD487" s="1183"/>
      <c r="AE487" s="1183"/>
      <c r="AF487" s="1183"/>
      <c r="AG487" s="1183"/>
      <c r="AH487" s="1183"/>
      <c r="AI487" s="1183"/>
      <c r="AJ487" s="1183"/>
      <c r="AK487" s="1243"/>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c r="CM487" s="33"/>
      <c r="CN487" s="33"/>
      <c r="CO487" s="33"/>
      <c r="CP487" s="33"/>
      <c r="CQ487" s="33"/>
      <c r="CR487" s="33"/>
      <c r="CS487" s="33"/>
    </row>
    <row r="488" spans="1:97" ht="12.95" customHeight="1">
      <c r="B488" s="150" t="s">
        <v>1302</v>
      </c>
      <c r="C488" s="8"/>
      <c r="D488" s="8"/>
      <c r="E488" s="8"/>
      <c r="F488" s="8"/>
      <c r="G488" s="8"/>
      <c r="H488" s="8"/>
      <c r="I488" s="8"/>
      <c r="J488" s="8"/>
      <c r="K488" s="8"/>
      <c r="L488" s="8"/>
      <c r="M488" s="1185">
        <v>0</v>
      </c>
      <c r="N488" s="1186"/>
      <c r="O488" s="1186"/>
      <c r="P488" s="1187"/>
      <c r="Q488" s="150" t="s">
        <v>1303</v>
      </c>
      <c r="R488" s="8"/>
      <c r="S488" s="8"/>
      <c r="T488" s="8"/>
      <c r="U488" s="8"/>
      <c r="V488" s="8"/>
      <c r="W488" s="8"/>
      <c r="X488" s="8"/>
      <c r="Y488" s="8"/>
      <c r="Z488" s="8"/>
      <c r="AA488" s="8"/>
      <c r="AB488" s="8"/>
      <c r="AC488" s="8"/>
      <c r="AD488" s="8"/>
      <c r="AE488" s="8"/>
      <c r="AF488" s="8"/>
      <c r="AG488" s="8"/>
      <c r="AH488" s="1185">
        <v>48</v>
      </c>
      <c r="AI488" s="1186"/>
      <c r="AJ488" s="1186"/>
      <c r="AK488" s="1187"/>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c r="CM488" s="33"/>
      <c r="CN488" s="33"/>
      <c r="CO488" s="33"/>
      <c r="CP488" s="33"/>
      <c r="CQ488" s="33"/>
      <c r="CR488" s="33"/>
      <c r="CS488" s="33"/>
    </row>
    <row r="489" spans="1:97" ht="12.95" customHeight="1">
      <c r="Q489" s="11"/>
      <c r="R489" s="11"/>
      <c r="S489" s="11"/>
      <c r="T489" s="11"/>
      <c r="U489" s="11"/>
      <c r="V489" s="11"/>
      <c r="W489" s="11"/>
      <c r="X489" s="11"/>
      <c r="Y489" s="11"/>
      <c r="Z489" s="11"/>
      <c r="AA489" s="11"/>
      <c r="AB489" s="11"/>
      <c r="AC489" s="11"/>
      <c r="AD489" s="11"/>
      <c r="AE489" s="11"/>
      <c r="AF489" s="11"/>
      <c r="AG489" s="11"/>
      <c r="AH489" s="11"/>
      <c r="AI489" s="11"/>
      <c r="AJ489" s="11"/>
      <c r="AK489" s="11"/>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c r="CM489" s="33"/>
      <c r="CN489" s="33"/>
      <c r="CO489" s="33"/>
      <c r="CP489" s="33"/>
      <c r="CQ489" s="33"/>
      <c r="CR489" s="33"/>
      <c r="CS489" s="33"/>
    </row>
    <row r="490" spans="1:97" ht="12.95" customHeight="1">
      <c r="A490" s="2" t="s">
        <v>889</v>
      </c>
      <c r="C490" s="2" t="s">
        <v>177</v>
      </c>
      <c r="Q490" s="11"/>
      <c r="R490" s="11"/>
      <c r="S490" s="11"/>
      <c r="T490" s="11"/>
      <c r="U490" s="11"/>
      <c r="V490" s="11"/>
      <c r="W490" s="11"/>
      <c r="X490" s="11"/>
      <c r="Y490" s="11"/>
      <c r="Z490" s="11"/>
      <c r="AA490" s="11"/>
      <c r="AB490" s="11"/>
      <c r="AC490" s="11"/>
      <c r="AD490" s="11"/>
      <c r="AE490" s="11"/>
      <c r="AF490" s="11"/>
      <c r="AG490" s="11"/>
      <c r="AH490" s="11"/>
      <c r="AI490" s="11"/>
      <c r="AJ490" s="11"/>
      <c r="AK490" s="11"/>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c r="BM490" s="33"/>
      <c r="BN490" s="33"/>
      <c r="BO490" s="33"/>
      <c r="BP490" s="33"/>
      <c r="BQ490" s="33"/>
      <c r="BR490" s="33"/>
      <c r="BS490" s="33"/>
      <c r="BT490" s="33"/>
      <c r="BU490" s="33"/>
      <c r="BV490" s="33"/>
      <c r="BW490" s="33"/>
      <c r="BX490" s="33"/>
      <c r="BY490" s="33"/>
      <c r="BZ490" s="33"/>
      <c r="CA490" s="33"/>
      <c r="CB490" s="33"/>
      <c r="CC490" s="33"/>
      <c r="CD490" s="33"/>
      <c r="CE490" s="33"/>
      <c r="CF490" s="33"/>
      <c r="CG490" s="33"/>
      <c r="CH490" s="33"/>
      <c r="CI490" s="33"/>
      <c r="CJ490" s="33"/>
      <c r="CK490" s="33"/>
      <c r="CL490" s="33"/>
      <c r="CM490" s="33"/>
      <c r="CN490" s="33"/>
      <c r="CO490" s="33"/>
      <c r="CP490" s="33"/>
      <c r="CQ490" s="33"/>
      <c r="CR490" s="33"/>
      <c r="CS490" s="33"/>
    </row>
    <row r="491" spans="1:97" ht="12.95" customHeight="1">
      <c r="Q491" s="11"/>
      <c r="R491" s="11"/>
      <c r="S491" s="11"/>
      <c r="T491" s="11"/>
      <c r="U491" s="11"/>
      <c r="V491" s="11"/>
      <c r="W491" s="11"/>
      <c r="X491" s="11"/>
      <c r="Y491" s="11"/>
      <c r="Z491" s="11"/>
      <c r="AA491" s="11"/>
      <c r="AB491" s="11"/>
      <c r="AC491" s="11"/>
      <c r="AD491" s="11"/>
      <c r="AE491" s="11"/>
      <c r="AF491" s="11"/>
      <c r="AG491" s="11"/>
      <c r="AH491" s="11"/>
      <c r="AI491" s="11"/>
      <c r="AJ491" s="11"/>
      <c r="AK491" s="11"/>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c r="BM491" s="33"/>
      <c r="BN491" s="33"/>
      <c r="BO491" s="33"/>
      <c r="BP491" s="33"/>
      <c r="BQ491" s="33"/>
      <c r="BR491" s="33"/>
      <c r="BS491" s="33"/>
      <c r="BT491" s="33"/>
      <c r="BU491" s="33"/>
      <c r="BV491" s="33"/>
      <c r="BW491" s="33"/>
      <c r="BX491" s="33"/>
      <c r="BY491" s="33"/>
      <c r="BZ491" s="33"/>
      <c r="CA491" s="33"/>
      <c r="CB491" s="33"/>
      <c r="CC491" s="33"/>
      <c r="CD491" s="33"/>
      <c r="CE491" s="33"/>
      <c r="CF491" s="33"/>
      <c r="CG491" s="33"/>
      <c r="CH491" s="33"/>
      <c r="CI491" s="33"/>
      <c r="CJ491" s="33"/>
      <c r="CK491" s="33"/>
      <c r="CL491" s="33"/>
      <c r="CM491" s="33"/>
      <c r="CN491" s="33"/>
      <c r="CO491" s="33"/>
      <c r="CP491" s="33"/>
      <c r="CQ491" s="33"/>
      <c r="CR491" s="33"/>
      <c r="CS491" s="33"/>
    </row>
    <row r="492" spans="1:97" ht="12.95" customHeight="1">
      <c r="B492" s="5"/>
      <c r="C492" s="6"/>
      <c r="D492" s="147"/>
      <c r="E492" s="6"/>
      <c r="F492" s="6"/>
      <c r="G492" s="6"/>
      <c r="H492" s="6"/>
      <c r="I492" s="6"/>
      <c r="J492" s="6"/>
      <c r="K492" s="6"/>
      <c r="L492" s="6"/>
      <c r="M492" s="6"/>
      <c r="N492" s="6"/>
      <c r="O492" s="6"/>
      <c r="P492" s="6"/>
      <c r="Q492" s="6"/>
      <c r="R492" s="6"/>
      <c r="S492" s="6"/>
      <c r="T492" s="6"/>
      <c r="U492" s="6"/>
      <c r="V492" s="6"/>
      <c r="W492" s="6"/>
      <c r="X492" s="6"/>
      <c r="Y492" s="6"/>
      <c r="Z492" s="6"/>
      <c r="AA492" s="6"/>
      <c r="AB492" s="44"/>
      <c r="AC492" s="1253" t="s">
        <v>1304</v>
      </c>
      <c r="AD492" s="1254"/>
      <c r="AE492" s="1254"/>
      <c r="AF492" s="1254"/>
      <c r="AG492" s="1254"/>
      <c r="AH492" s="1254"/>
      <c r="AI492" s="1254"/>
      <c r="AJ492" s="1254"/>
      <c r="AK492" s="1270"/>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c r="CM492" s="33"/>
      <c r="CN492" s="33"/>
      <c r="CO492" s="33"/>
      <c r="CP492" s="33"/>
      <c r="CQ492" s="33"/>
      <c r="CR492" s="33"/>
      <c r="CS492" s="33"/>
    </row>
    <row r="493" spans="1:97" ht="12.95" customHeight="1">
      <c r="B493" s="38"/>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40"/>
      <c r="AC493" s="1253" t="s">
        <v>1305</v>
      </c>
      <c r="AD493" s="1254"/>
      <c r="AE493" s="1254"/>
      <c r="AF493" s="1254"/>
      <c r="AG493" s="796" t="s">
        <v>1306</v>
      </c>
      <c r="AH493" s="1254" t="s">
        <v>1307</v>
      </c>
      <c r="AI493" s="1254"/>
      <c r="AJ493" s="1254"/>
      <c r="AK493" s="1270"/>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c r="CM493" s="33"/>
      <c r="CN493" s="33"/>
      <c r="CO493" s="33"/>
      <c r="CP493" s="33"/>
      <c r="CQ493" s="33"/>
      <c r="CR493" s="33"/>
      <c r="CS493" s="33"/>
    </row>
    <row r="494" spans="1:97" ht="12.95" customHeight="1">
      <c r="B494" s="1258" t="s">
        <v>1308</v>
      </c>
      <c r="C494" s="1259"/>
      <c r="D494" s="1259"/>
      <c r="E494" s="1259"/>
      <c r="F494" s="1259"/>
      <c r="G494" s="1259"/>
      <c r="H494" s="1260"/>
      <c r="I494" s="6" t="s">
        <v>1309</v>
      </c>
      <c r="J494" s="6"/>
      <c r="K494" s="6"/>
      <c r="L494" s="6"/>
      <c r="M494" s="6"/>
      <c r="N494" s="6"/>
      <c r="O494" s="6"/>
      <c r="P494" s="6"/>
      <c r="Q494" s="6"/>
      <c r="R494" s="6"/>
      <c r="S494" s="6"/>
      <c r="T494" s="6"/>
      <c r="U494" s="6"/>
      <c r="V494" s="6"/>
      <c r="W494" s="6"/>
      <c r="AC494" s="1203">
        <v>9</v>
      </c>
      <c r="AD494" s="1204"/>
      <c r="AE494" s="1204"/>
      <c r="AF494" s="1204"/>
      <c r="AG494" s="815" t="s">
        <v>1306</v>
      </c>
      <c r="AH494" s="1085">
        <v>2013</v>
      </c>
      <c r="AI494" s="1085"/>
      <c r="AJ494" s="1085"/>
      <c r="AK494" s="1086"/>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row>
    <row r="495" spans="1:97" ht="12.95" customHeight="1">
      <c r="B495" s="1261"/>
      <c r="C495" s="1262"/>
      <c r="D495" s="1262"/>
      <c r="E495" s="1262"/>
      <c r="F495" s="1262"/>
      <c r="G495" s="1262"/>
      <c r="H495" s="1263"/>
      <c r="I495" s="39" t="s">
        <v>1310</v>
      </c>
      <c r="J495" s="39"/>
      <c r="K495" s="39"/>
      <c r="L495" s="39"/>
      <c r="M495" s="39"/>
      <c r="N495" s="39"/>
      <c r="O495" s="39"/>
      <c r="P495" s="39"/>
      <c r="Q495" s="39"/>
      <c r="R495" s="39"/>
      <c r="S495" s="39"/>
      <c r="T495" s="39"/>
      <c r="U495" s="39"/>
      <c r="V495" s="39"/>
      <c r="W495" s="39"/>
      <c r="X495" s="39"/>
      <c r="Y495" s="39"/>
      <c r="Z495" s="39"/>
      <c r="AA495" s="39"/>
      <c r="AB495" s="39"/>
      <c r="AC495" s="1203">
        <v>3</v>
      </c>
      <c r="AD495" s="1204"/>
      <c r="AE495" s="1204"/>
      <c r="AF495" s="1204"/>
      <c r="AG495" s="789" t="s">
        <v>1306</v>
      </c>
      <c r="AH495" s="1085">
        <v>2011</v>
      </c>
      <c r="AI495" s="1085"/>
      <c r="AJ495" s="1085"/>
      <c r="AK495" s="1086"/>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c r="BM495" s="33"/>
      <c r="BN495" s="33"/>
      <c r="BO495" s="33"/>
      <c r="BP495" s="33"/>
      <c r="BQ495" s="33"/>
      <c r="BR495" s="33"/>
      <c r="BS495" s="33"/>
      <c r="BT495" s="33"/>
      <c r="BU495" s="33"/>
      <c r="BV495" s="33"/>
      <c r="BW495" s="33"/>
      <c r="BX495" s="33"/>
      <c r="BY495" s="33"/>
      <c r="BZ495" s="33"/>
      <c r="CA495" s="33"/>
      <c r="CB495" s="33"/>
      <c r="CC495" s="33"/>
      <c r="CD495" s="33"/>
      <c r="CE495" s="33"/>
      <c r="CF495" s="33"/>
      <c r="CG495" s="33"/>
      <c r="CH495" s="33"/>
      <c r="CI495" s="33"/>
      <c r="CJ495" s="33"/>
      <c r="CK495" s="33"/>
      <c r="CL495" s="33"/>
      <c r="CM495" s="33"/>
      <c r="CN495" s="33"/>
      <c r="CO495" s="33"/>
      <c r="CP495" s="33"/>
      <c r="CQ495" s="33"/>
      <c r="CR495" s="33"/>
      <c r="CS495" s="33"/>
    </row>
    <row r="496" spans="1:97" ht="12.95" customHeight="1">
      <c r="B496" s="1258" t="s">
        <v>1311</v>
      </c>
      <c r="C496" s="1259"/>
      <c r="D496" s="1259"/>
      <c r="E496" s="1259"/>
      <c r="F496" s="1259"/>
      <c r="G496" s="1259"/>
      <c r="H496" s="1260"/>
      <c r="I496" s="6" t="s">
        <v>1312</v>
      </c>
      <c r="J496" s="6"/>
      <c r="K496" s="6"/>
      <c r="L496" s="6"/>
      <c r="M496" s="6"/>
      <c r="N496" s="6"/>
      <c r="O496" s="6"/>
      <c r="P496" s="6"/>
      <c r="Q496" s="6"/>
      <c r="R496" s="6"/>
      <c r="S496" s="6"/>
      <c r="T496" s="6"/>
      <c r="U496" s="6"/>
      <c r="V496" s="6"/>
      <c r="W496" s="6"/>
      <c r="AC496" s="1203">
        <v>11</v>
      </c>
      <c r="AD496" s="1204"/>
      <c r="AE496" s="1204"/>
      <c r="AF496" s="1204"/>
      <c r="AG496" s="815" t="s">
        <v>1306</v>
      </c>
      <c r="AH496" s="1085">
        <v>2013</v>
      </c>
      <c r="AI496" s="1085"/>
      <c r="AJ496" s="1085"/>
      <c r="AK496" s="1086"/>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row>
    <row r="497" spans="2:97" ht="12.95" customHeight="1">
      <c r="B497" s="1261"/>
      <c r="C497" s="1262"/>
      <c r="D497" s="1262"/>
      <c r="E497" s="1262"/>
      <c r="F497" s="1262"/>
      <c r="G497" s="1262"/>
      <c r="H497" s="1263"/>
      <c r="I497" t="s">
        <v>1313</v>
      </c>
      <c r="AC497" s="1203" t="s">
        <v>325</v>
      </c>
      <c r="AD497" s="1204"/>
      <c r="AE497" s="1204"/>
      <c r="AF497" s="1204"/>
      <c r="AG497" s="815" t="s">
        <v>1306</v>
      </c>
      <c r="AH497" s="1085"/>
      <c r="AI497" s="1085"/>
      <c r="AJ497" s="1085"/>
      <c r="AK497" s="1086"/>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row>
    <row r="498" spans="2:97" ht="12.95" customHeight="1">
      <c r="B498" s="1261"/>
      <c r="C498" s="1262"/>
      <c r="D498" s="1262"/>
      <c r="E498" s="1262"/>
      <c r="F498" s="1262"/>
      <c r="G498" s="1262"/>
      <c r="H498" s="1263"/>
      <c r="I498" t="s">
        <v>1314</v>
      </c>
      <c r="AC498" s="1203" t="s">
        <v>325</v>
      </c>
      <c r="AD498" s="1204"/>
      <c r="AE498" s="1204"/>
      <c r="AF498" s="1204"/>
      <c r="AG498" s="815" t="s">
        <v>1306</v>
      </c>
      <c r="AH498" s="1085"/>
      <c r="AI498" s="1085"/>
      <c r="AJ498" s="1085"/>
      <c r="AK498" s="1086"/>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c r="BZ498" s="33"/>
      <c r="CA498" s="33"/>
      <c r="CB498" s="33"/>
      <c r="CC498" s="33"/>
      <c r="CD498" s="33"/>
      <c r="CE498" s="33"/>
      <c r="CF498" s="33"/>
      <c r="CG498" s="33"/>
      <c r="CH498" s="33"/>
      <c r="CI498" s="33"/>
      <c r="CJ498" s="33"/>
      <c r="CK498" s="33"/>
      <c r="CL498" s="33"/>
      <c r="CM498" s="33"/>
      <c r="CN498" s="33"/>
      <c r="CO498" s="33"/>
      <c r="CP498" s="33"/>
      <c r="CQ498" s="33"/>
      <c r="CR498" s="33"/>
      <c r="CS498" s="33"/>
    </row>
    <row r="499" spans="2:97" ht="12.95" customHeight="1">
      <c r="B499" s="1261"/>
      <c r="C499" s="1262"/>
      <c r="D499" s="1262"/>
      <c r="E499" s="1262"/>
      <c r="F499" s="1262"/>
      <c r="G499" s="1262"/>
      <c r="H499" s="1263"/>
      <c r="I499" t="s">
        <v>1315</v>
      </c>
      <c r="AC499" s="1203" t="s">
        <v>325</v>
      </c>
      <c r="AD499" s="1204"/>
      <c r="AE499" s="1204"/>
      <c r="AF499" s="1204"/>
      <c r="AG499" s="815" t="s">
        <v>1306</v>
      </c>
      <c r="AH499" s="1085"/>
      <c r="AI499" s="1085"/>
      <c r="AJ499" s="1085"/>
      <c r="AK499" s="1086"/>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c r="BZ499" s="33"/>
      <c r="CA499" s="33"/>
      <c r="CB499" s="33"/>
      <c r="CC499" s="33"/>
      <c r="CD499" s="33"/>
      <c r="CE499" s="33"/>
      <c r="CF499" s="33"/>
      <c r="CG499" s="33"/>
      <c r="CH499" s="33"/>
      <c r="CI499" s="33"/>
      <c r="CJ499" s="33"/>
      <c r="CK499" s="33"/>
      <c r="CL499" s="33"/>
      <c r="CM499" s="33"/>
      <c r="CN499" s="33"/>
      <c r="CO499" s="33"/>
      <c r="CP499" s="33"/>
      <c r="CQ499" s="33"/>
      <c r="CR499" s="33"/>
      <c r="CS499" s="33"/>
    </row>
    <row r="500" spans="2:97" ht="12.95" customHeight="1">
      <c r="B500" s="1261"/>
      <c r="C500" s="1262"/>
      <c r="D500" s="1262"/>
      <c r="E500" s="1262"/>
      <c r="F500" s="1262"/>
      <c r="G500" s="1262"/>
      <c r="H500" s="1263"/>
      <c r="I500" s="33" t="s">
        <v>1316</v>
      </c>
      <c r="AC500" s="1205">
        <v>9</v>
      </c>
      <c r="AD500" s="1206"/>
      <c r="AE500" s="1206"/>
      <c r="AF500" s="1206"/>
      <c r="AG500" s="815" t="s">
        <v>1306</v>
      </c>
      <c r="AH500" s="1085">
        <v>2023</v>
      </c>
      <c r="AI500" s="1085"/>
      <c r="AJ500" s="1085"/>
      <c r="AK500" s="1086"/>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c r="CM500" s="33"/>
      <c r="CN500" s="33"/>
      <c r="CO500" s="33"/>
      <c r="CP500" s="33"/>
      <c r="CQ500" s="33"/>
      <c r="CR500" s="33"/>
      <c r="CS500" s="33"/>
    </row>
    <row r="501" spans="2:97" ht="12.95" customHeight="1">
      <c r="B501" s="1261"/>
      <c r="C501" s="1262"/>
      <c r="D501" s="1262"/>
      <c r="E501" s="1262"/>
      <c r="F501" s="1262"/>
      <c r="G501" s="1262"/>
      <c r="H501" s="1263"/>
      <c r="I501" s="301" t="s">
        <v>1233</v>
      </c>
      <c r="J501" s="39"/>
      <c r="K501" s="39"/>
      <c r="L501" s="1275" t="s">
        <v>1317</v>
      </c>
      <c r="M501" s="1220"/>
      <c r="N501" s="1220"/>
      <c r="O501" s="1220"/>
      <c r="P501" s="1220"/>
      <c r="Q501" s="1220"/>
      <c r="R501" s="1220"/>
      <c r="S501" s="1220"/>
      <c r="T501" s="1220"/>
      <c r="U501" s="1220"/>
      <c r="V501" s="1220"/>
      <c r="W501" s="1220"/>
      <c r="X501" s="1220"/>
      <c r="Y501" s="1220"/>
      <c r="Z501" s="1220"/>
      <c r="AA501" s="1220"/>
      <c r="AB501" s="1276"/>
      <c r="AC501" s="1203" t="s">
        <v>325</v>
      </c>
      <c r="AD501" s="1204"/>
      <c r="AE501" s="1204"/>
      <c r="AF501" s="1204"/>
      <c r="AG501" s="789" t="s">
        <v>1306</v>
      </c>
      <c r="AH501" s="1085"/>
      <c r="AI501" s="1085"/>
      <c r="AJ501" s="1085"/>
      <c r="AK501" s="1086"/>
      <c r="AM501" s="33"/>
      <c r="AN501" s="33"/>
      <c r="AO501" s="33"/>
      <c r="AP501" s="33"/>
      <c r="AQ501" s="33"/>
      <c r="AR501" s="33"/>
      <c r="AS501" s="33"/>
      <c r="AT501" s="33"/>
      <c r="AU501" s="33"/>
      <c r="AV501" s="33"/>
      <c r="AW501" s="33"/>
      <c r="AX501" s="33"/>
      <c r="AY501" s="33"/>
      <c r="AZ501" s="33"/>
      <c r="BA501" s="33"/>
      <c r="BB501" s="33"/>
      <c r="BC501" s="33"/>
      <c r="BD501" s="33"/>
      <c r="BE501" s="33"/>
      <c r="BF501" s="33"/>
      <c r="BG501" s="33"/>
      <c r="BH501" s="33"/>
      <c r="BI501" s="33"/>
      <c r="BJ501" s="33"/>
      <c r="BK501" s="33"/>
      <c r="BL501" s="33"/>
      <c r="BM501" s="33"/>
      <c r="BN501" s="33"/>
      <c r="BO501" s="33"/>
      <c r="BP501" s="33"/>
      <c r="BQ501" s="33"/>
      <c r="BR501" s="33"/>
      <c r="BS501" s="33"/>
      <c r="BT501" s="33"/>
      <c r="BU501" s="33"/>
      <c r="BV501" s="33"/>
      <c r="BW501" s="33"/>
      <c r="BX501" s="33"/>
      <c r="BY501" s="33"/>
      <c r="BZ501" s="33"/>
      <c r="CA501" s="33"/>
      <c r="CB501" s="33"/>
      <c r="CC501" s="33"/>
      <c r="CD501" s="33"/>
      <c r="CE501" s="33"/>
      <c r="CF501" s="33"/>
      <c r="CG501" s="33"/>
      <c r="CH501" s="33"/>
      <c r="CI501" s="33"/>
      <c r="CJ501" s="33"/>
      <c r="CK501" s="33"/>
      <c r="CL501" s="33"/>
      <c r="CM501" s="33"/>
      <c r="CN501" s="33"/>
      <c r="CO501" s="33"/>
      <c r="CP501" s="33"/>
      <c r="CQ501" s="33"/>
      <c r="CR501" s="33"/>
      <c r="CS501" s="33"/>
    </row>
    <row r="502" spans="2:97" ht="12.95" customHeight="1">
      <c r="B502" s="1261"/>
      <c r="C502" s="1262"/>
      <c r="D502" s="1262"/>
      <c r="E502" s="1262"/>
      <c r="F502" s="1262"/>
      <c r="G502" s="1262"/>
      <c r="H502" s="1263"/>
      <c r="I502" s="33" t="s">
        <v>1318</v>
      </c>
      <c r="AC502" s="1274" t="s">
        <v>712</v>
      </c>
      <c r="AD502" s="1274"/>
      <c r="AE502" s="1274"/>
      <c r="AF502" s="1274"/>
      <c r="AG502" s="815"/>
      <c r="AH502" s="990"/>
      <c r="AI502" s="990"/>
      <c r="AJ502" s="990"/>
      <c r="AK502" s="1208"/>
      <c r="AM502" s="33"/>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c r="CM502" s="33"/>
      <c r="CN502" s="33"/>
      <c r="CO502" s="33"/>
      <c r="CP502" s="33"/>
      <c r="CQ502" s="33"/>
      <c r="CR502" s="33"/>
      <c r="CS502" s="33"/>
    </row>
    <row r="503" spans="2:97" ht="12.95" customHeight="1">
      <c r="B503" s="1261"/>
      <c r="C503" s="1262"/>
      <c r="D503" s="1262"/>
      <c r="E503" s="1262"/>
      <c r="F503" s="1262"/>
      <c r="G503" s="1262"/>
      <c r="H503" s="1263"/>
      <c r="I503" t="s">
        <v>1319</v>
      </c>
      <c r="AC503" s="1205"/>
      <c r="AD503" s="1206"/>
      <c r="AE503" s="1206"/>
      <c r="AF503" s="1207"/>
      <c r="AG503" s="815"/>
      <c r="AH503" s="990"/>
      <c r="AI503" s="990"/>
      <c r="AJ503" s="990"/>
      <c r="AK503" s="1208"/>
      <c r="AM503" s="33"/>
      <c r="AN503" s="33"/>
      <c r="AO503" s="33"/>
      <c r="AP503" s="33"/>
      <c r="AQ503" s="33"/>
      <c r="AR503" s="33"/>
      <c r="AS503" s="33"/>
      <c r="AT503" s="33"/>
      <c r="AU503" s="33"/>
      <c r="AV503" s="33"/>
      <c r="AW503" s="33"/>
      <c r="AX503" s="33"/>
      <c r="AY503" s="33"/>
      <c r="AZ503" s="33"/>
      <c r="BA503" s="33"/>
      <c r="BB503" s="33"/>
      <c r="BC503" s="33"/>
      <c r="BD503" s="33"/>
      <c r="BE503" s="33"/>
      <c r="BF503" s="33"/>
      <c r="BG503" s="33"/>
      <c r="BH503" s="33"/>
      <c r="BI503" s="33"/>
      <c r="BJ503" s="33"/>
      <c r="BK503" s="33"/>
      <c r="BL503" s="33"/>
      <c r="BM503" s="33"/>
      <c r="BN503" s="33"/>
      <c r="BO503" s="33"/>
      <c r="BP503" s="33"/>
      <c r="BQ503" s="33"/>
      <c r="BR503" s="33"/>
      <c r="BS503" s="33"/>
      <c r="BT503" s="33"/>
      <c r="BU503" s="33"/>
      <c r="BV503" s="33"/>
      <c r="BW503" s="33"/>
      <c r="BX503" s="33"/>
      <c r="BY503" s="33"/>
      <c r="BZ503" s="33"/>
      <c r="CA503" s="33"/>
      <c r="CB503" s="33"/>
      <c r="CC503" s="33"/>
      <c r="CD503" s="33"/>
      <c r="CE503" s="33"/>
      <c r="CF503" s="33"/>
      <c r="CG503" s="33"/>
      <c r="CH503" s="33"/>
      <c r="CI503" s="33"/>
      <c r="CJ503" s="33"/>
      <c r="CK503" s="33"/>
      <c r="CL503" s="33"/>
      <c r="CM503" s="33"/>
      <c r="CN503" s="33"/>
      <c r="CO503" s="33"/>
      <c r="CP503" s="33"/>
      <c r="CQ503" s="33"/>
      <c r="CR503" s="33"/>
      <c r="CS503" s="33"/>
    </row>
    <row r="504" spans="2:97" ht="12.95" customHeight="1">
      <c r="B504" s="1261"/>
      <c r="C504" s="1262"/>
      <c r="D504" s="1262"/>
      <c r="E504" s="1262"/>
      <c r="F504" s="1262"/>
      <c r="G504" s="1262"/>
      <c r="H504" s="1263"/>
      <c r="I504" t="s">
        <v>1320</v>
      </c>
      <c r="AC504" s="792"/>
      <c r="AD504" s="793"/>
      <c r="AE504" s="793"/>
      <c r="AF504" s="794"/>
      <c r="AG504" s="815"/>
      <c r="AH504" s="781"/>
      <c r="AI504" s="781"/>
      <c r="AJ504" s="781"/>
      <c r="AK504" s="795"/>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c r="BM504" s="33"/>
      <c r="BN504" s="33"/>
      <c r="BO504" s="33"/>
      <c r="BP504" s="33"/>
      <c r="BQ504" s="33"/>
      <c r="BR504" s="33"/>
      <c r="BS504" s="33"/>
      <c r="BT504" s="33"/>
      <c r="BU504" s="33"/>
      <c r="BV504" s="33"/>
      <c r="BW504" s="33"/>
      <c r="BX504" s="33"/>
      <c r="BY504" s="33"/>
      <c r="BZ504" s="33"/>
      <c r="CA504" s="33"/>
      <c r="CB504" s="33"/>
      <c r="CC504" s="33"/>
      <c r="CD504" s="33"/>
      <c r="CE504" s="33"/>
      <c r="CF504" s="33"/>
      <c r="CG504" s="33"/>
      <c r="CH504" s="33"/>
      <c r="CI504" s="33"/>
      <c r="CJ504" s="33"/>
      <c r="CK504" s="33"/>
      <c r="CL504" s="33"/>
      <c r="CM504" s="33"/>
      <c r="CN504" s="33"/>
      <c r="CO504" s="33"/>
      <c r="CP504" s="33"/>
      <c r="CQ504" s="33"/>
      <c r="CR504" s="33"/>
      <c r="CS504" s="33"/>
    </row>
    <row r="505" spans="2:97" ht="12.95" customHeight="1">
      <c r="B505" s="1261"/>
      <c r="C505" s="1262"/>
      <c r="D505" s="1262"/>
      <c r="E505" s="1262"/>
      <c r="F505" s="1262"/>
      <c r="G505" s="1262"/>
      <c r="H505" s="1263"/>
      <c r="I505" s="646" t="s">
        <v>1321</v>
      </c>
      <c r="J505" s="39"/>
      <c r="K505" s="39"/>
      <c r="L505" s="39"/>
      <c r="M505" s="39"/>
      <c r="N505" s="39"/>
      <c r="O505" s="39"/>
      <c r="P505" s="39"/>
      <c r="Q505" s="39"/>
      <c r="R505" s="39"/>
      <c r="S505" s="39"/>
      <c r="T505" s="39"/>
      <c r="U505" s="39"/>
      <c r="V505" s="39"/>
      <c r="W505" s="39"/>
      <c r="X505" s="39"/>
      <c r="Y505" s="39"/>
      <c r="Z505" s="39"/>
      <c r="AA505" s="39"/>
      <c r="AB505" s="39"/>
      <c r="AC505" s="1305"/>
      <c r="AD505" s="1306"/>
      <c r="AE505" s="1306"/>
      <c r="AF505" s="1307"/>
      <c r="AG505" s="789"/>
      <c r="AH505" s="1284"/>
      <c r="AI505" s="1284"/>
      <c r="AJ505" s="1284"/>
      <c r="AK505" s="1285"/>
      <c r="AM505" s="3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c r="CM505" s="33"/>
      <c r="CN505" s="33"/>
      <c r="CO505" s="33"/>
      <c r="CP505" s="33"/>
      <c r="CQ505" s="33"/>
      <c r="CR505" s="33"/>
      <c r="CS505" s="33"/>
    </row>
    <row r="506" spans="2:97" ht="12.95" customHeight="1">
      <c r="B506" s="1258" t="s">
        <v>1322</v>
      </c>
      <c r="C506" s="1259"/>
      <c r="D506" s="1259"/>
      <c r="E506" s="1259"/>
      <c r="F506" s="1259"/>
      <c r="G506" s="1259"/>
      <c r="H506" s="1260"/>
      <c r="I506" s="6" t="s">
        <v>1323</v>
      </c>
      <c r="J506" s="6"/>
      <c r="K506" s="6"/>
      <c r="L506" s="6"/>
      <c r="M506" s="6"/>
      <c r="N506" s="6"/>
      <c r="O506" s="6"/>
      <c r="P506" s="6"/>
      <c r="Q506" s="6"/>
      <c r="R506" s="6"/>
      <c r="S506" s="6"/>
      <c r="T506" s="6"/>
      <c r="U506" s="6"/>
      <c r="V506" s="6"/>
      <c r="W506" s="6"/>
      <c r="AC506" s="1203" t="s">
        <v>325</v>
      </c>
      <c r="AD506" s="1204"/>
      <c r="AE506" s="1204"/>
      <c r="AF506" s="1204"/>
      <c r="AG506" s="815" t="s">
        <v>1306</v>
      </c>
      <c r="AH506" s="1085"/>
      <c r="AI506" s="1085"/>
      <c r="AJ506" s="1085"/>
      <c r="AK506" s="1086"/>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row>
    <row r="507" spans="2:97" ht="12.95" customHeight="1">
      <c r="B507" s="1261"/>
      <c r="C507" s="1262"/>
      <c r="D507" s="1262"/>
      <c r="E507" s="1262"/>
      <c r="F507" s="1262"/>
      <c r="G507" s="1262"/>
      <c r="H507" s="1263"/>
      <c r="I507" t="s">
        <v>1324</v>
      </c>
      <c r="AC507" s="1203" t="s">
        <v>325</v>
      </c>
      <c r="AD507" s="1204"/>
      <c r="AE507" s="1204"/>
      <c r="AF507" s="1204"/>
      <c r="AG507" s="815" t="s">
        <v>1306</v>
      </c>
      <c r="AH507" s="1085"/>
      <c r="AI507" s="1085"/>
      <c r="AJ507" s="1085"/>
      <c r="AK507" s="1086"/>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c r="CM507" s="33"/>
      <c r="CN507" s="33"/>
      <c r="CO507" s="33"/>
      <c r="CP507" s="33"/>
      <c r="CQ507" s="33"/>
      <c r="CR507" s="33"/>
      <c r="CS507" s="33"/>
    </row>
    <row r="508" spans="2:97" ht="12.95" customHeight="1">
      <c r="B508" s="1261"/>
      <c r="C508" s="1262"/>
      <c r="D508" s="1262"/>
      <c r="E508" s="1262"/>
      <c r="F508" s="1262"/>
      <c r="G508" s="1262"/>
      <c r="H508" s="1263"/>
      <c r="I508" s="39" t="s">
        <v>1325</v>
      </c>
      <c r="J508" s="39"/>
      <c r="K508" s="39"/>
      <c r="L508" s="39"/>
      <c r="M508" s="39"/>
      <c r="N508" s="39"/>
      <c r="O508" s="39"/>
      <c r="P508" s="39"/>
      <c r="Q508" s="39"/>
      <c r="R508" s="39"/>
      <c r="S508" s="39"/>
      <c r="T508" s="39"/>
      <c r="U508" s="39"/>
      <c r="V508" s="39"/>
      <c r="W508" s="39"/>
      <c r="X508" s="39"/>
      <c r="Y508" s="39"/>
      <c r="Z508" s="39"/>
      <c r="AA508" s="39"/>
      <c r="AB508" s="39"/>
      <c r="AC508" s="1203">
        <v>5</v>
      </c>
      <c r="AD508" s="1204"/>
      <c r="AE508" s="1204"/>
      <c r="AF508" s="1204"/>
      <c r="AG508" s="789" t="s">
        <v>1306</v>
      </c>
      <c r="AH508" s="1085">
        <v>2024</v>
      </c>
      <c r="AI508" s="1085"/>
      <c r="AJ508" s="1085"/>
      <c r="AK508" s="1086"/>
      <c r="AM508" s="33"/>
      <c r="AN508" s="33"/>
      <c r="AO508" s="33"/>
      <c r="AP508" s="33"/>
      <c r="AQ508" s="33"/>
      <c r="AR508" s="33"/>
      <c r="AS508" s="33"/>
      <c r="AT508" s="33"/>
      <c r="AU508" s="33"/>
      <c r="AV508" s="33"/>
      <c r="AW508" s="33"/>
      <c r="AX508" s="33"/>
      <c r="AY508" s="33"/>
      <c r="AZ508" s="33"/>
      <c r="BA508" s="33"/>
      <c r="BB508" s="33"/>
      <c r="BC508" s="33"/>
      <c r="BD508" s="33"/>
      <c r="BE508" s="33"/>
      <c r="BF508" s="33"/>
      <c r="BG508" s="33"/>
      <c r="BH508" s="33"/>
      <c r="BI508" s="33"/>
      <c r="BJ508" s="33"/>
      <c r="BK508" s="33"/>
      <c r="BL508" s="33"/>
      <c r="BM508" s="33"/>
      <c r="BN508" s="33"/>
      <c r="BO508" s="33"/>
      <c r="BP508" s="33"/>
      <c r="BQ508" s="33"/>
      <c r="BR508" s="33"/>
      <c r="BS508" s="33"/>
      <c r="BT508" s="33"/>
      <c r="BU508" s="33"/>
      <c r="BV508" s="33"/>
      <c r="BW508" s="33"/>
      <c r="BX508" s="33"/>
      <c r="BY508" s="33"/>
      <c r="BZ508" s="33"/>
      <c r="CA508" s="33"/>
      <c r="CB508" s="33"/>
      <c r="CC508" s="33"/>
      <c r="CD508" s="33"/>
      <c r="CE508" s="33"/>
      <c r="CF508" s="33"/>
      <c r="CG508" s="33"/>
      <c r="CH508" s="33"/>
      <c r="CI508" s="33"/>
      <c r="CJ508" s="33"/>
      <c r="CK508" s="33"/>
      <c r="CL508" s="33"/>
      <c r="CM508" s="33"/>
      <c r="CN508" s="33"/>
      <c r="CO508" s="33"/>
      <c r="CP508" s="33"/>
      <c r="CQ508" s="33"/>
      <c r="CR508" s="33"/>
      <c r="CS508" s="33"/>
    </row>
    <row r="509" spans="2:97" ht="12.95" customHeight="1">
      <c r="B509" s="1258" t="s">
        <v>1326</v>
      </c>
      <c r="C509" s="1259"/>
      <c r="D509" s="1259"/>
      <c r="E509" s="1259"/>
      <c r="F509" s="1259"/>
      <c r="G509" s="1259"/>
      <c r="H509" s="1260"/>
      <c r="I509" s="6" t="s">
        <v>1323</v>
      </c>
      <c r="J509" s="6"/>
      <c r="K509" s="6"/>
      <c r="L509" s="6"/>
      <c r="M509" s="6"/>
      <c r="N509" s="6"/>
      <c r="O509" s="6"/>
      <c r="P509" s="6"/>
      <c r="Q509" s="6"/>
      <c r="R509" s="6"/>
      <c r="S509" s="6"/>
      <c r="T509" s="6"/>
      <c r="U509" s="6"/>
      <c r="V509" s="6"/>
      <c r="W509" s="6"/>
      <c r="X509" s="6"/>
      <c r="Y509" s="6"/>
      <c r="Z509" s="6"/>
      <c r="AA509" s="6"/>
      <c r="AB509" s="6"/>
      <c r="AC509" s="1205" t="s">
        <v>325</v>
      </c>
      <c r="AD509" s="1206"/>
      <c r="AE509" s="1206"/>
      <c r="AF509" s="1206"/>
      <c r="AG509" s="786" t="s">
        <v>1306</v>
      </c>
      <c r="AH509" s="1085"/>
      <c r="AI509" s="1085"/>
      <c r="AJ509" s="1085"/>
      <c r="AK509" s="1086"/>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c r="BM509" s="33"/>
      <c r="BN509" s="33"/>
      <c r="BO509" s="33"/>
      <c r="BP509" s="33"/>
      <c r="BQ509" s="33"/>
      <c r="BR509" s="33"/>
      <c r="BS509" s="33"/>
      <c r="BT509" s="33"/>
      <c r="BU509" s="33"/>
      <c r="BV509" s="33"/>
      <c r="BW509" s="33"/>
      <c r="BX509" s="33"/>
      <c r="BY509" s="33"/>
      <c r="BZ509" s="33"/>
      <c r="CA509" s="33"/>
      <c r="CB509" s="33"/>
      <c r="CC509" s="33"/>
      <c r="CD509" s="33"/>
      <c r="CE509" s="33"/>
      <c r="CF509" s="33"/>
      <c r="CG509" s="33"/>
      <c r="CH509" s="33"/>
      <c r="CI509" s="33"/>
      <c r="CJ509" s="33"/>
      <c r="CK509" s="33"/>
      <c r="CL509" s="33"/>
      <c r="CM509" s="33"/>
      <c r="CN509" s="33"/>
      <c r="CO509" s="33"/>
      <c r="CP509" s="33"/>
      <c r="CQ509" s="33"/>
      <c r="CR509" s="33"/>
      <c r="CS509" s="33"/>
    </row>
    <row r="510" spans="2:97" ht="12.95" customHeight="1">
      <c r="B510" s="1261"/>
      <c r="C510" s="1262"/>
      <c r="D510" s="1262"/>
      <c r="E510" s="1262"/>
      <c r="F510" s="1262"/>
      <c r="G510" s="1262"/>
      <c r="H510" s="1263"/>
      <c r="I510" t="s">
        <v>1324</v>
      </c>
      <c r="AC510" s="1203" t="s">
        <v>325</v>
      </c>
      <c r="AD510" s="1204"/>
      <c r="AE510" s="1204"/>
      <c r="AF510" s="1204"/>
      <c r="AG510" s="815" t="s">
        <v>1306</v>
      </c>
      <c r="AH510" s="1085"/>
      <c r="AI510" s="1085"/>
      <c r="AJ510" s="1085"/>
      <c r="AK510" s="1086"/>
      <c r="AM510" s="33"/>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c r="CM510" s="33"/>
      <c r="CN510" s="33"/>
      <c r="CO510" s="33"/>
      <c r="CP510" s="33"/>
      <c r="CQ510" s="33"/>
      <c r="CR510" s="33"/>
      <c r="CS510" s="33"/>
    </row>
    <row r="511" spans="2:97" ht="12.95" customHeight="1">
      <c r="B511" s="1264"/>
      <c r="C511" s="1265"/>
      <c r="D511" s="1265"/>
      <c r="E511" s="1265"/>
      <c r="F511" s="1265"/>
      <c r="G511" s="1265"/>
      <c r="H511" s="1266"/>
      <c r="I511" s="39" t="s">
        <v>1325</v>
      </c>
      <c r="J511" s="39"/>
      <c r="K511" s="39"/>
      <c r="L511" s="39"/>
      <c r="M511" s="39"/>
      <c r="N511" s="39"/>
      <c r="O511" s="39"/>
      <c r="P511" s="39"/>
      <c r="Q511" s="39"/>
      <c r="R511" s="39"/>
      <c r="S511" s="39"/>
      <c r="T511" s="39"/>
      <c r="U511" s="39"/>
      <c r="V511" s="39"/>
      <c r="W511" s="39"/>
      <c r="X511" s="39"/>
      <c r="Y511" s="39"/>
      <c r="Z511" s="39"/>
      <c r="AA511" s="39"/>
      <c r="AB511" s="39"/>
      <c r="AC511" s="1203" t="s">
        <v>325</v>
      </c>
      <c r="AD511" s="1204"/>
      <c r="AE511" s="1204"/>
      <c r="AF511" s="1204"/>
      <c r="AG511" s="789" t="s">
        <v>1306</v>
      </c>
      <c r="AH511" s="1085"/>
      <c r="AI511" s="1085"/>
      <c r="AJ511" s="1085"/>
      <c r="AK511" s="1086"/>
      <c r="AM511" s="33"/>
      <c r="AN511" s="33"/>
      <c r="AO511" s="33"/>
      <c r="AP511" s="33"/>
      <c r="AQ511" s="33"/>
      <c r="AR511" s="33"/>
      <c r="AS511" s="33"/>
      <c r="AT511" s="33"/>
      <c r="AU511" s="33"/>
      <c r="AV511" s="33"/>
      <c r="AW511" s="33"/>
      <c r="AX511" s="33"/>
      <c r="AY511" s="33"/>
      <c r="AZ511" s="33"/>
      <c r="BA511" s="33"/>
      <c r="BB511" s="33"/>
      <c r="BC511" s="33"/>
      <c r="BD511" s="33"/>
      <c r="BE511" s="33"/>
      <c r="BF511" s="33"/>
      <c r="BG511" s="33"/>
      <c r="BH511" s="33"/>
      <c r="BI511" s="33"/>
      <c r="BJ511" s="33"/>
      <c r="BK511" s="33"/>
      <c r="BL511" s="33"/>
      <c r="BM511" s="33"/>
      <c r="BN511" s="33"/>
      <c r="BO511" s="33"/>
      <c r="BP511" s="33"/>
      <c r="BQ511" s="33"/>
      <c r="BR511" s="33"/>
      <c r="BS511" s="33"/>
      <c r="BT511" s="33"/>
      <c r="BU511" s="33"/>
      <c r="BV511" s="33"/>
      <c r="BW511" s="33"/>
      <c r="BX511" s="33"/>
      <c r="BY511" s="33"/>
      <c r="BZ511" s="33"/>
      <c r="CA511" s="33"/>
      <c r="CB511" s="33"/>
      <c r="CC511" s="33"/>
      <c r="CD511" s="33"/>
      <c r="CE511" s="33"/>
      <c r="CF511" s="33"/>
      <c r="CG511" s="33"/>
      <c r="CH511" s="33"/>
      <c r="CI511" s="33"/>
      <c r="CJ511" s="33"/>
      <c r="CK511" s="33"/>
      <c r="CL511" s="33"/>
      <c r="CM511" s="33"/>
      <c r="CN511" s="33"/>
      <c r="CO511" s="33"/>
      <c r="CP511" s="33"/>
      <c r="CQ511" s="33"/>
      <c r="CR511" s="33"/>
      <c r="CS511" s="33"/>
    </row>
    <row r="512" spans="2:97" ht="12.95" customHeight="1">
      <c r="B512" s="1258" t="s">
        <v>1327</v>
      </c>
      <c r="C512" s="1259"/>
      <c r="D512" s="1259"/>
      <c r="E512" s="1259"/>
      <c r="F512" s="1259"/>
      <c r="G512" s="1259"/>
      <c r="H512" s="1260"/>
      <c r="I512" s="5" t="s">
        <v>1328</v>
      </c>
      <c r="J512" s="6"/>
      <c r="K512" s="6"/>
      <c r="L512" s="6"/>
      <c r="M512" s="6"/>
      <c r="N512" s="6"/>
      <c r="O512" s="1275" t="s">
        <v>1329</v>
      </c>
      <c r="P512" s="1220"/>
      <c r="Q512" s="1220"/>
      <c r="R512" s="1220"/>
      <c r="S512" s="1220"/>
      <c r="T512" s="1220"/>
      <c r="U512" s="1220"/>
      <c r="V512" s="1220"/>
      <c r="W512" s="1220"/>
      <c r="X512" s="1220"/>
      <c r="Y512" s="1220"/>
      <c r="Z512" s="1220"/>
      <c r="AA512" s="1220"/>
      <c r="AB512" s="44"/>
      <c r="AC512" s="1205" t="s">
        <v>325</v>
      </c>
      <c r="AD512" s="1206"/>
      <c r="AE512" s="1206"/>
      <c r="AF512" s="1206"/>
      <c r="AG512" s="786" t="s">
        <v>1306</v>
      </c>
      <c r="AH512" s="1085"/>
      <c r="AI512" s="1085"/>
      <c r="AJ512" s="1085"/>
      <c r="AK512" s="1086"/>
      <c r="AM512" s="33"/>
      <c r="AN512" s="33"/>
      <c r="AO512" s="33"/>
      <c r="AP512" s="33"/>
      <c r="AQ512" s="33"/>
      <c r="AR512" s="33"/>
      <c r="AS512" s="33"/>
      <c r="AT512" s="33"/>
      <c r="AU512" s="33"/>
      <c r="AV512" s="33"/>
      <c r="AW512" s="33"/>
      <c r="AX512" s="33"/>
      <c r="AY512" s="33"/>
      <c r="AZ512" s="33"/>
      <c r="BA512" s="33"/>
      <c r="BB512" s="33"/>
      <c r="BC512" s="33"/>
      <c r="BD512" s="33"/>
      <c r="BE512" s="33"/>
      <c r="BF512" s="33"/>
      <c r="BG512" s="33"/>
      <c r="BH512" s="33"/>
      <c r="BI512" s="33"/>
      <c r="BJ512" s="33"/>
      <c r="BK512" s="33"/>
      <c r="BL512" s="33"/>
      <c r="BM512" s="33"/>
      <c r="BN512" s="33"/>
      <c r="BO512" s="33"/>
      <c r="BP512" s="33"/>
      <c r="BQ512" s="33"/>
      <c r="BR512" s="33"/>
      <c r="BS512" s="33"/>
      <c r="BT512" s="33"/>
      <c r="BU512" s="33"/>
      <c r="BV512" s="33"/>
      <c r="BW512" s="33"/>
      <c r="BX512" s="33"/>
      <c r="BY512" s="33"/>
      <c r="BZ512" s="33"/>
      <c r="CA512" s="33"/>
      <c r="CB512" s="33"/>
      <c r="CC512" s="33"/>
      <c r="CD512" s="33"/>
      <c r="CE512" s="33"/>
      <c r="CF512" s="33"/>
      <c r="CG512" s="33"/>
      <c r="CH512" s="33"/>
      <c r="CI512" s="33"/>
      <c r="CJ512" s="33"/>
      <c r="CK512" s="33"/>
      <c r="CL512" s="33"/>
      <c r="CM512" s="33"/>
      <c r="CN512" s="33"/>
      <c r="CO512" s="33"/>
      <c r="CP512" s="33"/>
      <c r="CQ512" s="33"/>
      <c r="CR512" s="33"/>
      <c r="CS512" s="33"/>
    </row>
    <row r="513" spans="2:97" ht="12.95" customHeight="1">
      <c r="B513" s="1261"/>
      <c r="C513" s="1262"/>
      <c r="D513" s="1262"/>
      <c r="E513" s="1262"/>
      <c r="F513" s="1262"/>
      <c r="G513" s="1262"/>
      <c r="H513" s="1263"/>
      <c r="I513" s="146" t="s">
        <v>38</v>
      </c>
      <c r="AB513" s="47"/>
      <c r="AC513" s="1203" t="s">
        <v>325</v>
      </c>
      <c r="AD513" s="1204"/>
      <c r="AE513" s="1204"/>
      <c r="AF513" s="1204"/>
      <c r="AG513" s="815" t="s">
        <v>1306</v>
      </c>
      <c r="AH513" s="1085"/>
      <c r="AI513" s="1085"/>
      <c r="AJ513" s="1085"/>
      <c r="AK513" s="1086"/>
      <c r="AM513" s="33"/>
      <c r="AN513" s="33"/>
      <c r="AO513" s="33"/>
      <c r="AP513" s="33"/>
      <c r="AQ513" s="33"/>
      <c r="AR513" s="33"/>
      <c r="AS513" s="33"/>
      <c r="AT513" s="33"/>
      <c r="AU513" s="33"/>
      <c r="AV513" s="33"/>
      <c r="AW513" s="33"/>
      <c r="AX513" s="33"/>
      <c r="AY513" s="33"/>
      <c r="AZ513" s="33"/>
      <c r="BA513" s="33"/>
      <c r="BB513" s="33"/>
      <c r="BC513" s="33"/>
      <c r="BD513" s="33"/>
      <c r="BE513" s="33"/>
      <c r="BF513" s="33"/>
      <c r="BG513" s="33"/>
      <c r="BH513" s="33"/>
      <c r="BI513" s="33"/>
      <c r="BJ513" s="33"/>
      <c r="BK513" s="33"/>
      <c r="BL513" s="33"/>
      <c r="BM513" s="33"/>
      <c r="BN513" s="33"/>
      <c r="BO513" s="33"/>
      <c r="BP513" s="33"/>
      <c r="BQ513" s="33"/>
      <c r="BR513" s="33"/>
      <c r="BS513" s="33"/>
      <c r="BT513" s="33"/>
      <c r="BU513" s="33"/>
      <c r="BV513" s="33"/>
      <c r="BW513" s="33"/>
      <c r="BX513" s="33"/>
      <c r="BY513" s="33"/>
      <c r="BZ513" s="33"/>
      <c r="CA513" s="33"/>
      <c r="CB513" s="33"/>
      <c r="CC513" s="33"/>
      <c r="CD513" s="33"/>
      <c r="CE513" s="33"/>
      <c r="CF513" s="33"/>
      <c r="CG513" s="33"/>
      <c r="CH513" s="33"/>
      <c r="CI513" s="33"/>
      <c r="CJ513" s="33"/>
      <c r="CK513" s="33"/>
      <c r="CL513" s="33"/>
      <c r="CM513" s="33"/>
      <c r="CN513" s="33"/>
      <c r="CO513" s="33"/>
      <c r="CP513" s="33"/>
      <c r="CQ513" s="33"/>
      <c r="CR513" s="33"/>
      <c r="CS513" s="33"/>
    </row>
    <row r="514" spans="2:97" ht="12.95" customHeight="1">
      <c r="B514" s="1261"/>
      <c r="C514" s="1262"/>
      <c r="D514" s="1262"/>
      <c r="E514" s="1262"/>
      <c r="F514" s="1262"/>
      <c r="G514" s="1262"/>
      <c r="H514" s="1263"/>
      <c r="I514" s="38" t="s">
        <v>1330</v>
      </c>
      <c r="J514" s="39"/>
      <c r="K514" s="39"/>
      <c r="L514" s="39"/>
      <c r="M514" s="39"/>
      <c r="N514" s="39"/>
      <c r="O514" s="39"/>
      <c r="P514" s="39"/>
      <c r="Q514" s="39"/>
      <c r="R514" s="39"/>
      <c r="S514" s="39"/>
      <c r="T514" s="39"/>
      <c r="U514" s="39"/>
      <c r="V514" s="39"/>
      <c r="W514" s="39"/>
      <c r="X514" s="39"/>
      <c r="Y514" s="39"/>
      <c r="Z514" s="39"/>
      <c r="AA514" s="39"/>
      <c r="AB514" s="40"/>
      <c r="AC514" s="1203">
        <v>6</v>
      </c>
      <c r="AD514" s="1204"/>
      <c r="AE514" s="1204"/>
      <c r="AF514" s="1204"/>
      <c r="AG514" s="789" t="s">
        <v>1306</v>
      </c>
      <c r="AH514" s="1085">
        <v>2022</v>
      </c>
      <c r="AI514" s="1085"/>
      <c r="AJ514" s="1085"/>
      <c r="AK514" s="1086"/>
      <c r="AM514" s="33"/>
      <c r="AN514" s="33"/>
      <c r="AO514" s="33"/>
      <c r="AP514" s="33"/>
      <c r="AQ514" s="33"/>
      <c r="AR514" s="33"/>
      <c r="AS514" s="33"/>
      <c r="AT514" s="33"/>
      <c r="AU514" s="33"/>
      <c r="AV514" s="33"/>
      <c r="AW514" s="33"/>
      <c r="AX514" s="33"/>
      <c r="AY514" s="33"/>
      <c r="AZ514" s="33" t="s">
        <v>1225</v>
      </c>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c r="BZ514" s="33"/>
      <c r="CA514" s="33"/>
      <c r="CB514" s="33"/>
      <c r="CC514" s="33"/>
      <c r="CD514" s="33"/>
      <c r="CE514" s="33"/>
      <c r="CF514" s="33"/>
      <c r="CG514" s="33"/>
      <c r="CH514" s="33"/>
      <c r="CI514" s="33"/>
      <c r="CJ514" s="33"/>
      <c r="CK514" s="33"/>
      <c r="CL514" s="33"/>
      <c r="CM514" s="33"/>
      <c r="CN514" s="33"/>
      <c r="CO514" s="33"/>
      <c r="CP514" s="33"/>
      <c r="CQ514" s="33"/>
      <c r="CR514" s="33"/>
      <c r="CS514" s="33"/>
    </row>
    <row r="515" spans="2:97" ht="12.95" customHeight="1">
      <c r="B515" s="1261"/>
      <c r="C515" s="1262"/>
      <c r="D515" s="1262"/>
      <c r="E515" s="1262"/>
      <c r="F515" s="1262"/>
      <c r="G515" s="1262"/>
      <c r="H515" s="1263"/>
      <c r="I515" s="6" t="s">
        <v>1331</v>
      </c>
      <c r="J515" s="6"/>
      <c r="K515" s="6"/>
      <c r="L515" s="6"/>
      <c r="M515" s="6"/>
      <c r="N515" s="6"/>
      <c r="O515" s="1275" t="s">
        <v>1332</v>
      </c>
      <c r="P515" s="1220"/>
      <c r="Q515" s="1220"/>
      <c r="R515" s="1220"/>
      <c r="S515" s="1220"/>
      <c r="T515" s="1220"/>
      <c r="U515" s="1220"/>
      <c r="V515" s="1220"/>
      <c r="W515" s="1220"/>
      <c r="X515" s="1220"/>
      <c r="Y515" s="1220"/>
      <c r="Z515" s="1220"/>
      <c r="AA515" s="1220"/>
      <c r="AC515" s="1203" t="s">
        <v>325</v>
      </c>
      <c r="AD515" s="1204"/>
      <c r="AE515" s="1204"/>
      <c r="AF515" s="1204"/>
      <c r="AG515" s="815" t="s">
        <v>1306</v>
      </c>
      <c r="AH515" s="1085"/>
      <c r="AI515" s="1085"/>
      <c r="AJ515" s="1085"/>
      <c r="AK515" s="1086"/>
      <c r="AM515" s="33"/>
      <c r="AN515" s="33"/>
      <c r="AO515" s="33"/>
      <c r="AP515" s="33"/>
      <c r="AQ515" s="33"/>
      <c r="AR515" s="33"/>
      <c r="AS515" s="33"/>
      <c r="AT515" s="33"/>
      <c r="AU515" s="33"/>
      <c r="AV515" s="33"/>
      <c r="AW515" s="33"/>
      <c r="AX515" s="33"/>
      <c r="AY515" s="33"/>
      <c r="AZ515" s="33" t="s">
        <v>1333</v>
      </c>
      <c r="BA515" s="33"/>
      <c r="BB515" s="33"/>
      <c r="BC515" s="33"/>
      <c r="BD515" s="33"/>
      <c r="BE515" s="33"/>
      <c r="BF515" s="33"/>
      <c r="BG515" s="33"/>
      <c r="BH515" s="33"/>
      <c r="BI515" s="33"/>
      <c r="BJ515" s="33"/>
      <c r="BK515" s="33"/>
      <c r="BL515" s="33"/>
      <c r="BM515" s="33"/>
      <c r="BN515" s="33"/>
      <c r="BO515" s="33"/>
      <c r="BP515" s="33"/>
      <c r="BQ515" s="33"/>
      <c r="BR515" s="33"/>
      <c r="BS515" s="33"/>
      <c r="BT515" s="33"/>
      <c r="BU515" s="33"/>
      <c r="BV515" s="33"/>
      <c r="BW515" s="33"/>
      <c r="BX515" s="33"/>
      <c r="BY515" s="33"/>
      <c r="BZ515" s="33"/>
      <c r="CA515" s="33"/>
      <c r="CB515" s="33"/>
      <c r="CC515" s="33"/>
      <c r="CD515" s="33"/>
      <c r="CE515" s="33"/>
      <c r="CF515" s="33"/>
      <c r="CG515" s="33"/>
      <c r="CH515" s="33"/>
      <c r="CI515" s="33"/>
      <c r="CJ515" s="33"/>
      <c r="CK515" s="33"/>
      <c r="CL515" s="33"/>
      <c r="CM515" s="33"/>
      <c r="CN515" s="33"/>
      <c r="CO515" s="33"/>
      <c r="CP515" s="33"/>
      <c r="CQ515" s="33"/>
      <c r="CR515" s="33"/>
      <c r="CS515" s="33"/>
    </row>
    <row r="516" spans="2:97" ht="12.95" customHeight="1">
      <c r="B516" s="1261"/>
      <c r="C516" s="1262"/>
      <c r="D516" s="1262"/>
      <c r="E516" s="1262"/>
      <c r="F516" s="1262"/>
      <c r="G516" s="1262"/>
      <c r="H516" s="1263"/>
      <c r="I516" t="s">
        <v>38</v>
      </c>
      <c r="AC516" s="1203" t="s">
        <v>325</v>
      </c>
      <c r="AD516" s="1204"/>
      <c r="AE516" s="1204"/>
      <c r="AF516" s="1204"/>
      <c r="AG516" s="815" t="s">
        <v>1306</v>
      </c>
      <c r="AH516" s="1085"/>
      <c r="AI516" s="1085"/>
      <c r="AJ516" s="1085"/>
      <c r="AK516" s="1086"/>
      <c r="AM516" s="33"/>
      <c r="AN516" s="33"/>
      <c r="AO516" s="33"/>
      <c r="AP516" s="33"/>
      <c r="AQ516" s="33"/>
      <c r="AR516" s="33"/>
      <c r="AS516" s="33"/>
      <c r="AT516" s="33"/>
      <c r="AU516" s="33"/>
      <c r="AV516" s="33"/>
      <c r="AW516" s="33"/>
      <c r="AX516" s="33"/>
      <c r="AY516" s="33"/>
      <c r="AZ516" s="33" t="s">
        <v>1334</v>
      </c>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row>
    <row r="517" spans="2:97" ht="12.95" customHeight="1">
      <c r="B517" s="1261"/>
      <c r="C517" s="1262"/>
      <c r="D517" s="1262"/>
      <c r="E517" s="1262"/>
      <c r="F517" s="1262"/>
      <c r="G517" s="1262"/>
      <c r="H517" s="1263"/>
      <c r="I517" s="39" t="s">
        <v>1330</v>
      </c>
      <c r="J517" s="39"/>
      <c r="K517" s="39"/>
      <c r="L517" s="39"/>
      <c r="M517" s="39"/>
      <c r="N517" s="39"/>
      <c r="O517" s="39"/>
      <c r="P517" s="39"/>
      <c r="Q517" s="39"/>
      <c r="R517" s="39"/>
      <c r="S517" s="39"/>
      <c r="T517" s="39"/>
      <c r="U517" s="39"/>
      <c r="V517" s="39"/>
      <c r="W517" s="39"/>
      <c r="X517" s="39"/>
      <c r="Y517" s="39"/>
      <c r="Z517" s="39"/>
      <c r="AA517" s="39"/>
      <c r="AB517" s="39"/>
      <c r="AC517" s="1203">
        <v>5</v>
      </c>
      <c r="AD517" s="1204"/>
      <c r="AE517" s="1204"/>
      <c r="AF517" s="1204"/>
      <c r="AG517" s="789" t="s">
        <v>1306</v>
      </c>
      <c r="AH517" s="1085">
        <v>2021</v>
      </c>
      <c r="AI517" s="1085"/>
      <c r="AJ517" s="1085"/>
      <c r="AK517" s="1086"/>
      <c r="AM517" s="33"/>
      <c r="AN517" s="33"/>
      <c r="AO517" s="33"/>
      <c r="AP517" s="33"/>
      <c r="AQ517" s="33"/>
      <c r="AR517" s="33"/>
      <c r="AS517" s="33"/>
      <c r="AT517" s="33"/>
      <c r="AU517" s="33"/>
      <c r="AV517" s="33"/>
      <c r="AW517" s="33"/>
      <c r="AX517" s="33"/>
      <c r="AY517" s="33"/>
      <c r="AZ517" s="33" t="s">
        <v>1335</v>
      </c>
      <c r="BA517" s="33"/>
      <c r="BB517" s="33"/>
      <c r="BC517" s="33"/>
      <c r="BD517" s="33"/>
      <c r="BE517" s="33"/>
      <c r="BF517" s="33"/>
      <c r="BG517" s="33"/>
      <c r="BH517" s="33"/>
      <c r="BI517" s="33"/>
      <c r="BJ517" s="33"/>
      <c r="BK517" s="33"/>
      <c r="BL517" s="33"/>
      <c r="BM517" s="33"/>
      <c r="BN517" s="33"/>
      <c r="BO517" s="33"/>
      <c r="BP517" s="33"/>
      <c r="BQ517" s="33"/>
      <c r="BR517" s="33"/>
      <c r="BS517" s="33"/>
      <c r="BT517" s="33"/>
      <c r="BU517" s="33"/>
      <c r="BV517" s="33"/>
      <c r="BW517" s="33"/>
      <c r="BX517" s="33"/>
      <c r="BY517" s="33"/>
      <c r="BZ517" s="33"/>
      <c r="CA517" s="33"/>
      <c r="CB517" s="33"/>
      <c r="CC517" s="33"/>
      <c r="CD517" s="33"/>
      <c r="CE517" s="33"/>
      <c r="CF517" s="33"/>
      <c r="CG517" s="33"/>
      <c r="CH517" s="33"/>
      <c r="CI517" s="33"/>
      <c r="CJ517" s="33"/>
      <c r="CK517" s="33"/>
      <c r="CL517" s="33"/>
      <c r="CM517" s="33"/>
      <c r="CN517" s="33"/>
      <c r="CO517" s="33"/>
      <c r="CP517" s="33"/>
      <c r="CQ517" s="33"/>
      <c r="CR517" s="33"/>
      <c r="CS517" s="33"/>
    </row>
    <row r="518" spans="2:97" ht="12.95" customHeight="1">
      <c r="B518" s="1261"/>
      <c r="C518" s="1262"/>
      <c r="D518" s="1262"/>
      <c r="E518" s="1262"/>
      <c r="F518" s="1262"/>
      <c r="G518" s="1262"/>
      <c r="H518" s="1263"/>
      <c r="I518" s="6" t="s">
        <v>1331</v>
      </c>
      <c r="J518" s="6"/>
      <c r="K518" s="6"/>
      <c r="L518" s="6"/>
      <c r="M518" s="6"/>
      <c r="N518" s="6"/>
      <c r="O518" s="1275" t="s">
        <v>1336</v>
      </c>
      <c r="P518" s="1220"/>
      <c r="Q518" s="1220"/>
      <c r="R518" s="1220"/>
      <c r="S518" s="1220"/>
      <c r="T518" s="1220"/>
      <c r="U518" s="1220"/>
      <c r="V518" s="1220"/>
      <c r="W518" s="1220"/>
      <c r="X518" s="1220"/>
      <c r="Y518" s="1220"/>
      <c r="Z518" s="1220"/>
      <c r="AA518" s="1220"/>
      <c r="AC518" s="1203" t="s">
        <v>325</v>
      </c>
      <c r="AD518" s="1204"/>
      <c r="AE518" s="1204"/>
      <c r="AF518" s="1204"/>
      <c r="AG518" s="815" t="s">
        <v>1306</v>
      </c>
      <c r="AH518" s="1085"/>
      <c r="AI518" s="1085"/>
      <c r="AJ518" s="1085"/>
      <c r="AK518" s="1086"/>
      <c r="AM518" s="33"/>
      <c r="AN518" s="33"/>
      <c r="AO518" s="33"/>
      <c r="AP518" s="33"/>
      <c r="AQ518" s="33"/>
      <c r="AR518" s="33"/>
      <c r="AS518" s="33"/>
      <c r="AT518" s="33"/>
      <c r="AU518" s="33"/>
      <c r="AV518" s="33"/>
      <c r="AW518" s="33"/>
      <c r="AX518" s="33"/>
      <c r="AY518" s="33"/>
      <c r="AZ518" s="33" t="s">
        <v>1337</v>
      </c>
      <c r="BA518" s="33"/>
      <c r="BB518" s="33"/>
      <c r="BC518" s="33"/>
      <c r="BD518" s="33"/>
      <c r="BE518" s="33"/>
      <c r="BF518" s="33"/>
      <c r="BG518" s="33"/>
      <c r="BH518" s="33"/>
      <c r="BI518" s="33"/>
      <c r="BJ518" s="33"/>
      <c r="BK518" s="33"/>
      <c r="BL518" s="33"/>
      <c r="BM518" s="33"/>
      <c r="BN518" s="33"/>
      <c r="BO518" s="33"/>
      <c r="BP518" s="33"/>
      <c r="BQ518" s="33"/>
      <c r="BR518" s="33"/>
      <c r="BS518" s="33"/>
      <c r="BT518" s="33"/>
      <c r="BU518" s="33"/>
      <c r="BV518" s="33"/>
      <c r="BW518" s="33"/>
      <c r="BX518" s="33"/>
      <c r="BY518" s="33"/>
      <c r="BZ518" s="33"/>
      <c r="CA518" s="33"/>
      <c r="CB518" s="33"/>
      <c r="CC518" s="33"/>
      <c r="CD518" s="33"/>
      <c r="CE518" s="33"/>
      <c r="CF518" s="33"/>
      <c r="CG518" s="33"/>
      <c r="CH518" s="33"/>
      <c r="CI518" s="33"/>
      <c r="CJ518" s="33"/>
      <c r="CK518" s="33"/>
      <c r="CL518" s="33"/>
      <c r="CM518" s="33"/>
      <c r="CN518" s="33"/>
      <c r="CO518" s="33"/>
      <c r="CP518" s="33"/>
      <c r="CQ518" s="33"/>
      <c r="CR518" s="33"/>
      <c r="CS518" s="33"/>
    </row>
    <row r="519" spans="2:97" ht="12.95" customHeight="1">
      <c r="B519" s="1261"/>
      <c r="C519" s="1262"/>
      <c r="D519" s="1262"/>
      <c r="E519" s="1262"/>
      <c r="F519" s="1262"/>
      <c r="G519" s="1262"/>
      <c r="H519" s="1263"/>
      <c r="I519" t="s">
        <v>38</v>
      </c>
      <c r="AC519" s="1203" t="s">
        <v>325</v>
      </c>
      <c r="AD519" s="1204"/>
      <c r="AE519" s="1204"/>
      <c r="AF519" s="1204"/>
      <c r="AG519" s="815" t="s">
        <v>1306</v>
      </c>
      <c r="AH519" s="1085"/>
      <c r="AI519" s="1085"/>
      <c r="AJ519" s="1085"/>
      <c r="AK519" s="1086"/>
      <c r="AM519" s="33"/>
      <c r="AN519" s="33"/>
      <c r="AO519" s="33"/>
      <c r="AP519" s="33"/>
      <c r="AQ519" s="33"/>
      <c r="AR519" s="33"/>
      <c r="AS519" s="33"/>
      <c r="AT519" s="33"/>
      <c r="AU519" s="33"/>
      <c r="AV519" s="33"/>
      <c r="AW519" s="33"/>
      <c r="AX519" s="33"/>
      <c r="AY519" s="33"/>
      <c r="AZ519" s="33" t="s">
        <v>1338</v>
      </c>
      <c r="BA519" s="33"/>
      <c r="BB519" s="33"/>
      <c r="BC519" s="33"/>
      <c r="BD519" s="33"/>
      <c r="BE519" s="33"/>
      <c r="BF519" s="33"/>
      <c r="BG519" s="33"/>
      <c r="BH519" s="33"/>
      <c r="BI519" s="33"/>
      <c r="BJ519" s="33"/>
      <c r="BK519" s="33"/>
      <c r="BL519" s="33"/>
      <c r="BM519" s="33"/>
      <c r="BN519" s="33"/>
      <c r="BO519" s="33"/>
      <c r="BP519" s="33"/>
      <c r="BQ519" s="33"/>
      <c r="BR519" s="33"/>
      <c r="BS519" s="33"/>
      <c r="BT519" s="33"/>
      <c r="BU519" s="33"/>
      <c r="BV519" s="33"/>
      <c r="BW519" s="33"/>
      <c r="BX519" s="33"/>
      <c r="BY519" s="33"/>
      <c r="BZ519" s="33"/>
      <c r="CA519" s="33"/>
      <c r="CB519" s="33"/>
      <c r="CC519" s="33"/>
      <c r="CD519" s="33"/>
      <c r="CE519" s="33"/>
      <c r="CF519" s="33"/>
      <c r="CG519" s="33"/>
      <c r="CH519" s="33"/>
      <c r="CI519" s="33"/>
      <c r="CJ519" s="33"/>
      <c r="CK519" s="33"/>
      <c r="CL519" s="33"/>
      <c r="CM519" s="33"/>
      <c r="CN519" s="33"/>
      <c r="CO519" s="33"/>
      <c r="CP519" s="33"/>
      <c r="CQ519" s="33"/>
      <c r="CR519" s="33"/>
      <c r="CS519" s="33"/>
    </row>
    <row r="520" spans="2:97" ht="12.95" customHeight="1">
      <c r="B520" s="1261"/>
      <c r="C520" s="1262"/>
      <c r="D520" s="1262"/>
      <c r="E520" s="1262"/>
      <c r="F520" s="1262"/>
      <c r="G520" s="1262"/>
      <c r="H520" s="1263"/>
      <c r="I520" s="39" t="s">
        <v>1330</v>
      </c>
      <c r="J520" s="39"/>
      <c r="K520" s="39"/>
      <c r="L520" s="39"/>
      <c r="M520" s="39"/>
      <c r="N520" s="39"/>
      <c r="O520" s="39"/>
      <c r="P520" s="39"/>
      <c r="Q520" s="39"/>
      <c r="R520" s="39"/>
      <c r="S520" s="39"/>
      <c r="T520" s="39"/>
      <c r="U520" s="39"/>
      <c r="V520" s="39"/>
      <c r="W520" s="39"/>
      <c r="X520" s="39"/>
      <c r="Y520" s="39"/>
      <c r="Z520" s="39"/>
      <c r="AA520" s="39"/>
      <c r="AB520" s="39"/>
      <c r="AC520" s="1203">
        <v>9</v>
      </c>
      <c r="AD520" s="1204"/>
      <c r="AE520" s="1204"/>
      <c r="AF520" s="1204"/>
      <c r="AG520" s="789" t="s">
        <v>1306</v>
      </c>
      <c r="AH520" s="1085">
        <v>2010</v>
      </c>
      <c r="AI520" s="1085"/>
      <c r="AJ520" s="1085"/>
      <c r="AK520" s="1086"/>
      <c r="AM520" s="33"/>
      <c r="AN520" s="33"/>
      <c r="AO520" s="33"/>
      <c r="AP520" s="33"/>
      <c r="AQ520" s="33"/>
      <c r="AR520" s="33"/>
      <c r="AS520" s="33"/>
      <c r="AT520" s="33"/>
      <c r="AU520" s="33"/>
      <c r="AV520" s="33"/>
      <c r="AW520" s="33"/>
      <c r="AX520" s="33"/>
      <c r="AY520" s="33"/>
      <c r="AZ520" s="33" t="s">
        <v>1339</v>
      </c>
      <c r="BA520" s="33"/>
      <c r="BB520" s="33"/>
      <c r="BC520" s="33"/>
      <c r="BD520" s="33"/>
      <c r="BE520" s="33"/>
      <c r="BF520" s="33"/>
      <c r="BG520" s="33"/>
      <c r="BH520" s="33"/>
      <c r="BI520" s="33"/>
      <c r="BJ520" s="33"/>
      <c r="BK520" s="33"/>
      <c r="BL520" s="33"/>
      <c r="BM520" s="33"/>
      <c r="BN520" s="33"/>
      <c r="BO520" s="33"/>
      <c r="BP520" s="33"/>
      <c r="BQ520" s="33"/>
      <c r="BR520" s="33"/>
      <c r="BS520" s="33"/>
      <c r="BT520" s="33"/>
      <c r="BU520" s="33"/>
      <c r="BV520" s="33"/>
      <c r="BW520" s="33"/>
      <c r="BX520" s="33"/>
      <c r="BY520" s="33"/>
      <c r="BZ520" s="33"/>
      <c r="CA520" s="33"/>
      <c r="CB520" s="33"/>
      <c r="CC520" s="33"/>
      <c r="CD520" s="33"/>
      <c r="CE520" s="33"/>
      <c r="CF520" s="33"/>
      <c r="CG520" s="33"/>
      <c r="CH520" s="33"/>
      <c r="CI520" s="33"/>
      <c r="CJ520" s="33"/>
      <c r="CK520" s="33"/>
      <c r="CL520" s="33"/>
      <c r="CM520" s="33"/>
      <c r="CN520" s="33"/>
      <c r="CO520" s="33"/>
      <c r="CP520" s="33"/>
      <c r="CQ520" s="33"/>
      <c r="CR520" s="33"/>
      <c r="CS520" s="33"/>
    </row>
    <row r="521" spans="2:97" ht="12.95" customHeight="1">
      <c r="B521" s="1261"/>
      <c r="C521" s="1262"/>
      <c r="D521" s="1262"/>
      <c r="E521" s="1262"/>
      <c r="F521" s="1262"/>
      <c r="G521" s="1262"/>
      <c r="H521" s="1263"/>
      <c r="I521" s="6" t="s">
        <v>1331</v>
      </c>
      <c r="J521" s="6"/>
      <c r="K521" s="6"/>
      <c r="L521" s="6"/>
      <c r="M521" s="6"/>
      <c r="N521" s="6"/>
      <c r="O521" s="1275" t="s">
        <v>1340</v>
      </c>
      <c r="P521" s="1220"/>
      <c r="Q521" s="1220"/>
      <c r="R521" s="1220"/>
      <c r="S521" s="1220"/>
      <c r="T521" s="1220"/>
      <c r="U521" s="1220"/>
      <c r="V521" s="1220"/>
      <c r="W521" s="1220"/>
      <c r="X521" s="1220"/>
      <c r="Y521" s="1220"/>
      <c r="Z521" s="1220"/>
      <c r="AA521" s="1220"/>
      <c r="AC521" s="1203" t="s">
        <v>325</v>
      </c>
      <c r="AD521" s="1204"/>
      <c r="AE521" s="1204"/>
      <c r="AF521" s="1204"/>
      <c r="AG521" s="815" t="s">
        <v>1306</v>
      </c>
      <c r="AH521" s="1085"/>
      <c r="AI521" s="1085"/>
      <c r="AJ521" s="1085"/>
      <c r="AK521" s="1086"/>
      <c r="AM521" s="33"/>
      <c r="AN521" s="33"/>
      <c r="AO521" s="33"/>
      <c r="AP521" s="33"/>
      <c r="AQ521" s="33"/>
      <c r="AR521" s="33"/>
      <c r="AS521" s="33"/>
      <c r="AT521" s="33"/>
      <c r="AU521" s="33"/>
      <c r="AV521" s="33"/>
      <c r="AW521" s="33"/>
      <c r="AX521" s="33"/>
      <c r="AY521" s="33"/>
      <c r="AZ521" s="33" t="s">
        <v>1341</v>
      </c>
      <c r="BA521" s="33"/>
      <c r="BB521" s="33"/>
      <c r="BC521" s="33"/>
      <c r="BD521" s="33"/>
      <c r="BE521" s="33"/>
      <c r="BF521" s="33"/>
      <c r="BG521" s="33"/>
      <c r="BH521" s="33"/>
      <c r="BI521" s="33"/>
      <c r="BJ521" s="33"/>
      <c r="BK521" s="33"/>
      <c r="BL521" s="33"/>
      <c r="BM521" s="33"/>
      <c r="BN521" s="33"/>
      <c r="BO521" s="33"/>
      <c r="BP521" s="33"/>
      <c r="BQ521" s="33"/>
      <c r="BR521" s="33"/>
      <c r="BS521" s="33"/>
      <c r="BT521" s="33"/>
      <c r="BU521" s="33"/>
      <c r="BV521" s="33"/>
      <c r="BW521" s="33"/>
      <c r="BX521" s="33"/>
      <c r="BY521" s="33"/>
      <c r="BZ521" s="33"/>
      <c r="CA521" s="33"/>
      <c r="CB521" s="33"/>
      <c r="CC521" s="33"/>
      <c r="CD521" s="33"/>
      <c r="CE521" s="33"/>
      <c r="CF521" s="33"/>
      <c r="CG521" s="33"/>
      <c r="CH521" s="33"/>
      <c r="CI521" s="33"/>
      <c r="CJ521" s="33"/>
      <c r="CK521" s="33"/>
      <c r="CL521" s="33"/>
      <c r="CM521" s="33"/>
      <c r="CN521" s="33"/>
      <c r="CO521" s="33"/>
      <c r="CP521" s="33"/>
      <c r="CQ521" s="33"/>
      <c r="CR521" s="33"/>
      <c r="CS521" s="33"/>
    </row>
    <row r="522" spans="2:97" ht="12.95" customHeight="1">
      <c r="B522" s="1261"/>
      <c r="C522" s="1262"/>
      <c r="D522" s="1262"/>
      <c r="E522" s="1262"/>
      <c r="F522" s="1262"/>
      <c r="G522" s="1262"/>
      <c r="H522" s="1263"/>
      <c r="I522" t="s">
        <v>38</v>
      </c>
      <c r="AC522" s="1203" t="s">
        <v>325</v>
      </c>
      <c r="AD522" s="1204"/>
      <c r="AE522" s="1204"/>
      <c r="AF522" s="1204"/>
      <c r="AG522" s="815" t="s">
        <v>1306</v>
      </c>
      <c r="AH522" s="1085"/>
      <c r="AI522" s="1085"/>
      <c r="AJ522" s="1085"/>
      <c r="AK522" s="1086"/>
      <c r="AM522" s="33"/>
      <c r="AN522" s="33"/>
      <c r="AO522" s="33"/>
      <c r="AP522" s="33"/>
      <c r="AQ522" s="33"/>
      <c r="AR522" s="33"/>
      <c r="AS522" s="33"/>
      <c r="AT522" s="33"/>
      <c r="AU522" s="33"/>
      <c r="AV522" s="33"/>
      <c r="AW522" s="33"/>
      <c r="AX522" s="33"/>
      <c r="AY522" s="33"/>
      <c r="AZ522" s="33" t="s">
        <v>1342</v>
      </c>
      <c r="BA522" s="33"/>
      <c r="BB522" s="33"/>
      <c r="BC522" s="33"/>
      <c r="BD522" s="33"/>
      <c r="BE522" s="33"/>
      <c r="BF522" s="33"/>
      <c r="BG522" s="33"/>
      <c r="BH522" s="33"/>
      <c r="BI522" s="33"/>
      <c r="BJ522" s="33"/>
      <c r="BK522" s="33"/>
      <c r="BL522" s="33"/>
      <c r="BM522" s="33"/>
      <c r="BN522" s="33"/>
      <c r="BO522" s="33"/>
      <c r="BP522" s="33"/>
      <c r="BQ522" s="33"/>
      <c r="BR522" s="33"/>
      <c r="BS522" s="33"/>
      <c r="BT522" s="33"/>
      <c r="BU522" s="33"/>
      <c r="BV522" s="33"/>
      <c r="BW522" s="33"/>
      <c r="BX522" s="33"/>
      <c r="BY522" s="33"/>
      <c r="BZ522" s="33"/>
      <c r="CA522" s="33"/>
      <c r="CB522" s="33"/>
      <c r="CC522" s="33"/>
      <c r="CD522" s="33"/>
      <c r="CE522" s="33"/>
      <c r="CF522" s="33"/>
      <c r="CG522" s="33"/>
      <c r="CH522" s="33"/>
      <c r="CI522" s="33"/>
      <c r="CJ522" s="33"/>
      <c r="CK522" s="33"/>
      <c r="CL522" s="33"/>
      <c r="CM522" s="33"/>
      <c r="CN522" s="33"/>
      <c r="CO522" s="33"/>
      <c r="CP522" s="33"/>
      <c r="CQ522" s="33"/>
      <c r="CR522" s="33"/>
      <c r="CS522" s="33"/>
    </row>
    <row r="523" spans="2:97" ht="12.95" customHeight="1">
      <c r="B523" s="1261"/>
      <c r="C523" s="1262"/>
      <c r="D523" s="1262"/>
      <c r="E523" s="1262"/>
      <c r="F523" s="1262"/>
      <c r="G523" s="1262"/>
      <c r="H523" s="1263"/>
      <c r="I523" s="39" t="s">
        <v>1330</v>
      </c>
      <c r="J523" s="39"/>
      <c r="K523" s="39"/>
      <c r="L523" s="39"/>
      <c r="M523" s="39"/>
      <c r="N523" s="39"/>
      <c r="O523" s="39"/>
      <c r="P523" s="39"/>
      <c r="Q523" s="39"/>
      <c r="R523" s="39"/>
      <c r="S523" s="39"/>
      <c r="T523" s="39"/>
      <c r="U523" s="39"/>
      <c r="V523" s="39"/>
      <c r="W523" s="39"/>
      <c r="X523" s="39"/>
      <c r="Y523" s="39"/>
      <c r="Z523" s="39"/>
      <c r="AA523" s="39"/>
      <c r="AB523" s="39"/>
      <c r="AC523" s="1203">
        <v>5</v>
      </c>
      <c r="AD523" s="1204"/>
      <c r="AE523" s="1204"/>
      <c r="AF523" s="1204"/>
      <c r="AG523" s="789" t="s">
        <v>1306</v>
      </c>
      <c r="AH523" s="1085">
        <v>2019</v>
      </c>
      <c r="AI523" s="1085"/>
      <c r="AJ523" s="1085"/>
      <c r="AK523" s="1086"/>
      <c r="AM523" s="33"/>
      <c r="AN523" s="33"/>
      <c r="AO523" s="33"/>
      <c r="AP523" s="33"/>
      <c r="AQ523" s="33"/>
      <c r="AR523" s="33"/>
      <c r="AS523" s="33"/>
      <c r="AT523" s="33"/>
      <c r="AU523" s="33"/>
      <c r="AV523" s="33"/>
      <c r="AW523" s="33"/>
      <c r="AX523" s="33"/>
      <c r="AY523" s="33"/>
      <c r="AZ523" s="33" t="s">
        <v>1343</v>
      </c>
      <c r="BA523" s="33"/>
      <c r="BB523" s="33"/>
      <c r="BC523" s="33"/>
      <c r="BD523" s="33"/>
      <c r="BE523" s="33"/>
      <c r="BF523" s="33"/>
      <c r="BG523" s="33"/>
      <c r="BH523" s="33"/>
      <c r="BI523" s="33"/>
      <c r="BJ523" s="33"/>
      <c r="BK523" s="33"/>
      <c r="BL523" s="33"/>
      <c r="BM523" s="33"/>
      <c r="BN523" s="33"/>
      <c r="BO523" s="33"/>
      <c r="BP523" s="33"/>
      <c r="BQ523" s="33"/>
      <c r="BR523" s="33"/>
      <c r="BS523" s="33"/>
      <c r="BT523" s="33"/>
      <c r="BU523" s="33"/>
      <c r="BV523" s="33"/>
      <c r="BW523" s="33"/>
      <c r="BX523" s="33"/>
      <c r="BY523" s="33"/>
      <c r="BZ523" s="33"/>
      <c r="CA523" s="33"/>
      <c r="CB523" s="33"/>
      <c r="CC523" s="33"/>
      <c r="CD523" s="33"/>
      <c r="CE523" s="33"/>
      <c r="CF523" s="33"/>
      <c r="CG523" s="33"/>
      <c r="CH523" s="33"/>
      <c r="CI523" s="33"/>
      <c r="CJ523" s="33"/>
      <c r="CK523" s="33"/>
      <c r="CL523" s="33"/>
      <c r="CM523" s="33"/>
      <c r="CN523" s="33"/>
      <c r="CO523" s="33"/>
      <c r="CP523" s="33"/>
      <c r="CQ523" s="33"/>
      <c r="CR523" s="33"/>
      <c r="CS523" s="33"/>
    </row>
    <row r="524" spans="2:97" ht="12.95" customHeight="1">
      <c r="B524" s="1261"/>
      <c r="C524" s="1262"/>
      <c r="D524" s="1262"/>
      <c r="E524" s="1262"/>
      <c r="F524" s="1262"/>
      <c r="G524" s="1262"/>
      <c r="H524" s="1263"/>
      <c r="I524" s="6" t="s">
        <v>1331</v>
      </c>
      <c r="J524" s="6"/>
      <c r="K524" s="6"/>
      <c r="L524" s="6"/>
      <c r="M524" s="6"/>
      <c r="N524" s="6"/>
      <c r="O524" s="1275" t="s">
        <v>1344</v>
      </c>
      <c r="P524" s="1220"/>
      <c r="Q524" s="1220"/>
      <c r="R524" s="1220"/>
      <c r="S524" s="1220"/>
      <c r="T524" s="1220"/>
      <c r="U524" s="1220"/>
      <c r="V524" s="1220"/>
      <c r="W524" s="1220"/>
      <c r="X524" s="1220"/>
      <c r="Y524" s="1220"/>
      <c r="Z524" s="1220"/>
      <c r="AA524" s="1220"/>
      <c r="AC524" s="1203" t="s">
        <v>325</v>
      </c>
      <c r="AD524" s="1204"/>
      <c r="AE524" s="1204"/>
      <c r="AF524" s="1204"/>
      <c r="AG524" s="815" t="s">
        <v>1306</v>
      </c>
      <c r="AH524" s="1085"/>
      <c r="AI524" s="1085"/>
      <c r="AJ524" s="1085"/>
      <c r="AK524" s="1086"/>
      <c r="AM524" s="33"/>
      <c r="AN524" s="33"/>
      <c r="AO524" s="33"/>
      <c r="AP524" s="33"/>
      <c r="AQ524" s="33"/>
      <c r="AR524" s="33"/>
      <c r="AS524" s="33"/>
      <c r="AT524" s="33"/>
      <c r="AU524" s="33"/>
      <c r="AV524" s="33"/>
      <c r="AW524" s="33"/>
      <c r="AX524" s="33"/>
      <c r="AY524" s="33"/>
      <c r="AZ524" s="33" t="s">
        <v>1345</v>
      </c>
      <c r="BA524" s="33"/>
      <c r="BB524" s="33"/>
      <c r="BC524" s="33"/>
      <c r="BD524" s="33"/>
      <c r="BE524" s="33"/>
      <c r="BF524" s="33"/>
      <c r="BG524" s="33"/>
      <c r="BH524" s="33"/>
      <c r="BI524" s="33"/>
      <c r="BJ524" s="33"/>
      <c r="BK524" s="33"/>
      <c r="BL524" s="33"/>
      <c r="BM524" s="33"/>
      <c r="BN524" s="33"/>
      <c r="BO524" s="33"/>
      <c r="BP524" s="33"/>
      <c r="BQ524" s="33"/>
      <c r="BR524" s="33"/>
      <c r="BS524" s="33"/>
      <c r="BT524" s="33"/>
      <c r="BU524" s="33"/>
      <c r="BV524" s="33"/>
      <c r="BW524" s="33"/>
      <c r="BX524" s="33"/>
      <c r="BY524" s="33"/>
      <c r="BZ524" s="33"/>
      <c r="CA524" s="33"/>
      <c r="CB524" s="33"/>
      <c r="CC524" s="33"/>
      <c r="CD524" s="33"/>
      <c r="CE524" s="33"/>
      <c r="CF524" s="33"/>
      <c r="CG524" s="33"/>
      <c r="CH524" s="33"/>
      <c r="CI524" s="33"/>
      <c r="CJ524" s="33"/>
      <c r="CK524" s="33"/>
      <c r="CL524" s="33"/>
      <c r="CM524" s="33"/>
      <c r="CN524" s="33"/>
      <c r="CO524" s="33"/>
      <c r="CP524" s="33"/>
      <c r="CQ524" s="33"/>
      <c r="CR524" s="33"/>
      <c r="CS524" s="33"/>
    </row>
    <row r="525" spans="2:97" ht="12.95" customHeight="1">
      <c r="B525" s="1261"/>
      <c r="C525" s="1262"/>
      <c r="D525" s="1262"/>
      <c r="E525" s="1262"/>
      <c r="F525" s="1262"/>
      <c r="G525" s="1262"/>
      <c r="H525" s="1263"/>
      <c r="I525" t="s">
        <v>38</v>
      </c>
      <c r="AC525" s="1203" t="s">
        <v>325</v>
      </c>
      <c r="AD525" s="1204"/>
      <c r="AE525" s="1204"/>
      <c r="AF525" s="1204"/>
      <c r="AG525" s="789" t="s">
        <v>1306</v>
      </c>
      <c r="AH525" s="1085"/>
      <c r="AI525" s="1085"/>
      <c r="AJ525" s="1085"/>
      <c r="AK525" s="1086"/>
      <c r="AM525" s="33"/>
      <c r="AN525" s="33"/>
      <c r="AO525" s="33"/>
      <c r="AP525" s="33"/>
      <c r="AQ525" s="33"/>
      <c r="AR525" s="33"/>
      <c r="AS525" s="33"/>
      <c r="AT525" s="33"/>
      <c r="AU525" s="33"/>
      <c r="AV525" s="33"/>
      <c r="AW525" s="33"/>
      <c r="AX525" s="33"/>
      <c r="AY525" s="33"/>
      <c r="AZ525" s="33" t="s">
        <v>1346</v>
      </c>
      <c r="BA525" s="33"/>
      <c r="BB525" s="33"/>
      <c r="BC525" s="33"/>
      <c r="BD525" s="33"/>
      <c r="BE525" s="33"/>
      <c r="BF525" s="33"/>
      <c r="BG525" s="33"/>
      <c r="BH525" s="33"/>
      <c r="BI525" s="33"/>
      <c r="BJ525" s="33"/>
      <c r="BK525" s="33"/>
      <c r="BL525" s="33"/>
      <c r="BM525" s="33"/>
      <c r="BN525" s="33"/>
      <c r="BO525" s="33"/>
      <c r="BP525" s="33"/>
      <c r="BQ525" s="33"/>
      <c r="BR525" s="33"/>
      <c r="BS525" s="33"/>
      <c r="BT525" s="33"/>
      <c r="BU525" s="33"/>
      <c r="BV525" s="33"/>
      <c r="BW525" s="33"/>
      <c r="BX525" s="33"/>
      <c r="BY525" s="33"/>
      <c r="BZ525" s="33"/>
      <c r="CA525" s="33"/>
      <c r="CB525" s="33"/>
      <c r="CC525" s="33"/>
      <c r="CD525" s="33"/>
      <c r="CE525" s="33"/>
      <c r="CF525" s="33"/>
      <c r="CG525" s="33"/>
      <c r="CH525" s="33"/>
      <c r="CI525" s="33"/>
      <c r="CJ525" s="33"/>
      <c r="CK525" s="33"/>
      <c r="CL525" s="33"/>
      <c r="CM525" s="33"/>
      <c r="CN525" s="33"/>
      <c r="CO525" s="33"/>
      <c r="CP525" s="33"/>
      <c r="CQ525" s="33"/>
      <c r="CR525" s="33"/>
      <c r="CS525" s="33"/>
    </row>
    <row r="526" spans="2:97" ht="12.95" customHeight="1">
      <c r="B526" s="1261"/>
      <c r="C526" s="1262"/>
      <c r="D526" s="1262"/>
      <c r="E526" s="1262"/>
      <c r="F526" s="1262"/>
      <c r="G526" s="1262"/>
      <c r="H526" s="1263"/>
      <c r="I526" s="39" t="s">
        <v>1330</v>
      </c>
      <c r="J526" s="39"/>
      <c r="K526" s="39"/>
      <c r="L526" s="39"/>
      <c r="M526" s="39"/>
      <c r="N526" s="39"/>
      <c r="O526" s="39"/>
      <c r="P526" s="39"/>
      <c r="Q526" s="39"/>
      <c r="R526" s="39"/>
      <c r="S526" s="39"/>
      <c r="T526" s="39"/>
      <c r="U526" s="39"/>
      <c r="V526" s="39"/>
      <c r="W526" s="39"/>
      <c r="X526" s="39"/>
      <c r="Y526" s="39"/>
      <c r="Z526" s="39"/>
      <c r="AA526" s="39"/>
      <c r="AB526" s="39"/>
      <c r="AC526" s="1203">
        <v>6</v>
      </c>
      <c r="AD526" s="1204"/>
      <c r="AE526" s="1204"/>
      <c r="AF526" s="1204"/>
      <c r="AG526" s="815" t="s">
        <v>1306</v>
      </c>
      <c r="AH526" s="1085">
        <v>2022</v>
      </c>
      <c r="AI526" s="1085"/>
      <c r="AJ526" s="1085"/>
      <c r="AK526" s="1086"/>
      <c r="AM526" s="33"/>
      <c r="AN526" s="33"/>
      <c r="AO526" s="33"/>
      <c r="AP526" s="33"/>
      <c r="AQ526" s="33"/>
      <c r="AR526" s="33"/>
      <c r="AS526" s="33"/>
      <c r="AT526" s="33"/>
      <c r="AU526" s="33"/>
      <c r="AV526" s="33"/>
      <c r="AW526" s="33"/>
      <c r="AX526" s="33"/>
      <c r="AY526" s="33"/>
      <c r="AZ526" s="33" t="s">
        <v>1347</v>
      </c>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row>
    <row r="527" spans="2:97" ht="12.95" customHeight="1">
      <c r="B527" s="1261"/>
      <c r="C527" s="1262"/>
      <c r="D527" s="1262"/>
      <c r="E527" s="1262"/>
      <c r="F527" s="1262"/>
      <c r="G527" s="1262"/>
      <c r="H527" s="1263"/>
      <c r="I527" s="6" t="s">
        <v>1331</v>
      </c>
      <c r="J527" s="6"/>
      <c r="K527" s="6"/>
      <c r="L527" s="6"/>
      <c r="M527" s="6"/>
      <c r="N527" s="6"/>
      <c r="O527" s="1275" t="s">
        <v>1317</v>
      </c>
      <c r="P527" s="1220"/>
      <c r="Q527" s="1220"/>
      <c r="R527" s="1220"/>
      <c r="S527" s="1220"/>
      <c r="T527" s="1220"/>
      <c r="U527" s="1220"/>
      <c r="V527" s="1220"/>
      <c r="W527" s="1220"/>
      <c r="X527" s="1220"/>
      <c r="Y527" s="1220"/>
      <c r="Z527" s="1220"/>
      <c r="AA527" s="1220"/>
      <c r="AC527" s="1203" t="s">
        <v>325</v>
      </c>
      <c r="AD527" s="1204"/>
      <c r="AE527" s="1204"/>
      <c r="AF527" s="1204"/>
      <c r="AG527" s="789" t="s">
        <v>1306</v>
      </c>
      <c r="AH527" s="1085"/>
      <c r="AI527" s="1085"/>
      <c r="AJ527" s="1085"/>
      <c r="AK527" s="1086"/>
      <c r="AM527" s="33"/>
      <c r="AN527" s="33"/>
      <c r="AO527" s="33"/>
      <c r="AP527" s="33"/>
      <c r="AQ527" s="33"/>
      <c r="AR527" s="33"/>
      <c r="AS527" s="33"/>
      <c r="AT527" s="33"/>
      <c r="AU527" s="33"/>
      <c r="AV527" s="33"/>
      <c r="AW527" s="33"/>
      <c r="AX527" s="33"/>
      <c r="AY527" s="33"/>
      <c r="AZ527" s="33" t="s">
        <v>1348</v>
      </c>
      <c r="BA527" s="33"/>
      <c r="BB527" s="33"/>
      <c r="BC527" s="33"/>
      <c r="BD527" s="33"/>
      <c r="BE527" s="33"/>
      <c r="BF527" s="33"/>
      <c r="BG527" s="33"/>
      <c r="BH527" s="33"/>
      <c r="BI527" s="33"/>
      <c r="BJ527" s="33"/>
      <c r="BK527" s="33"/>
      <c r="BL527" s="33"/>
      <c r="BM527" s="33"/>
      <c r="BN527" s="33"/>
      <c r="BO527" s="33"/>
      <c r="BP527" s="33"/>
      <c r="BQ527" s="33"/>
      <c r="BR527" s="33"/>
      <c r="BS527" s="33"/>
      <c r="BT527" s="33"/>
      <c r="BU527" s="33"/>
      <c r="BV527" s="33"/>
      <c r="BW527" s="33"/>
      <c r="BX527" s="33"/>
      <c r="BY527" s="33"/>
      <c r="BZ527" s="33"/>
      <c r="CA527" s="33"/>
      <c r="CB527" s="33"/>
      <c r="CC527" s="33"/>
      <c r="CD527" s="33"/>
      <c r="CE527" s="33"/>
      <c r="CF527" s="33"/>
      <c r="CG527" s="33"/>
      <c r="CH527" s="33"/>
      <c r="CI527" s="33"/>
      <c r="CJ527" s="33"/>
      <c r="CK527" s="33"/>
      <c r="CL527" s="33"/>
      <c r="CM527" s="33"/>
      <c r="CN527" s="33"/>
      <c r="CO527" s="33"/>
      <c r="CP527" s="33"/>
      <c r="CQ527" s="33"/>
      <c r="CR527" s="33"/>
      <c r="CS527" s="33"/>
    </row>
    <row r="528" spans="2:97" ht="12.95" customHeight="1">
      <c r="B528" s="1261"/>
      <c r="C528" s="1262"/>
      <c r="D528" s="1262"/>
      <c r="E528" s="1262"/>
      <c r="F528" s="1262"/>
      <c r="G528" s="1262"/>
      <c r="H528" s="1263"/>
      <c r="I528" t="s">
        <v>38</v>
      </c>
      <c r="AC528" s="1203" t="s">
        <v>325</v>
      </c>
      <c r="AD528" s="1204"/>
      <c r="AE528" s="1204"/>
      <c r="AF528" s="1204"/>
      <c r="AG528" s="815" t="s">
        <v>1306</v>
      </c>
      <c r="AH528" s="1085"/>
      <c r="AI528" s="1085"/>
      <c r="AJ528" s="1085"/>
      <c r="AK528" s="1086"/>
      <c r="AM528" s="33"/>
      <c r="AN528" s="33"/>
      <c r="AO528" s="33"/>
      <c r="AP528" s="33"/>
      <c r="AQ528" s="33"/>
      <c r="AR528" s="33"/>
      <c r="AS528" s="33"/>
      <c r="AT528" s="33"/>
      <c r="AU528" s="33"/>
      <c r="AV528" s="33"/>
      <c r="AW528" s="33"/>
      <c r="AX528" s="33"/>
      <c r="AY528" s="33"/>
      <c r="AZ528" s="33" t="s">
        <v>1349</v>
      </c>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c r="BZ528" s="33"/>
      <c r="CA528" s="33"/>
      <c r="CB528" s="33"/>
      <c r="CC528" s="33"/>
      <c r="CD528" s="33"/>
      <c r="CE528" s="33"/>
      <c r="CF528" s="33"/>
      <c r="CG528" s="33"/>
      <c r="CH528" s="33"/>
      <c r="CI528" s="33"/>
      <c r="CJ528" s="33"/>
      <c r="CK528" s="33"/>
      <c r="CL528" s="33"/>
      <c r="CM528" s="33"/>
      <c r="CN528" s="33"/>
      <c r="CO528" s="33"/>
      <c r="CP528" s="33"/>
      <c r="CQ528" s="33"/>
      <c r="CR528" s="33"/>
      <c r="CS528" s="33"/>
    </row>
    <row r="529" spans="1:97" ht="12.95" customHeight="1">
      <c r="B529" s="1261"/>
      <c r="C529" s="1262"/>
      <c r="D529" s="1262"/>
      <c r="E529" s="1262"/>
      <c r="F529" s="1262"/>
      <c r="G529" s="1262"/>
      <c r="H529" s="1263"/>
      <c r="I529" s="39" t="s">
        <v>1330</v>
      </c>
      <c r="J529" s="39"/>
      <c r="K529" s="39"/>
      <c r="L529" s="39"/>
      <c r="M529" s="39"/>
      <c r="N529" s="39"/>
      <c r="O529" s="39"/>
      <c r="P529" s="39"/>
      <c r="Q529" s="39"/>
      <c r="R529" s="39"/>
      <c r="S529" s="39"/>
      <c r="T529" s="39"/>
      <c r="U529" s="39"/>
      <c r="V529" s="39"/>
      <c r="W529" s="39"/>
      <c r="X529" s="39"/>
      <c r="Y529" s="39"/>
      <c r="Z529" s="39"/>
      <c r="AA529" s="39"/>
      <c r="AB529" s="39"/>
      <c r="AC529" s="1203" t="s">
        <v>325</v>
      </c>
      <c r="AD529" s="1204"/>
      <c r="AE529" s="1204"/>
      <c r="AF529" s="1204"/>
      <c r="AG529" s="789" t="s">
        <v>1306</v>
      </c>
      <c r="AH529" s="1085"/>
      <c r="AI529" s="1085"/>
      <c r="AJ529" s="1085"/>
      <c r="AK529" s="1086"/>
      <c r="AM529" s="33"/>
      <c r="AN529" s="33"/>
      <c r="AO529" s="33"/>
      <c r="AP529" s="33"/>
      <c r="AQ529" s="33"/>
      <c r="AR529" s="33"/>
      <c r="AS529" s="33"/>
      <c r="AT529" s="33"/>
      <c r="AU529" s="33"/>
      <c r="AV529" s="33"/>
      <c r="AW529" s="33"/>
      <c r="AX529" s="33"/>
      <c r="AY529" s="33"/>
      <c r="AZ529" s="33" t="s">
        <v>1350</v>
      </c>
      <c r="BA529" s="33"/>
      <c r="BB529" s="33"/>
      <c r="BC529" s="33"/>
      <c r="BD529" s="33"/>
      <c r="BE529" s="33"/>
      <c r="BF529" s="33"/>
      <c r="BG529" s="33"/>
      <c r="BH529" s="33"/>
      <c r="BI529" s="33"/>
      <c r="BJ529" s="33"/>
      <c r="BK529" s="33"/>
      <c r="BL529" s="33"/>
      <c r="BM529" s="33"/>
      <c r="BN529" s="33"/>
      <c r="BO529" s="33"/>
      <c r="BP529" s="33"/>
      <c r="BQ529" s="33"/>
      <c r="BR529" s="33"/>
      <c r="BS529" s="33"/>
      <c r="BT529" s="33"/>
      <c r="BU529" s="33"/>
      <c r="BV529" s="33"/>
      <c r="BW529" s="33"/>
      <c r="BX529" s="33"/>
      <c r="BY529" s="33"/>
      <c r="BZ529" s="33"/>
      <c r="CA529" s="33"/>
      <c r="CB529" s="33"/>
      <c r="CC529" s="33"/>
      <c r="CD529" s="33"/>
      <c r="CE529" s="33"/>
      <c r="CF529" s="33"/>
      <c r="CG529" s="33"/>
    </row>
    <row r="530" spans="1:97" ht="12.95" customHeight="1">
      <c r="B530" s="1261"/>
      <c r="C530" s="1262"/>
      <c r="D530" s="1262"/>
      <c r="E530" s="1262"/>
      <c r="F530" s="1262"/>
      <c r="G530" s="1262"/>
      <c r="H530" s="1263"/>
      <c r="I530" s="6" t="s">
        <v>1351</v>
      </c>
      <c r="J530" s="6"/>
      <c r="K530" s="6"/>
      <c r="L530" s="6"/>
      <c r="M530" s="6"/>
      <c r="N530" s="6"/>
      <c r="O530" s="6"/>
      <c r="P530" s="6"/>
      <c r="Q530" s="6"/>
      <c r="R530" s="6"/>
      <c r="S530" s="6"/>
      <c r="T530" s="6"/>
      <c r="U530" s="6"/>
      <c r="V530" s="6"/>
      <c r="W530" s="6"/>
      <c r="AC530" s="1203" t="s">
        <v>325</v>
      </c>
      <c r="AD530" s="1204"/>
      <c r="AE530" s="1204"/>
      <c r="AF530" s="1204"/>
      <c r="AG530" s="789" t="s">
        <v>1306</v>
      </c>
      <c r="AH530" s="1085"/>
      <c r="AI530" s="1085"/>
      <c r="AJ530" s="1085"/>
      <c r="AK530" s="1086"/>
      <c r="AM530" s="33"/>
      <c r="AN530" s="33"/>
      <c r="AO530" s="33"/>
      <c r="AP530" s="33"/>
      <c r="AQ530" s="33"/>
      <c r="AR530" s="33"/>
      <c r="AS530" s="33"/>
      <c r="AT530" s="33"/>
      <c r="AU530" s="33"/>
      <c r="AV530" s="33"/>
      <c r="AW530" s="33"/>
      <c r="AX530" s="33"/>
      <c r="AY530" s="33"/>
      <c r="AZ530" s="33" t="s">
        <v>1352</v>
      </c>
      <c r="BA530" s="33"/>
      <c r="BB530" s="33"/>
      <c r="BC530" s="33"/>
      <c r="BD530" s="33"/>
      <c r="BE530" s="33"/>
      <c r="BF530" s="33"/>
      <c r="BG530" s="33"/>
      <c r="BH530" s="33"/>
      <c r="BI530" s="33"/>
      <c r="BJ530" s="33"/>
      <c r="BK530" s="33"/>
      <c r="BL530" s="33"/>
      <c r="BM530" s="33"/>
      <c r="BN530" s="33"/>
      <c r="BO530" s="33"/>
      <c r="BP530" s="33"/>
      <c r="BQ530" s="33"/>
      <c r="BR530" s="33"/>
      <c r="BS530" s="33"/>
      <c r="BT530" s="33"/>
      <c r="BU530" s="33"/>
      <c r="BV530" s="33"/>
      <c r="BW530" s="33"/>
      <c r="BX530" s="33"/>
      <c r="BY530" s="33"/>
      <c r="BZ530" s="33"/>
      <c r="CA530" s="33"/>
      <c r="CB530" s="33"/>
      <c r="CC530" s="33"/>
      <c r="CD530" s="33"/>
      <c r="CE530" s="33"/>
      <c r="CF530" s="33"/>
      <c r="CG530" s="33"/>
    </row>
    <row r="531" spans="1:97" ht="12.95" customHeight="1">
      <c r="B531" s="1261"/>
      <c r="C531" s="1262"/>
      <c r="D531" s="1262"/>
      <c r="E531" s="1262"/>
      <c r="F531" s="1262"/>
      <c r="G531" s="1262"/>
      <c r="H531" s="1263"/>
      <c r="I531" t="s">
        <v>1353</v>
      </c>
      <c r="AC531" s="1203">
        <v>6</v>
      </c>
      <c r="AD531" s="1204"/>
      <c r="AE531" s="1204"/>
      <c r="AF531" s="1204"/>
      <c r="AG531" s="815" t="s">
        <v>1306</v>
      </c>
      <c r="AH531" s="1085">
        <v>2024</v>
      </c>
      <c r="AI531" s="1085"/>
      <c r="AJ531" s="1085"/>
      <c r="AK531" s="1086"/>
      <c r="AM531" s="33"/>
      <c r="AN531" s="33"/>
      <c r="AO531" s="33"/>
      <c r="AP531" s="33"/>
      <c r="AQ531" s="33"/>
      <c r="AR531" s="33"/>
      <c r="AS531" s="33"/>
      <c r="AT531" s="33"/>
      <c r="AU531" s="33"/>
      <c r="AV531" s="33"/>
      <c r="AW531" s="33"/>
      <c r="AX531" s="33"/>
      <c r="AY531" s="33"/>
      <c r="AZ531" s="33" t="s">
        <v>1354</v>
      </c>
      <c r="BA531" s="33"/>
      <c r="BB531" s="33"/>
      <c r="BC531" s="33"/>
      <c r="BD531" s="33"/>
      <c r="BE531" s="33"/>
      <c r="BF531" s="33"/>
      <c r="BG531" s="33"/>
      <c r="BH531" s="33"/>
      <c r="BI531" s="33"/>
      <c r="BJ531" s="33"/>
      <c r="BK531" s="33"/>
      <c r="BL531" s="33"/>
      <c r="BM531" s="33"/>
      <c r="BN531" s="33"/>
      <c r="BO531" s="33"/>
      <c r="BP531" s="33"/>
      <c r="BQ531" s="33"/>
      <c r="BR531" s="33"/>
      <c r="BS531" s="33"/>
      <c r="BT531" s="33"/>
      <c r="BU531" s="33"/>
      <c r="BV531" s="33"/>
      <c r="BW531" s="33"/>
      <c r="BX531" s="33"/>
      <c r="BY531" s="33"/>
      <c r="BZ531" s="33"/>
      <c r="CA531" s="33"/>
      <c r="CB531" s="33"/>
      <c r="CC531" s="33"/>
      <c r="CD531" s="33"/>
      <c r="CE531" s="33"/>
      <c r="CF531" s="33"/>
      <c r="CG531" s="33"/>
    </row>
    <row r="532" spans="1:97" ht="12.95" customHeight="1">
      <c r="B532" s="1261"/>
      <c r="C532" s="1262"/>
      <c r="D532" s="1262"/>
      <c r="E532" s="1262"/>
      <c r="F532" s="1262"/>
      <c r="G532" s="1262"/>
      <c r="H532" s="1263"/>
      <c r="I532" t="s">
        <v>1355</v>
      </c>
      <c r="AC532" s="1203">
        <v>9</v>
      </c>
      <c r="AD532" s="1204"/>
      <c r="AE532" s="1204"/>
      <c r="AF532" s="1204"/>
      <c r="AG532" s="789" t="s">
        <v>1306</v>
      </c>
      <c r="AH532" s="1085">
        <v>2025</v>
      </c>
      <c r="AI532" s="1085"/>
      <c r="AJ532" s="1085"/>
      <c r="AK532" s="1086"/>
      <c r="AM532" s="33"/>
      <c r="AN532" s="33"/>
      <c r="AO532" s="33"/>
      <c r="AP532" s="33"/>
      <c r="AQ532" s="33"/>
      <c r="AR532" s="33"/>
      <c r="AS532" s="33"/>
      <c r="AT532" s="33"/>
      <c r="AU532" s="33"/>
      <c r="AV532" s="33"/>
      <c r="AW532" s="33"/>
      <c r="AX532" s="33"/>
      <c r="AY532" s="33"/>
      <c r="AZ532" s="33" t="s">
        <v>1356</v>
      </c>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c r="CA532" s="33"/>
      <c r="CB532" s="33"/>
      <c r="CC532" s="33"/>
      <c r="CD532" s="33"/>
      <c r="CE532" s="33"/>
      <c r="CF532" s="33"/>
      <c r="CG532" s="33"/>
    </row>
    <row r="533" spans="1:97" ht="12.95" customHeight="1">
      <c r="B533" s="1261"/>
      <c r="C533" s="1262"/>
      <c r="D533" s="1262"/>
      <c r="E533" s="1262"/>
      <c r="F533" s="1262"/>
      <c r="G533" s="1262"/>
      <c r="H533" s="1263"/>
      <c r="I533" t="s">
        <v>1357</v>
      </c>
      <c r="AC533" s="1203" t="s">
        <v>325</v>
      </c>
      <c r="AD533" s="1204"/>
      <c r="AE533" s="1204"/>
      <c r="AF533" s="1204"/>
      <c r="AG533" s="789" t="s">
        <v>1306</v>
      </c>
      <c r="AH533" s="1085"/>
      <c r="AI533" s="1085"/>
      <c r="AJ533" s="1085"/>
      <c r="AK533" s="1086"/>
      <c r="AM533" s="33"/>
      <c r="AN533" s="33"/>
      <c r="AO533" s="33"/>
      <c r="AP533" s="33"/>
      <c r="AQ533" s="33"/>
      <c r="AR533" s="33"/>
      <c r="AS533" s="33"/>
      <c r="AT533" s="33"/>
      <c r="AU533" s="33"/>
      <c r="AV533" s="33"/>
      <c r="AW533" s="33"/>
      <c r="AX533" s="33"/>
      <c r="AY533" s="33"/>
      <c r="AZ533" s="33" t="s">
        <v>1358</v>
      </c>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c r="CA533" s="33"/>
      <c r="CB533" s="33"/>
      <c r="CC533" s="33"/>
      <c r="CD533" s="33"/>
      <c r="CE533" s="33"/>
      <c r="CF533" s="33"/>
      <c r="CG533" s="33"/>
    </row>
    <row r="534" spans="1:97" ht="12.95" customHeight="1">
      <c r="B534" s="1264"/>
      <c r="C534" s="1265"/>
      <c r="D534" s="1265"/>
      <c r="E534" s="1265"/>
      <c r="F534" s="1265"/>
      <c r="G534" s="1265"/>
      <c r="H534" s="1266"/>
      <c r="I534" s="39" t="s">
        <v>1359</v>
      </c>
      <c r="J534" s="39"/>
      <c r="K534" s="39"/>
      <c r="L534" s="39"/>
      <c r="M534" s="39"/>
      <c r="N534" s="39"/>
      <c r="O534" s="39"/>
      <c r="P534" s="39"/>
      <c r="Q534" s="39"/>
      <c r="R534" s="39"/>
      <c r="S534" s="39"/>
      <c r="T534" s="39"/>
      <c r="U534" s="39"/>
      <c r="V534" s="39"/>
      <c r="W534" s="39"/>
      <c r="X534" s="39"/>
      <c r="Y534" s="39"/>
      <c r="Z534" s="39"/>
      <c r="AA534" s="39"/>
      <c r="AB534" s="39"/>
      <c r="AC534" s="1203" t="s">
        <v>325</v>
      </c>
      <c r="AD534" s="1204"/>
      <c r="AE534" s="1204"/>
      <c r="AF534" s="1204"/>
      <c r="AG534" s="789" t="s">
        <v>1306</v>
      </c>
      <c r="AH534" s="1085"/>
      <c r="AI534" s="1085"/>
      <c r="AJ534" s="1085"/>
      <c r="AK534" s="1086"/>
      <c r="AM534" s="33"/>
      <c r="AN534" s="33"/>
      <c r="AO534" s="33"/>
      <c r="AP534" s="33"/>
      <c r="AQ534" s="33"/>
      <c r="AR534" s="33"/>
      <c r="AS534" s="33"/>
      <c r="AT534" s="33"/>
      <c r="AU534" s="33"/>
      <c r="AV534" s="33"/>
      <c r="AW534" s="33"/>
      <c r="AX534" s="33"/>
      <c r="AY534" s="33"/>
      <c r="AZ534" s="33" t="s">
        <v>1360</v>
      </c>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c r="CA534" s="33"/>
      <c r="CB534" s="33"/>
      <c r="CC534" s="33"/>
      <c r="CD534" s="33"/>
      <c r="CE534" s="33"/>
      <c r="CF534" s="33"/>
      <c r="CG534" s="33"/>
    </row>
    <row r="535" spans="1:97" ht="12.95" customHeight="1">
      <c r="AO535" s="33"/>
      <c r="AP535" s="33"/>
      <c r="AQ535" s="33"/>
      <c r="AR535" s="33"/>
      <c r="AS535" s="33"/>
      <c r="AT535" s="33"/>
      <c r="AU535" s="33"/>
      <c r="AV535" s="33"/>
      <c r="AW535" s="33"/>
      <c r="AX535" s="33"/>
      <c r="AY535" s="33"/>
      <c r="AZ535" s="33" t="s">
        <v>1361</v>
      </c>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c r="CA535" s="33"/>
      <c r="CB535" s="33"/>
      <c r="CC535" s="33"/>
      <c r="CD535" s="33"/>
      <c r="CE535" s="33"/>
      <c r="CF535" s="33"/>
      <c r="CG535" s="33"/>
    </row>
    <row r="536" spans="1:97" ht="12.95" customHeight="1">
      <c r="A536" s="936" t="s">
        <v>1362</v>
      </c>
      <c r="B536" s="936"/>
      <c r="C536" s="936"/>
      <c r="D536" s="936"/>
      <c r="E536" s="936"/>
      <c r="F536" s="936"/>
      <c r="G536" s="936"/>
      <c r="H536" s="936"/>
      <c r="I536" s="936"/>
      <c r="J536" s="936"/>
      <c r="K536" s="936"/>
      <c r="L536" s="936"/>
      <c r="M536" s="936"/>
      <c r="N536" s="936"/>
      <c r="O536" s="936"/>
      <c r="P536" s="936"/>
      <c r="Q536" s="936"/>
      <c r="R536" s="936"/>
      <c r="S536" s="936"/>
      <c r="T536" s="936"/>
      <c r="U536" s="936"/>
      <c r="V536" s="936"/>
      <c r="W536" s="936"/>
      <c r="X536" s="936"/>
      <c r="Y536" s="936"/>
      <c r="Z536" s="936"/>
      <c r="AA536" s="936"/>
      <c r="AB536" s="936"/>
      <c r="AC536" s="936"/>
      <c r="AD536" s="936"/>
      <c r="AE536" s="936"/>
      <c r="AF536" s="936"/>
      <c r="AG536" s="936"/>
      <c r="AH536" s="936"/>
      <c r="AI536" s="936"/>
      <c r="AJ536" s="936"/>
      <c r="AK536" s="936"/>
      <c r="AL536" s="936"/>
      <c r="AM536" s="936"/>
      <c r="AN536" s="936"/>
      <c r="AO536" s="936"/>
      <c r="AP536" s="936"/>
      <c r="AQ536" s="936"/>
      <c r="AR536" s="936"/>
      <c r="AS536" s="936"/>
      <c r="AT536" s="33"/>
      <c r="AU536" s="33"/>
      <c r="AV536" s="33"/>
      <c r="AW536" s="33"/>
      <c r="AX536" s="33"/>
      <c r="AY536" s="33"/>
      <c r="AZ536" s="33" t="s">
        <v>1363</v>
      </c>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row>
    <row r="537" spans="1:97" ht="12.95" customHeight="1">
      <c r="A537" s="936"/>
      <c r="B537" s="936"/>
      <c r="C537" s="936"/>
      <c r="D537" s="936"/>
      <c r="E537" s="936"/>
      <c r="F537" s="936"/>
      <c r="G537" s="936"/>
      <c r="H537" s="936"/>
      <c r="I537" s="936"/>
      <c r="J537" s="936"/>
      <c r="K537" s="936"/>
      <c r="L537" s="936"/>
      <c r="M537" s="936"/>
      <c r="N537" s="936"/>
      <c r="O537" s="936"/>
      <c r="P537" s="936"/>
      <c r="Q537" s="936"/>
      <c r="R537" s="936"/>
      <c r="S537" s="936"/>
      <c r="T537" s="936"/>
      <c r="U537" s="936"/>
      <c r="V537" s="936"/>
      <c r="W537" s="936"/>
      <c r="X537" s="936"/>
      <c r="Y537" s="936"/>
      <c r="Z537" s="936"/>
      <c r="AA537" s="936"/>
      <c r="AB537" s="936"/>
      <c r="AC537" s="936"/>
      <c r="AD537" s="936"/>
      <c r="AE537" s="936"/>
      <c r="AF537" s="936"/>
      <c r="AG537" s="936"/>
      <c r="AH537" s="936"/>
      <c r="AI537" s="936"/>
      <c r="AJ537" s="936"/>
      <c r="AK537" s="936"/>
      <c r="AL537" s="936"/>
      <c r="AM537" s="936"/>
      <c r="AN537" s="936"/>
      <c r="AO537" s="936"/>
      <c r="AP537" s="936"/>
      <c r="AQ537" s="936"/>
      <c r="AR537" s="936"/>
      <c r="AS537" s="936"/>
      <c r="AT537" s="33"/>
      <c r="AU537" s="33"/>
      <c r="AV537" s="33"/>
      <c r="AW537" s="33"/>
      <c r="AX537" s="33"/>
      <c r="AY537" s="33"/>
      <c r="AZ537" s="33" t="s">
        <v>1364</v>
      </c>
      <c r="BA537" s="33"/>
      <c r="BB537" s="33"/>
      <c r="BC537" s="33"/>
      <c r="BD537" s="33"/>
      <c r="BE537" s="33"/>
      <c r="BF537" s="33"/>
      <c r="BG537" s="33"/>
      <c r="BH537" s="33"/>
      <c r="BI537" s="33"/>
      <c r="BJ537" s="33"/>
      <c r="BK537" s="33"/>
      <c r="BL537" s="33"/>
      <c r="BM537" s="33"/>
      <c r="BN537" s="33"/>
      <c r="BO537" s="33"/>
      <c r="BP537" s="33"/>
      <c r="BQ537" s="33"/>
      <c r="BR537" s="33"/>
      <c r="BS537" s="33"/>
      <c r="BT537" s="33"/>
      <c r="BU537" s="33"/>
      <c r="BV537" s="33"/>
      <c r="BW537" s="33"/>
      <c r="BX537" s="33"/>
      <c r="BY537" s="33"/>
      <c r="BZ537" s="33"/>
      <c r="CA537" s="33"/>
      <c r="CB537" s="33"/>
      <c r="CC537" s="33"/>
      <c r="CD537" s="33"/>
      <c r="CE537" s="33"/>
      <c r="CF537" s="33"/>
      <c r="CG537" s="33"/>
    </row>
    <row r="538" spans="1:97" ht="12.95" customHeight="1">
      <c r="AT538" s="33"/>
      <c r="AU538" s="33"/>
      <c r="AV538" s="33"/>
      <c r="AW538" s="33"/>
      <c r="AX538" s="33"/>
      <c r="AY538" s="33"/>
      <c r="AZ538" s="33" t="s">
        <v>1365</v>
      </c>
      <c r="BA538" s="33"/>
      <c r="BB538" s="33"/>
      <c r="BC538" s="33"/>
      <c r="BD538" s="33"/>
      <c r="BE538" s="33"/>
      <c r="BF538" s="33"/>
      <c r="BG538" s="33"/>
      <c r="BH538" s="33"/>
      <c r="BI538" s="33"/>
      <c r="BJ538" s="33"/>
      <c r="BK538" s="33"/>
      <c r="BL538" s="33"/>
      <c r="BM538" s="33"/>
      <c r="BN538" s="33"/>
      <c r="BO538" s="33"/>
      <c r="BP538" s="33"/>
      <c r="BQ538" s="33"/>
      <c r="BR538" s="33"/>
      <c r="BS538" s="33"/>
      <c r="BT538" s="33"/>
      <c r="BU538" s="33"/>
      <c r="BV538" s="33"/>
      <c r="BW538" s="33"/>
      <c r="BX538" s="33"/>
      <c r="BY538" s="33"/>
      <c r="BZ538" s="33"/>
      <c r="CA538" s="33"/>
      <c r="CB538" s="33"/>
      <c r="CC538" s="33"/>
      <c r="CD538" s="33"/>
      <c r="CE538" s="33"/>
      <c r="CF538" s="33"/>
      <c r="CG538" s="33"/>
    </row>
    <row r="539" spans="1:97" ht="12.95" customHeight="1">
      <c r="A539" s="2" t="s">
        <v>854</v>
      </c>
      <c r="B539" s="2"/>
      <c r="C539" s="2" t="s">
        <v>181</v>
      </c>
      <c r="AT539" s="33"/>
      <c r="AU539" s="33"/>
      <c r="AV539" s="33"/>
      <c r="AW539" s="33"/>
      <c r="AX539" s="33"/>
      <c r="AY539" s="33"/>
      <c r="AZ539" t="s">
        <v>1366</v>
      </c>
      <c r="BA539" s="33"/>
      <c r="BB539" s="33"/>
      <c r="BC539" s="33"/>
      <c r="BD539" s="33"/>
      <c r="BE539" s="33"/>
      <c r="BF539" s="33"/>
      <c r="BG539" s="33"/>
      <c r="BH539" s="33"/>
      <c r="BI539" s="33"/>
      <c r="BJ539" s="33"/>
      <c r="BK539" s="33"/>
      <c r="BL539" s="33"/>
      <c r="BM539" s="33"/>
      <c r="BN539" s="33"/>
      <c r="BO539" s="33"/>
      <c r="BP539" s="33"/>
      <c r="BQ539" s="33"/>
      <c r="BR539" s="33"/>
      <c r="BS539" s="33"/>
      <c r="BT539" s="33"/>
      <c r="BU539" s="33"/>
      <c r="BV539" s="33"/>
      <c r="BW539" s="33"/>
      <c r="BX539" s="33"/>
      <c r="BY539" s="33"/>
      <c r="BZ539" s="33"/>
      <c r="CA539" s="33"/>
      <c r="CB539" s="33"/>
      <c r="CC539" s="33"/>
      <c r="CD539" s="33"/>
      <c r="CE539" s="33"/>
      <c r="CF539" s="33"/>
      <c r="CG539" s="33"/>
    </row>
    <row r="540" spans="1:97" ht="12.95" customHeight="1">
      <c r="A540" s="2"/>
      <c r="B540" s="2"/>
      <c r="C540" s="2"/>
      <c r="AT540" s="33"/>
      <c r="AU540" s="33"/>
      <c r="AV540" s="33"/>
      <c r="AW540" s="33"/>
      <c r="AX540" s="33"/>
      <c r="AY540" s="33"/>
      <c r="BA540" s="33"/>
      <c r="BB540" s="33"/>
      <c r="BC540" s="33"/>
      <c r="BD540" s="33"/>
      <c r="BE540" s="33"/>
      <c r="BF540" s="33"/>
      <c r="BG540" s="33"/>
      <c r="BH540" s="33"/>
      <c r="BI540" s="33"/>
      <c r="BJ540" s="33"/>
      <c r="BK540" s="33"/>
      <c r="BL540" s="33"/>
      <c r="BM540" s="33"/>
      <c r="BN540" s="33"/>
      <c r="BO540" s="33"/>
      <c r="BP540" s="33"/>
      <c r="BQ540" s="33"/>
      <c r="BR540" s="33"/>
      <c r="BS540" s="33"/>
      <c r="BT540" s="33"/>
      <c r="BU540" s="33"/>
      <c r="BV540" s="33"/>
      <c r="BW540" s="33"/>
      <c r="BX540" s="33"/>
      <c r="BY540" s="33"/>
      <c r="BZ540" s="33"/>
      <c r="CA540" s="33"/>
      <c r="CB540" s="33"/>
      <c r="CC540" s="33"/>
      <c r="CD540" s="33"/>
      <c r="CE540" s="33"/>
      <c r="CF540" s="33"/>
      <c r="CG540" s="33"/>
    </row>
    <row r="541" spans="1:97" ht="12.95" customHeight="1">
      <c r="A541" s="2"/>
      <c r="B541" s="2"/>
      <c r="C541" s="2"/>
      <c r="D541" s="2" t="s">
        <v>1367</v>
      </c>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c r="BU541" s="33"/>
      <c r="BV541" s="33"/>
      <c r="BW541" s="33"/>
      <c r="BX541" s="33"/>
      <c r="BY541" s="33"/>
      <c r="BZ541" s="33"/>
      <c r="CA541" s="33"/>
      <c r="CB541" s="33"/>
      <c r="CC541" s="33"/>
      <c r="CD541" s="33"/>
      <c r="CE541" s="33"/>
      <c r="CF541" s="33"/>
      <c r="CG541" s="33"/>
    </row>
    <row r="542" spans="1:97" ht="12.95" customHeight="1">
      <c r="B542" s="647"/>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c r="CA542" s="33"/>
      <c r="CB542" s="33"/>
      <c r="CC542" s="33"/>
      <c r="CD542" s="33"/>
      <c r="CE542" s="33"/>
      <c r="CF542" s="33"/>
      <c r="CG542" s="33"/>
      <c r="CH542" s="33"/>
      <c r="CI542" s="33"/>
      <c r="CJ542" s="33"/>
      <c r="CK542" s="33"/>
      <c r="CL542" s="33"/>
      <c r="CM542" s="33"/>
      <c r="CN542" s="33"/>
      <c r="CO542" s="33"/>
      <c r="CP542" s="33"/>
      <c r="CQ542" s="33"/>
      <c r="CR542" s="33"/>
      <c r="CS542" s="33"/>
    </row>
    <row r="543" spans="1:97" ht="12.95" customHeight="1">
      <c r="B543" s="1258" t="s">
        <v>1368</v>
      </c>
      <c r="C543" s="1259"/>
      <c r="D543" s="1259"/>
      <c r="E543" s="1259"/>
      <c r="F543" s="1259"/>
      <c r="G543" s="1259"/>
      <c r="H543" s="1259"/>
      <c r="I543" s="1259"/>
      <c r="J543" s="1259"/>
      <c r="K543" s="1259"/>
      <c r="L543" s="1259"/>
      <c r="M543" s="1327" t="s">
        <v>1369</v>
      </c>
      <c r="N543" s="1327"/>
      <c r="O543" s="1327"/>
      <c r="P543" s="1327"/>
      <c r="Q543" s="1258" t="s">
        <v>1370</v>
      </c>
      <c r="R543" s="1259"/>
      <c r="S543" s="1260"/>
      <c r="T543" s="1258" t="s">
        <v>1371</v>
      </c>
      <c r="U543" s="1259"/>
      <c r="V543" s="1260"/>
      <c r="W543" s="1258" t="s">
        <v>1372</v>
      </c>
      <c r="X543" s="1259"/>
      <c r="Y543" s="1260"/>
      <c r="Z543" s="1258" t="s">
        <v>1373</v>
      </c>
      <c r="AA543" s="1259"/>
      <c r="AB543" s="1259"/>
      <c r="AC543" s="1259"/>
      <c r="AD543" s="1260"/>
      <c r="AE543" s="1258" t="s">
        <v>1374</v>
      </c>
      <c r="AF543" s="1259"/>
      <c r="AG543" s="1259"/>
      <c r="AH543" s="1260"/>
      <c r="AI543" s="1258" t="s">
        <v>1375</v>
      </c>
      <c r="AJ543" s="1259"/>
      <c r="AK543" s="1259"/>
      <c r="AL543" s="1260"/>
      <c r="AM543" s="1258" t="s">
        <v>1376</v>
      </c>
      <c r="AN543" s="1259"/>
      <c r="AO543" s="1259"/>
      <c r="AP543" s="1259"/>
      <c r="AQ543" s="1259"/>
      <c r="AR543" s="1259"/>
      <c r="AS543" s="1260"/>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c r="BU543" s="33"/>
      <c r="BV543" s="33"/>
      <c r="BW543" s="33"/>
      <c r="BX543" s="33"/>
      <c r="BY543" s="33"/>
      <c r="BZ543" s="33"/>
      <c r="CA543" s="33"/>
      <c r="CB543" s="33"/>
      <c r="CC543" s="33"/>
      <c r="CD543" s="33"/>
      <c r="CE543" s="33"/>
      <c r="CF543" s="33"/>
      <c r="CG543" s="33"/>
      <c r="CH543" s="33"/>
      <c r="CI543" s="33"/>
      <c r="CJ543" s="33"/>
      <c r="CK543" s="33"/>
      <c r="CL543" s="33"/>
      <c r="CM543" s="33"/>
      <c r="CN543" s="33"/>
      <c r="CO543" s="33"/>
      <c r="CP543" s="33"/>
      <c r="CQ543" s="33"/>
      <c r="CR543" s="33"/>
      <c r="CS543" s="33"/>
    </row>
    <row r="544" spans="1:97" ht="12.95" customHeight="1">
      <c r="B544" s="1261"/>
      <c r="C544" s="1262"/>
      <c r="D544" s="1262"/>
      <c r="E544" s="1262"/>
      <c r="F544" s="1262"/>
      <c r="G544" s="1262"/>
      <c r="H544" s="1262"/>
      <c r="I544" s="1262"/>
      <c r="J544" s="1262"/>
      <c r="K544" s="1262"/>
      <c r="L544" s="1262"/>
      <c r="M544" s="1327"/>
      <c r="N544" s="1327"/>
      <c r="O544" s="1327"/>
      <c r="P544" s="1327"/>
      <c r="Q544" s="1261"/>
      <c r="R544" s="1262"/>
      <c r="S544" s="1263"/>
      <c r="T544" s="1261"/>
      <c r="U544" s="1262"/>
      <c r="V544" s="1263"/>
      <c r="W544" s="1261"/>
      <c r="X544" s="1262"/>
      <c r="Y544" s="1263"/>
      <c r="Z544" s="1261"/>
      <c r="AA544" s="1262"/>
      <c r="AB544" s="1262"/>
      <c r="AC544" s="1262"/>
      <c r="AD544" s="1263"/>
      <c r="AE544" s="1261"/>
      <c r="AF544" s="1262"/>
      <c r="AG544" s="1262"/>
      <c r="AH544" s="1263"/>
      <c r="AI544" s="1261"/>
      <c r="AJ544" s="1262"/>
      <c r="AK544" s="1262"/>
      <c r="AL544" s="1263"/>
      <c r="AM544" s="1261"/>
      <c r="AN544" s="1262"/>
      <c r="AO544" s="1262"/>
      <c r="AP544" s="1262"/>
      <c r="AQ544" s="1262"/>
      <c r="AR544" s="1262"/>
      <c r="AS544" s="1263"/>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c r="BU544" s="33"/>
      <c r="BV544" s="33"/>
      <c r="BW544" s="33"/>
      <c r="BX544" s="33"/>
      <c r="BY544" s="33"/>
      <c r="BZ544" s="33"/>
      <c r="CA544" s="33"/>
      <c r="CB544" s="33"/>
      <c r="CC544" s="33"/>
      <c r="CD544" s="33"/>
      <c r="CE544" s="33"/>
      <c r="CF544" s="33"/>
      <c r="CG544" s="33"/>
      <c r="CH544" s="33"/>
      <c r="CI544" s="33"/>
      <c r="CJ544" s="33"/>
      <c r="CK544" s="33"/>
      <c r="CL544" s="33"/>
      <c r="CM544" s="33"/>
      <c r="CN544" s="33"/>
      <c r="CO544" s="33"/>
      <c r="CP544" s="33"/>
      <c r="CQ544" s="33"/>
      <c r="CR544" s="33"/>
      <c r="CS544" s="33"/>
    </row>
    <row r="545" spans="1:97" ht="12.95" customHeight="1">
      <c r="B545" s="1264"/>
      <c r="C545" s="1265"/>
      <c r="D545" s="1265"/>
      <c r="E545" s="1265"/>
      <c r="F545" s="1265"/>
      <c r="G545" s="1265"/>
      <c r="H545" s="1265"/>
      <c r="I545" s="1265"/>
      <c r="J545" s="1265"/>
      <c r="K545" s="1265"/>
      <c r="L545" s="1265"/>
      <c r="M545" s="1327"/>
      <c r="N545" s="1327"/>
      <c r="O545" s="1327"/>
      <c r="P545" s="1327"/>
      <c r="Q545" s="1264"/>
      <c r="R545" s="1265"/>
      <c r="S545" s="1266"/>
      <c r="T545" s="1264"/>
      <c r="U545" s="1265"/>
      <c r="V545" s="1266"/>
      <c r="W545" s="1264"/>
      <c r="X545" s="1265"/>
      <c r="Y545" s="1266"/>
      <c r="Z545" s="1264"/>
      <c r="AA545" s="1265"/>
      <c r="AB545" s="1265"/>
      <c r="AC545" s="1265"/>
      <c r="AD545" s="1266"/>
      <c r="AE545" s="1264"/>
      <c r="AF545" s="1265"/>
      <c r="AG545" s="1265"/>
      <c r="AH545" s="1266"/>
      <c r="AI545" s="1264"/>
      <c r="AJ545" s="1265"/>
      <c r="AK545" s="1265"/>
      <c r="AL545" s="1266"/>
      <c r="AM545" s="1264"/>
      <c r="AN545" s="1265"/>
      <c r="AO545" s="1265"/>
      <c r="AP545" s="1265"/>
      <c r="AQ545" s="1265"/>
      <c r="AR545" s="1265"/>
      <c r="AS545" s="1266"/>
      <c r="AT545" s="33"/>
      <c r="AU545" s="33"/>
      <c r="AV545" s="33"/>
      <c r="AW545" s="33"/>
      <c r="AX545" s="33"/>
      <c r="AY545" s="33"/>
      <c r="AZ545" s="33"/>
      <c r="BA545" s="33"/>
      <c r="BB545" s="33"/>
      <c r="BC545" s="33"/>
      <c r="BD545" s="33"/>
      <c r="BE545" s="33"/>
      <c r="BF545" s="33"/>
      <c r="BG545" s="33"/>
      <c r="BH545" s="33"/>
      <c r="BI545" s="33"/>
      <c r="BJ545" s="33"/>
      <c r="BK545" s="33"/>
      <c r="BL545" s="33"/>
      <c r="BM545" s="33"/>
      <c r="BN545" s="33"/>
      <c r="BO545" s="33"/>
      <c r="BP545" s="33"/>
      <c r="BQ545" s="33"/>
      <c r="BR545" s="33"/>
      <c r="BS545" s="33"/>
      <c r="BT545" s="33"/>
      <c r="BU545" s="33"/>
      <c r="BV545" s="33"/>
      <c r="BW545" s="33"/>
      <c r="BX545" s="33"/>
      <c r="BY545" s="33"/>
      <c r="BZ545" s="33"/>
      <c r="CA545" s="33"/>
      <c r="CB545" s="33"/>
      <c r="CC545" s="33"/>
      <c r="CD545" s="33"/>
      <c r="CE545" s="33"/>
      <c r="CF545" s="33"/>
      <c r="CG545" s="33"/>
      <c r="CH545" s="33"/>
      <c r="CI545" s="33"/>
      <c r="CJ545" s="33"/>
      <c r="CK545" s="33"/>
      <c r="CL545" s="33"/>
      <c r="CM545" s="33"/>
      <c r="CN545" s="33"/>
      <c r="CO545" s="33"/>
      <c r="CP545" s="33"/>
      <c r="CQ545" s="33"/>
      <c r="CR545" s="33"/>
      <c r="CS545" s="33"/>
    </row>
    <row r="546" spans="1:97" ht="12.95" customHeight="1">
      <c r="B546" s="41" t="s">
        <v>14</v>
      </c>
      <c r="C546" s="1280" t="s">
        <v>1377</v>
      </c>
      <c r="D546" s="1280"/>
      <c r="E546" s="1280"/>
      <c r="F546" s="1280"/>
      <c r="G546" s="1280"/>
      <c r="H546" s="1280"/>
      <c r="I546" s="1280"/>
      <c r="J546" s="1280"/>
      <c r="K546" s="1280"/>
      <c r="L546" s="1280"/>
      <c r="M546" s="1281" t="s">
        <v>1350</v>
      </c>
      <c r="N546" s="1281"/>
      <c r="O546" s="1281"/>
      <c r="P546" s="1281"/>
      <c r="Q546" s="1210">
        <v>23</v>
      </c>
      <c r="R546" s="1210"/>
      <c r="S546" s="1211"/>
      <c r="T546" s="1209"/>
      <c r="U546" s="1210"/>
      <c r="V546" s="1211"/>
      <c r="W546" s="1191">
        <f>[1]EVERYTHING!$D$24</f>
        <v>7.4999999999999997E-2</v>
      </c>
      <c r="X546" s="1192"/>
      <c r="Y546" s="1193"/>
      <c r="Z546" s="1212" t="s">
        <v>1378</v>
      </c>
      <c r="AA546" s="1212"/>
      <c r="AB546" s="1212"/>
      <c r="AC546" s="1212"/>
      <c r="AD546" s="1212"/>
      <c r="AE546" s="1213">
        <v>1</v>
      </c>
      <c r="AF546" s="1214"/>
      <c r="AG546" s="1214"/>
      <c r="AH546" s="1215"/>
      <c r="AI546" s="1216"/>
      <c r="AJ546" s="1217"/>
      <c r="AK546" s="1217"/>
      <c r="AL546" s="1218"/>
      <c r="AM546" s="1047">
        <f>+[1]EVERYTHING!$C$24</f>
        <v>25577996.337637469</v>
      </c>
      <c r="AN546" s="1048"/>
      <c r="AO546" s="1048"/>
      <c r="AP546" s="1048"/>
      <c r="AQ546" s="1048"/>
      <c r="AR546" s="1048"/>
      <c r="AS546" s="1049"/>
      <c r="AT546" s="744"/>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row>
    <row r="547" spans="1:97" ht="12.95" customHeight="1">
      <c r="B547" s="42" t="s">
        <v>27</v>
      </c>
      <c r="C547" s="1280" t="s">
        <v>1379</v>
      </c>
      <c r="D547" s="1280"/>
      <c r="E547" s="1280"/>
      <c r="F547" s="1280"/>
      <c r="G547" s="1280"/>
      <c r="H547" s="1280"/>
      <c r="I547" s="1280"/>
      <c r="J547" s="1280"/>
      <c r="K547" s="1280"/>
      <c r="L547" s="1280"/>
      <c r="M547" s="1281" t="s">
        <v>1347</v>
      </c>
      <c r="N547" s="1281"/>
      <c r="O547" s="1281"/>
      <c r="P547" s="1281"/>
      <c r="Q547" s="1209">
        <v>660</v>
      </c>
      <c r="R547" s="1210"/>
      <c r="S547" s="1211"/>
      <c r="T547" s="1209"/>
      <c r="U547" s="1210"/>
      <c r="V547" s="1211"/>
      <c r="W547" s="1191">
        <v>0.03</v>
      </c>
      <c r="X547" s="1192"/>
      <c r="Y547" s="1193"/>
      <c r="Z547" s="1212" t="s">
        <v>1380</v>
      </c>
      <c r="AA547" s="1212"/>
      <c r="AB547" s="1212"/>
      <c r="AC547" s="1212"/>
      <c r="AD547" s="1212"/>
      <c r="AE547" s="1213">
        <v>2</v>
      </c>
      <c r="AF547" s="1214"/>
      <c r="AG547" s="1214"/>
      <c r="AH547" s="1215"/>
      <c r="AI547" s="1216"/>
      <c r="AJ547" s="1217"/>
      <c r="AK547" s="1217"/>
      <c r="AL547" s="1218"/>
      <c r="AM547" s="1047">
        <f>[1]EVERYTHING!C7</f>
        <v>2650000</v>
      </c>
      <c r="AN547" s="1048"/>
      <c r="AO547" s="1048"/>
      <c r="AP547" s="1048"/>
      <c r="AQ547" s="1048"/>
      <c r="AR547" s="1048"/>
      <c r="AS547" s="1049"/>
      <c r="AT547" s="745" t="str">
        <f t="shared" ref="AT547:AT557" si="0">IF(AND(NOT(C546=""),C547="",NOT(C548="")),"!","")</f>
        <v/>
      </c>
      <c r="AU547" s="33"/>
      <c r="AV547" s="33"/>
      <c r="AW547" s="33"/>
      <c r="AX547" s="33"/>
      <c r="AY547" s="33"/>
      <c r="AZ547" s="33"/>
      <c r="BA547" s="33"/>
      <c r="BB547" s="33"/>
      <c r="BC547" s="33"/>
      <c r="BD547" s="33"/>
      <c r="BE547" s="33"/>
      <c r="BF547" s="33"/>
      <c r="BG547" s="33"/>
      <c r="BH547" s="33"/>
      <c r="BI547" s="33"/>
      <c r="BJ547" s="33"/>
      <c r="BK547" s="33"/>
      <c r="BL547" s="33"/>
      <c r="BM547" s="33"/>
      <c r="BN547" s="33"/>
      <c r="BO547" s="33"/>
      <c r="BP547" s="33"/>
      <c r="BQ547" s="33"/>
      <c r="BR547" s="33"/>
      <c r="BS547" s="33"/>
      <c r="BT547" s="33"/>
      <c r="BU547" s="33"/>
      <c r="BV547" s="33"/>
      <c r="BW547" s="33"/>
      <c r="BX547" s="33"/>
      <c r="BY547" s="33"/>
      <c r="BZ547" s="33"/>
      <c r="CA547" s="33"/>
      <c r="CB547" s="33"/>
      <c r="CC547" s="33"/>
      <c r="CD547" s="33"/>
      <c r="CE547" s="33"/>
      <c r="CF547" s="33"/>
      <c r="CG547" s="33"/>
      <c r="CH547" s="33"/>
      <c r="CI547" s="33"/>
      <c r="CJ547" s="33"/>
      <c r="CK547" s="33"/>
      <c r="CL547" s="33"/>
      <c r="CM547" s="33"/>
      <c r="CN547" s="33"/>
      <c r="CO547" s="33"/>
      <c r="CP547" s="33"/>
      <c r="CQ547" s="33"/>
      <c r="CR547" s="33"/>
      <c r="CS547" s="33"/>
    </row>
    <row r="548" spans="1:97" ht="12.95" customHeight="1">
      <c r="B548" s="42" t="s">
        <v>33</v>
      </c>
      <c r="C548" s="1280" t="s">
        <v>1381</v>
      </c>
      <c r="D548" s="1280"/>
      <c r="E548" s="1280"/>
      <c r="F548" s="1280"/>
      <c r="G548" s="1280"/>
      <c r="H548" s="1280"/>
      <c r="I548" s="1280"/>
      <c r="J548" s="1280"/>
      <c r="K548" s="1280"/>
      <c r="L548" s="1280"/>
      <c r="M548" s="1281" t="s">
        <v>1347</v>
      </c>
      <c r="N548" s="1281"/>
      <c r="O548" s="1281"/>
      <c r="P548" s="1281"/>
      <c r="Q548" s="1209">
        <v>660</v>
      </c>
      <c r="R548" s="1210"/>
      <c r="S548" s="1211"/>
      <c r="T548" s="1209"/>
      <c r="U548" s="1210"/>
      <c r="V548" s="1211"/>
      <c r="W548" s="1191">
        <v>0.03</v>
      </c>
      <c r="X548" s="1192"/>
      <c r="Y548" s="1193"/>
      <c r="Z548" s="1212" t="s">
        <v>1380</v>
      </c>
      <c r="AA548" s="1212"/>
      <c r="AB548" s="1212"/>
      <c r="AC548" s="1212"/>
      <c r="AD548" s="1212"/>
      <c r="AE548" s="1213">
        <v>2</v>
      </c>
      <c r="AF548" s="1214"/>
      <c r="AG548" s="1214"/>
      <c r="AH548" s="1215"/>
      <c r="AI548" s="1216"/>
      <c r="AJ548" s="1217"/>
      <c r="AK548" s="1217"/>
      <c r="AL548" s="1218"/>
      <c r="AM548" s="1047">
        <f>[1]EVERYTHING!$D$8</f>
        <v>4382047</v>
      </c>
      <c r="AN548" s="1048"/>
      <c r="AO548" s="1048"/>
      <c r="AP548" s="1048"/>
      <c r="AQ548" s="1048"/>
      <c r="AR548" s="1048"/>
      <c r="AS548" s="1049"/>
      <c r="AT548" s="745" t="str">
        <f t="shared" si="0"/>
        <v/>
      </c>
      <c r="AU548" s="33"/>
      <c r="AV548" s="33"/>
      <c r="AW548" s="33"/>
      <c r="AX548" s="33"/>
      <c r="AY548" s="33"/>
      <c r="AZ548" s="33"/>
      <c r="BA548" s="33"/>
      <c r="BB548" s="33"/>
      <c r="BC548" s="33"/>
      <c r="BD548" s="33"/>
      <c r="BE548" s="33"/>
      <c r="BF548" s="33"/>
      <c r="BG548" s="33"/>
      <c r="BH548" s="33"/>
      <c r="BI548" s="33"/>
      <c r="BJ548" s="33"/>
      <c r="BK548" s="33"/>
      <c r="BL548" s="33"/>
      <c r="BM548" s="33"/>
      <c r="BN548" s="33"/>
      <c r="BO548" s="33"/>
      <c r="BP548" s="33"/>
      <c r="BQ548" s="33"/>
      <c r="BR548" s="33"/>
      <c r="BS548" s="33"/>
      <c r="BT548" s="33"/>
      <c r="BU548" s="33"/>
      <c r="BV548" s="33"/>
      <c r="BW548" s="33"/>
      <c r="BX548" s="33"/>
      <c r="BY548" s="33"/>
      <c r="BZ548" s="33"/>
      <c r="CA548" s="33"/>
      <c r="CB548" s="33"/>
      <c r="CC548" s="33"/>
      <c r="CD548" s="33"/>
      <c r="CE548" s="33"/>
      <c r="CF548" s="33"/>
      <c r="CG548" s="33"/>
      <c r="CH548" s="33"/>
      <c r="CI548" s="33"/>
      <c r="CJ548" s="33"/>
      <c r="CK548" s="33"/>
      <c r="CL548" s="33"/>
      <c r="CM548" s="33"/>
      <c r="CN548" s="33"/>
      <c r="CO548" s="33"/>
      <c r="CP548" s="33"/>
      <c r="CQ548" s="33"/>
      <c r="CR548" s="33"/>
      <c r="CS548" s="33"/>
    </row>
    <row r="549" spans="1:97" ht="12.95" customHeight="1">
      <c r="B549" s="42" t="s">
        <v>91</v>
      </c>
      <c r="C549" s="1280" t="s">
        <v>1382</v>
      </c>
      <c r="D549" s="1280"/>
      <c r="E549" s="1280"/>
      <c r="F549" s="1280"/>
      <c r="G549" s="1280"/>
      <c r="H549" s="1280"/>
      <c r="I549" s="1280"/>
      <c r="J549" s="1280"/>
      <c r="K549" s="1280"/>
      <c r="L549" s="1280"/>
      <c r="M549" s="1281" t="s">
        <v>1347</v>
      </c>
      <c r="N549" s="1281"/>
      <c r="O549" s="1281"/>
      <c r="P549" s="1281"/>
      <c r="Q549" s="1209">
        <v>660</v>
      </c>
      <c r="R549" s="1210"/>
      <c r="S549" s="1211"/>
      <c r="T549" s="1209"/>
      <c r="U549" s="1210"/>
      <c r="V549" s="1211"/>
      <c r="W549" s="1191">
        <v>0.03</v>
      </c>
      <c r="X549" s="1192"/>
      <c r="Y549" s="1193"/>
      <c r="Z549" s="1212" t="s">
        <v>1380</v>
      </c>
      <c r="AA549" s="1212"/>
      <c r="AB549" s="1212"/>
      <c r="AC549" s="1212"/>
      <c r="AD549" s="1212"/>
      <c r="AE549" s="1213">
        <v>2</v>
      </c>
      <c r="AF549" s="1214"/>
      <c r="AG549" s="1214"/>
      <c r="AH549" s="1215"/>
      <c r="AI549" s="1216"/>
      <c r="AJ549" s="1217"/>
      <c r="AK549" s="1217"/>
      <c r="AL549" s="1218"/>
      <c r="AM549" s="1047">
        <f>[1]EVERYTHING!C9</f>
        <v>1000000</v>
      </c>
      <c r="AN549" s="1048"/>
      <c r="AO549" s="1048"/>
      <c r="AP549" s="1048"/>
      <c r="AQ549" s="1048"/>
      <c r="AR549" s="1048"/>
      <c r="AS549" s="1049"/>
      <c r="AT549" s="745" t="str">
        <f t="shared" si="0"/>
        <v/>
      </c>
      <c r="AU549" s="33"/>
      <c r="AV549" s="33"/>
      <c r="AW549" s="33"/>
      <c r="AX549" s="33"/>
      <c r="AY549" s="33"/>
      <c r="AZ549" s="33"/>
      <c r="BA549" s="33"/>
      <c r="BB549" s="33"/>
      <c r="BC549" s="33"/>
      <c r="BD549" s="33"/>
      <c r="BE549" s="33"/>
      <c r="BF549" s="33"/>
      <c r="BG549" s="33"/>
      <c r="BH549" s="33"/>
      <c r="BI549" s="33"/>
      <c r="BJ549" s="33"/>
      <c r="BK549" s="33"/>
      <c r="BL549" s="33"/>
      <c r="BM549" s="33"/>
      <c r="BN549" s="33"/>
      <c r="BO549" s="33"/>
      <c r="BP549" s="33"/>
      <c r="BQ549" s="33"/>
      <c r="BR549" s="33"/>
      <c r="BS549" s="33"/>
      <c r="BT549" s="33"/>
      <c r="BU549" s="33"/>
      <c r="BV549" s="33"/>
      <c r="BW549" s="33"/>
      <c r="BX549" s="33"/>
      <c r="BY549" s="33"/>
      <c r="BZ549" s="33"/>
      <c r="CA549" s="33"/>
      <c r="CB549" s="33"/>
      <c r="CC549" s="33"/>
      <c r="CD549" s="33"/>
      <c r="CE549" s="33"/>
      <c r="CF549" s="33"/>
      <c r="CG549" s="33"/>
      <c r="CH549" s="33"/>
      <c r="CI549" s="33"/>
      <c r="CJ549" s="33"/>
      <c r="CK549" s="33"/>
      <c r="CL549" s="33"/>
      <c r="CM549" s="33"/>
      <c r="CN549" s="33"/>
      <c r="CO549" s="33"/>
      <c r="CP549" s="33"/>
      <c r="CQ549" s="33"/>
      <c r="CR549" s="33"/>
      <c r="CS549" s="33"/>
    </row>
    <row r="550" spans="1:97" ht="12.95" customHeight="1">
      <c r="B550" s="42" t="s">
        <v>95</v>
      </c>
      <c r="C550" s="1280" t="s">
        <v>1383</v>
      </c>
      <c r="D550" s="1280"/>
      <c r="E550" s="1280"/>
      <c r="F550" s="1280"/>
      <c r="G550" s="1280"/>
      <c r="H550" s="1280"/>
      <c r="I550" s="1280"/>
      <c r="J550" s="1280"/>
      <c r="K550" s="1280"/>
      <c r="L550" s="1280"/>
      <c r="M550" s="1281" t="s">
        <v>1347</v>
      </c>
      <c r="N550" s="1281"/>
      <c r="O550" s="1281"/>
      <c r="P550" s="1281"/>
      <c r="Q550" s="1209">
        <v>660</v>
      </c>
      <c r="R550" s="1210"/>
      <c r="S550" s="1211"/>
      <c r="T550" s="1209"/>
      <c r="U550" s="1210"/>
      <c r="V550" s="1211"/>
      <c r="W550" s="1191">
        <v>0.03</v>
      </c>
      <c r="X550" s="1192"/>
      <c r="Y550" s="1193"/>
      <c r="Z550" s="1212" t="s">
        <v>1380</v>
      </c>
      <c r="AA550" s="1212"/>
      <c r="AB550" s="1212"/>
      <c r="AC550" s="1212"/>
      <c r="AD550" s="1212"/>
      <c r="AE550" s="1213">
        <v>2</v>
      </c>
      <c r="AF550" s="1214"/>
      <c r="AG550" s="1214"/>
      <c r="AH550" s="1215"/>
      <c r="AI550" s="1216"/>
      <c r="AJ550" s="1217"/>
      <c r="AK550" s="1217"/>
      <c r="AL550" s="1218"/>
      <c r="AM550" s="1047">
        <f>[1]EVERYTHING!C10</f>
        <v>1421000</v>
      </c>
      <c r="AN550" s="1048"/>
      <c r="AO550" s="1048"/>
      <c r="AP550" s="1048"/>
      <c r="AQ550" s="1048"/>
      <c r="AR550" s="1048"/>
      <c r="AS550" s="1049"/>
      <c r="AT550" s="745" t="str">
        <f t="shared" si="0"/>
        <v/>
      </c>
      <c r="AU550" s="33"/>
      <c r="AV550" s="33"/>
      <c r="AW550" s="33"/>
      <c r="AX550" s="33"/>
      <c r="AY550" s="33"/>
      <c r="AZ550" s="33"/>
      <c r="BA550" s="33"/>
      <c r="BB550" s="33"/>
      <c r="BC550" s="33"/>
      <c r="BD550" s="33"/>
      <c r="BE550" s="33"/>
      <c r="BF550" s="33"/>
      <c r="BG550" s="33"/>
      <c r="BH550" s="33"/>
      <c r="BI550" s="33"/>
      <c r="BJ550" s="33"/>
      <c r="BK550" s="33"/>
      <c r="BL550" s="33"/>
      <c r="BM550" s="33"/>
      <c r="BN550" s="33"/>
      <c r="BO550" s="33"/>
      <c r="BP550" s="33"/>
      <c r="BQ550" s="33"/>
      <c r="BR550" s="33"/>
      <c r="BS550" s="33"/>
      <c r="BT550" s="33"/>
      <c r="BU550" s="33"/>
      <c r="BV550" s="33"/>
      <c r="BW550" s="33"/>
      <c r="BX550" s="33"/>
      <c r="BY550" s="33"/>
      <c r="BZ550" s="33"/>
      <c r="CA550" s="33"/>
      <c r="CB550" s="33"/>
      <c r="CC550" s="33"/>
      <c r="CD550" s="33"/>
      <c r="CE550" s="33"/>
      <c r="CF550" s="33"/>
      <c r="CG550" s="33"/>
      <c r="CH550" s="33"/>
      <c r="CI550" s="33"/>
      <c r="CJ550" s="33"/>
      <c r="CK550" s="33"/>
      <c r="CL550" s="33"/>
      <c r="CM550" s="33"/>
      <c r="CN550" s="33"/>
      <c r="CO550" s="33"/>
      <c r="CP550" s="33"/>
      <c r="CQ550" s="33"/>
      <c r="CR550" s="33"/>
      <c r="CS550" s="33"/>
    </row>
    <row r="551" spans="1:97" ht="12.95" customHeight="1">
      <c r="B551" s="42" t="s">
        <v>1384</v>
      </c>
      <c r="C551" s="1280" t="s">
        <v>1385</v>
      </c>
      <c r="D551" s="1280"/>
      <c r="E551" s="1280"/>
      <c r="F551" s="1280"/>
      <c r="G551" s="1280"/>
      <c r="H551" s="1280"/>
      <c r="I551" s="1280"/>
      <c r="J551" s="1280"/>
      <c r="K551" s="1280"/>
      <c r="L551" s="1280"/>
      <c r="M551" s="1281" t="s">
        <v>1347</v>
      </c>
      <c r="N551" s="1281"/>
      <c r="O551" s="1281"/>
      <c r="P551" s="1281"/>
      <c r="Q551" s="1209">
        <v>660</v>
      </c>
      <c r="R551" s="1210"/>
      <c r="S551" s="1211"/>
      <c r="T551" s="1209"/>
      <c r="U551" s="1210"/>
      <c r="V551" s="1211"/>
      <c r="W551" s="1191">
        <v>0.03</v>
      </c>
      <c r="X551" s="1192"/>
      <c r="Y551" s="1193"/>
      <c r="Z551" s="1212" t="s">
        <v>1380</v>
      </c>
      <c r="AA551" s="1212"/>
      <c r="AB551" s="1212"/>
      <c r="AC551" s="1212"/>
      <c r="AD551" s="1212"/>
      <c r="AE551" s="1213">
        <v>2</v>
      </c>
      <c r="AF551" s="1214"/>
      <c r="AG551" s="1214"/>
      <c r="AH551" s="1215"/>
      <c r="AI551" s="1216"/>
      <c r="AJ551" s="1217"/>
      <c r="AK551" s="1217"/>
      <c r="AL551" s="1218"/>
      <c r="AM551" s="1047">
        <f>[1]EVERYTHING!C11</f>
        <v>1144947</v>
      </c>
      <c r="AN551" s="1048"/>
      <c r="AO551" s="1048"/>
      <c r="AP551" s="1048"/>
      <c r="AQ551" s="1048"/>
      <c r="AR551" s="1048"/>
      <c r="AS551" s="1049"/>
      <c r="AT551" s="745" t="str">
        <f>IF(AND(NOT(C550=""),C551="",NOT(C552="")),"!","")</f>
        <v/>
      </c>
      <c r="AU551" s="33"/>
      <c r="AV551" s="33"/>
      <c r="AW551" s="33"/>
      <c r="AX551" s="33"/>
      <c r="AY551" s="33"/>
      <c r="AZ551" s="33"/>
      <c r="BA551" s="33"/>
      <c r="BB551" s="33"/>
      <c r="BC551" s="33"/>
      <c r="BD551" s="33"/>
      <c r="BE551" s="33"/>
      <c r="BF551" s="33"/>
      <c r="BG551" s="33"/>
      <c r="BH551" s="33"/>
      <c r="BI551" s="33"/>
      <c r="BJ551" s="33"/>
      <c r="BK551" s="33"/>
      <c r="BL551" s="33"/>
      <c r="BM551" s="33"/>
      <c r="BN551" s="33"/>
      <c r="BO551" s="33"/>
      <c r="BP551" s="33"/>
      <c r="BQ551" s="33"/>
      <c r="BR551" s="33"/>
      <c r="BS551" s="33"/>
      <c r="BT551" s="33"/>
      <c r="BU551" s="33"/>
      <c r="BV551" s="33"/>
      <c r="BW551" s="33"/>
      <c r="BX551" s="33"/>
      <c r="BY551" s="33"/>
      <c r="BZ551" s="33"/>
      <c r="CA551" s="33"/>
      <c r="CB551" s="33"/>
      <c r="CC551" s="33"/>
      <c r="CD551" s="33"/>
      <c r="CE551" s="33"/>
      <c r="CF551" s="33"/>
      <c r="CG551" s="33"/>
      <c r="CH551" s="33"/>
      <c r="CI551" s="33"/>
      <c r="CJ551" s="33"/>
      <c r="CK551" s="33"/>
      <c r="CL551" s="33"/>
      <c r="CM551" s="33"/>
      <c r="CN551" s="33"/>
      <c r="CO551" s="33"/>
      <c r="CP551" s="33"/>
      <c r="CQ551" s="33"/>
      <c r="CR551" s="33"/>
      <c r="CS551" s="33"/>
    </row>
    <row r="552" spans="1:97" ht="12.95" customHeight="1">
      <c r="B552" s="42" t="s">
        <v>1386</v>
      </c>
      <c r="C552" s="1280" t="s">
        <v>1387</v>
      </c>
      <c r="D552" s="1280"/>
      <c r="E552" s="1280"/>
      <c r="F552" s="1280"/>
      <c r="G552" s="1280"/>
      <c r="H552" s="1280"/>
      <c r="I552" s="1280"/>
      <c r="J552" s="1280"/>
      <c r="K552" s="1280"/>
      <c r="L552" s="1280"/>
      <c r="M552" s="1281" t="s">
        <v>1343</v>
      </c>
      <c r="N552" s="1281"/>
      <c r="O552" s="1281"/>
      <c r="P552" s="1281"/>
      <c r="Q552" s="1209">
        <v>660</v>
      </c>
      <c r="R552" s="1210"/>
      <c r="S552" s="1211"/>
      <c r="T552" s="1209"/>
      <c r="U552" s="1210"/>
      <c r="V552" s="1211"/>
      <c r="W552" s="1191">
        <v>0</v>
      </c>
      <c r="X552" s="1192"/>
      <c r="Y552" s="1193"/>
      <c r="Z552" s="1212" t="s">
        <v>325</v>
      </c>
      <c r="AA552" s="1212"/>
      <c r="AB552" s="1212"/>
      <c r="AC552" s="1212"/>
      <c r="AD552" s="1212"/>
      <c r="AE552" s="1213"/>
      <c r="AF552" s="1214"/>
      <c r="AG552" s="1214"/>
      <c r="AH552" s="1215"/>
      <c r="AI552" s="1216"/>
      <c r="AJ552" s="1217"/>
      <c r="AK552" s="1217"/>
      <c r="AL552" s="1218"/>
      <c r="AM552" s="1047">
        <f>[1]EVERYTHING!C12</f>
        <v>349072</v>
      </c>
      <c r="AN552" s="1048"/>
      <c r="AO552" s="1048"/>
      <c r="AP552" s="1048"/>
      <c r="AQ552" s="1048"/>
      <c r="AR552" s="1048"/>
      <c r="AS552" s="1049"/>
      <c r="AT552" s="745" t="str">
        <f t="shared" si="0"/>
        <v/>
      </c>
      <c r="AU552" s="33"/>
      <c r="AV552" s="33"/>
      <c r="AW552" s="33"/>
      <c r="AX552" s="33"/>
      <c r="AY552" s="33"/>
      <c r="AZ552" s="33"/>
      <c r="BA552" s="33"/>
      <c r="BB552" s="33"/>
      <c r="BC552" s="33"/>
      <c r="BD552" s="33"/>
      <c r="BE552" s="33"/>
      <c r="BF552" s="33"/>
      <c r="BG552" s="33"/>
      <c r="BH552" s="33"/>
      <c r="BI552" s="33"/>
      <c r="BJ552" s="33"/>
      <c r="BK552" s="33"/>
      <c r="BL552" s="33"/>
      <c r="BM552" s="33"/>
      <c r="BN552" s="33"/>
      <c r="BO552" s="33"/>
      <c r="BP552" s="33"/>
      <c r="BQ552" s="33"/>
      <c r="BR552" s="33"/>
      <c r="BS552" s="33"/>
      <c r="BT552" s="33"/>
      <c r="BU552" s="33"/>
      <c r="BV552" s="33"/>
      <c r="BW552" s="33"/>
      <c r="BX552" s="33"/>
      <c r="BY552" s="33"/>
      <c r="BZ552" s="33"/>
      <c r="CA552" s="33"/>
      <c r="CB552" s="33"/>
      <c r="CC552" s="33"/>
      <c r="CD552" s="33"/>
      <c r="CE552" s="33"/>
      <c r="CF552" s="33"/>
      <c r="CG552" s="33"/>
      <c r="CH552" s="33"/>
      <c r="CI552" s="33"/>
      <c r="CJ552" s="33"/>
      <c r="CK552" s="33"/>
      <c r="CL552" s="33"/>
      <c r="CM552" s="33"/>
      <c r="CN552" s="33"/>
      <c r="CO552" s="33"/>
      <c r="CP552" s="33"/>
      <c r="CQ552" s="33"/>
      <c r="CR552" s="33"/>
      <c r="CS552" s="33"/>
    </row>
    <row r="553" spans="1:97" ht="12.95" customHeight="1">
      <c r="B553" s="42" t="s">
        <v>1388</v>
      </c>
      <c r="C553" s="1280" t="s">
        <v>1389</v>
      </c>
      <c r="D553" s="1280"/>
      <c r="E553" s="1280"/>
      <c r="F553" s="1280"/>
      <c r="G553" s="1280"/>
      <c r="H553" s="1280"/>
      <c r="I553" s="1280"/>
      <c r="J553" s="1280"/>
      <c r="K553" s="1280"/>
      <c r="L553" s="1280"/>
      <c r="M553" s="1281" t="s">
        <v>1343</v>
      </c>
      <c r="N553" s="1281"/>
      <c r="O553" s="1281"/>
      <c r="P553" s="1281"/>
      <c r="Q553" s="1209">
        <v>660</v>
      </c>
      <c r="R553" s="1210"/>
      <c r="S553" s="1211"/>
      <c r="T553" s="1209"/>
      <c r="U553" s="1210"/>
      <c r="V553" s="1211"/>
      <c r="W553" s="1191">
        <v>0</v>
      </c>
      <c r="X553" s="1192"/>
      <c r="Y553" s="1193"/>
      <c r="Z553" s="1212" t="s">
        <v>325</v>
      </c>
      <c r="AA553" s="1212"/>
      <c r="AB553" s="1212"/>
      <c r="AC553" s="1212"/>
      <c r="AD553" s="1212"/>
      <c r="AE553" s="1213"/>
      <c r="AF553" s="1214"/>
      <c r="AG553" s="1214"/>
      <c r="AH553" s="1215"/>
      <c r="AI553" s="1216"/>
      <c r="AJ553" s="1217"/>
      <c r="AK553" s="1217"/>
      <c r="AL553" s="1218"/>
      <c r="AM553" s="1047">
        <f>[1]EVERYTHING!C13</f>
        <v>464940</v>
      </c>
      <c r="AN553" s="1048"/>
      <c r="AO553" s="1048"/>
      <c r="AP553" s="1048"/>
      <c r="AQ553" s="1048"/>
      <c r="AR553" s="1048"/>
      <c r="AS553" s="1049"/>
      <c r="AT553" s="745" t="str">
        <f t="shared" si="0"/>
        <v/>
      </c>
      <c r="AU553" s="33"/>
      <c r="AV553" s="33"/>
      <c r="AW553" s="33"/>
      <c r="AX553" s="33"/>
      <c r="AY553" s="33"/>
      <c r="AZ553" s="33"/>
      <c r="BA553" s="33"/>
      <c r="BB553" s="33"/>
      <c r="BC553" s="33"/>
      <c r="BD553" s="33"/>
      <c r="BE553" s="33"/>
      <c r="BF553" s="33"/>
      <c r="BG553" s="33"/>
      <c r="BH553" s="33"/>
      <c r="BI553" s="33"/>
      <c r="BJ553" s="33"/>
      <c r="BK553" s="33"/>
      <c r="BL553" s="33"/>
      <c r="BM553" s="33"/>
      <c r="BN553" s="33"/>
      <c r="BO553" s="33"/>
      <c r="BP553" s="33"/>
      <c r="BQ553" s="33"/>
      <c r="BR553" s="33"/>
      <c r="BS553" s="33"/>
      <c r="BT553" s="33"/>
      <c r="BU553" s="33"/>
      <c r="BV553" s="33"/>
      <c r="BW553" s="33"/>
      <c r="BX553" s="33"/>
      <c r="BY553" s="33"/>
      <c r="BZ553" s="33"/>
      <c r="CA553" s="33"/>
      <c r="CB553" s="33"/>
      <c r="CC553" s="33"/>
      <c r="CD553" s="33"/>
      <c r="CE553" s="33"/>
      <c r="CF553" s="33"/>
      <c r="CG553" s="33"/>
      <c r="CH553" s="33"/>
      <c r="CI553" s="33"/>
      <c r="CJ553" s="33"/>
      <c r="CK553" s="33"/>
      <c r="CL553" s="33"/>
      <c r="CM553" s="33"/>
      <c r="CN553" s="33"/>
      <c r="CO553" s="33"/>
      <c r="CP553" s="33"/>
      <c r="CQ553" s="33"/>
      <c r="CR553" s="33"/>
      <c r="CS553" s="33"/>
    </row>
    <row r="554" spans="1:97" ht="12.95" customHeight="1">
      <c r="B554" s="42" t="s">
        <v>1390</v>
      </c>
      <c r="C554" s="1280" t="s">
        <v>1391</v>
      </c>
      <c r="D554" s="1280"/>
      <c r="E554" s="1280"/>
      <c r="F554" s="1280"/>
      <c r="G554" s="1280"/>
      <c r="H554" s="1280"/>
      <c r="I554" s="1280"/>
      <c r="J554" s="1280"/>
      <c r="K554" s="1280"/>
      <c r="L554" s="1280"/>
      <c r="M554" s="1281" t="s">
        <v>1339</v>
      </c>
      <c r="N554" s="1281"/>
      <c r="O554" s="1281"/>
      <c r="P554" s="1281"/>
      <c r="Q554" s="1209"/>
      <c r="R554" s="1210"/>
      <c r="S554" s="1211"/>
      <c r="T554" s="1209"/>
      <c r="U554" s="1210"/>
      <c r="V554" s="1211"/>
      <c r="W554" s="1191"/>
      <c r="X554" s="1192"/>
      <c r="Y554" s="1193"/>
      <c r="Z554" s="1212" t="s">
        <v>325</v>
      </c>
      <c r="AA554" s="1212"/>
      <c r="AB554" s="1212"/>
      <c r="AC554" s="1212"/>
      <c r="AD554" s="1212"/>
      <c r="AE554" s="1213"/>
      <c r="AF554" s="1214"/>
      <c r="AG554" s="1214"/>
      <c r="AH554" s="1215"/>
      <c r="AI554" s="1216"/>
      <c r="AJ554" s="1217"/>
      <c r="AK554" s="1217"/>
      <c r="AL554" s="1218"/>
      <c r="AM554" s="1047">
        <f>[1]EVERYTHING!D19</f>
        <v>100</v>
      </c>
      <c r="AN554" s="1048"/>
      <c r="AO554" s="1048"/>
      <c r="AP554" s="1048"/>
      <c r="AQ554" s="1048"/>
      <c r="AR554" s="1048"/>
      <c r="AS554" s="1049"/>
      <c r="AT554" s="745" t="str">
        <f t="shared" si="0"/>
        <v/>
      </c>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c r="BU554" s="33"/>
      <c r="BV554" s="33"/>
      <c r="BW554" s="33"/>
      <c r="BX554" s="33"/>
      <c r="BY554" s="33"/>
      <c r="BZ554" s="33"/>
      <c r="CA554" s="33"/>
      <c r="CB554" s="33"/>
      <c r="CC554" s="33"/>
      <c r="CD554" s="33"/>
      <c r="CE554" s="33"/>
      <c r="CF554" s="33"/>
      <c r="CG554" s="33"/>
      <c r="CH554" s="33"/>
      <c r="CI554" s="33"/>
      <c r="CJ554" s="33"/>
      <c r="CK554" s="33"/>
      <c r="CL554" s="33"/>
      <c r="CM554" s="33"/>
      <c r="CN554" s="33"/>
      <c r="CO554" s="33"/>
      <c r="CP554" s="33"/>
      <c r="CQ554" s="33"/>
      <c r="CR554" s="33"/>
      <c r="CS554" s="33"/>
    </row>
    <row r="555" spans="1:97" ht="12.95" customHeight="1">
      <c r="B555" s="42" t="s">
        <v>1392</v>
      </c>
      <c r="C555" s="927" t="s">
        <v>1393</v>
      </c>
      <c r="D555" s="927"/>
      <c r="E555" s="927"/>
      <c r="F555" s="927"/>
      <c r="G555" s="927"/>
      <c r="H555" s="927"/>
      <c r="I555" s="927"/>
      <c r="J555" s="927"/>
      <c r="K555" s="927"/>
      <c r="L555" s="927"/>
      <c r="M555" s="1281" t="s">
        <v>1341</v>
      </c>
      <c r="N555" s="1281"/>
      <c r="O555" s="1281"/>
      <c r="P555" s="1281"/>
      <c r="Q555" s="1209"/>
      <c r="R555" s="1210"/>
      <c r="S555" s="1211"/>
      <c r="T555" s="1209"/>
      <c r="U555" s="1210"/>
      <c r="V555" s="1211"/>
      <c r="W555" s="1191"/>
      <c r="X555" s="1192"/>
      <c r="Y555" s="1193"/>
      <c r="Z555" s="1212" t="s">
        <v>325</v>
      </c>
      <c r="AA555" s="1212"/>
      <c r="AB555" s="1212"/>
      <c r="AC555" s="1212"/>
      <c r="AD555" s="1212"/>
      <c r="AE555" s="1213"/>
      <c r="AF555" s="1214"/>
      <c r="AG555" s="1214"/>
      <c r="AH555" s="1215"/>
      <c r="AI555" s="1216"/>
      <c r="AJ555" s="1217"/>
      <c r="AK555" s="1217"/>
      <c r="AL555" s="1218"/>
      <c r="AM555" s="1047">
        <f>[1]EVERYTHING!D20</f>
        <v>2209987.994581318</v>
      </c>
      <c r="AN555" s="1048"/>
      <c r="AO555" s="1048"/>
      <c r="AP555" s="1048"/>
      <c r="AQ555" s="1048"/>
      <c r="AR555" s="1048"/>
      <c r="AS555" s="1049"/>
      <c r="AT555" s="745" t="str">
        <f t="shared" si="0"/>
        <v/>
      </c>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c r="BU555" s="33"/>
      <c r="BV555" s="33"/>
      <c r="BW555" s="33"/>
      <c r="BX555" s="33"/>
      <c r="BY555" s="33"/>
      <c r="BZ555" s="33"/>
      <c r="CA555" s="33"/>
      <c r="CB555" s="33"/>
      <c r="CC555" s="33"/>
      <c r="CD555" s="33"/>
      <c r="CE555" s="33"/>
      <c r="CF555" s="33"/>
      <c r="CG555" s="33"/>
      <c r="CH555" s="33"/>
      <c r="CI555" s="33"/>
      <c r="CJ555" s="33"/>
      <c r="CK555" s="33"/>
      <c r="CL555" s="33"/>
      <c r="CM555" s="33"/>
      <c r="CN555" s="33"/>
      <c r="CO555" s="33"/>
      <c r="CP555" s="33"/>
      <c r="CQ555" s="33"/>
      <c r="CR555" s="33"/>
      <c r="CS555" s="33"/>
    </row>
    <row r="556" spans="1:97" ht="12.95" customHeight="1">
      <c r="B556" s="42" t="s">
        <v>1394</v>
      </c>
      <c r="C556" s="1280"/>
      <c r="D556" s="1280"/>
      <c r="E556" s="1280"/>
      <c r="F556" s="1280"/>
      <c r="G556" s="1280"/>
      <c r="H556" s="1280"/>
      <c r="I556" s="1280"/>
      <c r="J556" s="1280"/>
      <c r="K556" s="1280"/>
      <c r="L556" s="1280"/>
      <c r="M556" s="1281" t="s">
        <v>1225</v>
      </c>
      <c r="N556" s="1281"/>
      <c r="O556" s="1281"/>
      <c r="P556" s="1281"/>
      <c r="Q556" s="1209"/>
      <c r="R556" s="1210"/>
      <c r="S556" s="1211"/>
      <c r="T556" s="1209"/>
      <c r="U556" s="1210"/>
      <c r="V556" s="1211"/>
      <c r="W556" s="1191"/>
      <c r="X556" s="1192"/>
      <c r="Y556" s="1193"/>
      <c r="Z556" s="1212" t="s">
        <v>1225</v>
      </c>
      <c r="AA556" s="1212"/>
      <c r="AB556" s="1212"/>
      <c r="AC556" s="1212"/>
      <c r="AD556" s="1212"/>
      <c r="AE556" s="1213"/>
      <c r="AF556" s="1214"/>
      <c r="AG556" s="1214"/>
      <c r="AH556" s="1215"/>
      <c r="AI556" s="1216"/>
      <c r="AJ556" s="1217"/>
      <c r="AK556" s="1217"/>
      <c r="AL556" s="1218"/>
      <c r="AM556" s="1047"/>
      <c r="AN556" s="1048"/>
      <c r="AO556" s="1048"/>
      <c r="AP556" s="1048"/>
      <c r="AQ556" s="1048"/>
      <c r="AR556" s="1048"/>
      <c r="AS556" s="1049"/>
      <c r="AT556" s="745" t="str">
        <f t="shared" si="0"/>
        <v/>
      </c>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row>
    <row r="557" spans="1:97" ht="12.95" customHeight="1">
      <c r="B557" s="42" t="s">
        <v>1395</v>
      </c>
      <c r="C557" s="1280"/>
      <c r="D557" s="1280"/>
      <c r="E557" s="1280"/>
      <c r="F557" s="1280"/>
      <c r="G557" s="1280"/>
      <c r="H557" s="1280"/>
      <c r="I557" s="1280"/>
      <c r="J557" s="1280"/>
      <c r="K557" s="1280"/>
      <c r="L557" s="1280"/>
      <c r="M557" s="1281" t="s">
        <v>1225</v>
      </c>
      <c r="N557" s="1281"/>
      <c r="O557" s="1281"/>
      <c r="P557" s="1281"/>
      <c r="Q557" s="1209"/>
      <c r="R557" s="1210"/>
      <c r="S557" s="1211"/>
      <c r="T557" s="1209"/>
      <c r="U557" s="1210"/>
      <c r="V557" s="1211"/>
      <c r="W557" s="1191"/>
      <c r="X557" s="1192"/>
      <c r="Y557" s="1193"/>
      <c r="Z557" s="1212" t="s">
        <v>1225</v>
      </c>
      <c r="AA557" s="1212"/>
      <c r="AB557" s="1212"/>
      <c r="AC557" s="1212"/>
      <c r="AD557" s="1212"/>
      <c r="AE557" s="1213"/>
      <c r="AF557" s="1214"/>
      <c r="AG557" s="1214"/>
      <c r="AH557" s="1215"/>
      <c r="AI557" s="1216"/>
      <c r="AJ557" s="1217"/>
      <c r="AK557" s="1217"/>
      <c r="AL557" s="1218"/>
      <c r="AM557" s="1047"/>
      <c r="AN557" s="1048"/>
      <c r="AO557" s="1048"/>
      <c r="AP557" s="1048"/>
      <c r="AQ557" s="1048"/>
      <c r="AR557" s="1048"/>
      <c r="AS557" s="1049"/>
      <c r="AT557" s="745" t="str">
        <f t="shared" si="0"/>
        <v/>
      </c>
      <c r="AU557" s="33"/>
      <c r="AV557" s="33"/>
      <c r="AW557" s="33"/>
      <c r="AX557" s="33"/>
      <c r="AY557" s="33"/>
      <c r="AZ557" s="33"/>
      <c r="BA557" s="33"/>
      <c r="BB557" s="33"/>
      <c r="BC557" s="33"/>
      <c r="BD557" s="33"/>
      <c r="BE557" s="33"/>
      <c r="BF557" s="33"/>
      <c r="BG557" s="33"/>
      <c r="BH557" s="33"/>
      <c r="BI557" s="33"/>
      <c r="BJ557" s="33"/>
      <c r="BK557" s="33"/>
      <c r="BL557" s="33"/>
      <c r="BM557" s="33"/>
      <c r="BN557" s="33"/>
      <c r="BO557" s="33"/>
      <c r="BP557" s="33"/>
      <c r="BQ557" s="33"/>
      <c r="BR557" s="33"/>
      <c r="BS557" s="33"/>
      <c r="BT557" s="33"/>
      <c r="BU557" s="33"/>
      <c r="BV557" s="33"/>
      <c r="BW557" s="33"/>
      <c r="BX557" s="33"/>
      <c r="BY557" s="33"/>
      <c r="BZ557" s="33"/>
      <c r="CA557" s="33"/>
      <c r="CB557" s="33"/>
      <c r="CC557" s="33"/>
      <c r="CD557" s="33"/>
      <c r="CE557" s="33"/>
      <c r="CF557" s="33"/>
      <c r="CG557" s="33"/>
      <c r="CH557" s="33"/>
      <c r="CI557" s="33"/>
      <c r="CJ557" s="33"/>
      <c r="CK557" s="33"/>
      <c r="CL557" s="33"/>
      <c r="CM557" s="33"/>
      <c r="CN557" s="33"/>
      <c r="CO557" s="33"/>
      <c r="CP557" s="33"/>
      <c r="CQ557" s="33"/>
      <c r="CR557" s="33"/>
      <c r="CS557" s="33"/>
    </row>
    <row r="558" spans="1:97" ht="12.95" customHeight="1">
      <c r="B558" s="1094" t="s">
        <v>1396</v>
      </c>
      <c r="C558" s="1095"/>
      <c r="D558" s="1095"/>
      <c r="E558" s="1095"/>
      <c r="F558" s="1095"/>
      <c r="G558" s="1095"/>
      <c r="H558" s="1095"/>
      <c r="I558" s="1095"/>
      <c r="J558" s="1095"/>
      <c r="K558" s="1095"/>
      <c r="L558" s="1095"/>
      <c r="M558" s="1095"/>
      <c r="N558" s="1095"/>
      <c r="O558" s="1095"/>
      <c r="P558" s="1095"/>
      <c r="Q558" s="1095"/>
      <c r="R558" s="1095"/>
      <c r="S558" s="1095"/>
      <c r="T558" s="1095"/>
      <c r="U558" s="1326"/>
      <c r="V558" s="1095"/>
      <c r="W558" s="1095"/>
      <c r="X558" s="1095"/>
      <c r="Y558" s="1095"/>
      <c r="Z558" s="1095"/>
      <c r="AA558" s="1095"/>
      <c r="AB558" s="1095"/>
      <c r="AC558" s="1095"/>
      <c r="AD558" s="1095"/>
      <c r="AE558" s="1095"/>
      <c r="AF558" s="1095"/>
      <c r="AG558" s="1095"/>
      <c r="AH558" s="1095"/>
      <c r="AI558" s="1095"/>
      <c r="AJ558" s="1095"/>
      <c r="AK558" s="1095"/>
      <c r="AL558" s="1096"/>
      <c r="AM558" s="1111">
        <f>SUM(AM546:AS557)</f>
        <v>39200090.332218789</v>
      </c>
      <c r="AN558" s="1112"/>
      <c r="AO558" s="1112"/>
      <c r="AP558" s="1112"/>
      <c r="AQ558" s="1112"/>
      <c r="AR558" s="1112"/>
      <c r="AS558" s="1113"/>
      <c r="AT558" s="33"/>
      <c r="AU558" s="33"/>
      <c r="AV558" s="33"/>
      <c r="AW558" s="33"/>
      <c r="AX558" s="33"/>
      <c r="AY558" s="33"/>
      <c r="AZ558" s="33"/>
      <c r="BB558" s="33"/>
      <c r="BC558" s="33"/>
      <c r="BD558" s="33"/>
      <c r="BE558" s="33"/>
      <c r="BF558" s="33"/>
      <c r="BG558" s="33"/>
      <c r="BH558" s="33"/>
      <c r="BI558" s="33"/>
      <c r="BJ558" s="33"/>
      <c r="BK558" s="33"/>
      <c r="BL558" s="33"/>
      <c r="BM558" s="33"/>
      <c r="BN558" s="33"/>
      <c r="BO558" s="33"/>
      <c r="BP558" s="33"/>
      <c r="BQ558" s="33"/>
      <c r="BR558" s="33"/>
      <c r="BS558" s="33"/>
      <c r="BT558" s="33"/>
      <c r="BU558" s="33"/>
      <c r="BV558" s="33"/>
      <c r="BW558" s="33"/>
      <c r="BX558" s="33"/>
      <c r="BY558" s="33"/>
      <c r="BZ558" s="33"/>
      <c r="CA558" s="33"/>
      <c r="CB558" s="33"/>
      <c r="CC558" s="33"/>
      <c r="CD558" s="33"/>
      <c r="CE558" s="33"/>
      <c r="CF558" s="33"/>
      <c r="CG558" s="33"/>
      <c r="CH558" s="33"/>
      <c r="CI558" s="33"/>
      <c r="CJ558" s="33"/>
      <c r="CK558" s="33"/>
      <c r="CL558" s="33"/>
      <c r="CM558" s="33"/>
      <c r="CN558" s="33"/>
      <c r="CO558" s="33"/>
      <c r="CP558" s="33"/>
      <c r="CQ558" s="33"/>
      <c r="CR558" s="33"/>
      <c r="CS558" s="33"/>
    </row>
    <row r="559" spans="1:97" ht="12.95" customHeight="1">
      <c r="B559" s="836"/>
      <c r="C559" s="836"/>
      <c r="D559" s="836"/>
      <c r="E559" s="836"/>
      <c r="F559" s="836"/>
      <c r="G559" s="836"/>
      <c r="H559" s="836"/>
      <c r="I559" s="836"/>
      <c r="J559" s="836"/>
      <c r="K559" s="836"/>
      <c r="L559" s="836"/>
      <c r="M559" s="836"/>
      <c r="N559" s="836"/>
      <c r="O559" s="836"/>
      <c r="P559" s="836"/>
      <c r="Q559" s="836"/>
      <c r="R559" s="836"/>
      <c r="S559" s="836"/>
      <c r="T559" s="836"/>
      <c r="U559" s="836"/>
      <c r="V559" s="836"/>
      <c r="W559" s="836"/>
      <c r="X559" s="836"/>
      <c r="Y559" s="836"/>
      <c r="Z559" s="836"/>
      <c r="AA559" s="836"/>
      <c r="AB559" s="836"/>
      <c r="AC559" s="836"/>
      <c r="AD559" s="836"/>
      <c r="AE559" s="785"/>
      <c r="AF559" s="785"/>
      <c r="AG559" s="785"/>
      <c r="AH559" s="785"/>
      <c r="AI559" s="785"/>
      <c r="AJ559" s="785"/>
      <c r="AK559" s="785"/>
      <c r="AM559" s="33"/>
      <c r="AN559" s="33"/>
      <c r="AO559" s="33"/>
      <c r="AP559" s="33"/>
      <c r="AQ559" s="33"/>
      <c r="AR559" s="33"/>
      <c r="AS559" s="33"/>
      <c r="AT559" s="33"/>
      <c r="AU559" s="33"/>
      <c r="AV559" s="33"/>
      <c r="AW559" s="33"/>
      <c r="AX559" s="33"/>
      <c r="AY559" s="33"/>
      <c r="AZ559" s="33"/>
      <c r="BB559" s="33"/>
      <c r="BC559" s="33"/>
      <c r="BD559" s="33"/>
      <c r="BE559" s="33"/>
      <c r="BF559" s="33"/>
      <c r="BG559" s="33"/>
      <c r="BH559" s="33"/>
      <c r="BI559" s="33"/>
      <c r="BJ559" s="33"/>
      <c r="BK559" s="33"/>
      <c r="BL559" s="33"/>
      <c r="BM559" s="33"/>
      <c r="BN559" s="33"/>
      <c r="BO559" s="33"/>
      <c r="BP559" s="33"/>
      <c r="BQ559" s="33"/>
      <c r="BR559" s="33"/>
      <c r="BS559" s="33"/>
      <c r="BT559" s="33"/>
      <c r="BU559" s="33"/>
      <c r="BV559" s="33"/>
      <c r="BW559" s="33"/>
      <c r="BX559" s="33"/>
      <c r="BY559" s="33"/>
      <c r="BZ559" s="33"/>
      <c r="CA559" s="33"/>
      <c r="CB559" s="33"/>
      <c r="CC559" s="33"/>
      <c r="CD559" s="33"/>
      <c r="CE559" s="33"/>
      <c r="CF559" s="33"/>
      <c r="CG559" s="33"/>
      <c r="CH559" s="33"/>
      <c r="CI559" s="33"/>
      <c r="CJ559" s="33"/>
      <c r="CK559" s="33"/>
      <c r="CL559" s="33"/>
      <c r="CM559" s="33"/>
      <c r="CN559" s="33"/>
      <c r="CO559" s="33"/>
      <c r="CP559" s="33"/>
      <c r="CQ559" s="33"/>
      <c r="CR559" s="33"/>
      <c r="CS559" s="33"/>
    </row>
    <row r="560" spans="1:97" ht="12.95" customHeight="1">
      <c r="A560" s="43" t="s">
        <v>14</v>
      </c>
      <c r="B560" t="s">
        <v>1397</v>
      </c>
      <c r="G560" s="1076" t="str">
        <f>C546</f>
        <v>Construction Loan</v>
      </c>
      <c r="H560" s="1076"/>
      <c r="I560" s="1076"/>
      <c r="J560" s="1076"/>
      <c r="K560" s="1076"/>
      <c r="L560" s="1076"/>
      <c r="M560" s="1076"/>
      <c r="N560" s="1076"/>
      <c r="O560" s="1076"/>
      <c r="P560" s="1076"/>
      <c r="Q560" s="1076"/>
      <c r="R560" s="1076"/>
      <c r="S560" s="11"/>
      <c r="T560" s="43" t="s">
        <v>27</v>
      </c>
      <c r="U560" t="s">
        <v>1397</v>
      </c>
      <c r="Z560" s="1076" t="str">
        <f>C547</f>
        <v>Contra Costa County HOME</v>
      </c>
      <c r="AA560" s="1076"/>
      <c r="AB560" s="1076"/>
      <c r="AC560" s="1076"/>
      <c r="AD560" s="1076"/>
      <c r="AE560" s="1076"/>
      <c r="AF560" s="1076"/>
      <c r="AG560" s="1076"/>
      <c r="AH560" s="1076"/>
      <c r="AI560" s="1076"/>
      <c r="AJ560" s="1076"/>
      <c r="AK560" s="1076"/>
      <c r="AM560" s="33"/>
      <c r="AN560" s="33"/>
      <c r="AO560" s="33"/>
      <c r="AP560" s="33"/>
      <c r="AQ560" s="33"/>
      <c r="AR560" s="33"/>
      <c r="AS560" s="33"/>
      <c r="AT560" s="33"/>
      <c r="AU560" s="33"/>
      <c r="AV560" s="33"/>
      <c r="AW560" s="33"/>
      <c r="AX560" s="33"/>
      <c r="AY560" s="33"/>
      <c r="AZ560" s="33"/>
      <c r="BA560" s="33"/>
      <c r="BB560" s="33"/>
      <c r="BC560" s="33"/>
      <c r="BD560" s="33"/>
      <c r="BE560" s="33"/>
      <c r="BF560" s="33"/>
      <c r="BG560" s="33"/>
      <c r="BH560" s="33"/>
      <c r="BI560" s="33"/>
      <c r="BJ560" s="33"/>
      <c r="BK560" s="33"/>
      <c r="BL560" s="33"/>
      <c r="BM560" s="33"/>
      <c r="BN560" s="33"/>
      <c r="BO560" s="33"/>
      <c r="BP560" s="33"/>
      <c r="BQ560" s="33"/>
      <c r="BR560" s="33"/>
      <c r="BS560" s="33"/>
      <c r="BT560" s="33"/>
      <c r="BU560" s="33"/>
      <c r="BV560" s="33"/>
      <c r="BW560" s="33"/>
      <c r="BX560" s="33"/>
      <c r="BY560" s="33"/>
      <c r="BZ560" s="33"/>
      <c r="CA560" s="33"/>
      <c r="CB560" s="33"/>
      <c r="CC560" s="33"/>
      <c r="CD560" s="33"/>
      <c r="CE560" s="33"/>
      <c r="CF560" s="33"/>
      <c r="CG560" s="33"/>
      <c r="CH560" s="33"/>
      <c r="CI560" s="33"/>
      <c r="CJ560" s="33"/>
      <c r="CK560" s="33"/>
      <c r="CL560" s="33"/>
      <c r="CM560" s="33"/>
      <c r="CN560" s="33"/>
      <c r="CO560" s="33"/>
      <c r="CP560" s="33"/>
      <c r="CQ560" s="33"/>
      <c r="CR560" s="33"/>
      <c r="CS560" s="33"/>
    </row>
    <row r="561" spans="1:97" ht="12.95" customHeight="1">
      <c r="A561" s="3"/>
      <c r="B561" t="s">
        <v>1048</v>
      </c>
      <c r="G561" s="1184" t="s">
        <v>1398</v>
      </c>
      <c r="H561" s="1181"/>
      <c r="I561" s="1181"/>
      <c r="J561" s="1181"/>
      <c r="K561" s="1181"/>
      <c r="L561" s="1181"/>
      <c r="M561" s="1181"/>
      <c r="N561" s="1181"/>
      <c r="O561" s="1181"/>
      <c r="P561" s="1181"/>
      <c r="Q561" s="1181"/>
      <c r="R561" s="1181"/>
      <c r="S561" s="11"/>
      <c r="T561" s="3"/>
      <c r="U561" t="s">
        <v>1048</v>
      </c>
      <c r="Z561" s="1184" t="s">
        <v>1399</v>
      </c>
      <c r="AA561" s="1181"/>
      <c r="AB561" s="1181"/>
      <c r="AC561" s="1181"/>
      <c r="AD561" s="1181"/>
      <c r="AE561" s="1181"/>
      <c r="AF561" s="1181"/>
      <c r="AG561" s="1181"/>
      <c r="AH561" s="1181"/>
      <c r="AI561" s="1181"/>
      <c r="AJ561" s="1181"/>
      <c r="AK561" s="1181"/>
      <c r="AM561" s="33"/>
      <c r="AN561" s="33"/>
      <c r="AO561" s="33"/>
      <c r="AP561" s="33"/>
      <c r="AQ561" s="33"/>
      <c r="AR561" s="33"/>
      <c r="AS561" s="33"/>
      <c r="AT561" s="33"/>
      <c r="AU561" s="33"/>
      <c r="AV561" s="33"/>
      <c r="AW561" s="33"/>
      <c r="AX561" s="33"/>
      <c r="AY561" s="33"/>
      <c r="AZ561" s="33"/>
      <c r="BA561" s="33"/>
      <c r="BB561" s="33"/>
      <c r="BC561" s="33"/>
      <c r="BD561" s="33"/>
      <c r="BE561" s="33"/>
      <c r="BF561" s="33"/>
      <c r="BG561" s="33"/>
      <c r="BH561" s="33"/>
      <c r="BI561" s="33"/>
      <c r="BJ561" s="33"/>
      <c r="BK561" s="33"/>
      <c r="BL561" s="33"/>
      <c r="BM561" s="33"/>
      <c r="BN561" s="33"/>
      <c r="BO561" s="33"/>
      <c r="BP561" s="33"/>
      <c r="BQ561" s="33"/>
      <c r="BR561" s="33"/>
      <c r="BS561" s="33"/>
      <c r="BT561" s="33"/>
      <c r="BU561" s="33"/>
      <c r="BV561" s="33"/>
      <c r="BW561" s="33"/>
      <c r="BX561" s="33"/>
      <c r="BY561" s="33"/>
      <c r="BZ561" s="33"/>
      <c r="CA561" s="33"/>
      <c r="CB561" s="33"/>
      <c r="CC561" s="33"/>
      <c r="CD561" s="33"/>
      <c r="CE561" s="33"/>
      <c r="CF561" s="33"/>
      <c r="CG561" s="33"/>
      <c r="CH561" s="33"/>
      <c r="CI561" s="33"/>
      <c r="CJ561" s="33"/>
      <c r="CK561" s="33"/>
      <c r="CL561" s="33"/>
      <c r="CM561" s="33"/>
      <c r="CN561" s="33"/>
      <c r="CO561" s="33"/>
      <c r="CP561" s="33"/>
      <c r="CQ561" s="33"/>
      <c r="CR561" s="33"/>
      <c r="CS561" s="33"/>
    </row>
    <row r="562" spans="1:97" ht="12.95" customHeight="1">
      <c r="A562" s="3"/>
      <c r="B562" t="s">
        <v>908</v>
      </c>
      <c r="G562" s="1184" t="s">
        <v>1400</v>
      </c>
      <c r="H562" s="1181"/>
      <c r="I562" s="1181"/>
      <c r="J562" s="1181"/>
      <c r="K562" s="1181"/>
      <c r="L562" s="1181"/>
      <c r="M562" s="1181"/>
      <c r="N562" s="1181"/>
      <c r="O562" s="1181"/>
      <c r="P562" s="1181"/>
      <c r="Q562" s="1181"/>
      <c r="R562" s="1181"/>
      <c r="T562" s="3"/>
      <c r="U562" t="s">
        <v>908</v>
      </c>
      <c r="Z562" s="1179" t="s">
        <v>1401</v>
      </c>
      <c r="AA562" s="1183"/>
      <c r="AB562" s="1183"/>
      <c r="AC562" s="1183"/>
      <c r="AD562" s="1183"/>
      <c r="AE562" s="1183"/>
      <c r="AF562" s="1183"/>
      <c r="AG562" s="1183"/>
      <c r="AH562" s="1183"/>
      <c r="AI562" s="1183"/>
      <c r="AJ562" s="1183"/>
      <c r="AK562" s="1183"/>
      <c r="AM562" s="33"/>
      <c r="AN562" s="33"/>
      <c r="AO562" s="33"/>
      <c r="AP562" s="33"/>
      <c r="AQ562" s="33"/>
      <c r="AR562" s="33"/>
      <c r="AS562" s="33"/>
      <c r="AT562" s="33"/>
      <c r="AU562" s="33"/>
      <c r="AV562" s="33"/>
      <c r="AW562" s="33"/>
      <c r="AX562" s="33"/>
      <c r="AY562" s="33"/>
      <c r="AZ562" s="33"/>
      <c r="BA562" s="33"/>
      <c r="BB562" s="33"/>
      <c r="BC562" s="33"/>
      <c r="BD562" s="33"/>
      <c r="BE562" s="33"/>
      <c r="BF562" s="33"/>
      <c r="BG562" s="33"/>
      <c r="BH562" s="33"/>
      <c r="BI562" s="33"/>
      <c r="BJ562" s="33"/>
      <c r="BK562" s="33"/>
      <c r="BL562" s="33"/>
      <c r="BM562" s="33"/>
      <c r="BN562" s="33"/>
      <c r="BO562" s="33"/>
      <c r="BP562" s="33"/>
      <c r="BQ562" s="33"/>
      <c r="BR562" s="33"/>
      <c r="BS562" s="33"/>
      <c r="BT562" s="33"/>
      <c r="BU562" s="33"/>
      <c r="BV562" s="33"/>
      <c r="BW562" s="33"/>
      <c r="BX562" s="33"/>
      <c r="BY562" s="33"/>
      <c r="BZ562" s="33"/>
      <c r="CA562" s="33"/>
      <c r="CB562" s="33"/>
      <c r="CC562" s="33"/>
      <c r="CD562" s="33"/>
      <c r="CE562" s="33"/>
      <c r="CF562" s="33"/>
      <c r="CG562" s="33"/>
      <c r="CH562" s="33"/>
      <c r="CI562" s="33"/>
      <c r="CJ562" s="33"/>
      <c r="CK562" s="33"/>
      <c r="CL562" s="33"/>
      <c r="CM562" s="33"/>
      <c r="CN562" s="33"/>
      <c r="CO562" s="33"/>
      <c r="CP562" s="33"/>
      <c r="CQ562" s="33"/>
      <c r="CR562" s="33"/>
      <c r="CS562" s="33"/>
    </row>
    <row r="563" spans="1:97" ht="12.95" customHeight="1">
      <c r="A563" s="3"/>
      <c r="B563" t="s">
        <v>1402</v>
      </c>
      <c r="G563" s="1184" t="s">
        <v>1403</v>
      </c>
      <c r="H563" s="1181"/>
      <c r="I563" s="1181"/>
      <c r="J563" s="1181"/>
      <c r="K563" s="1181"/>
      <c r="L563" s="1181"/>
      <c r="M563" s="1181"/>
      <c r="N563" s="1181"/>
      <c r="O563" s="1181"/>
      <c r="P563" s="1181"/>
      <c r="Q563" s="1181"/>
      <c r="R563" s="1181"/>
      <c r="S563" s="11"/>
      <c r="T563" s="3"/>
      <c r="U563" t="s">
        <v>1402</v>
      </c>
      <c r="Z563" s="1179" t="s">
        <v>1404</v>
      </c>
      <c r="AA563" s="1183"/>
      <c r="AB563" s="1183"/>
      <c r="AC563" s="1183"/>
      <c r="AD563" s="1183"/>
      <c r="AE563" s="1183"/>
      <c r="AF563" s="1183"/>
      <c r="AG563" s="1183"/>
      <c r="AH563" s="1183"/>
      <c r="AI563" s="1183"/>
      <c r="AJ563" s="1183"/>
      <c r="AK563" s="1183"/>
      <c r="AM563" s="33"/>
      <c r="AN563" s="33"/>
      <c r="AO563" s="33"/>
      <c r="AP563" s="33"/>
      <c r="AQ563" s="33"/>
      <c r="AR563" s="33"/>
      <c r="AS563" s="33"/>
      <c r="AT563" s="33"/>
      <c r="AU563" s="33"/>
      <c r="AV563" s="33"/>
      <c r="AW563" s="33"/>
      <c r="AX563" s="33"/>
      <c r="AY563" s="33"/>
      <c r="BA563" s="33"/>
      <c r="BB563" s="33"/>
      <c r="BC563" s="33"/>
      <c r="BD563" s="33"/>
      <c r="BE563" s="33"/>
      <c r="BF563" s="33"/>
      <c r="BG563" s="33"/>
      <c r="BH563" s="33"/>
      <c r="BI563" s="33"/>
      <c r="BJ563" s="33"/>
      <c r="BK563" s="33"/>
      <c r="BL563" s="33"/>
      <c r="BM563" s="33"/>
      <c r="BN563" s="33"/>
      <c r="BO563" s="33"/>
      <c r="BP563" s="33"/>
      <c r="BQ563" s="33"/>
      <c r="BR563" s="33"/>
      <c r="BS563" s="33"/>
      <c r="BT563" s="33"/>
      <c r="BU563" s="33"/>
      <c r="BV563" s="33"/>
      <c r="BW563" s="33"/>
      <c r="BX563" s="33"/>
      <c r="BY563" s="33"/>
      <c r="BZ563" s="33"/>
      <c r="CA563" s="33"/>
      <c r="CB563" s="33"/>
      <c r="CC563" s="33"/>
      <c r="CD563" s="33"/>
      <c r="CE563" s="33"/>
      <c r="CF563" s="33"/>
      <c r="CG563" s="33"/>
      <c r="CH563" s="33"/>
      <c r="CI563" s="33"/>
      <c r="CJ563" s="33"/>
      <c r="CK563" s="33"/>
      <c r="CL563" s="33"/>
      <c r="CM563" s="33"/>
      <c r="CN563" s="33"/>
      <c r="CO563" s="33"/>
      <c r="CP563" s="33"/>
      <c r="CQ563" s="33"/>
      <c r="CR563" s="33"/>
      <c r="CS563" s="33"/>
    </row>
    <row r="564" spans="1:97" ht="12.95" customHeight="1">
      <c r="A564" s="3"/>
      <c r="B564" t="s">
        <v>824</v>
      </c>
      <c r="G564" s="1182" t="s">
        <v>1405</v>
      </c>
      <c r="H564" s="1182"/>
      <c r="I564" s="1182"/>
      <c r="J564" s="1182"/>
      <c r="K564" s="1182"/>
      <c r="L564" s="1182"/>
      <c r="O564" s="722" t="s">
        <v>1058</v>
      </c>
      <c r="P564" s="1179"/>
      <c r="Q564" s="1179"/>
      <c r="R564" s="1179"/>
      <c r="S564" s="13"/>
      <c r="T564" s="3"/>
      <c r="U564" t="s">
        <v>824</v>
      </c>
      <c r="Z564" s="1182" t="s">
        <v>1406</v>
      </c>
      <c r="AA564" s="1182"/>
      <c r="AB564" s="1182"/>
      <c r="AC564" s="1182"/>
      <c r="AD564" s="1182"/>
      <c r="AE564" s="1182"/>
      <c r="AH564" s="722" t="s">
        <v>1058</v>
      </c>
      <c r="AI564" s="1179"/>
      <c r="AJ564" s="1179"/>
      <c r="AK564" s="1179"/>
      <c r="AM564" s="33"/>
      <c r="AN564" s="33"/>
      <c r="AO564" s="33"/>
      <c r="AP564" s="33"/>
      <c r="AQ564" s="33"/>
      <c r="AR564" s="33"/>
      <c r="AS564" s="33"/>
      <c r="AT564" s="33"/>
      <c r="AU564" s="33"/>
      <c r="AV564" s="33"/>
      <c r="AW564" s="33"/>
      <c r="AX564" s="33"/>
      <c r="AY564" s="33"/>
      <c r="BA564" s="33"/>
      <c r="BB564" s="33"/>
      <c r="BC564" s="33"/>
      <c r="BD564" s="33"/>
      <c r="BE564" s="33"/>
      <c r="BF564" s="33"/>
      <c r="BG564" s="33"/>
      <c r="BH564" s="33"/>
      <c r="BI564" s="33"/>
      <c r="BJ564" s="33"/>
      <c r="BK564" s="33"/>
      <c r="BL564" s="33"/>
      <c r="BM564" s="33"/>
      <c r="BN564" s="33"/>
      <c r="BO564" s="33"/>
      <c r="BP564" s="33"/>
      <c r="BQ564" s="33"/>
      <c r="BR564" s="33"/>
      <c r="BS564" s="33"/>
      <c r="BT564" s="33"/>
      <c r="BU564" s="33"/>
      <c r="BV564" s="33"/>
      <c r="BW564" s="33"/>
      <c r="BX564" s="33"/>
      <c r="BY564" s="33"/>
      <c r="BZ564" s="33"/>
      <c r="CA564" s="33"/>
      <c r="CB564" s="33"/>
      <c r="CC564" s="33"/>
      <c r="CD564" s="33"/>
      <c r="CE564" s="33"/>
      <c r="CF564" s="33"/>
      <c r="CG564" s="33"/>
      <c r="CH564" s="33"/>
      <c r="CI564" s="33"/>
      <c r="CJ564" s="33"/>
      <c r="CK564" s="33"/>
      <c r="CL564" s="33"/>
      <c r="CM564" s="33"/>
      <c r="CN564" s="33"/>
      <c r="CO564" s="33"/>
      <c r="CP564" s="33"/>
      <c r="CQ564" s="33"/>
      <c r="CR564" s="33"/>
      <c r="CS564" s="33"/>
    </row>
    <row r="565" spans="1:97" ht="12.95" customHeight="1">
      <c r="A565" s="3"/>
      <c r="B565" t="s">
        <v>1407</v>
      </c>
      <c r="H565" s="1181" t="s">
        <v>1408</v>
      </c>
      <c r="I565" s="1181"/>
      <c r="J565" s="1181"/>
      <c r="K565" s="1181"/>
      <c r="L565" s="1181"/>
      <c r="M565" s="1181"/>
      <c r="N565" s="1181"/>
      <c r="O565" s="1181"/>
      <c r="P565" s="1181"/>
      <c r="Q565" s="1181"/>
      <c r="R565" s="1181"/>
      <c r="S565" s="11"/>
      <c r="T565" s="3"/>
      <c r="U565" t="s">
        <v>1407</v>
      </c>
      <c r="AA565" s="1181" t="s">
        <v>1409</v>
      </c>
      <c r="AB565" s="1181"/>
      <c r="AC565" s="1181"/>
      <c r="AD565" s="1181"/>
      <c r="AE565" s="1181"/>
      <c r="AF565" s="1181"/>
      <c r="AG565" s="1181"/>
      <c r="AH565" s="1181"/>
      <c r="AI565" s="1181"/>
      <c r="AJ565" s="1181"/>
      <c r="AK565" s="1181"/>
      <c r="AM565" s="33"/>
      <c r="AN565" s="33"/>
      <c r="AO565" s="33"/>
      <c r="AP565" s="33"/>
      <c r="AQ565" s="33"/>
      <c r="AR565" s="33"/>
      <c r="AS565" s="33"/>
      <c r="AT565" s="33"/>
      <c r="AU565" s="33"/>
      <c r="AV565" s="33"/>
      <c r="AW565" s="33"/>
      <c r="AX565" s="33"/>
      <c r="AY565" s="33"/>
      <c r="AZ565" s="33"/>
      <c r="BA565" s="33"/>
      <c r="BB565" s="33"/>
      <c r="BC565" s="33"/>
      <c r="BD565" s="33"/>
      <c r="BE565" s="33"/>
      <c r="BF565" s="33"/>
      <c r="BG565" s="33"/>
      <c r="BH565" s="33"/>
      <c r="BI565" s="33"/>
      <c r="BJ565" s="33"/>
      <c r="BK565" s="33"/>
      <c r="BL565" s="33"/>
      <c r="BM565" s="33"/>
      <c r="BN565" s="33"/>
      <c r="BO565" s="33"/>
      <c r="BP565" s="33"/>
      <c r="BQ565" s="33"/>
      <c r="BR565" s="33"/>
      <c r="BS565" s="33"/>
      <c r="BT565" s="33"/>
      <c r="BU565" s="33"/>
      <c r="BV565" s="33"/>
      <c r="BW565" s="33"/>
      <c r="BX565" s="33"/>
      <c r="BY565" s="33"/>
      <c r="BZ565" s="33"/>
      <c r="CA565" s="33"/>
      <c r="CB565" s="33"/>
      <c r="CC565" s="33"/>
      <c r="CD565" s="33"/>
      <c r="CE565" s="33"/>
      <c r="CF565" s="33"/>
      <c r="CG565" s="33"/>
      <c r="CH565" s="33"/>
      <c r="CI565" s="33"/>
      <c r="CJ565" s="33"/>
      <c r="CK565" s="33"/>
      <c r="CL565" s="33"/>
      <c r="CM565" s="33"/>
      <c r="CN565" s="33"/>
      <c r="CO565" s="33"/>
      <c r="CP565" s="33"/>
      <c r="CQ565" s="33"/>
      <c r="CR565" s="33"/>
      <c r="CS565" s="33"/>
    </row>
    <row r="566" spans="1:97" ht="12.95" customHeight="1">
      <c r="A566" s="3"/>
      <c r="B566" t="s">
        <v>1410</v>
      </c>
      <c r="N566" s="1180" t="s">
        <v>712</v>
      </c>
      <c r="O566" s="1180"/>
      <c r="T566" s="3"/>
      <c r="U566" t="s">
        <v>1410</v>
      </c>
      <c r="AG566" s="1180" t="s">
        <v>821</v>
      </c>
      <c r="AH566" s="1180"/>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row>
    <row r="567" spans="1:97" ht="12.95" customHeight="1">
      <c r="AM567" s="33"/>
      <c r="AN567" s="33"/>
      <c r="AO567" s="33"/>
      <c r="AP567" s="33"/>
      <c r="AQ567" s="33"/>
      <c r="AR567" s="33"/>
      <c r="AS567" s="33"/>
      <c r="AT567" s="33"/>
      <c r="AU567" s="33"/>
      <c r="AV567" s="33"/>
      <c r="AW567" s="33"/>
      <c r="AX567" s="33"/>
      <c r="AY567" s="33"/>
      <c r="AZ567" s="33"/>
      <c r="BA567" s="33"/>
      <c r="BB567" s="33"/>
      <c r="BC567" s="33"/>
      <c r="BD567" s="33"/>
      <c r="BE567" s="33"/>
      <c r="BF567" s="33"/>
      <c r="BG567" s="33"/>
      <c r="BH567" s="33"/>
      <c r="BI567" s="33"/>
      <c r="BJ567" s="33"/>
      <c r="BK567" s="33"/>
      <c r="BL567" s="33"/>
      <c r="BM567" s="33"/>
      <c r="BN567" s="33"/>
      <c r="BO567" s="33"/>
      <c r="BP567" s="33"/>
      <c r="BQ567" s="33"/>
      <c r="BR567" s="33"/>
      <c r="BS567" s="33"/>
      <c r="BT567" s="33"/>
      <c r="BU567" s="33"/>
      <c r="BV567" s="33"/>
      <c r="BW567" s="33"/>
      <c r="BX567" s="33"/>
      <c r="BY567" s="33"/>
      <c r="BZ567" s="33"/>
      <c r="CA567" s="33"/>
      <c r="CB567" s="33"/>
      <c r="CC567" s="33"/>
      <c r="CD567" s="33"/>
      <c r="CE567" s="33"/>
      <c r="CF567" s="33"/>
      <c r="CG567" s="33"/>
      <c r="CH567" s="33"/>
      <c r="CI567" s="33"/>
      <c r="CJ567" s="33"/>
      <c r="CK567" s="33"/>
      <c r="CL567" s="33"/>
      <c r="CM567" s="33"/>
      <c r="CN567" s="33"/>
      <c r="CO567" s="33"/>
      <c r="CP567" s="33"/>
      <c r="CQ567" s="33"/>
      <c r="CR567" s="33"/>
      <c r="CS567" s="33"/>
    </row>
    <row r="568" spans="1:97" ht="12.95" customHeight="1">
      <c r="A568" s="43" t="s">
        <v>33</v>
      </c>
      <c r="B568" t="s">
        <v>1397</v>
      </c>
      <c r="G568" s="1076" t="str">
        <f>C548</f>
        <v>Contra Costa County HOME ARP</v>
      </c>
      <c r="H568" s="1076"/>
      <c r="I568" s="1076"/>
      <c r="J568" s="1076"/>
      <c r="K568" s="1076"/>
      <c r="L568" s="1076"/>
      <c r="M568" s="1076"/>
      <c r="N568" s="1076"/>
      <c r="O568" s="1076"/>
      <c r="P568" s="1076"/>
      <c r="Q568" s="1076"/>
      <c r="R568" s="1076"/>
      <c r="T568" s="43" t="s">
        <v>91</v>
      </c>
      <c r="U568" t="s">
        <v>1397</v>
      </c>
      <c r="Z568" s="1076" t="str">
        <f>C549</f>
        <v>Contra Costa County PLHA</v>
      </c>
      <c r="AA568" s="1076"/>
      <c r="AB568" s="1076"/>
      <c r="AC568" s="1076"/>
      <c r="AD568" s="1076"/>
      <c r="AE568" s="1076"/>
      <c r="AF568" s="1076"/>
      <c r="AG568" s="1076"/>
      <c r="AH568" s="1076"/>
      <c r="AI568" s="1076"/>
      <c r="AJ568" s="1076"/>
      <c r="AK568" s="1076"/>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33"/>
      <c r="BI568" s="33"/>
      <c r="BJ568" s="33"/>
      <c r="BK568" s="33"/>
      <c r="BL568" s="33"/>
      <c r="BM568" s="33"/>
      <c r="BN568" s="33"/>
      <c r="BO568" s="33"/>
      <c r="BP568" s="33"/>
      <c r="BQ568" s="33"/>
      <c r="BR568" s="33"/>
      <c r="BS568" s="33"/>
      <c r="BT568" s="33"/>
      <c r="BU568" s="33"/>
      <c r="BV568" s="33"/>
      <c r="BW568" s="33"/>
      <c r="BX568" s="33"/>
      <c r="BY568" s="33"/>
      <c r="BZ568" s="33"/>
      <c r="CA568" s="33"/>
      <c r="CB568" s="33"/>
      <c r="CC568" s="33"/>
      <c r="CD568" s="33"/>
      <c r="CE568" s="33"/>
      <c r="CF568" s="33"/>
      <c r="CG568" s="33"/>
      <c r="CH568" s="33"/>
      <c r="CI568" s="33"/>
      <c r="CJ568" s="33"/>
      <c r="CK568" s="33"/>
      <c r="CL568" s="33"/>
      <c r="CM568" s="33"/>
      <c r="CN568" s="33"/>
      <c r="CO568" s="33"/>
      <c r="CP568" s="33"/>
      <c r="CQ568" s="33"/>
      <c r="CR568" s="33"/>
      <c r="CS568" s="33"/>
    </row>
    <row r="569" spans="1:97" ht="12.95" customHeight="1">
      <c r="A569" s="3"/>
      <c r="B569" t="s">
        <v>1048</v>
      </c>
      <c r="G569" s="1184" t="s">
        <v>1399</v>
      </c>
      <c r="H569" s="1181"/>
      <c r="I569" s="1181"/>
      <c r="J569" s="1181"/>
      <c r="K569" s="1181"/>
      <c r="L569" s="1181"/>
      <c r="M569" s="1181"/>
      <c r="N569" s="1181"/>
      <c r="O569" s="1181"/>
      <c r="P569" s="1181"/>
      <c r="Q569" s="1181"/>
      <c r="R569" s="1181"/>
      <c r="T569" s="3"/>
      <c r="U569" t="s">
        <v>1048</v>
      </c>
      <c r="Z569" s="1184" t="s">
        <v>1399</v>
      </c>
      <c r="AA569" s="1181"/>
      <c r="AB569" s="1181"/>
      <c r="AC569" s="1181"/>
      <c r="AD569" s="1181"/>
      <c r="AE569" s="1181"/>
      <c r="AF569" s="1181"/>
      <c r="AG569" s="1181"/>
      <c r="AH569" s="1181"/>
      <c r="AI569" s="1181"/>
      <c r="AJ569" s="1181"/>
      <c r="AK569" s="1181"/>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c r="BU569" s="33"/>
      <c r="BV569" s="33"/>
      <c r="BW569" s="33"/>
      <c r="BX569" s="33"/>
      <c r="BY569" s="33"/>
      <c r="BZ569" s="33"/>
      <c r="CA569" s="33"/>
      <c r="CB569" s="33"/>
      <c r="CC569" s="33"/>
      <c r="CD569" s="33"/>
      <c r="CE569" s="33"/>
      <c r="CF569" s="33"/>
      <c r="CG569" s="33"/>
      <c r="CH569" s="33"/>
      <c r="CI569" s="33"/>
      <c r="CJ569" s="33"/>
      <c r="CK569" s="33"/>
      <c r="CL569" s="33"/>
      <c r="CM569" s="33"/>
      <c r="CN569" s="33"/>
      <c r="CO569" s="33"/>
      <c r="CP569" s="33"/>
      <c r="CQ569" s="33"/>
      <c r="CR569" s="33"/>
      <c r="CS569" s="33"/>
    </row>
    <row r="570" spans="1:97" ht="12.95" customHeight="1">
      <c r="A570" s="3"/>
      <c r="B570" t="s">
        <v>908</v>
      </c>
      <c r="G570" s="1179" t="s">
        <v>1401</v>
      </c>
      <c r="H570" s="1183"/>
      <c r="I570" s="1183"/>
      <c r="J570" s="1183"/>
      <c r="K570" s="1183"/>
      <c r="L570" s="1183"/>
      <c r="M570" s="1183"/>
      <c r="N570" s="1183"/>
      <c r="O570" s="1183"/>
      <c r="P570" s="1183"/>
      <c r="Q570" s="1183"/>
      <c r="R570" s="1183"/>
      <c r="T570" s="3"/>
      <c r="U570" t="s">
        <v>908</v>
      </c>
      <c r="Z570" s="1179" t="s">
        <v>1401</v>
      </c>
      <c r="AA570" s="1183"/>
      <c r="AB570" s="1183"/>
      <c r="AC570" s="1183"/>
      <c r="AD570" s="1183"/>
      <c r="AE570" s="1183"/>
      <c r="AF570" s="1183"/>
      <c r="AG570" s="1183"/>
      <c r="AH570" s="1183"/>
      <c r="AI570" s="1183"/>
      <c r="AJ570" s="1183"/>
      <c r="AK570" s="118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c r="BZ570" s="33"/>
      <c r="CA570" s="33"/>
      <c r="CB570" s="33"/>
      <c r="CC570" s="33"/>
      <c r="CD570" s="33"/>
      <c r="CE570" s="33"/>
      <c r="CF570" s="33"/>
      <c r="CG570" s="33"/>
      <c r="CH570" s="33"/>
      <c r="CI570" s="33"/>
      <c r="CJ570" s="33"/>
      <c r="CK570" s="33"/>
      <c r="CL570" s="33"/>
      <c r="CM570" s="33"/>
      <c r="CN570" s="33"/>
      <c r="CO570" s="33"/>
      <c r="CP570" s="33"/>
      <c r="CQ570" s="33"/>
      <c r="CR570" s="33"/>
      <c r="CS570" s="33"/>
    </row>
    <row r="571" spans="1:97" ht="12.95" customHeight="1">
      <c r="A571" s="3"/>
      <c r="B571" t="s">
        <v>1402</v>
      </c>
      <c r="G571" s="1179" t="s">
        <v>1404</v>
      </c>
      <c r="H571" s="1183"/>
      <c r="I571" s="1183"/>
      <c r="J571" s="1183"/>
      <c r="K571" s="1183"/>
      <c r="L571" s="1183"/>
      <c r="M571" s="1183"/>
      <c r="N571" s="1183"/>
      <c r="O571" s="1183"/>
      <c r="P571" s="1183"/>
      <c r="Q571" s="1183"/>
      <c r="R571" s="1183"/>
      <c r="T571" s="3"/>
      <c r="U571" t="s">
        <v>1402</v>
      </c>
      <c r="Z571" s="1179" t="s">
        <v>1404</v>
      </c>
      <c r="AA571" s="1183"/>
      <c r="AB571" s="1183"/>
      <c r="AC571" s="1183"/>
      <c r="AD571" s="1183"/>
      <c r="AE571" s="1183"/>
      <c r="AF571" s="1183"/>
      <c r="AG571" s="1183"/>
      <c r="AH571" s="1183"/>
      <c r="AI571" s="1183"/>
      <c r="AJ571" s="1183"/>
      <c r="AK571" s="1183"/>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c r="BU571" s="33"/>
      <c r="BV571" s="33"/>
      <c r="BW571" s="33"/>
      <c r="BX571" s="33"/>
      <c r="BY571" s="33"/>
      <c r="BZ571" s="33"/>
      <c r="CA571" s="33"/>
      <c r="CB571" s="33"/>
      <c r="CC571" s="33"/>
      <c r="CD571" s="33"/>
      <c r="CE571" s="33"/>
      <c r="CF571" s="33"/>
      <c r="CG571" s="33"/>
      <c r="CH571" s="33"/>
      <c r="CI571" s="33"/>
      <c r="CJ571" s="33"/>
      <c r="CK571" s="33"/>
      <c r="CL571" s="33"/>
      <c r="CM571" s="33"/>
      <c r="CN571" s="33"/>
      <c r="CO571" s="33"/>
      <c r="CP571" s="33"/>
      <c r="CQ571" s="33"/>
      <c r="CR571" s="33"/>
      <c r="CS571" s="33"/>
    </row>
    <row r="572" spans="1:97" ht="12.95" customHeight="1">
      <c r="A572" s="3"/>
      <c r="B572" t="s">
        <v>824</v>
      </c>
      <c r="G572" s="1182" t="s">
        <v>1406</v>
      </c>
      <c r="H572" s="1182"/>
      <c r="I572" s="1182"/>
      <c r="J572" s="1182"/>
      <c r="K572" s="1182"/>
      <c r="L572" s="1182"/>
      <c r="O572" s="722" t="s">
        <v>1058</v>
      </c>
      <c r="P572" s="1179"/>
      <c r="Q572" s="1179"/>
      <c r="R572" s="1179"/>
      <c r="T572" s="3"/>
      <c r="U572" t="s">
        <v>824</v>
      </c>
      <c r="Z572" s="1182" t="s">
        <v>1406</v>
      </c>
      <c r="AA572" s="1182"/>
      <c r="AB572" s="1182"/>
      <c r="AC572" s="1182"/>
      <c r="AD572" s="1182"/>
      <c r="AE572" s="1182"/>
      <c r="AH572" s="722" t="s">
        <v>1058</v>
      </c>
      <c r="AI572" s="1179"/>
      <c r="AJ572" s="1179"/>
      <c r="AK572" s="1179"/>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c r="BU572" s="33"/>
      <c r="BV572" s="33"/>
      <c r="BW572" s="33"/>
      <c r="BX572" s="33"/>
      <c r="BY572" s="33"/>
      <c r="BZ572" s="33"/>
      <c r="CA572" s="33"/>
      <c r="CB572" s="33"/>
      <c r="CC572" s="33"/>
      <c r="CD572" s="33"/>
      <c r="CE572" s="33"/>
      <c r="CF572" s="33"/>
      <c r="CG572" s="33"/>
      <c r="CH572" s="33"/>
      <c r="CI572" s="33"/>
      <c r="CJ572" s="33"/>
      <c r="CK572" s="33"/>
      <c r="CL572" s="33"/>
      <c r="CM572" s="33"/>
      <c r="CN572" s="33"/>
      <c r="CO572" s="33"/>
      <c r="CP572" s="33"/>
      <c r="CQ572" s="33"/>
      <c r="CR572" s="33"/>
      <c r="CS572" s="33"/>
    </row>
    <row r="573" spans="1:97" ht="12.95" customHeight="1">
      <c r="A573" s="3"/>
      <c r="B573" t="s">
        <v>1407</v>
      </c>
      <c r="H573" s="1181" t="s">
        <v>1409</v>
      </c>
      <c r="I573" s="1181"/>
      <c r="J573" s="1181"/>
      <c r="K573" s="1181"/>
      <c r="L573" s="1181"/>
      <c r="M573" s="1181"/>
      <c r="N573" s="1181"/>
      <c r="O573" s="1181"/>
      <c r="P573" s="1181"/>
      <c r="Q573" s="1181"/>
      <c r="R573" s="1181"/>
      <c r="T573" s="3"/>
      <c r="U573" t="s">
        <v>1407</v>
      </c>
      <c r="AA573" s="1181" t="s">
        <v>1409</v>
      </c>
      <c r="AB573" s="1181"/>
      <c r="AC573" s="1181"/>
      <c r="AD573" s="1181"/>
      <c r="AE573" s="1181"/>
      <c r="AF573" s="1181"/>
      <c r="AG573" s="1181"/>
      <c r="AH573" s="1181"/>
      <c r="AI573" s="1181"/>
      <c r="AJ573" s="1181"/>
      <c r="AK573" s="1181"/>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c r="CM573" s="33"/>
      <c r="CN573" s="33"/>
      <c r="CO573" s="33"/>
      <c r="CP573" s="33"/>
      <c r="CQ573" s="33"/>
      <c r="CR573" s="33"/>
      <c r="CS573" s="33"/>
    </row>
    <row r="574" spans="1:97" ht="12.95" customHeight="1">
      <c r="A574" s="3"/>
      <c r="B574" t="s">
        <v>1410</v>
      </c>
      <c r="N574" s="1085" t="s">
        <v>712</v>
      </c>
      <c r="O574" s="1085"/>
      <c r="T574" s="3"/>
      <c r="U574" t="s">
        <v>1410</v>
      </c>
      <c r="AG574" s="1085" t="s">
        <v>712</v>
      </c>
      <c r="AH574" s="1085"/>
      <c r="AM574" s="33"/>
      <c r="AN574" s="33"/>
      <c r="AO574" s="33"/>
      <c r="AP574" s="33"/>
      <c r="AQ574" s="33"/>
      <c r="AR574" s="33"/>
      <c r="AS574" s="33"/>
      <c r="AT574" s="33"/>
      <c r="AU574" s="33"/>
      <c r="AV574" s="33"/>
      <c r="AW574" s="33"/>
      <c r="AX574" s="33"/>
      <c r="AY574" s="33"/>
      <c r="BA574" s="33"/>
      <c r="BB574" s="33"/>
      <c r="BC574" s="33"/>
      <c r="BD574" s="33"/>
      <c r="BE574" s="33"/>
      <c r="BF574" s="33"/>
      <c r="BG574" s="33"/>
      <c r="BH574" s="33"/>
      <c r="BI574" s="33"/>
      <c r="BJ574" s="33"/>
      <c r="BK574" s="33"/>
      <c r="BL574" s="33"/>
      <c r="BM574" s="33"/>
      <c r="BN574" s="33"/>
      <c r="BO574" s="33"/>
      <c r="BP574" s="33"/>
      <c r="BQ574" s="33"/>
      <c r="BR574" s="33"/>
      <c r="BS574" s="33"/>
      <c r="BT574" s="33"/>
      <c r="BU574" s="33"/>
      <c r="BV574" s="33"/>
      <c r="BW574" s="33"/>
      <c r="BX574" s="33"/>
      <c r="BY574" s="33"/>
      <c r="BZ574" s="33"/>
      <c r="CA574" s="33"/>
      <c r="CB574" s="33"/>
      <c r="CC574" s="33"/>
      <c r="CD574" s="33"/>
      <c r="CE574" s="33"/>
      <c r="CF574" s="33"/>
      <c r="CG574" s="33"/>
      <c r="CH574" s="33"/>
      <c r="CI574" s="33"/>
      <c r="CJ574" s="33"/>
      <c r="CK574" s="33"/>
      <c r="CL574" s="33"/>
      <c r="CM574" s="33"/>
      <c r="CN574" s="33"/>
      <c r="CO574" s="33"/>
      <c r="CP574" s="33"/>
      <c r="CQ574" s="33"/>
      <c r="CR574" s="33"/>
      <c r="CS574" s="33"/>
    </row>
    <row r="575" spans="1:97" ht="12.95" customHeight="1">
      <c r="AM575" s="33"/>
      <c r="AN575" s="33"/>
      <c r="AO575" s="33"/>
      <c r="AP575" s="33"/>
      <c r="AQ575" s="33"/>
      <c r="AR575" s="33"/>
      <c r="AS575" s="33"/>
      <c r="AT575" s="33"/>
      <c r="AU575" s="33"/>
      <c r="AV575" s="33"/>
      <c r="AW575" s="33"/>
      <c r="AX575" s="33"/>
      <c r="AY575" s="33"/>
      <c r="BA575" s="33"/>
      <c r="BB575" s="33"/>
      <c r="BC575" s="33"/>
      <c r="BD575" s="33"/>
      <c r="BE575" s="33"/>
      <c r="BF575" s="33"/>
      <c r="BG575" s="33"/>
      <c r="BH575" s="33"/>
      <c r="BI575" s="33"/>
      <c r="BJ575" s="33"/>
      <c r="BK575" s="33"/>
      <c r="BL575" s="33"/>
      <c r="BM575" s="33"/>
      <c r="BN575" s="33"/>
      <c r="BO575" s="33"/>
      <c r="BP575" s="33"/>
      <c r="BQ575" s="33"/>
      <c r="BR575" s="33"/>
      <c r="BS575" s="33"/>
      <c r="BT575" s="33"/>
      <c r="BU575" s="33"/>
      <c r="BV575" s="33"/>
      <c r="BW575" s="33"/>
      <c r="BX575" s="33"/>
      <c r="BY575" s="33"/>
      <c r="BZ575" s="33"/>
      <c r="CA575" s="33"/>
      <c r="CB575" s="33"/>
      <c r="CC575" s="33"/>
      <c r="CD575" s="33"/>
      <c r="CE575" s="33"/>
      <c r="CF575" s="33"/>
      <c r="CG575" s="33"/>
      <c r="CH575" s="33"/>
      <c r="CI575" s="33"/>
      <c r="CJ575" s="33"/>
      <c r="CK575" s="33"/>
      <c r="CL575" s="33"/>
      <c r="CM575" s="33"/>
      <c r="CN575" s="33"/>
      <c r="CO575" s="33"/>
      <c r="CP575" s="33"/>
      <c r="CQ575" s="33"/>
      <c r="CR575" s="33"/>
      <c r="CS575" s="33"/>
    </row>
    <row r="576" spans="1:97" ht="12.95" customHeight="1">
      <c r="A576" s="43" t="s">
        <v>95</v>
      </c>
      <c r="B576" t="s">
        <v>1397</v>
      </c>
      <c r="G576" s="1076" t="str">
        <f>C550</f>
        <v>Contra Costa County Measure X</v>
      </c>
      <c r="H576" s="1076"/>
      <c r="I576" s="1076"/>
      <c r="J576" s="1076"/>
      <c r="K576" s="1076"/>
      <c r="L576" s="1076"/>
      <c r="M576" s="1076"/>
      <c r="N576" s="1076"/>
      <c r="O576" s="1076"/>
      <c r="P576" s="1076"/>
      <c r="Q576" s="1076"/>
      <c r="R576" s="1076"/>
      <c r="T576" s="43" t="s">
        <v>1384</v>
      </c>
      <c r="U576" t="s">
        <v>1397</v>
      </c>
      <c r="Z576" s="1076" t="str">
        <f>C551</f>
        <v>City of Richmond</v>
      </c>
      <c r="AA576" s="1076"/>
      <c r="AB576" s="1076"/>
      <c r="AC576" s="1076"/>
      <c r="AD576" s="1076"/>
      <c r="AE576" s="1076"/>
      <c r="AF576" s="1076"/>
      <c r="AG576" s="1076"/>
      <c r="AH576" s="1076"/>
      <c r="AI576" s="1076"/>
      <c r="AJ576" s="1076"/>
      <c r="AK576" s="1076"/>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row>
    <row r="577" spans="1:126" ht="12.95" customHeight="1">
      <c r="A577" s="3"/>
      <c r="B577" t="s">
        <v>1048</v>
      </c>
      <c r="G577" s="1184" t="s">
        <v>1399</v>
      </c>
      <c r="H577" s="1181"/>
      <c r="I577" s="1181"/>
      <c r="J577" s="1181"/>
      <c r="K577" s="1181"/>
      <c r="L577" s="1181"/>
      <c r="M577" s="1181"/>
      <c r="N577" s="1181"/>
      <c r="O577" s="1181"/>
      <c r="P577" s="1181"/>
      <c r="Q577" s="1181"/>
      <c r="R577" s="1181"/>
      <c r="T577" s="3"/>
      <c r="U577" t="s">
        <v>1048</v>
      </c>
      <c r="Z577" s="1184" t="s">
        <v>1411</v>
      </c>
      <c r="AA577" s="1181"/>
      <c r="AB577" s="1181"/>
      <c r="AC577" s="1181"/>
      <c r="AD577" s="1181"/>
      <c r="AE577" s="1181"/>
      <c r="AF577" s="1181"/>
      <c r="AG577" s="1181"/>
      <c r="AH577" s="1181"/>
      <c r="AI577" s="1181"/>
      <c r="AJ577" s="1181"/>
      <c r="AK577" s="1181"/>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c r="BZ577" s="33"/>
      <c r="CA577" s="33"/>
      <c r="CB577" s="33"/>
      <c r="CC577" s="33"/>
      <c r="CD577" s="33"/>
      <c r="CE577" s="33"/>
      <c r="CF577" s="33"/>
      <c r="CG577" s="33"/>
      <c r="CH577" s="33"/>
      <c r="CI577" s="33"/>
      <c r="CJ577" s="33"/>
      <c r="CK577" s="33"/>
      <c r="CL577" s="33"/>
      <c r="CM577" s="33"/>
      <c r="CN577" s="33"/>
      <c r="CO577" s="33"/>
      <c r="CP577" s="33"/>
      <c r="CQ577" s="33"/>
      <c r="CR577" s="33"/>
      <c r="CS577" s="33"/>
    </row>
    <row r="578" spans="1:126" ht="12.95" customHeight="1">
      <c r="A578" s="3"/>
      <c r="B578" t="s">
        <v>908</v>
      </c>
      <c r="G578" s="1184" t="s">
        <v>1401</v>
      </c>
      <c r="H578" s="1181"/>
      <c r="I578" s="1181"/>
      <c r="J578" s="1181"/>
      <c r="K578" s="1181"/>
      <c r="L578" s="1181"/>
      <c r="M578" s="1181"/>
      <c r="N578" s="1181"/>
      <c r="O578" s="1181"/>
      <c r="P578" s="1181"/>
      <c r="Q578" s="1181"/>
      <c r="R578" s="1181"/>
      <c r="T578" s="3"/>
      <c r="U578" t="s">
        <v>908</v>
      </c>
      <c r="Z578" s="1179" t="s">
        <v>1412</v>
      </c>
      <c r="AA578" s="1183"/>
      <c r="AB578" s="1183"/>
      <c r="AC578" s="1183"/>
      <c r="AD578" s="1183"/>
      <c r="AE578" s="1183"/>
      <c r="AF578" s="1183"/>
      <c r="AG578" s="1183"/>
      <c r="AH578" s="1183"/>
      <c r="AI578" s="1183"/>
      <c r="AJ578" s="1183"/>
      <c r="AK578" s="1183"/>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c r="BU578" s="33"/>
      <c r="BV578" s="33"/>
      <c r="BW578" s="33"/>
      <c r="BX578" s="33"/>
      <c r="BY578" s="33"/>
      <c r="BZ578" s="33"/>
      <c r="CA578" s="33"/>
      <c r="CB578" s="33"/>
      <c r="CC578" s="33"/>
      <c r="CD578" s="33"/>
      <c r="CE578" s="33"/>
      <c r="CF578" s="33"/>
      <c r="CG578" s="33"/>
      <c r="CH578" s="33"/>
      <c r="CI578" s="33"/>
      <c r="CJ578" s="33"/>
      <c r="CK578" s="33"/>
      <c r="CL578" s="33"/>
      <c r="CM578" s="33"/>
      <c r="CN578" s="33"/>
      <c r="CO578" s="33"/>
      <c r="CP578" s="33"/>
      <c r="CQ578" s="33"/>
      <c r="CR578" s="33"/>
      <c r="CS578" s="33"/>
    </row>
    <row r="579" spans="1:126" ht="12.95" customHeight="1">
      <c r="A579" s="3"/>
      <c r="B579" t="s">
        <v>1402</v>
      </c>
      <c r="G579" s="1184" t="s">
        <v>1404</v>
      </c>
      <c r="H579" s="1181"/>
      <c r="I579" s="1181"/>
      <c r="J579" s="1181"/>
      <c r="K579" s="1181"/>
      <c r="L579" s="1181"/>
      <c r="M579" s="1181"/>
      <c r="N579" s="1181"/>
      <c r="O579" s="1181"/>
      <c r="P579" s="1181"/>
      <c r="Q579" s="1181"/>
      <c r="R579" s="1181"/>
      <c r="T579" s="3"/>
      <c r="U579" t="s">
        <v>1402</v>
      </c>
      <c r="Z579" s="1179" t="s">
        <v>1413</v>
      </c>
      <c r="AA579" s="1183"/>
      <c r="AB579" s="1183"/>
      <c r="AC579" s="1183"/>
      <c r="AD579" s="1183"/>
      <c r="AE579" s="1183"/>
      <c r="AF579" s="1183"/>
      <c r="AG579" s="1183"/>
      <c r="AH579" s="1183"/>
      <c r="AI579" s="1183"/>
      <c r="AJ579" s="1183"/>
      <c r="AK579" s="1183"/>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c r="CM579" s="33"/>
      <c r="CN579" s="33"/>
      <c r="CO579" s="33"/>
      <c r="CP579" s="33"/>
      <c r="CQ579" s="33"/>
      <c r="CR579" s="33"/>
      <c r="CS579" s="33"/>
    </row>
    <row r="580" spans="1:126" ht="12.95" customHeight="1">
      <c r="A580" s="3"/>
      <c r="B580" t="s">
        <v>824</v>
      </c>
      <c r="G580" s="1182" t="s">
        <v>1406</v>
      </c>
      <c r="H580" s="1182"/>
      <c r="I580" s="1182"/>
      <c r="J580" s="1182"/>
      <c r="K580" s="1182"/>
      <c r="L580" s="1182"/>
      <c r="O580" s="722" t="s">
        <v>1058</v>
      </c>
      <c r="P580" s="1179"/>
      <c r="Q580" s="1179"/>
      <c r="R580" s="1179"/>
      <c r="T580" s="3"/>
      <c r="U580" t="s">
        <v>824</v>
      </c>
      <c r="Z580" s="1182" t="s">
        <v>1414</v>
      </c>
      <c r="AA580" s="1182"/>
      <c r="AB580" s="1182"/>
      <c r="AC580" s="1182"/>
      <c r="AD580" s="1182"/>
      <c r="AE580" s="1182"/>
      <c r="AH580" s="722" t="s">
        <v>1058</v>
      </c>
      <c r="AI580" s="1179"/>
      <c r="AJ580" s="1179"/>
      <c r="AK580" s="1179"/>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c r="BV580" s="33"/>
      <c r="BW580" s="33"/>
      <c r="BX580" s="33"/>
      <c r="BY580" s="33"/>
      <c r="BZ580" s="33"/>
      <c r="CA580" s="33"/>
      <c r="CB580" s="33"/>
      <c r="CC580" s="33"/>
      <c r="CD580" s="33"/>
      <c r="CE580" s="33"/>
      <c r="CF580" s="33"/>
      <c r="CG580" s="33"/>
      <c r="CH580" s="33"/>
      <c r="CI580" s="33"/>
      <c r="CJ580" s="33"/>
      <c r="CK580" s="33"/>
      <c r="CL580" s="33"/>
      <c r="CM580" s="33"/>
      <c r="CN580" s="33"/>
      <c r="CO580" s="33"/>
      <c r="CP580" s="33"/>
      <c r="CQ580" s="33"/>
      <c r="CR580" s="33"/>
      <c r="CS580" s="33"/>
    </row>
    <row r="581" spans="1:126" ht="12.95" customHeight="1">
      <c r="A581" s="3"/>
      <c r="B581" t="s">
        <v>1407</v>
      </c>
      <c r="H581" s="1181" t="s">
        <v>1409</v>
      </c>
      <c r="I581" s="1181"/>
      <c r="J581" s="1181"/>
      <c r="K581" s="1181"/>
      <c r="L581" s="1181"/>
      <c r="M581" s="1181"/>
      <c r="N581" s="1181"/>
      <c r="O581" s="1181"/>
      <c r="P581" s="1181"/>
      <c r="Q581" s="1181"/>
      <c r="R581" s="1181"/>
      <c r="T581" s="3"/>
      <c r="U581" t="s">
        <v>1407</v>
      </c>
      <c r="AA581" s="1181" t="s">
        <v>1415</v>
      </c>
      <c r="AB581" s="1181"/>
      <c r="AC581" s="1181"/>
      <c r="AD581" s="1181"/>
      <c r="AE581" s="1181"/>
      <c r="AF581" s="1181"/>
      <c r="AG581" s="1181"/>
      <c r="AH581" s="1181"/>
      <c r="AI581" s="1181"/>
      <c r="AJ581" s="1181"/>
      <c r="AK581" s="1181"/>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c r="BV581" s="33"/>
      <c r="BW581" s="33"/>
      <c r="BX581" s="33"/>
      <c r="BY581" s="33"/>
      <c r="BZ581" s="33"/>
      <c r="CA581" s="33"/>
      <c r="CB581" s="33"/>
      <c r="CC581" s="33"/>
      <c r="CD581" s="33"/>
      <c r="CE581" s="33"/>
      <c r="CF581" s="33"/>
      <c r="CG581" s="33"/>
      <c r="CH581" s="33"/>
      <c r="CI581" s="33"/>
      <c r="CJ581" s="33"/>
      <c r="CK581" s="33"/>
      <c r="CL581" s="33"/>
      <c r="CM581" s="33"/>
      <c r="CN581" s="33"/>
      <c r="CO581" s="33"/>
      <c r="CP581" s="33"/>
      <c r="CQ581" s="33"/>
      <c r="CR581" s="33"/>
      <c r="CS581" s="33"/>
    </row>
    <row r="582" spans="1:126" ht="12.95" customHeight="1">
      <c r="A582" s="3"/>
      <c r="B582" t="s">
        <v>1410</v>
      </c>
      <c r="N582" s="1085" t="s">
        <v>712</v>
      </c>
      <c r="O582" s="1085"/>
      <c r="T582" s="3"/>
      <c r="U582" t="s">
        <v>1410</v>
      </c>
      <c r="AG582" s="1085" t="s">
        <v>712</v>
      </c>
      <c r="AH582" s="1085"/>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c r="BU582" s="33"/>
      <c r="BV582" s="33"/>
      <c r="BW582" s="33"/>
      <c r="BX582" s="33"/>
      <c r="BY582" s="33"/>
      <c r="BZ582" s="33"/>
      <c r="CA582" s="33"/>
      <c r="CB582" s="33"/>
      <c r="CC582" s="33"/>
      <c r="CD582" s="33"/>
      <c r="CE582" s="33"/>
      <c r="CF582" s="33"/>
      <c r="CG582" s="33"/>
      <c r="CH582" s="33"/>
      <c r="CI582" s="33"/>
      <c r="CJ582" s="33"/>
      <c r="CK582" s="33"/>
      <c r="CL582" s="33"/>
      <c r="CM582" s="33"/>
      <c r="CN582" s="33"/>
      <c r="CO582" s="33"/>
      <c r="CP582" s="33"/>
      <c r="CQ582" s="33"/>
      <c r="CR582" s="33"/>
      <c r="CS582" s="33"/>
    </row>
    <row r="583" spans="1:126" ht="12.95" customHeight="1">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c r="BU583" s="33"/>
      <c r="BV583" s="33"/>
      <c r="BW583" s="33"/>
      <c r="BX583" s="33"/>
      <c r="BY583" s="33"/>
      <c r="BZ583" s="33"/>
      <c r="CA583" s="33"/>
      <c r="CB583" s="33"/>
      <c r="CC583" s="33"/>
      <c r="CD583" s="33"/>
      <c r="CE583" s="33"/>
      <c r="CF583" s="33"/>
      <c r="CG583" s="33"/>
      <c r="CH583" s="33"/>
      <c r="CI583" s="33"/>
      <c r="CJ583" s="33"/>
      <c r="CK583" s="33"/>
      <c r="CL583" s="33"/>
      <c r="CM583" s="33"/>
      <c r="CN583" s="33"/>
      <c r="CO583" s="33"/>
      <c r="CP583" s="33"/>
      <c r="CQ583" s="33"/>
      <c r="CR583" s="33"/>
      <c r="CS583" s="33"/>
    </row>
    <row r="584" spans="1:126" ht="12.95" customHeight="1">
      <c r="A584" s="43" t="s">
        <v>1386</v>
      </c>
      <c r="B584" t="s">
        <v>1397</v>
      </c>
      <c r="G584" s="1076" t="str">
        <f>C552</f>
        <v>City of Richmond Grant</v>
      </c>
      <c r="H584" s="1076"/>
      <c r="I584" s="1076"/>
      <c r="J584" s="1076"/>
      <c r="K584" s="1076"/>
      <c r="L584" s="1076"/>
      <c r="M584" s="1076"/>
      <c r="N584" s="1076"/>
      <c r="O584" s="1076"/>
      <c r="P584" s="1076"/>
      <c r="Q584" s="1076"/>
      <c r="R584" s="1076"/>
      <c r="T584" s="43" t="s">
        <v>1388</v>
      </c>
      <c r="U584" t="s">
        <v>1397</v>
      </c>
      <c r="Z584" s="1076" t="str">
        <f>C553</f>
        <v>DTSC</v>
      </c>
      <c r="AA584" s="1076"/>
      <c r="AB584" s="1076"/>
      <c r="AC584" s="1076"/>
      <c r="AD584" s="1076"/>
      <c r="AE584" s="1076"/>
      <c r="AF584" s="1076"/>
      <c r="AG584" s="1076"/>
      <c r="AH584" s="1076"/>
      <c r="AI584" s="1076"/>
      <c r="AJ584" s="1076"/>
      <c r="AK584" s="1076"/>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c r="BZ584" s="33"/>
      <c r="CA584" s="33"/>
      <c r="CB584" s="33"/>
      <c r="CC584" s="33"/>
      <c r="CD584" s="33"/>
      <c r="CE584" s="33"/>
      <c r="CF584" s="33"/>
      <c r="CG584" s="33"/>
      <c r="CH584" s="33"/>
      <c r="CI584" s="33"/>
      <c r="CJ584" s="33"/>
      <c r="CK584" s="33"/>
      <c r="CL584" s="33"/>
      <c r="CM584" s="33"/>
      <c r="CN584" s="33"/>
      <c r="CO584" s="33"/>
      <c r="CP584" s="33"/>
      <c r="CQ584" s="33"/>
      <c r="CR584" s="33"/>
      <c r="CS584" s="33"/>
    </row>
    <row r="585" spans="1:126" ht="12.95" customHeight="1">
      <c r="A585" s="3"/>
      <c r="B585" t="s">
        <v>1048</v>
      </c>
      <c r="G585" s="1184" t="s">
        <v>1411</v>
      </c>
      <c r="H585" s="1181"/>
      <c r="I585" s="1181"/>
      <c r="J585" s="1181"/>
      <c r="K585" s="1181"/>
      <c r="L585" s="1181"/>
      <c r="M585" s="1181"/>
      <c r="N585" s="1181"/>
      <c r="O585" s="1181"/>
      <c r="P585" s="1181"/>
      <c r="Q585" s="1181"/>
      <c r="R585" s="1181"/>
      <c r="T585" s="3"/>
      <c r="U585" t="s">
        <v>1048</v>
      </c>
      <c r="Z585" s="1184" t="s">
        <v>1416</v>
      </c>
      <c r="AA585" s="1181"/>
      <c r="AB585" s="1181"/>
      <c r="AC585" s="1181"/>
      <c r="AD585" s="1181"/>
      <c r="AE585" s="1181"/>
      <c r="AF585" s="1181"/>
      <c r="AG585" s="1181"/>
      <c r="AH585" s="1181"/>
      <c r="AI585" s="1181"/>
      <c r="AJ585" s="1181"/>
      <c r="AK585" s="1181"/>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c r="BU585" s="33"/>
      <c r="BV585" s="33"/>
      <c r="BW585" s="33"/>
      <c r="BX585" s="33"/>
      <c r="BY585" s="33"/>
      <c r="BZ585" s="33"/>
      <c r="CA585" s="33"/>
      <c r="CB585" s="33"/>
      <c r="CC585" s="33"/>
      <c r="CD585" s="33"/>
      <c r="CE585" s="33"/>
      <c r="CF585" s="33"/>
      <c r="CG585" s="33"/>
      <c r="CH585" s="33"/>
      <c r="CI585" s="33"/>
      <c r="CJ585" s="33"/>
      <c r="CK585" s="33"/>
      <c r="CL585" s="33"/>
      <c r="CM585" s="33"/>
      <c r="CN585" s="33"/>
      <c r="CO585" s="33"/>
      <c r="CP585" s="33"/>
      <c r="CQ585" s="33"/>
      <c r="CR585" s="33"/>
      <c r="CS585" s="33"/>
    </row>
    <row r="586" spans="1:126" s="4" customFormat="1" ht="12.95" customHeight="1">
      <c r="A586" s="3"/>
      <c r="B586" t="s">
        <v>908</v>
      </c>
      <c r="C586"/>
      <c r="D586"/>
      <c r="E586"/>
      <c r="F586"/>
      <c r="G586" s="1184" t="s">
        <v>1412</v>
      </c>
      <c r="H586" s="1181"/>
      <c r="I586" s="1181"/>
      <c r="J586" s="1181"/>
      <c r="K586" s="1181"/>
      <c r="L586" s="1181"/>
      <c r="M586" s="1181"/>
      <c r="N586" s="1181"/>
      <c r="O586" s="1181"/>
      <c r="P586" s="1181"/>
      <c r="Q586" s="1181"/>
      <c r="R586" s="1181"/>
      <c r="S586"/>
      <c r="T586" s="3"/>
      <c r="U586" t="s">
        <v>908</v>
      </c>
      <c r="V586"/>
      <c r="W586"/>
      <c r="X586"/>
      <c r="Y586"/>
      <c r="Z586" s="1179" t="s">
        <v>1417</v>
      </c>
      <c r="AA586" s="1183"/>
      <c r="AB586" s="1183"/>
      <c r="AC586" s="1183"/>
      <c r="AD586" s="1183"/>
      <c r="AE586" s="1183"/>
      <c r="AF586" s="1183"/>
      <c r="AG586" s="1183"/>
      <c r="AH586" s="1183"/>
      <c r="AI586" s="1183"/>
      <c r="AJ586" s="1183"/>
      <c r="AK586" s="1183"/>
      <c r="AL586"/>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t="s">
        <v>1418</v>
      </c>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row>
    <row r="587" spans="1:126" s="4" customFormat="1" ht="12.95" customHeight="1">
      <c r="A587" s="3"/>
      <c r="B587" t="s">
        <v>1402</v>
      </c>
      <c r="C587"/>
      <c r="D587"/>
      <c r="E587"/>
      <c r="F587"/>
      <c r="G587" s="1184" t="s">
        <v>1413</v>
      </c>
      <c r="H587" s="1181"/>
      <c r="I587" s="1181"/>
      <c r="J587" s="1181"/>
      <c r="K587" s="1181"/>
      <c r="L587" s="1181"/>
      <c r="M587" s="1181"/>
      <c r="N587" s="1181"/>
      <c r="O587" s="1181"/>
      <c r="P587" s="1181"/>
      <c r="Q587" s="1181"/>
      <c r="R587" s="1181"/>
      <c r="S587"/>
      <c r="T587" s="3"/>
      <c r="U587" t="s">
        <v>1402</v>
      </c>
      <c r="V587"/>
      <c r="W587"/>
      <c r="X587"/>
      <c r="Y587"/>
      <c r="Z587" s="1179" t="s">
        <v>1419</v>
      </c>
      <c r="AA587" s="1183"/>
      <c r="AB587" s="1183"/>
      <c r="AC587" s="1183"/>
      <c r="AD587" s="1183"/>
      <c r="AE587" s="1183"/>
      <c r="AF587" s="1183"/>
      <c r="AG587" s="1183"/>
      <c r="AH587" s="1183"/>
      <c r="AI587" s="1183"/>
      <c r="AJ587" s="1183"/>
      <c r="AK587" s="1183"/>
      <c r="AL587"/>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648" t="s">
        <v>1420</v>
      </c>
      <c r="BO587" s="648"/>
      <c r="BP587" s="648"/>
      <c r="BQ587" s="128"/>
      <c r="BR587" s="649"/>
      <c r="BS587" s="648" t="s">
        <v>1421</v>
      </c>
      <c r="BT587" s="648"/>
      <c r="BU587" s="648"/>
      <c r="BV587" s="128"/>
      <c r="BW587" s="649"/>
      <c r="BX587" s="649" t="s">
        <v>1422</v>
      </c>
      <c r="BY587" s="648"/>
      <c r="BZ587" s="648"/>
      <c r="CA587" s="648"/>
      <c r="CB587" s="648"/>
      <c r="CC587" s="648" t="s">
        <v>1423</v>
      </c>
      <c r="CD587" s="648"/>
      <c r="CE587" s="648"/>
      <c r="CF587" s="648"/>
      <c r="CG587" s="648"/>
      <c r="CH587" s="648" t="s">
        <v>1424</v>
      </c>
      <c r="CI587" s="648"/>
      <c r="CJ587" s="648"/>
      <c r="CK587" s="648"/>
      <c r="CL587" s="648"/>
      <c r="CM587" s="648" t="s">
        <v>1425</v>
      </c>
      <c r="CN587" s="648"/>
      <c r="CO587" s="648"/>
      <c r="CP587" s="128"/>
      <c r="CQ587" s="649"/>
      <c r="CR587" s="33"/>
      <c r="CS587" s="33" t="s">
        <v>1426</v>
      </c>
      <c r="CT587" s="33"/>
      <c r="CU587" s="33"/>
      <c r="CV587" s="33"/>
      <c r="CW587" s="33"/>
      <c r="CX587" s="33"/>
      <c r="CY587" s="33"/>
      <c r="CZ587" s="33"/>
      <c r="DA587" s="33"/>
      <c r="DB587" s="33"/>
      <c r="DC587" s="33"/>
      <c r="DD587" s="33"/>
      <c r="DE587" s="33"/>
      <c r="DF587" s="33"/>
      <c r="DG587" s="33"/>
      <c r="DH587" s="33"/>
      <c r="DI587" s="33"/>
      <c r="DJ587" s="33"/>
      <c r="DK587" s="33"/>
      <c r="DL587" s="33"/>
      <c r="DM587" s="33"/>
      <c r="DN587" s="33"/>
      <c r="DO587" s="33"/>
      <c r="DP587" s="33"/>
      <c r="DQ587" s="33"/>
      <c r="DR587" s="33"/>
      <c r="DS587" s="33"/>
      <c r="DT587" s="33"/>
      <c r="DU587" s="33"/>
      <c r="DV587" s="33"/>
    </row>
    <row r="588" spans="1:126" s="4" customFormat="1" ht="12.95" customHeight="1">
      <c r="A588" s="3"/>
      <c r="B588" t="s">
        <v>824</v>
      </c>
      <c r="C588"/>
      <c r="D588"/>
      <c r="E588"/>
      <c r="F588"/>
      <c r="G588" s="1182" t="s">
        <v>1414</v>
      </c>
      <c r="H588" s="1182"/>
      <c r="I588" s="1182"/>
      <c r="J588" s="1182"/>
      <c r="K588" s="1182"/>
      <c r="L588" s="1182"/>
      <c r="M588"/>
      <c r="N588"/>
      <c r="O588" s="722" t="s">
        <v>1058</v>
      </c>
      <c r="P588" s="1179"/>
      <c r="Q588" s="1179"/>
      <c r="R588" s="1179"/>
      <c r="S588"/>
      <c r="T588" s="3"/>
      <c r="U588" t="s">
        <v>824</v>
      </c>
      <c r="V588"/>
      <c r="W588"/>
      <c r="X588"/>
      <c r="Y588"/>
      <c r="Z588" s="1182" t="s">
        <v>1427</v>
      </c>
      <c r="AA588" s="1182"/>
      <c r="AB588" s="1182"/>
      <c r="AC588" s="1182"/>
      <c r="AD588" s="1182"/>
      <c r="AE588" s="1182"/>
      <c r="AF588"/>
      <c r="AG588"/>
      <c r="AH588" s="722" t="s">
        <v>1058</v>
      </c>
      <c r="AI588" s="1179"/>
      <c r="AJ588" s="1179"/>
      <c r="AK588" s="1179"/>
      <c r="AL588"/>
      <c r="AM588" s="33"/>
      <c r="AN588" s="33"/>
      <c r="AO588" s="33"/>
      <c r="AP588" s="33"/>
      <c r="AQ588" s="33"/>
      <c r="AR588" s="33"/>
      <c r="AS588" s="33"/>
      <c r="AT588" s="33"/>
      <c r="AU588" s="33"/>
      <c r="AV588" s="33"/>
      <c r="AW588" s="33"/>
      <c r="AX588" s="33"/>
      <c r="AY588" s="33"/>
      <c r="AZ588" s="33" t="s">
        <v>1428</v>
      </c>
      <c r="BA588" s="33"/>
      <c r="BB588" s="33"/>
      <c r="BC588" s="33"/>
      <c r="BD588" s="33"/>
      <c r="BE588" s="150" t="s">
        <v>1429</v>
      </c>
      <c r="BF588" s="151"/>
      <c r="BG588" s="1194"/>
      <c r="BH588" s="1196"/>
      <c r="BI588" s="150" t="s">
        <v>1430</v>
      </c>
      <c r="BJ588" s="151"/>
      <c r="BK588" s="1194"/>
      <c r="BL588" s="1196"/>
      <c r="BM588" s="33"/>
      <c r="BN588" s="1194">
        <f t="shared" ref="BN588:BN612" si="1">IF(B692="SRO/Studio",G692,0)</f>
        <v>0</v>
      </c>
      <c r="BO588" s="1195"/>
      <c r="BP588" s="1195"/>
      <c r="BQ588" s="1195"/>
      <c r="BR588" s="1197"/>
      <c r="BS588" s="1194">
        <f t="shared" ref="BS588:BS612" si="2">IF(B692="1 Bedroom",G692,0)</f>
        <v>13</v>
      </c>
      <c r="BT588" s="1195"/>
      <c r="BU588" s="1195"/>
      <c r="BV588" s="1195"/>
      <c r="BW588" s="1196"/>
      <c r="BX588" s="1194">
        <f t="shared" ref="BX588:BX612" si="3">IF(B692="2 Bedrooms",G692,0)</f>
        <v>0</v>
      </c>
      <c r="BY588" s="1195"/>
      <c r="BZ588" s="1195"/>
      <c r="CA588" s="1195"/>
      <c r="CB588" s="1196"/>
      <c r="CC588" s="1194">
        <f t="shared" ref="CC588:CC612" si="4">IF(B692="3 Bedrooms",G692,0)</f>
        <v>0</v>
      </c>
      <c r="CD588" s="1195"/>
      <c r="CE588" s="1195"/>
      <c r="CF588" s="1195"/>
      <c r="CG588" s="1196"/>
      <c r="CH588" s="1194">
        <f t="shared" ref="CH588:CH612" si="5">IF(B692="4 Bedrooms",G692,0)</f>
        <v>0</v>
      </c>
      <c r="CI588" s="1195"/>
      <c r="CJ588" s="1195"/>
      <c r="CK588" s="1195"/>
      <c r="CL588" s="1196"/>
      <c r="CM588" s="1198">
        <f t="shared" ref="CM588:CM612" si="6">IF(B692="5 Bedrooms",G692,0)</f>
        <v>0</v>
      </c>
      <c r="CN588" s="1199"/>
      <c r="CO588" s="1199"/>
      <c r="CP588" s="1199"/>
      <c r="CQ588" s="1197"/>
      <c r="CR588" s="33"/>
      <c r="CS588" s="648" t="s">
        <v>1420</v>
      </c>
      <c r="CT588" s="648"/>
      <c r="CU588" s="648"/>
      <c r="CV588" s="648"/>
      <c r="CW588" s="648"/>
      <c r="CX588" s="648" t="s">
        <v>1421</v>
      </c>
      <c r="CY588" s="648"/>
      <c r="CZ588" s="128"/>
      <c r="DA588" s="129"/>
      <c r="DB588" s="649"/>
      <c r="DC588" s="648" t="s">
        <v>1422</v>
      </c>
      <c r="DD588" s="648"/>
      <c r="DE588" s="648"/>
      <c r="DF588" s="648"/>
      <c r="DG588" s="648"/>
      <c r="DH588" s="648" t="s">
        <v>1423</v>
      </c>
      <c r="DI588" s="648"/>
      <c r="DJ588" s="648"/>
      <c r="DK588" s="648"/>
      <c r="DL588" s="648"/>
      <c r="DM588" s="648" t="s">
        <v>1424</v>
      </c>
      <c r="DN588" s="648"/>
      <c r="DO588" s="648"/>
      <c r="DP588" s="648"/>
      <c r="DQ588" s="648"/>
      <c r="DR588" s="648" t="s">
        <v>1425</v>
      </c>
      <c r="DS588" s="648"/>
      <c r="DT588" s="648"/>
      <c r="DU588" s="648"/>
      <c r="DV588" s="648"/>
    </row>
    <row r="589" spans="1:126" s="4" customFormat="1" ht="12.95" customHeight="1">
      <c r="A589" s="3"/>
      <c r="B589" t="s">
        <v>1407</v>
      </c>
      <c r="C589"/>
      <c r="D589"/>
      <c r="E589"/>
      <c r="F589"/>
      <c r="G589"/>
      <c r="H589" s="1181" t="s">
        <v>1343</v>
      </c>
      <c r="I589" s="1181"/>
      <c r="J589" s="1181"/>
      <c r="K589" s="1181"/>
      <c r="L589" s="1181"/>
      <c r="M589" s="1181"/>
      <c r="N589" s="1181"/>
      <c r="O589" s="1181"/>
      <c r="P589" s="1181"/>
      <c r="Q589" s="1181"/>
      <c r="R589" s="1181"/>
      <c r="S589"/>
      <c r="T589" s="3"/>
      <c r="U589" t="s">
        <v>1407</v>
      </c>
      <c r="V589"/>
      <c r="W589"/>
      <c r="X589"/>
      <c r="Y589"/>
      <c r="Z589"/>
      <c r="AA589" s="1181" t="s">
        <v>1343</v>
      </c>
      <c r="AB589" s="1181"/>
      <c r="AC589" s="1181"/>
      <c r="AD589" s="1181"/>
      <c r="AE589" s="1181"/>
      <c r="AF589" s="1181"/>
      <c r="AG589" s="1181"/>
      <c r="AH589" s="1181"/>
      <c r="AI589" s="1181"/>
      <c r="AJ589" s="1181"/>
      <c r="AK589" s="1181"/>
      <c r="AL589"/>
      <c r="AM589" s="33"/>
      <c r="AN589" s="33"/>
      <c r="AO589" s="33"/>
      <c r="AP589" s="33"/>
      <c r="AQ589" s="33"/>
      <c r="AR589" s="33"/>
      <c r="AS589" s="33"/>
      <c r="AT589" s="33"/>
      <c r="AU589" s="33"/>
      <c r="AV589" s="33"/>
      <c r="AW589" s="33"/>
      <c r="AX589" s="33"/>
      <c r="AY589" s="33"/>
      <c r="AZ589" s="33" t="s">
        <v>1421</v>
      </c>
      <c r="BA589" s="33"/>
      <c r="BB589" s="33"/>
      <c r="BC589" s="33"/>
      <c r="BD589" s="33"/>
      <c r="BE589" s="1194">
        <f>IF(AND(AH692&lt;=0.5,AH692&gt;=0.36),1,0)</f>
        <v>0</v>
      </c>
      <c r="BF589" s="1196"/>
      <c r="BG589" s="1194">
        <f t="shared" ref="BG589:BG613" si="7">IF(BE589=1,G692,0)</f>
        <v>0</v>
      </c>
      <c r="BH589" s="1196"/>
      <c r="BI589" s="1194">
        <f>IF(AND(AH692&lt;=0.35,AH692&gt;0),1,0)</f>
        <v>1</v>
      </c>
      <c r="BJ589" s="1196"/>
      <c r="BK589" s="1194">
        <f t="shared" ref="BK589:BK613" si="8">IF(BI589=1,G692,0)</f>
        <v>13</v>
      </c>
      <c r="BL589" s="1196"/>
      <c r="BM589" s="33"/>
      <c r="BN589" s="1194">
        <f t="shared" si="1"/>
        <v>0</v>
      </c>
      <c r="BO589" s="1195"/>
      <c r="BP589" s="1195"/>
      <c r="BQ589" s="1195"/>
      <c r="BR589" s="1197"/>
      <c r="BS589" s="1194">
        <f t="shared" si="2"/>
        <v>8</v>
      </c>
      <c r="BT589" s="1195"/>
      <c r="BU589" s="1195"/>
      <c r="BV589" s="1195"/>
      <c r="BW589" s="1196"/>
      <c r="BX589" s="1194">
        <f t="shared" si="3"/>
        <v>0</v>
      </c>
      <c r="BY589" s="1195"/>
      <c r="BZ589" s="1195"/>
      <c r="CA589" s="1195"/>
      <c r="CB589" s="1196"/>
      <c r="CC589" s="1194">
        <f t="shared" si="4"/>
        <v>0</v>
      </c>
      <c r="CD589" s="1195"/>
      <c r="CE589" s="1195"/>
      <c r="CF589" s="1195"/>
      <c r="CG589" s="1196"/>
      <c r="CH589" s="1194">
        <f t="shared" si="5"/>
        <v>0</v>
      </c>
      <c r="CI589" s="1195"/>
      <c r="CJ589" s="1195"/>
      <c r="CK589" s="1195"/>
      <c r="CL589" s="1196"/>
      <c r="CM589" s="1194">
        <f t="shared" si="6"/>
        <v>0</v>
      </c>
      <c r="CN589" s="1195"/>
      <c r="CO589" s="1195"/>
      <c r="CP589" s="1195"/>
      <c r="CQ589" s="1196"/>
      <c r="CR589" s="33"/>
      <c r="CS589" s="1200">
        <f>IF(AND(B692="SRO/Studio",AH692&lt;=0.3),G692,0)</f>
        <v>0</v>
      </c>
      <c r="CT589" s="1201"/>
      <c r="CU589" s="1201"/>
      <c r="CV589" s="1201"/>
      <c r="CW589" s="1202"/>
      <c r="CX589" s="1200">
        <f>IF(AND(B692="1 Bedroom",AH692&lt;=0.3),G692,0)</f>
        <v>13</v>
      </c>
      <c r="CY589" s="1201"/>
      <c r="CZ589" s="1201"/>
      <c r="DA589" s="1201"/>
      <c r="DB589" s="1202"/>
      <c r="DC589" s="1200">
        <f>IF(AND(B692="2 Bedrooms",AH692&lt;=0.3),G692,0)</f>
        <v>0</v>
      </c>
      <c r="DD589" s="1201"/>
      <c r="DE589" s="1201"/>
      <c r="DF589" s="1201"/>
      <c r="DG589" s="1202"/>
      <c r="DH589" s="1200">
        <f>IF(AND(B692="3 Bedrooms",AH692&lt;=0.3),G692,0)</f>
        <v>0</v>
      </c>
      <c r="DI589" s="1201"/>
      <c r="DJ589" s="1201"/>
      <c r="DK589" s="1201"/>
      <c r="DL589" s="1202"/>
      <c r="DM589" s="1200">
        <f>IF(AND(B692="4 Bedrooms",AH692&lt;=0.3),G692,0)</f>
        <v>0</v>
      </c>
      <c r="DN589" s="1201"/>
      <c r="DO589" s="1201"/>
      <c r="DP589" s="1201"/>
      <c r="DQ589" s="1202"/>
      <c r="DR589" s="1200">
        <f>IF(AND(B692="5 Bedrooms",AH692&lt;=0.3),G692,0)</f>
        <v>0</v>
      </c>
      <c r="DS589" s="1201"/>
      <c r="DT589" s="1201"/>
      <c r="DU589" s="1201"/>
      <c r="DV589" s="1202"/>
    </row>
    <row r="590" spans="1:126" s="4" customFormat="1" ht="12.95" customHeight="1">
      <c r="A590" s="3"/>
      <c r="B590" t="s">
        <v>1410</v>
      </c>
      <c r="C590"/>
      <c r="D590"/>
      <c r="E590"/>
      <c r="F590"/>
      <c r="G590"/>
      <c r="H590"/>
      <c r="I590"/>
      <c r="J590"/>
      <c r="K590"/>
      <c r="L590"/>
      <c r="M590"/>
      <c r="N590" s="1085" t="s">
        <v>712</v>
      </c>
      <c r="O590" s="1085"/>
      <c r="P590"/>
      <c r="Q590"/>
      <c r="R590"/>
      <c r="S590"/>
      <c r="T590" s="3"/>
      <c r="U590" t="s">
        <v>1410</v>
      </c>
      <c r="V590"/>
      <c r="W590"/>
      <c r="X590"/>
      <c r="Y590"/>
      <c r="Z590"/>
      <c r="AA590"/>
      <c r="AB590"/>
      <c r="AC590"/>
      <c r="AD590"/>
      <c r="AE590"/>
      <c r="AF590"/>
      <c r="AG590" s="1085" t="s">
        <v>712</v>
      </c>
      <c r="AH590" s="1085"/>
      <c r="AI590"/>
      <c r="AJ590"/>
      <c r="AK590"/>
      <c r="AL590"/>
      <c r="AM590" s="33"/>
      <c r="AN590" s="33"/>
      <c r="AO590" s="33"/>
      <c r="AP590" s="33"/>
      <c r="AQ590" s="33"/>
      <c r="AR590" s="33"/>
      <c r="AS590" s="33"/>
      <c r="AT590" s="33"/>
      <c r="AU590" s="33"/>
      <c r="AV590" s="33"/>
      <c r="AW590" s="33"/>
      <c r="AX590" s="33"/>
      <c r="AY590" s="33"/>
      <c r="AZ590" s="33" t="s">
        <v>1422</v>
      </c>
      <c r="BA590" s="33"/>
      <c r="BB590" s="33"/>
      <c r="BC590" s="33"/>
      <c r="BD590" s="33"/>
      <c r="BE590" s="1194">
        <f t="shared" ref="BE590:BE613" si="9">IF(AND(AH693&lt;=0.5,AH693&gt;=0.36),1,0)</f>
        <v>1</v>
      </c>
      <c r="BF590" s="1196"/>
      <c r="BG590" s="1194">
        <f t="shared" si="7"/>
        <v>8</v>
      </c>
      <c r="BH590" s="1196"/>
      <c r="BI590" s="1194">
        <f t="shared" ref="BI590:BI613" si="10">IF(AND(AH693&lt;=0.35,AH693&gt;0),1,0)</f>
        <v>0</v>
      </c>
      <c r="BJ590" s="1196"/>
      <c r="BK590" s="1194">
        <f t="shared" si="8"/>
        <v>0</v>
      </c>
      <c r="BL590" s="1196"/>
      <c r="BM590" s="33"/>
      <c r="BN590" s="1194">
        <f t="shared" si="1"/>
        <v>0</v>
      </c>
      <c r="BO590" s="1195"/>
      <c r="BP590" s="1195"/>
      <c r="BQ590" s="1195"/>
      <c r="BR590" s="1197"/>
      <c r="BS590" s="1194">
        <f t="shared" si="2"/>
        <v>0</v>
      </c>
      <c r="BT590" s="1195"/>
      <c r="BU590" s="1195"/>
      <c r="BV590" s="1195"/>
      <c r="BW590" s="1196"/>
      <c r="BX590" s="1194">
        <f t="shared" si="3"/>
        <v>1</v>
      </c>
      <c r="BY590" s="1195"/>
      <c r="BZ590" s="1195"/>
      <c r="CA590" s="1195"/>
      <c r="CB590" s="1196"/>
      <c r="CC590" s="1194">
        <f t="shared" si="4"/>
        <v>0</v>
      </c>
      <c r="CD590" s="1195"/>
      <c r="CE590" s="1195"/>
      <c r="CF590" s="1195"/>
      <c r="CG590" s="1196"/>
      <c r="CH590" s="1194">
        <f t="shared" si="5"/>
        <v>0</v>
      </c>
      <c r="CI590" s="1195"/>
      <c r="CJ590" s="1195"/>
      <c r="CK590" s="1195"/>
      <c r="CL590" s="1196"/>
      <c r="CM590" s="1194">
        <f t="shared" si="6"/>
        <v>0</v>
      </c>
      <c r="CN590" s="1195"/>
      <c r="CO590" s="1195"/>
      <c r="CP590" s="1195"/>
      <c r="CQ590" s="1196"/>
      <c r="CR590" s="33"/>
      <c r="CS590" s="1200">
        <f t="shared" ref="CS590:CS613" si="11">IF(AND(B693="SRO/Studio",AH693&lt;=0.3),G693,0)</f>
        <v>0</v>
      </c>
      <c r="CT590" s="1201"/>
      <c r="CU590" s="1201"/>
      <c r="CV590" s="1201"/>
      <c r="CW590" s="1202"/>
      <c r="CX590" s="1200">
        <f t="shared" ref="CX590:CX613" si="12">IF(AND(B693="1 Bedroom",AH693&lt;=0.3),G693,0)</f>
        <v>0</v>
      </c>
      <c r="CY590" s="1201"/>
      <c r="CZ590" s="1201"/>
      <c r="DA590" s="1201"/>
      <c r="DB590" s="1202"/>
      <c r="DC590" s="1200">
        <f t="shared" ref="DC590:DC613" si="13">IF(AND(B693="2 Bedrooms",AH693&lt;=0.3),G693,0)</f>
        <v>0</v>
      </c>
      <c r="DD590" s="1201"/>
      <c r="DE590" s="1201"/>
      <c r="DF590" s="1201"/>
      <c r="DG590" s="1202"/>
      <c r="DH590" s="1200">
        <f t="shared" ref="DH590:DH613" si="14">IF(AND(B693="3 Bedrooms",AH693&lt;=0.3),G693,0)</f>
        <v>0</v>
      </c>
      <c r="DI590" s="1201"/>
      <c r="DJ590" s="1201"/>
      <c r="DK590" s="1201"/>
      <c r="DL590" s="1202"/>
      <c r="DM590" s="1200">
        <f t="shared" ref="DM590:DM613" si="15">IF(AND(B693="4 Bedrooms",AH693&lt;=0.3),G693,0)</f>
        <v>0</v>
      </c>
      <c r="DN590" s="1201"/>
      <c r="DO590" s="1201"/>
      <c r="DP590" s="1201"/>
      <c r="DQ590" s="1202"/>
      <c r="DR590" s="1200">
        <f t="shared" ref="DR590:DR613" si="16">IF(AND(B693="5 Bedrooms",AH693&lt;=0.3),G693,0)</f>
        <v>0</v>
      </c>
      <c r="DS590" s="1201"/>
      <c r="DT590" s="1201"/>
      <c r="DU590" s="1201"/>
      <c r="DV590" s="1202"/>
    </row>
    <row r="591" spans="1:126" ht="12.95" customHeight="1">
      <c r="AZ591" s="33" t="s">
        <v>1423</v>
      </c>
      <c r="BA591" s="33"/>
      <c r="BB591" s="33"/>
      <c r="BC591" s="33"/>
      <c r="BD591" s="33"/>
      <c r="BE591" s="1194">
        <f t="shared" si="9"/>
        <v>0</v>
      </c>
      <c r="BF591" s="1196"/>
      <c r="BG591" s="1194">
        <f t="shared" si="7"/>
        <v>0</v>
      </c>
      <c r="BH591" s="1196"/>
      <c r="BI591" s="1194">
        <f t="shared" si="10"/>
        <v>1</v>
      </c>
      <c r="BJ591" s="1196"/>
      <c r="BK591" s="1194">
        <f t="shared" si="8"/>
        <v>1</v>
      </c>
      <c r="BL591" s="1196"/>
      <c r="BN591" s="1194">
        <f t="shared" si="1"/>
        <v>0</v>
      </c>
      <c r="BO591" s="1195"/>
      <c r="BP591" s="1195"/>
      <c r="BQ591" s="1195"/>
      <c r="BR591" s="1197"/>
      <c r="BS591" s="1194">
        <f t="shared" si="2"/>
        <v>0</v>
      </c>
      <c r="BT591" s="1195"/>
      <c r="BU591" s="1195"/>
      <c r="BV591" s="1195"/>
      <c r="BW591" s="1196"/>
      <c r="BX591" s="1194">
        <f t="shared" si="3"/>
        <v>8</v>
      </c>
      <c r="BY591" s="1195"/>
      <c r="BZ591" s="1195"/>
      <c r="CA591" s="1195"/>
      <c r="CB591" s="1196"/>
      <c r="CC591" s="1194">
        <f t="shared" si="4"/>
        <v>0</v>
      </c>
      <c r="CD591" s="1195"/>
      <c r="CE591" s="1195"/>
      <c r="CF591" s="1195"/>
      <c r="CG591" s="1196"/>
      <c r="CH591" s="1194">
        <f t="shared" si="5"/>
        <v>0</v>
      </c>
      <c r="CI591" s="1195"/>
      <c r="CJ591" s="1195"/>
      <c r="CK591" s="1195"/>
      <c r="CL591" s="1196"/>
      <c r="CM591" s="1194">
        <f t="shared" si="6"/>
        <v>0</v>
      </c>
      <c r="CN591" s="1195"/>
      <c r="CO591" s="1195"/>
      <c r="CP591" s="1195"/>
      <c r="CQ591" s="1196"/>
      <c r="CS591" s="1200">
        <f t="shared" si="11"/>
        <v>0</v>
      </c>
      <c r="CT591" s="1201"/>
      <c r="CU591" s="1201"/>
      <c r="CV591" s="1201"/>
      <c r="CW591" s="1202"/>
      <c r="CX591" s="1200">
        <f t="shared" si="12"/>
        <v>0</v>
      </c>
      <c r="CY591" s="1201"/>
      <c r="CZ591" s="1201"/>
      <c r="DA591" s="1201"/>
      <c r="DB591" s="1202"/>
      <c r="DC591" s="1200">
        <f t="shared" si="13"/>
        <v>1</v>
      </c>
      <c r="DD591" s="1201"/>
      <c r="DE591" s="1201"/>
      <c r="DF591" s="1201"/>
      <c r="DG591" s="1202"/>
      <c r="DH591" s="1200">
        <f t="shared" si="14"/>
        <v>0</v>
      </c>
      <c r="DI591" s="1201"/>
      <c r="DJ591" s="1201"/>
      <c r="DK591" s="1201"/>
      <c r="DL591" s="1202"/>
      <c r="DM591" s="1200">
        <f t="shared" si="15"/>
        <v>0</v>
      </c>
      <c r="DN591" s="1201"/>
      <c r="DO591" s="1201"/>
      <c r="DP591" s="1201"/>
      <c r="DQ591" s="1202"/>
      <c r="DR591" s="1200">
        <f t="shared" si="16"/>
        <v>0</v>
      </c>
      <c r="DS591" s="1201"/>
      <c r="DT591" s="1201"/>
      <c r="DU591" s="1201"/>
      <c r="DV591" s="1202"/>
    </row>
    <row r="592" spans="1:126" ht="12.95" customHeight="1">
      <c r="A592" s="43" t="s">
        <v>1390</v>
      </c>
      <c r="B592" t="s">
        <v>1397</v>
      </c>
      <c r="G592" s="1076" t="str">
        <f>C554</f>
        <v>GP Equity</v>
      </c>
      <c r="H592" s="1076"/>
      <c r="I592" s="1076"/>
      <c r="J592" s="1076"/>
      <c r="K592" s="1076"/>
      <c r="L592" s="1076"/>
      <c r="M592" s="1076"/>
      <c r="N592" s="1076"/>
      <c r="O592" s="1076"/>
      <c r="P592" s="1076"/>
      <c r="Q592" s="1076"/>
      <c r="R592" s="1076"/>
      <c r="T592" s="43" t="s">
        <v>1392</v>
      </c>
      <c r="U592" t="s">
        <v>1397</v>
      </c>
      <c r="Z592" s="1076" t="str">
        <f>C555</f>
        <v xml:space="preserve">Investor Equity during Construction </v>
      </c>
      <c r="AA592" s="1076"/>
      <c r="AB592" s="1076"/>
      <c r="AC592" s="1076"/>
      <c r="AD592" s="1076"/>
      <c r="AE592" s="1076"/>
      <c r="AF592" s="1076"/>
      <c r="AG592" s="1076"/>
      <c r="AH592" s="1076"/>
      <c r="AI592" s="1076"/>
      <c r="AJ592" s="1076"/>
      <c r="AK592" s="1076"/>
      <c r="AZ592" s="33" t="s">
        <v>1431</v>
      </c>
      <c r="BA592" s="33"/>
      <c r="BB592" s="33"/>
      <c r="BC592" s="33"/>
      <c r="BD592" s="33"/>
      <c r="BE592" s="1194">
        <f t="shared" si="9"/>
        <v>0</v>
      </c>
      <c r="BF592" s="1196"/>
      <c r="BG592" s="1194">
        <f t="shared" si="7"/>
        <v>0</v>
      </c>
      <c r="BH592" s="1196"/>
      <c r="BI592" s="1194">
        <f t="shared" si="10"/>
        <v>0</v>
      </c>
      <c r="BJ592" s="1196"/>
      <c r="BK592" s="1194">
        <f t="shared" si="8"/>
        <v>0</v>
      </c>
      <c r="BL592" s="1196"/>
      <c r="BN592" s="1194">
        <f t="shared" si="1"/>
        <v>0</v>
      </c>
      <c r="BO592" s="1195"/>
      <c r="BP592" s="1195"/>
      <c r="BQ592" s="1195"/>
      <c r="BR592" s="1197"/>
      <c r="BS592" s="1194">
        <f t="shared" si="2"/>
        <v>0</v>
      </c>
      <c r="BT592" s="1195"/>
      <c r="BU592" s="1195"/>
      <c r="BV592" s="1195"/>
      <c r="BW592" s="1196"/>
      <c r="BX592" s="1194">
        <f t="shared" si="3"/>
        <v>0</v>
      </c>
      <c r="BY592" s="1195"/>
      <c r="BZ592" s="1195"/>
      <c r="CA592" s="1195"/>
      <c r="CB592" s="1196"/>
      <c r="CC592" s="1194">
        <f t="shared" si="4"/>
        <v>3</v>
      </c>
      <c r="CD592" s="1195"/>
      <c r="CE592" s="1195"/>
      <c r="CF592" s="1195"/>
      <c r="CG592" s="1196"/>
      <c r="CH592" s="1194">
        <f t="shared" si="5"/>
        <v>0</v>
      </c>
      <c r="CI592" s="1195"/>
      <c r="CJ592" s="1195"/>
      <c r="CK592" s="1195"/>
      <c r="CL592" s="1196"/>
      <c r="CM592" s="1194">
        <f t="shared" si="6"/>
        <v>0</v>
      </c>
      <c r="CN592" s="1195"/>
      <c r="CO592" s="1195"/>
      <c r="CP592" s="1195"/>
      <c r="CQ592" s="1196"/>
      <c r="CS592" s="1200">
        <f t="shared" si="11"/>
        <v>0</v>
      </c>
      <c r="CT592" s="1201"/>
      <c r="CU592" s="1201"/>
      <c r="CV592" s="1201"/>
      <c r="CW592" s="1202"/>
      <c r="CX592" s="1200">
        <f t="shared" si="12"/>
        <v>0</v>
      </c>
      <c r="CY592" s="1201"/>
      <c r="CZ592" s="1201"/>
      <c r="DA592" s="1201"/>
      <c r="DB592" s="1202"/>
      <c r="DC592" s="1200">
        <f t="shared" si="13"/>
        <v>0</v>
      </c>
      <c r="DD592" s="1201"/>
      <c r="DE592" s="1201"/>
      <c r="DF592" s="1201"/>
      <c r="DG592" s="1202"/>
      <c r="DH592" s="1200">
        <f t="shared" si="14"/>
        <v>0</v>
      </c>
      <c r="DI592" s="1201"/>
      <c r="DJ592" s="1201"/>
      <c r="DK592" s="1201"/>
      <c r="DL592" s="1202"/>
      <c r="DM592" s="1200">
        <f t="shared" si="15"/>
        <v>0</v>
      </c>
      <c r="DN592" s="1201"/>
      <c r="DO592" s="1201"/>
      <c r="DP592" s="1201"/>
      <c r="DQ592" s="1202"/>
      <c r="DR592" s="1200">
        <f t="shared" si="16"/>
        <v>0</v>
      </c>
      <c r="DS592" s="1201"/>
      <c r="DT592" s="1201"/>
      <c r="DU592" s="1201"/>
      <c r="DV592" s="1202"/>
    </row>
    <row r="593" spans="1:126" ht="12.95" customHeight="1">
      <c r="A593" s="3"/>
      <c r="B593" t="s">
        <v>1048</v>
      </c>
      <c r="G593" s="1184" t="s">
        <v>1432</v>
      </c>
      <c r="H593" s="1181"/>
      <c r="I593" s="1181"/>
      <c r="J593" s="1181"/>
      <c r="K593" s="1181"/>
      <c r="L593" s="1181"/>
      <c r="M593" s="1181"/>
      <c r="N593" s="1181"/>
      <c r="O593" s="1181"/>
      <c r="P593" s="1181"/>
      <c r="Q593" s="1181"/>
      <c r="R593" s="1181"/>
      <c r="T593" s="3"/>
      <c r="U593" t="s">
        <v>1048</v>
      </c>
      <c r="Z593" s="1184" t="s">
        <v>1131</v>
      </c>
      <c r="AA593" s="1181"/>
      <c r="AB593" s="1181"/>
      <c r="AC593" s="1181"/>
      <c r="AD593" s="1181"/>
      <c r="AE593" s="1181"/>
      <c r="AF593" s="1181"/>
      <c r="AG593" s="1181"/>
      <c r="AH593" s="1181"/>
      <c r="AI593" s="1181"/>
      <c r="AJ593" s="1181"/>
      <c r="AK593" s="1181"/>
      <c r="AZ593" s="33" t="s">
        <v>1425</v>
      </c>
      <c r="BA593" s="33"/>
      <c r="BB593" s="33"/>
      <c r="BC593" s="33"/>
      <c r="BD593" s="33"/>
      <c r="BE593" s="1194">
        <f t="shared" si="9"/>
        <v>0</v>
      </c>
      <c r="BF593" s="1196"/>
      <c r="BG593" s="1194">
        <f t="shared" si="7"/>
        <v>0</v>
      </c>
      <c r="BH593" s="1196"/>
      <c r="BI593" s="1194">
        <f t="shared" si="10"/>
        <v>1</v>
      </c>
      <c r="BJ593" s="1196"/>
      <c r="BK593" s="1194">
        <f t="shared" si="8"/>
        <v>3</v>
      </c>
      <c r="BL593" s="1196"/>
      <c r="BN593" s="1194">
        <f t="shared" si="1"/>
        <v>0</v>
      </c>
      <c r="BO593" s="1195"/>
      <c r="BP593" s="1195"/>
      <c r="BQ593" s="1195"/>
      <c r="BR593" s="1197"/>
      <c r="BS593" s="1194">
        <f t="shared" si="2"/>
        <v>0</v>
      </c>
      <c r="BT593" s="1195"/>
      <c r="BU593" s="1195"/>
      <c r="BV593" s="1195"/>
      <c r="BW593" s="1196"/>
      <c r="BX593" s="1194">
        <f t="shared" si="3"/>
        <v>0</v>
      </c>
      <c r="BY593" s="1195"/>
      <c r="BZ593" s="1195"/>
      <c r="CA593" s="1195"/>
      <c r="CB593" s="1196"/>
      <c r="CC593" s="1194">
        <f t="shared" si="4"/>
        <v>1</v>
      </c>
      <c r="CD593" s="1195"/>
      <c r="CE593" s="1195"/>
      <c r="CF593" s="1195"/>
      <c r="CG593" s="1196"/>
      <c r="CH593" s="1194">
        <f t="shared" si="5"/>
        <v>0</v>
      </c>
      <c r="CI593" s="1195"/>
      <c r="CJ593" s="1195"/>
      <c r="CK593" s="1195"/>
      <c r="CL593" s="1196"/>
      <c r="CM593" s="1194">
        <f t="shared" si="6"/>
        <v>0</v>
      </c>
      <c r="CN593" s="1195"/>
      <c r="CO593" s="1195"/>
      <c r="CP593" s="1195"/>
      <c r="CQ593" s="1196"/>
      <c r="CS593" s="1200">
        <f t="shared" si="11"/>
        <v>0</v>
      </c>
      <c r="CT593" s="1201"/>
      <c r="CU593" s="1201"/>
      <c r="CV593" s="1201"/>
      <c r="CW593" s="1202"/>
      <c r="CX593" s="1200">
        <f t="shared" si="12"/>
        <v>0</v>
      </c>
      <c r="CY593" s="1201"/>
      <c r="CZ593" s="1201"/>
      <c r="DA593" s="1201"/>
      <c r="DB593" s="1202"/>
      <c r="DC593" s="1200">
        <f t="shared" si="13"/>
        <v>0</v>
      </c>
      <c r="DD593" s="1201"/>
      <c r="DE593" s="1201"/>
      <c r="DF593" s="1201"/>
      <c r="DG593" s="1202"/>
      <c r="DH593" s="1200">
        <f t="shared" si="14"/>
        <v>3</v>
      </c>
      <c r="DI593" s="1201"/>
      <c r="DJ593" s="1201"/>
      <c r="DK593" s="1201"/>
      <c r="DL593" s="1202"/>
      <c r="DM593" s="1200">
        <f t="shared" si="15"/>
        <v>0</v>
      </c>
      <c r="DN593" s="1201"/>
      <c r="DO593" s="1201"/>
      <c r="DP593" s="1201"/>
      <c r="DQ593" s="1202"/>
      <c r="DR593" s="1200">
        <f t="shared" si="16"/>
        <v>0</v>
      </c>
      <c r="DS593" s="1201"/>
      <c r="DT593" s="1201"/>
      <c r="DU593" s="1201"/>
      <c r="DV593" s="1202"/>
    </row>
    <row r="594" spans="1:126" ht="12.95" customHeight="1">
      <c r="A594" s="3"/>
      <c r="B594" t="s">
        <v>908</v>
      </c>
      <c r="G594" s="1184" t="s">
        <v>1433</v>
      </c>
      <c r="H594" s="1181"/>
      <c r="I594" s="1181"/>
      <c r="J594" s="1181"/>
      <c r="K594" s="1181"/>
      <c r="L594" s="1181"/>
      <c r="M594" s="1181"/>
      <c r="N594" s="1181"/>
      <c r="O594" s="1181"/>
      <c r="P594" s="1181"/>
      <c r="Q594" s="1181"/>
      <c r="R594" s="1181"/>
      <c r="T594" s="3"/>
      <c r="U594" t="s">
        <v>908</v>
      </c>
      <c r="Z594" s="1179" t="s">
        <v>1131</v>
      </c>
      <c r="AA594" s="1183"/>
      <c r="AB594" s="1183"/>
      <c r="AC594" s="1183"/>
      <c r="AD594" s="1183"/>
      <c r="AE594" s="1183"/>
      <c r="AF594" s="1183"/>
      <c r="AG594" s="1183"/>
      <c r="AH594" s="1183"/>
      <c r="AI594" s="1183"/>
      <c r="AJ594" s="1183"/>
      <c r="AK594" s="1183"/>
      <c r="AZ594" s="33"/>
      <c r="BA594" s="33"/>
      <c r="BB594" s="33"/>
      <c r="BC594" s="33"/>
      <c r="BD594" s="33"/>
      <c r="BE594" s="1194">
        <f t="shared" si="9"/>
        <v>1</v>
      </c>
      <c r="BF594" s="1196"/>
      <c r="BG594" s="1194">
        <f t="shared" si="7"/>
        <v>1</v>
      </c>
      <c r="BH594" s="1196"/>
      <c r="BI594" s="1194">
        <f t="shared" si="10"/>
        <v>0</v>
      </c>
      <c r="BJ594" s="1196"/>
      <c r="BK594" s="1194">
        <f t="shared" si="8"/>
        <v>0</v>
      </c>
      <c r="BL594" s="1196"/>
      <c r="BN594" s="1194">
        <f t="shared" si="1"/>
        <v>0</v>
      </c>
      <c r="BO594" s="1195"/>
      <c r="BP594" s="1195"/>
      <c r="BQ594" s="1195"/>
      <c r="BR594" s="1197"/>
      <c r="BS594" s="1194">
        <f t="shared" si="2"/>
        <v>0</v>
      </c>
      <c r="BT594" s="1195"/>
      <c r="BU594" s="1195"/>
      <c r="BV594" s="1195"/>
      <c r="BW594" s="1196"/>
      <c r="BX594" s="1194">
        <f t="shared" si="3"/>
        <v>0</v>
      </c>
      <c r="BY594" s="1195"/>
      <c r="BZ594" s="1195"/>
      <c r="CA594" s="1195"/>
      <c r="CB594" s="1196"/>
      <c r="CC594" s="1194">
        <f t="shared" si="4"/>
        <v>8</v>
      </c>
      <c r="CD594" s="1195"/>
      <c r="CE594" s="1195"/>
      <c r="CF594" s="1195"/>
      <c r="CG594" s="1196"/>
      <c r="CH594" s="1194">
        <f t="shared" si="5"/>
        <v>0</v>
      </c>
      <c r="CI594" s="1195"/>
      <c r="CJ594" s="1195"/>
      <c r="CK594" s="1195"/>
      <c r="CL594" s="1196"/>
      <c r="CM594" s="1194">
        <f t="shared" si="6"/>
        <v>0</v>
      </c>
      <c r="CN594" s="1195"/>
      <c r="CO594" s="1195"/>
      <c r="CP594" s="1195"/>
      <c r="CQ594" s="1196"/>
      <c r="CS594" s="1200">
        <f t="shared" si="11"/>
        <v>0</v>
      </c>
      <c r="CT594" s="1201"/>
      <c r="CU594" s="1201"/>
      <c r="CV594" s="1201"/>
      <c r="CW594" s="1202"/>
      <c r="CX594" s="1200">
        <f t="shared" si="12"/>
        <v>0</v>
      </c>
      <c r="CY594" s="1201"/>
      <c r="CZ594" s="1201"/>
      <c r="DA594" s="1201"/>
      <c r="DB594" s="1202"/>
      <c r="DC594" s="1200">
        <f t="shared" si="13"/>
        <v>0</v>
      </c>
      <c r="DD594" s="1201"/>
      <c r="DE594" s="1201"/>
      <c r="DF594" s="1201"/>
      <c r="DG594" s="1202"/>
      <c r="DH594" s="1200">
        <f t="shared" si="14"/>
        <v>0</v>
      </c>
      <c r="DI594" s="1201"/>
      <c r="DJ594" s="1201"/>
      <c r="DK594" s="1201"/>
      <c r="DL594" s="1202"/>
      <c r="DM594" s="1200">
        <f t="shared" si="15"/>
        <v>0</v>
      </c>
      <c r="DN594" s="1201"/>
      <c r="DO594" s="1201"/>
      <c r="DP594" s="1201"/>
      <c r="DQ594" s="1202"/>
      <c r="DR594" s="1200">
        <f t="shared" si="16"/>
        <v>0</v>
      </c>
      <c r="DS594" s="1201"/>
      <c r="DT594" s="1201"/>
      <c r="DU594" s="1201"/>
      <c r="DV594" s="1202"/>
    </row>
    <row r="595" spans="1:126" ht="12.95" customHeight="1">
      <c r="A595" s="3"/>
      <c r="B595" t="s">
        <v>1402</v>
      </c>
      <c r="G595" s="1184" t="s">
        <v>797</v>
      </c>
      <c r="H595" s="1181"/>
      <c r="I595" s="1181"/>
      <c r="J595" s="1181"/>
      <c r="K595" s="1181"/>
      <c r="L595" s="1181"/>
      <c r="M595" s="1181"/>
      <c r="N595" s="1181"/>
      <c r="O595" s="1181"/>
      <c r="P595" s="1181"/>
      <c r="Q595" s="1181"/>
      <c r="R595" s="1181"/>
      <c r="T595" s="3"/>
      <c r="U595" t="s">
        <v>1402</v>
      </c>
      <c r="Z595" s="1179" t="s">
        <v>1131</v>
      </c>
      <c r="AA595" s="1183"/>
      <c r="AB595" s="1183"/>
      <c r="AC595" s="1183"/>
      <c r="AD595" s="1183"/>
      <c r="AE595" s="1183"/>
      <c r="AF595" s="1183"/>
      <c r="AG595" s="1183"/>
      <c r="AH595" s="1183"/>
      <c r="AI595" s="1183"/>
      <c r="AJ595" s="1183"/>
      <c r="AK595" s="1183"/>
      <c r="AZ595" s="33"/>
      <c r="BA595" s="33"/>
      <c r="BB595" s="33"/>
      <c r="BC595" s="33"/>
      <c r="BD595" s="33"/>
      <c r="BE595" s="1194">
        <f t="shared" si="9"/>
        <v>0</v>
      </c>
      <c r="BF595" s="1196"/>
      <c r="BG595" s="1194">
        <f t="shared" si="7"/>
        <v>0</v>
      </c>
      <c r="BH595" s="1196"/>
      <c r="BI595" s="1194">
        <f t="shared" si="10"/>
        <v>0</v>
      </c>
      <c r="BJ595" s="1196"/>
      <c r="BK595" s="1194">
        <f t="shared" si="8"/>
        <v>0</v>
      </c>
      <c r="BL595" s="1196"/>
      <c r="BN595" s="1194">
        <f t="shared" si="1"/>
        <v>0</v>
      </c>
      <c r="BO595" s="1195"/>
      <c r="BP595" s="1195"/>
      <c r="BQ595" s="1195"/>
      <c r="BR595" s="1197"/>
      <c r="BS595" s="1194">
        <f t="shared" si="2"/>
        <v>0</v>
      </c>
      <c r="BT595" s="1195"/>
      <c r="BU595" s="1195"/>
      <c r="BV595" s="1195"/>
      <c r="BW595" s="1196"/>
      <c r="BX595" s="1194">
        <f t="shared" si="3"/>
        <v>0</v>
      </c>
      <c r="BY595" s="1195"/>
      <c r="BZ595" s="1195"/>
      <c r="CA595" s="1195"/>
      <c r="CB595" s="1196"/>
      <c r="CC595" s="1194">
        <f t="shared" si="4"/>
        <v>0</v>
      </c>
      <c r="CD595" s="1195"/>
      <c r="CE595" s="1195"/>
      <c r="CF595" s="1195"/>
      <c r="CG595" s="1196"/>
      <c r="CH595" s="1194">
        <f t="shared" si="5"/>
        <v>0</v>
      </c>
      <c r="CI595" s="1195"/>
      <c r="CJ595" s="1195"/>
      <c r="CK595" s="1195"/>
      <c r="CL595" s="1196"/>
      <c r="CM595" s="1194">
        <f t="shared" si="6"/>
        <v>0</v>
      </c>
      <c r="CN595" s="1195"/>
      <c r="CO595" s="1195"/>
      <c r="CP595" s="1195"/>
      <c r="CQ595" s="1196"/>
      <c r="CS595" s="1200">
        <f t="shared" si="11"/>
        <v>0</v>
      </c>
      <c r="CT595" s="1201"/>
      <c r="CU595" s="1201"/>
      <c r="CV595" s="1201"/>
      <c r="CW595" s="1202"/>
      <c r="CX595" s="1200">
        <f t="shared" si="12"/>
        <v>0</v>
      </c>
      <c r="CY595" s="1201"/>
      <c r="CZ595" s="1201"/>
      <c r="DA595" s="1201"/>
      <c r="DB595" s="1202"/>
      <c r="DC595" s="1200">
        <f t="shared" si="13"/>
        <v>0</v>
      </c>
      <c r="DD595" s="1201"/>
      <c r="DE595" s="1201"/>
      <c r="DF595" s="1201"/>
      <c r="DG595" s="1202"/>
      <c r="DH595" s="1200">
        <f t="shared" si="14"/>
        <v>0</v>
      </c>
      <c r="DI595" s="1201"/>
      <c r="DJ595" s="1201"/>
      <c r="DK595" s="1201"/>
      <c r="DL595" s="1202"/>
      <c r="DM595" s="1200">
        <f t="shared" si="15"/>
        <v>0</v>
      </c>
      <c r="DN595" s="1201"/>
      <c r="DO595" s="1201"/>
      <c r="DP595" s="1201"/>
      <c r="DQ595" s="1202"/>
      <c r="DR595" s="1200">
        <f t="shared" si="16"/>
        <v>0</v>
      </c>
      <c r="DS595" s="1201"/>
      <c r="DT595" s="1201"/>
      <c r="DU595" s="1201"/>
      <c r="DV595" s="1202"/>
    </row>
    <row r="596" spans="1:126" ht="12.95" customHeight="1">
      <c r="A596" s="3"/>
      <c r="B596" t="s">
        <v>824</v>
      </c>
      <c r="G596" s="1182" t="s">
        <v>1434</v>
      </c>
      <c r="H596" s="1182"/>
      <c r="I596" s="1182"/>
      <c r="J596" s="1182"/>
      <c r="K596" s="1182"/>
      <c r="L596" s="1182"/>
      <c r="O596" s="722" t="s">
        <v>1058</v>
      </c>
      <c r="P596" s="1179"/>
      <c r="Q596" s="1179"/>
      <c r="R596" s="1179"/>
      <c r="T596" s="3"/>
      <c r="U596" t="s">
        <v>824</v>
      </c>
      <c r="Z596" s="1182" t="s">
        <v>1131</v>
      </c>
      <c r="AA596" s="1182"/>
      <c r="AB596" s="1182"/>
      <c r="AC596" s="1182"/>
      <c r="AD596" s="1182"/>
      <c r="AE596" s="1182"/>
      <c r="AH596" s="722" t="s">
        <v>1058</v>
      </c>
      <c r="AI596" s="1179"/>
      <c r="AJ596" s="1179"/>
      <c r="AK596" s="1179"/>
      <c r="AZ596" s="33"/>
      <c r="BA596" s="33"/>
      <c r="BB596" s="33"/>
      <c r="BC596" s="33"/>
      <c r="BD596" s="33"/>
      <c r="BE596" s="1194">
        <f t="shared" si="9"/>
        <v>0</v>
      </c>
      <c r="BF596" s="1196"/>
      <c r="BG596" s="1194">
        <f t="shared" si="7"/>
        <v>0</v>
      </c>
      <c r="BH596" s="1196"/>
      <c r="BI596" s="1194">
        <f t="shared" si="10"/>
        <v>0</v>
      </c>
      <c r="BJ596" s="1196"/>
      <c r="BK596" s="1194">
        <f t="shared" si="8"/>
        <v>0</v>
      </c>
      <c r="BL596" s="1196"/>
      <c r="BN596" s="1194">
        <f t="shared" si="1"/>
        <v>0</v>
      </c>
      <c r="BO596" s="1195"/>
      <c r="BP596" s="1195"/>
      <c r="BQ596" s="1195"/>
      <c r="BR596" s="1197"/>
      <c r="BS596" s="1194">
        <f t="shared" si="2"/>
        <v>0</v>
      </c>
      <c r="BT596" s="1195"/>
      <c r="BU596" s="1195"/>
      <c r="BV596" s="1195"/>
      <c r="BW596" s="1196"/>
      <c r="BX596" s="1194">
        <f t="shared" si="3"/>
        <v>0</v>
      </c>
      <c r="BY596" s="1195"/>
      <c r="BZ596" s="1195"/>
      <c r="CA596" s="1195"/>
      <c r="CB596" s="1196"/>
      <c r="CC596" s="1194">
        <f t="shared" si="4"/>
        <v>0</v>
      </c>
      <c r="CD596" s="1195"/>
      <c r="CE596" s="1195"/>
      <c r="CF596" s="1195"/>
      <c r="CG596" s="1196"/>
      <c r="CH596" s="1194">
        <f t="shared" si="5"/>
        <v>0</v>
      </c>
      <c r="CI596" s="1195"/>
      <c r="CJ596" s="1195"/>
      <c r="CK596" s="1195"/>
      <c r="CL596" s="1196"/>
      <c r="CM596" s="1194">
        <f t="shared" si="6"/>
        <v>0</v>
      </c>
      <c r="CN596" s="1195"/>
      <c r="CO596" s="1195"/>
      <c r="CP596" s="1195"/>
      <c r="CQ596" s="1196"/>
      <c r="CS596" s="1200">
        <f t="shared" si="11"/>
        <v>0</v>
      </c>
      <c r="CT596" s="1201"/>
      <c r="CU596" s="1201"/>
      <c r="CV596" s="1201"/>
      <c r="CW596" s="1202"/>
      <c r="CX596" s="1200">
        <f t="shared" si="12"/>
        <v>0</v>
      </c>
      <c r="CY596" s="1201"/>
      <c r="CZ596" s="1201"/>
      <c r="DA596" s="1201"/>
      <c r="DB596" s="1202"/>
      <c r="DC596" s="1200">
        <f t="shared" si="13"/>
        <v>0</v>
      </c>
      <c r="DD596" s="1201"/>
      <c r="DE596" s="1201"/>
      <c r="DF596" s="1201"/>
      <c r="DG596" s="1202"/>
      <c r="DH596" s="1200">
        <f t="shared" si="14"/>
        <v>0</v>
      </c>
      <c r="DI596" s="1201"/>
      <c r="DJ596" s="1201"/>
      <c r="DK596" s="1201"/>
      <c r="DL596" s="1202"/>
      <c r="DM596" s="1200">
        <f t="shared" si="15"/>
        <v>0</v>
      </c>
      <c r="DN596" s="1201"/>
      <c r="DO596" s="1201"/>
      <c r="DP596" s="1201"/>
      <c r="DQ596" s="1202"/>
      <c r="DR596" s="1200">
        <f t="shared" si="16"/>
        <v>0</v>
      </c>
      <c r="DS596" s="1201"/>
      <c r="DT596" s="1201"/>
      <c r="DU596" s="1201"/>
      <c r="DV596" s="1202"/>
    </row>
    <row r="597" spans="1:126" s="4" customFormat="1" ht="12.95" customHeight="1">
      <c r="A597" s="3"/>
      <c r="B597" t="s">
        <v>1407</v>
      </c>
      <c r="C597"/>
      <c r="D597"/>
      <c r="E597"/>
      <c r="F597"/>
      <c r="G597"/>
      <c r="H597" s="1181" t="s">
        <v>1391</v>
      </c>
      <c r="I597" s="1181"/>
      <c r="J597" s="1181"/>
      <c r="K597" s="1181"/>
      <c r="L597" s="1181"/>
      <c r="M597" s="1181"/>
      <c r="N597" s="1181"/>
      <c r="O597" s="1181"/>
      <c r="P597" s="1181"/>
      <c r="Q597" s="1181"/>
      <c r="R597" s="1181"/>
      <c r="S597"/>
      <c r="T597" s="3"/>
      <c r="U597" t="s">
        <v>1407</v>
      </c>
      <c r="V597"/>
      <c r="W597"/>
      <c r="X597"/>
      <c r="Y597"/>
      <c r="Z597"/>
      <c r="AA597" s="1181" t="s">
        <v>1435</v>
      </c>
      <c r="AB597" s="1181"/>
      <c r="AC597" s="1181"/>
      <c r="AD597" s="1181"/>
      <c r="AE597" s="1181"/>
      <c r="AF597" s="1181"/>
      <c r="AG597" s="1181"/>
      <c r="AH597" s="1181"/>
      <c r="AI597" s="1181"/>
      <c r="AJ597" s="1181"/>
      <c r="AK597" s="1181"/>
      <c r="AL597"/>
      <c r="AM597" s="33"/>
      <c r="AN597" s="33"/>
      <c r="AO597" s="33"/>
      <c r="AP597" s="33"/>
      <c r="AQ597" s="33"/>
      <c r="AR597" s="33"/>
      <c r="AS597" s="33"/>
      <c r="AT597" s="33"/>
      <c r="AU597" s="33"/>
      <c r="AV597" s="33"/>
      <c r="AW597" s="33"/>
      <c r="AX597" s="33"/>
      <c r="AY597" s="33"/>
      <c r="AZ597" s="33"/>
      <c r="BA597" s="33"/>
      <c r="BB597" s="33"/>
      <c r="BC597" s="33"/>
      <c r="BD597" s="33"/>
      <c r="BE597" s="1194">
        <f t="shared" si="9"/>
        <v>0</v>
      </c>
      <c r="BF597" s="1196"/>
      <c r="BG597" s="1194">
        <f t="shared" si="7"/>
        <v>0</v>
      </c>
      <c r="BH597" s="1196"/>
      <c r="BI597" s="1194">
        <f t="shared" si="10"/>
        <v>0</v>
      </c>
      <c r="BJ597" s="1196"/>
      <c r="BK597" s="1194">
        <f t="shared" si="8"/>
        <v>0</v>
      </c>
      <c r="BL597" s="1196"/>
      <c r="BM597" s="33"/>
      <c r="BN597" s="1194">
        <f t="shared" si="1"/>
        <v>0</v>
      </c>
      <c r="BO597" s="1195"/>
      <c r="BP597" s="1195"/>
      <c r="BQ597" s="1195"/>
      <c r="BR597" s="1197"/>
      <c r="BS597" s="1194">
        <f t="shared" si="2"/>
        <v>0</v>
      </c>
      <c r="BT597" s="1195"/>
      <c r="BU597" s="1195"/>
      <c r="BV597" s="1195"/>
      <c r="BW597" s="1196"/>
      <c r="BX597" s="1194">
        <f t="shared" si="3"/>
        <v>0</v>
      </c>
      <c r="BY597" s="1195"/>
      <c r="BZ597" s="1195"/>
      <c r="CA597" s="1195"/>
      <c r="CB597" s="1196"/>
      <c r="CC597" s="1194">
        <f t="shared" si="4"/>
        <v>0</v>
      </c>
      <c r="CD597" s="1195"/>
      <c r="CE597" s="1195"/>
      <c r="CF597" s="1195"/>
      <c r="CG597" s="1196"/>
      <c r="CH597" s="1194">
        <f t="shared" si="5"/>
        <v>0</v>
      </c>
      <c r="CI597" s="1195"/>
      <c r="CJ597" s="1195"/>
      <c r="CK597" s="1195"/>
      <c r="CL597" s="1196"/>
      <c r="CM597" s="1194">
        <f t="shared" si="6"/>
        <v>0</v>
      </c>
      <c r="CN597" s="1195"/>
      <c r="CO597" s="1195"/>
      <c r="CP597" s="1195"/>
      <c r="CQ597" s="1196"/>
      <c r="CR597" s="33"/>
      <c r="CS597" s="1200">
        <f t="shared" si="11"/>
        <v>0</v>
      </c>
      <c r="CT597" s="1201"/>
      <c r="CU597" s="1201"/>
      <c r="CV597" s="1201"/>
      <c r="CW597" s="1202"/>
      <c r="CX597" s="1200">
        <f t="shared" si="12"/>
        <v>0</v>
      </c>
      <c r="CY597" s="1201"/>
      <c r="CZ597" s="1201"/>
      <c r="DA597" s="1201"/>
      <c r="DB597" s="1202"/>
      <c r="DC597" s="1200">
        <f t="shared" si="13"/>
        <v>0</v>
      </c>
      <c r="DD597" s="1201"/>
      <c r="DE597" s="1201"/>
      <c r="DF597" s="1201"/>
      <c r="DG597" s="1202"/>
      <c r="DH597" s="1200">
        <f t="shared" si="14"/>
        <v>0</v>
      </c>
      <c r="DI597" s="1201"/>
      <c r="DJ597" s="1201"/>
      <c r="DK597" s="1201"/>
      <c r="DL597" s="1202"/>
      <c r="DM597" s="1200">
        <f t="shared" si="15"/>
        <v>0</v>
      </c>
      <c r="DN597" s="1201"/>
      <c r="DO597" s="1201"/>
      <c r="DP597" s="1201"/>
      <c r="DQ597" s="1202"/>
      <c r="DR597" s="1200">
        <f t="shared" si="16"/>
        <v>0</v>
      </c>
      <c r="DS597" s="1201"/>
      <c r="DT597" s="1201"/>
      <c r="DU597" s="1201"/>
      <c r="DV597" s="1202"/>
    </row>
    <row r="598" spans="1:126" s="4" customFormat="1" ht="12.95" customHeight="1">
      <c r="A598" s="3"/>
      <c r="B598" t="s">
        <v>1410</v>
      </c>
      <c r="C598"/>
      <c r="D598"/>
      <c r="E598"/>
      <c r="F598"/>
      <c r="G598"/>
      <c r="H598"/>
      <c r="I598"/>
      <c r="J598"/>
      <c r="K598"/>
      <c r="L598"/>
      <c r="M598"/>
      <c r="N598" s="1085" t="s">
        <v>712</v>
      </c>
      <c r="O598" s="1085"/>
      <c r="P598"/>
      <c r="Q598"/>
      <c r="R598"/>
      <c r="S598"/>
      <c r="T598" s="3"/>
      <c r="U598" t="s">
        <v>1410</v>
      </c>
      <c r="V598"/>
      <c r="W598"/>
      <c r="X598"/>
      <c r="Y598"/>
      <c r="Z598"/>
      <c r="AA598"/>
      <c r="AB598"/>
      <c r="AC598"/>
      <c r="AD598"/>
      <c r="AE598"/>
      <c r="AF598"/>
      <c r="AG598" s="1085" t="s">
        <v>821</v>
      </c>
      <c r="AH598" s="1085"/>
      <c r="AI598"/>
      <c r="AJ598"/>
      <c r="AK598"/>
      <c r="AL598"/>
      <c r="AM598" s="33"/>
      <c r="AN598" s="33"/>
      <c r="AO598" s="33"/>
      <c r="AP598" s="33"/>
      <c r="AQ598" s="33"/>
      <c r="AR598" s="33"/>
      <c r="AS598" s="33"/>
      <c r="AT598" s="33"/>
      <c r="AU598" s="33"/>
      <c r="AV598" s="33"/>
      <c r="AW598" s="33"/>
      <c r="AX598" s="33"/>
      <c r="AY598" s="33"/>
      <c r="AZ598" s="33"/>
      <c r="BA598" s="33"/>
      <c r="BB598" s="33"/>
      <c r="BC598" s="33"/>
      <c r="BD598" s="33"/>
      <c r="BE598" s="1194">
        <f t="shared" si="9"/>
        <v>0</v>
      </c>
      <c r="BF598" s="1196"/>
      <c r="BG598" s="1194">
        <f t="shared" si="7"/>
        <v>0</v>
      </c>
      <c r="BH598" s="1196"/>
      <c r="BI598" s="1194">
        <f t="shared" si="10"/>
        <v>0</v>
      </c>
      <c r="BJ598" s="1196"/>
      <c r="BK598" s="1194">
        <f t="shared" si="8"/>
        <v>0</v>
      </c>
      <c r="BL598" s="1196"/>
      <c r="BM598" s="33"/>
      <c r="BN598" s="1194">
        <f t="shared" si="1"/>
        <v>0</v>
      </c>
      <c r="BO598" s="1195"/>
      <c r="BP598" s="1195"/>
      <c r="BQ598" s="1195"/>
      <c r="BR598" s="1197"/>
      <c r="BS598" s="1194">
        <f t="shared" si="2"/>
        <v>0</v>
      </c>
      <c r="BT598" s="1195"/>
      <c r="BU598" s="1195"/>
      <c r="BV598" s="1195"/>
      <c r="BW598" s="1196"/>
      <c r="BX598" s="1194">
        <f t="shared" si="3"/>
        <v>0</v>
      </c>
      <c r="BY598" s="1195"/>
      <c r="BZ598" s="1195"/>
      <c r="CA598" s="1195"/>
      <c r="CB598" s="1196"/>
      <c r="CC598" s="1194">
        <f t="shared" si="4"/>
        <v>0</v>
      </c>
      <c r="CD598" s="1195"/>
      <c r="CE598" s="1195"/>
      <c r="CF598" s="1195"/>
      <c r="CG598" s="1196"/>
      <c r="CH598" s="1194">
        <f t="shared" si="5"/>
        <v>0</v>
      </c>
      <c r="CI598" s="1195"/>
      <c r="CJ598" s="1195"/>
      <c r="CK598" s="1195"/>
      <c r="CL598" s="1196"/>
      <c r="CM598" s="1194">
        <f t="shared" si="6"/>
        <v>0</v>
      </c>
      <c r="CN598" s="1195"/>
      <c r="CO598" s="1195"/>
      <c r="CP598" s="1195"/>
      <c r="CQ598" s="1196"/>
      <c r="CR598" s="33"/>
      <c r="CS598" s="1200">
        <f t="shared" si="11"/>
        <v>0</v>
      </c>
      <c r="CT598" s="1201"/>
      <c r="CU598" s="1201"/>
      <c r="CV598" s="1201"/>
      <c r="CW598" s="1202"/>
      <c r="CX598" s="1200">
        <f t="shared" si="12"/>
        <v>0</v>
      </c>
      <c r="CY598" s="1201"/>
      <c r="CZ598" s="1201"/>
      <c r="DA598" s="1201"/>
      <c r="DB598" s="1202"/>
      <c r="DC598" s="1200">
        <f t="shared" si="13"/>
        <v>0</v>
      </c>
      <c r="DD598" s="1201"/>
      <c r="DE598" s="1201"/>
      <c r="DF598" s="1201"/>
      <c r="DG598" s="1202"/>
      <c r="DH598" s="1200">
        <f t="shared" si="14"/>
        <v>0</v>
      </c>
      <c r="DI598" s="1201"/>
      <c r="DJ598" s="1201"/>
      <c r="DK598" s="1201"/>
      <c r="DL598" s="1202"/>
      <c r="DM598" s="1200">
        <f t="shared" si="15"/>
        <v>0</v>
      </c>
      <c r="DN598" s="1201"/>
      <c r="DO598" s="1201"/>
      <c r="DP598" s="1201"/>
      <c r="DQ598" s="1202"/>
      <c r="DR598" s="1200">
        <f t="shared" si="16"/>
        <v>0</v>
      </c>
      <c r="DS598" s="1201"/>
      <c r="DT598" s="1201"/>
      <c r="DU598" s="1201"/>
      <c r="DV598" s="1202"/>
    </row>
    <row r="599" spans="1:126" s="4"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3"/>
      <c r="AN599" s="33"/>
      <c r="AO599" s="33"/>
      <c r="AP599" s="33"/>
      <c r="AQ599" s="33"/>
      <c r="AR599" s="33"/>
      <c r="AS599" s="33"/>
      <c r="AT599" s="33"/>
      <c r="AU599" s="33"/>
      <c r="AV599" s="33"/>
      <c r="AW599" s="33"/>
      <c r="AX599" s="33"/>
      <c r="AY599" s="33"/>
      <c r="AZ599" s="33"/>
      <c r="BA599" s="33"/>
      <c r="BB599" s="33"/>
      <c r="BC599" s="33"/>
      <c r="BD599" s="33"/>
      <c r="BE599" s="1194">
        <f t="shared" si="9"/>
        <v>0</v>
      </c>
      <c r="BF599" s="1196"/>
      <c r="BG599" s="1194">
        <f t="shared" si="7"/>
        <v>0</v>
      </c>
      <c r="BH599" s="1196"/>
      <c r="BI599" s="1194">
        <f t="shared" si="10"/>
        <v>0</v>
      </c>
      <c r="BJ599" s="1196"/>
      <c r="BK599" s="1194">
        <f t="shared" si="8"/>
        <v>0</v>
      </c>
      <c r="BL599" s="1196"/>
      <c r="BM599" s="33"/>
      <c r="BN599" s="1194">
        <f t="shared" si="1"/>
        <v>0</v>
      </c>
      <c r="BO599" s="1195"/>
      <c r="BP599" s="1195"/>
      <c r="BQ599" s="1195"/>
      <c r="BR599" s="1197"/>
      <c r="BS599" s="1194">
        <f t="shared" si="2"/>
        <v>0</v>
      </c>
      <c r="BT599" s="1195"/>
      <c r="BU599" s="1195"/>
      <c r="BV599" s="1195"/>
      <c r="BW599" s="1196"/>
      <c r="BX599" s="1194">
        <f t="shared" si="3"/>
        <v>0</v>
      </c>
      <c r="BY599" s="1195"/>
      <c r="BZ599" s="1195"/>
      <c r="CA599" s="1195"/>
      <c r="CB599" s="1196"/>
      <c r="CC599" s="1194">
        <f t="shared" si="4"/>
        <v>0</v>
      </c>
      <c r="CD599" s="1195"/>
      <c r="CE599" s="1195"/>
      <c r="CF599" s="1195"/>
      <c r="CG599" s="1196"/>
      <c r="CH599" s="1194">
        <f t="shared" si="5"/>
        <v>0</v>
      </c>
      <c r="CI599" s="1195"/>
      <c r="CJ599" s="1195"/>
      <c r="CK599" s="1195"/>
      <c r="CL599" s="1196"/>
      <c r="CM599" s="1194">
        <f t="shared" si="6"/>
        <v>0</v>
      </c>
      <c r="CN599" s="1195"/>
      <c r="CO599" s="1195"/>
      <c r="CP599" s="1195"/>
      <c r="CQ599" s="1196"/>
      <c r="CR599" s="33"/>
      <c r="CS599" s="1200">
        <f t="shared" si="11"/>
        <v>0</v>
      </c>
      <c r="CT599" s="1201"/>
      <c r="CU599" s="1201"/>
      <c r="CV599" s="1201"/>
      <c r="CW599" s="1202"/>
      <c r="CX599" s="1200">
        <f t="shared" si="12"/>
        <v>0</v>
      </c>
      <c r="CY599" s="1201"/>
      <c r="CZ599" s="1201"/>
      <c r="DA599" s="1201"/>
      <c r="DB599" s="1202"/>
      <c r="DC599" s="1200">
        <f t="shared" si="13"/>
        <v>0</v>
      </c>
      <c r="DD599" s="1201"/>
      <c r="DE599" s="1201"/>
      <c r="DF599" s="1201"/>
      <c r="DG599" s="1202"/>
      <c r="DH599" s="1200">
        <f t="shared" si="14"/>
        <v>0</v>
      </c>
      <c r="DI599" s="1201"/>
      <c r="DJ599" s="1201"/>
      <c r="DK599" s="1201"/>
      <c r="DL599" s="1202"/>
      <c r="DM599" s="1200">
        <f t="shared" si="15"/>
        <v>0</v>
      </c>
      <c r="DN599" s="1201"/>
      <c r="DO599" s="1201"/>
      <c r="DP599" s="1201"/>
      <c r="DQ599" s="1202"/>
      <c r="DR599" s="1200">
        <f t="shared" si="16"/>
        <v>0</v>
      </c>
      <c r="DS599" s="1201"/>
      <c r="DT599" s="1201"/>
      <c r="DU599" s="1201"/>
      <c r="DV599" s="1202"/>
    </row>
    <row r="600" spans="1:126" ht="12.95" customHeight="1">
      <c r="A600" s="43" t="s">
        <v>1394</v>
      </c>
      <c r="B600" t="s">
        <v>1397</v>
      </c>
      <c r="G600" s="1076">
        <f>C556</f>
        <v>0</v>
      </c>
      <c r="H600" s="1076"/>
      <c r="I600" s="1076"/>
      <c r="J600" s="1076"/>
      <c r="K600" s="1076"/>
      <c r="L600" s="1076"/>
      <c r="M600" s="1076"/>
      <c r="N600" s="1076"/>
      <c r="O600" s="1076"/>
      <c r="P600" s="1076"/>
      <c r="Q600" s="1076"/>
      <c r="R600" s="1076"/>
      <c r="T600" s="43" t="s">
        <v>1395</v>
      </c>
      <c r="U600" t="s">
        <v>1397</v>
      </c>
      <c r="Z600" s="1076">
        <f>C557</f>
        <v>0</v>
      </c>
      <c r="AA600" s="1076"/>
      <c r="AB600" s="1076"/>
      <c r="AC600" s="1076"/>
      <c r="AD600" s="1076"/>
      <c r="AE600" s="1076"/>
      <c r="AF600" s="1076"/>
      <c r="AG600" s="1076"/>
      <c r="AH600" s="1076"/>
      <c r="AI600" s="1076"/>
      <c r="AJ600" s="1076"/>
      <c r="AK600" s="1076"/>
      <c r="AZ600" s="33"/>
      <c r="BA600" s="33"/>
      <c r="BB600" s="33"/>
      <c r="BC600" s="33"/>
      <c r="BD600" s="33"/>
      <c r="BE600" s="1194">
        <f t="shared" si="9"/>
        <v>0</v>
      </c>
      <c r="BF600" s="1196"/>
      <c r="BG600" s="1194">
        <f t="shared" si="7"/>
        <v>0</v>
      </c>
      <c r="BH600" s="1196"/>
      <c r="BI600" s="1194">
        <f t="shared" si="10"/>
        <v>0</v>
      </c>
      <c r="BJ600" s="1196"/>
      <c r="BK600" s="1194">
        <f t="shared" si="8"/>
        <v>0</v>
      </c>
      <c r="BL600" s="1196"/>
      <c r="BN600" s="1194">
        <f t="shared" si="1"/>
        <v>0</v>
      </c>
      <c r="BO600" s="1195"/>
      <c r="BP600" s="1195"/>
      <c r="BQ600" s="1195"/>
      <c r="BR600" s="1197"/>
      <c r="BS600" s="1194">
        <f t="shared" si="2"/>
        <v>0</v>
      </c>
      <c r="BT600" s="1195"/>
      <c r="BU600" s="1195"/>
      <c r="BV600" s="1195"/>
      <c r="BW600" s="1196"/>
      <c r="BX600" s="1194">
        <f t="shared" si="3"/>
        <v>0</v>
      </c>
      <c r="BY600" s="1195"/>
      <c r="BZ600" s="1195"/>
      <c r="CA600" s="1195"/>
      <c r="CB600" s="1196"/>
      <c r="CC600" s="1194">
        <f t="shared" si="4"/>
        <v>0</v>
      </c>
      <c r="CD600" s="1195"/>
      <c r="CE600" s="1195"/>
      <c r="CF600" s="1195"/>
      <c r="CG600" s="1196"/>
      <c r="CH600" s="1194">
        <f t="shared" si="5"/>
        <v>0</v>
      </c>
      <c r="CI600" s="1195"/>
      <c r="CJ600" s="1195"/>
      <c r="CK600" s="1195"/>
      <c r="CL600" s="1196"/>
      <c r="CM600" s="1194">
        <f t="shared" si="6"/>
        <v>0</v>
      </c>
      <c r="CN600" s="1195"/>
      <c r="CO600" s="1195"/>
      <c r="CP600" s="1195"/>
      <c r="CQ600" s="1196"/>
      <c r="CS600" s="1200">
        <f t="shared" si="11"/>
        <v>0</v>
      </c>
      <c r="CT600" s="1201"/>
      <c r="CU600" s="1201"/>
      <c r="CV600" s="1201"/>
      <c r="CW600" s="1202"/>
      <c r="CX600" s="1200">
        <f t="shared" si="12"/>
        <v>0</v>
      </c>
      <c r="CY600" s="1201"/>
      <c r="CZ600" s="1201"/>
      <c r="DA600" s="1201"/>
      <c r="DB600" s="1202"/>
      <c r="DC600" s="1200">
        <f t="shared" si="13"/>
        <v>0</v>
      </c>
      <c r="DD600" s="1201"/>
      <c r="DE600" s="1201"/>
      <c r="DF600" s="1201"/>
      <c r="DG600" s="1202"/>
      <c r="DH600" s="1200">
        <f t="shared" si="14"/>
        <v>0</v>
      </c>
      <c r="DI600" s="1201"/>
      <c r="DJ600" s="1201"/>
      <c r="DK600" s="1201"/>
      <c r="DL600" s="1202"/>
      <c r="DM600" s="1200">
        <f t="shared" si="15"/>
        <v>0</v>
      </c>
      <c r="DN600" s="1201"/>
      <c r="DO600" s="1201"/>
      <c r="DP600" s="1201"/>
      <c r="DQ600" s="1202"/>
      <c r="DR600" s="1200">
        <f t="shared" si="16"/>
        <v>0</v>
      </c>
      <c r="DS600" s="1201"/>
      <c r="DT600" s="1201"/>
      <c r="DU600" s="1201"/>
      <c r="DV600" s="1202"/>
    </row>
    <row r="601" spans="1:126" ht="12.95" customHeight="1">
      <c r="B601" t="s">
        <v>1048</v>
      </c>
      <c r="G601" s="1181"/>
      <c r="H601" s="1181"/>
      <c r="I601" s="1181"/>
      <c r="J601" s="1181"/>
      <c r="K601" s="1181"/>
      <c r="L601" s="1181"/>
      <c r="M601" s="1181"/>
      <c r="N601" s="1181"/>
      <c r="O601" s="1181"/>
      <c r="P601" s="1181"/>
      <c r="Q601" s="1181"/>
      <c r="R601" s="1181"/>
      <c r="U601" t="s">
        <v>1048</v>
      </c>
      <c r="Z601" s="1181"/>
      <c r="AA601" s="1181"/>
      <c r="AB601" s="1181"/>
      <c r="AC601" s="1181"/>
      <c r="AD601" s="1181"/>
      <c r="AE601" s="1181"/>
      <c r="AF601" s="1181"/>
      <c r="AG601" s="1181"/>
      <c r="AH601" s="1181"/>
      <c r="AI601" s="1181"/>
      <c r="AJ601" s="1181"/>
      <c r="AK601" s="1181"/>
      <c r="AZ601" s="33"/>
      <c r="BA601" s="33"/>
      <c r="BB601" s="33"/>
      <c r="BC601" s="33"/>
      <c r="BD601" s="33"/>
      <c r="BE601" s="1194">
        <f t="shared" si="9"/>
        <v>0</v>
      </c>
      <c r="BF601" s="1196"/>
      <c r="BG601" s="1194">
        <f t="shared" si="7"/>
        <v>0</v>
      </c>
      <c r="BH601" s="1196"/>
      <c r="BI601" s="1194">
        <f t="shared" si="10"/>
        <v>0</v>
      </c>
      <c r="BJ601" s="1196"/>
      <c r="BK601" s="1194">
        <f t="shared" si="8"/>
        <v>0</v>
      </c>
      <c r="BL601" s="1196"/>
      <c r="BN601" s="1194">
        <f t="shared" si="1"/>
        <v>0</v>
      </c>
      <c r="BO601" s="1195"/>
      <c r="BP601" s="1195"/>
      <c r="BQ601" s="1195"/>
      <c r="BR601" s="1197"/>
      <c r="BS601" s="1194">
        <f t="shared" si="2"/>
        <v>0</v>
      </c>
      <c r="BT601" s="1195"/>
      <c r="BU601" s="1195"/>
      <c r="BV601" s="1195"/>
      <c r="BW601" s="1196"/>
      <c r="BX601" s="1194">
        <f t="shared" si="3"/>
        <v>0</v>
      </c>
      <c r="BY601" s="1195"/>
      <c r="BZ601" s="1195"/>
      <c r="CA601" s="1195"/>
      <c r="CB601" s="1196"/>
      <c r="CC601" s="1194">
        <f t="shared" si="4"/>
        <v>0</v>
      </c>
      <c r="CD601" s="1195"/>
      <c r="CE601" s="1195"/>
      <c r="CF601" s="1195"/>
      <c r="CG601" s="1196"/>
      <c r="CH601" s="1194">
        <f t="shared" si="5"/>
        <v>0</v>
      </c>
      <c r="CI601" s="1195"/>
      <c r="CJ601" s="1195"/>
      <c r="CK601" s="1195"/>
      <c r="CL601" s="1196"/>
      <c r="CM601" s="1194">
        <f t="shared" si="6"/>
        <v>0</v>
      </c>
      <c r="CN601" s="1195"/>
      <c r="CO601" s="1195"/>
      <c r="CP601" s="1195"/>
      <c r="CQ601" s="1196"/>
      <c r="CS601" s="1200">
        <f t="shared" si="11"/>
        <v>0</v>
      </c>
      <c r="CT601" s="1201"/>
      <c r="CU601" s="1201"/>
      <c r="CV601" s="1201"/>
      <c r="CW601" s="1202"/>
      <c r="CX601" s="1200">
        <f t="shared" si="12"/>
        <v>0</v>
      </c>
      <c r="CY601" s="1201"/>
      <c r="CZ601" s="1201"/>
      <c r="DA601" s="1201"/>
      <c r="DB601" s="1202"/>
      <c r="DC601" s="1200">
        <f t="shared" si="13"/>
        <v>0</v>
      </c>
      <c r="DD601" s="1201"/>
      <c r="DE601" s="1201"/>
      <c r="DF601" s="1201"/>
      <c r="DG601" s="1202"/>
      <c r="DH601" s="1200">
        <f t="shared" si="14"/>
        <v>0</v>
      </c>
      <c r="DI601" s="1201"/>
      <c r="DJ601" s="1201"/>
      <c r="DK601" s="1201"/>
      <c r="DL601" s="1202"/>
      <c r="DM601" s="1200">
        <f t="shared" si="15"/>
        <v>0</v>
      </c>
      <c r="DN601" s="1201"/>
      <c r="DO601" s="1201"/>
      <c r="DP601" s="1201"/>
      <c r="DQ601" s="1202"/>
      <c r="DR601" s="1200">
        <f t="shared" si="16"/>
        <v>0</v>
      </c>
      <c r="DS601" s="1201"/>
      <c r="DT601" s="1201"/>
      <c r="DU601" s="1201"/>
      <c r="DV601" s="1202"/>
    </row>
    <row r="602" spans="1:126" ht="12.95" customHeight="1">
      <c r="B602" t="s">
        <v>908</v>
      </c>
      <c r="G602" s="1181"/>
      <c r="H602" s="1181"/>
      <c r="I602" s="1181"/>
      <c r="J602" s="1181"/>
      <c r="K602" s="1181"/>
      <c r="L602" s="1181"/>
      <c r="M602" s="1181"/>
      <c r="N602" s="1181"/>
      <c r="O602" s="1181"/>
      <c r="P602" s="1181"/>
      <c r="Q602" s="1181"/>
      <c r="R602" s="1181"/>
      <c r="U602" t="s">
        <v>908</v>
      </c>
      <c r="Z602" s="1183"/>
      <c r="AA602" s="1183"/>
      <c r="AB602" s="1183"/>
      <c r="AC602" s="1183"/>
      <c r="AD602" s="1183"/>
      <c r="AE602" s="1183"/>
      <c r="AF602" s="1183"/>
      <c r="AG602" s="1183"/>
      <c r="AH602" s="1183"/>
      <c r="AI602" s="1183"/>
      <c r="AJ602" s="1183"/>
      <c r="AK602" s="1183"/>
      <c r="AL602" s="226"/>
      <c r="BA602" s="33"/>
      <c r="BB602" s="33"/>
      <c r="BC602" s="33"/>
      <c r="BD602" s="33"/>
      <c r="BE602" s="1194">
        <f t="shared" si="9"/>
        <v>0</v>
      </c>
      <c r="BF602" s="1196"/>
      <c r="BG602" s="1194">
        <f t="shared" si="7"/>
        <v>0</v>
      </c>
      <c r="BH602" s="1196"/>
      <c r="BI602" s="1194">
        <f t="shared" si="10"/>
        <v>0</v>
      </c>
      <c r="BJ602" s="1196"/>
      <c r="BK602" s="1194">
        <f t="shared" si="8"/>
        <v>0</v>
      </c>
      <c r="BL602" s="1196"/>
      <c r="BN602" s="1194">
        <f t="shared" si="1"/>
        <v>0</v>
      </c>
      <c r="BO602" s="1195"/>
      <c r="BP602" s="1195"/>
      <c r="BQ602" s="1195"/>
      <c r="BR602" s="1197"/>
      <c r="BS602" s="1194">
        <f t="shared" si="2"/>
        <v>0</v>
      </c>
      <c r="BT602" s="1195"/>
      <c r="BU602" s="1195"/>
      <c r="BV602" s="1195"/>
      <c r="BW602" s="1196"/>
      <c r="BX602" s="1194">
        <f t="shared" si="3"/>
        <v>0</v>
      </c>
      <c r="BY602" s="1195"/>
      <c r="BZ602" s="1195"/>
      <c r="CA602" s="1195"/>
      <c r="CB602" s="1196"/>
      <c r="CC602" s="1194">
        <f t="shared" si="4"/>
        <v>0</v>
      </c>
      <c r="CD602" s="1195"/>
      <c r="CE602" s="1195"/>
      <c r="CF602" s="1195"/>
      <c r="CG602" s="1196"/>
      <c r="CH602" s="1194">
        <f t="shared" si="5"/>
        <v>0</v>
      </c>
      <c r="CI602" s="1195"/>
      <c r="CJ602" s="1195"/>
      <c r="CK602" s="1195"/>
      <c r="CL602" s="1196"/>
      <c r="CM602" s="1194">
        <f t="shared" si="6"/>
        <v>0</v>
      </c>
      <c r="CN602" s="1195"/>
      <c r="CO602" s="1195"/>
      <c r="CP602" s="1195"/>
      <c r="CQ602" s="1196"/>
      <c r="CS602" s="1200">
        <f t="shared" si="11"/>
        <v>0</v>
      </c>
      <c r="CT602" s="1201"/>
      <c r="CU602" s="1201"/>
      <c r="CV602" s="1201"/>
      <c r="CW602" s="1202"/>
      <c r="CX602" s="1200">
        <f t="shared" si="12"/>
        <v>0</v>
      </c>
      <c r="CY602" s="1201"/>
      <c r="CZ602" s="1201"/>
      <c r="DA602" s="1201"/>
      <c r="DB602" s="1202"/>
      <c r="DC602" s="1200">
        <f t="shared" si="13"/>
        <v>0</v>
      </c>
      <c r="DD602" s="1201"/>
      <c r="DE602" s="1201"/>
      <c r="DF602" s="1201"/>
      <c r="DG602" s="1202"/>
      <c r="DH602" s="1200">
        <f t="shared" si="14"/>
        <v>0</v>
      </c>
      <c r="DI602" s="1201"/>
      <c r="DJ602" s="1201"/>
      <c r="DK602" s="1201"/>
      <c r="DL602" s="1202"/>
      <c r="DM602" s="1200">
        <f t="shared" si="15"/>
        <v>0</v>
      </c>
      <c r="DN602" s="1201"/>
      <c r="DO602" s="1201"/>
      <c r="DP602" s="1201"/>
      <c r="DQ602" s="1202"/>
      <c r="DR602" s="1200">
        <f t="shared" si="16"/>
        <v>0</v>
      </c>
      <c r="DS602" s="1201"/>
      <c r="DT602" s="1201"/>
      <c r="DU602" s="1201"/>
      <c r="DV602" s="1202"/>
    </row>
    <row r="603" spans="1:126" ht="12.95" customHeight="1">
      <c r="B603" t="s">
        <v>1402</v>
      </c>
      <c r="G603" s="1181"/>
      <c r="H603" s="1181"/>
      <c r="I603" s="1181"/>
      <c r="J603" s="1181"/>
      <c r="K603" s="1181"/>
      <c r="L603" s="1181"/>
      <c r="M603" s="1181"/>
      <c r="N603" s="1181"/>
      <c r="O603" s="1181"/>
      <c r="P603" s="1181"/>
      <c r="Q603" s="1181"/>
      <c r="R603" s="1181"/>
      <c r="U603" t="s">
        <v>1402</v>
      </c>
      <c r="Z603" s="1183"/>
      <c r="AA603" s="1183"/>
      <c r="AB603" s="1183"/>
      <c r="AC603" s="1183"/>
      <c r="AD603" s="1183"/>
      <c r="AE603" s="1183"/>
      <c r="AF603" s="1183"/>
      <c r="AG603" s="1183"/>
      <c r="AH603" s="1183"/>
      <c r="AI603" s="1183"/>
      <c r="AJ603" s="1183"/>
      <c r="AK603" s="1183"/>
      <c r="AL603" s="226"/>
      <c r="BA603" s="33"/>
      <c r="BB603" s="33"/>
      <c r="BC603" s="33"/>
      <c r="BD603" s="33"/>
      <c r="BE603" s="1194">
        <f t="shared" si="9"/>
        <v>0</v>
      </c>
      <c r="BF603" s="1196"/>
      <c r="BG603" s="1194">
        <f t="shared" si="7"/>
        <v>0</v>
      </c>
      <c r="BH603" s="1196"/>
      <c r="BI603" s="1194">
        <f t="shared" si="10"/>
        <v>0</v>
      </c>
      <c r="BJ603" s="1196"/>
      <c r="BK603" s="1194">
        <f t="shared" si="8"/>
        <v>0</v>
      </c>
      <c r="BL603" s="1196"/>
      <c r="BN603" s="1194">
        <f t="shared" si="1"/>
        <v>0</v>
      </c>
      <c r="BO603" s="1195"/>
      <c r="BP603" s="1195"/>
      <c r="BQ603" s="1195"/>
      <c r="BR603" s="1197"/>
      <c r="BS603" s="1194">
        <f t="shared" si="2"/>
        <v>0</v>
      </c>
      <c r="BT603" s="1195"/>
      <c r="BU603" s="1195"/>
      <c r="BV603" s="1195"/>
      <c r="BW603" s="1196"/>
      <c r="BX603" s="1194">
        <f t="shared" si="3"/>
        <v>0</v>
      </c>
      <c r="BY603" s="1195"/>
      <c r="BZ603" s="1195"/>
      <c r="CA603" s="1195"/>
      <c r="CB603" s="1196"/>
      <c r="CC603" s="1194">
        <f t="shared" si="4"/>
        <v>0</v>
      </c>
      <c r="CD603" s="1195"/>
      <c r="CE603" s="1195"/>
      <c r="CF603" s="1195"/>
      <c r="CG603" s="1196"/>
      <c r="CH603" s="1194">
        <f t="shared" si="5"/>
        <v>0</v>
      </c>
      <c r="CI603" s="1195"/>
      <c r="CJ603" s="1195"/>
      <c r="CK603" s="1195"/>
      <c r="CL603" s="1196"/>
      <c r="CM603" s="1194">
        <f t="shared" si="6"/>
        <v>0</v>
      </c>
      <c r="CN603" s="1195"/>
      <c r="CO603" s="1195"/>
      <c r="CP603" s="1195"/>
      <c r="CQ603" s="1196"/>
      <c r="CS603" s="1200">
        <f t="shared" si="11"/>
        <v>0</v>
      </c>
      <c r="CT603" s="1201"/>
      <c r="CU603" s="1201"/>
      <c r="CV603" s="1201"/>
      <c r="CW603" s="1202"/>
      <c r="CX603" s="1200">
        <f t="shared" si="12"/>
        <v>0</v>
      </c>
      <c r="CY603" s="1201"/>
      <c r="CZ603" s="1201"/>
      <c r="DA603" s="1201"/>
      <c r="DB603" s="1202"/>
      <c r="DC603" s="1200">
        <f t="shared" si="13"/>
        <v>0</v>
      </c>
      <c r="DD603" s="1201"/>
      <c r="DE603" s="1201"/>
      <c r="DF603" s="1201"/>
      <c r="DG603" s="1202"/>
      <c r="DH603" s="1200">
        <f t="shared" si="14"/>
        <v>0</v>
      </c>
      <c r="DI603" s="1201"/>
      <c r="DJ603" s="1201"/>
      <c r="DK603" s="1201"/>
      <c r="DL603" s="1202"/>
      <c r="DM603" s="1200">
        <f t="shared" si="15"/>
        <v>0</v>
      </c>
      <c r="DN603" s="1201"/>
      <c r="DO603" s="1201"/>
      <c r="DP603" s="1201"/>
      <c r="DQ603" s="1202"/>
      <c r="DR603" s="1200">
        <f t="shared" si="16"/>
        <v>0</v>
      </c>
      <c r="DS603" s="1201"/>
      <c r="DT603" s="1201"/>
      <c r="DU603" s="1201"/>
      <c r="DV603" s="1202"/>
    </row>
    <row r="604" spans="1:126" ht="12.95" customHeight="1">
      <c r="B604" t="s">
        <v>824</v>
      </c>
      <c r="G604" s="1182"/>
      <c r="H604" s="1182"/>
      <c r="I604" s="1182"/>
      <c r="J604" s="1182"/>
      <c r="K604" s="1182"/>
      <c r="L604" s="1182"/>
      <c r="O604" s="722" t="s">
        <v>1058</v>
      </c>
      <c r="P604" s="1179"/>
      <c r="Q604" s="1179"/>
      <c r="R604" s="1179"/>
      <c r="U604" t="s">
        <v>824</v>
      </c>
      <c r="Z604" s="1182"/>
      <c r="AA604" s="1182"/>
      <c r="AB604" s="1182"/>
      <c r="AC604" s="1182"/>
      <c r="AD604" s="1182"/>
      <c r="AE604" s="1182"/>
      <c r="AH604" s="722" t="s">
        <v>1058</v>
      </c>
      <c r="AI604" s="1179"/>
      <c r="AJ604" s="1179"/>
      <c r="AK604" s="1179"/>
      <c r="AZ604" s="33"/>
      <c r="BA604" s="33"/>
      <c r="BB604" s="33"/>
      <c r="BC604" s="33"/>
      <c r="BD604" s="33"/>
      <c r="BE604" s="1194">
        <f t="shared" si="9"/>
        <v>0</v>
      </c>
      <c r="BF604" s="1196"/>
      <c r="BG604" s="1194">
        <f t="shared" si="7"/>
        <v>0</v>
      </c>
      <c r="BH604" s="1196"/>
      <c r="BI604" s="1194">
        <f t="shared" si="10"/>
        <v>0</v>
      </c>
      <c r="BJ604" s="1196"/>
      <c r="BK604" s="1194">
        <f t="shared" si="8"/>
        <v>0</v>
      </c>
      <c r="BL604" s="1196"/>
      <c r="BN604" s="1194">
        <f t="shared" si="1"/>
        <v>0</v>
      </c>
      <c r="BO604" s="1195"/>
      <c r="BP604" s="1195"/>
      <c r="BQ604" s="1195"/>
      <c r="BR604" s="1197"/>
      <c r="BS604" s="1194">
        <f t="shared" si="2"/>
        <v>0</v>
      </c>
      <c r="BT604" s="1195"/>
      <c r="BU604" s="1195"/>
      <c r="BV604" s="1195"/>
      <c r="BW604" s="1196"/>
      <c r="BX604" s="1194">
        <f t="shared" si="3"/>
        <v>0</v>
      </c>
      <c r="BY604" s="1195"/>
      <c r="BZ604" s="1195"/>
      <c r="CA604" s="1195"/>
      <c r="CB604" s="1196"/>
      <c r="CC604" s="1194">
        <f t="shared" si="4"/>
        <v>0</v>
      </c>
      <c r="CD604" s="1195"/>
      <c r="CE604" s="1195"/>
      <c r="CF604" s="1195"/>
      <c r="CG604" s="1196"/>
      <c r="CH604" s="1194">
        <f t="shared" si="5"/>
        <v>0</v>
      </c>
      <c r="CI604" s="1195"/>
      <c r="CJ604" s="1195"/>
      <c r="CK604" s="1195"/>
      <c r="CL604" s="1196"/>
      <c r="CM604" s="1194">
        <f t="shared" si="6"/>
        <v>0</v>
      </c>
      <c r="CN604" s="1195"/>
      <c r="CO604" s="1195"/>
      <c r="CP604" s="1195"/>
      <c r="CQ604" s="1196"/>
      <c r="CS604" s="1200">
        <f t="shared" si="11"/>
        <v>0</v>
      </c>
      <c r="CT604" s="1201"/>
      <c r="CU604" s="1201"/>
      <c r="CV604" s="1201"/>
      <c r="CW604" s="1202"/>
      <c r="CX604" s="1200">
        <f t="shared" si="12"/>
        <v>0</v>
      </c>
      <c r="CY604" s="1201"/>
      <c r="CZ604" s="1201"/>
      <c r="DA604" s="1201"/>
      <c r="DB604" s="1202"/>
      <c r="DC604" s="1200">
        <f t="shared" si="13"/>
        <v>0</v>
      </c>
      <c r="DD604" s="1201"/>
      <c r="DE604" s="1201"/>
      <c r="DF604" s="1201"/>
      <c r="DG604" s="1202"/>
      <c r="DH604" s="1200">
        <f t="shared" si="14"/>
        <v>0</v>
      </c>
      <c r="DI604" s="1201"/>
      <c r="DJ604" s="1201"/>
      <c r="DK604" s="1201"/>
      <c r="DL604" s="1202"/>
      <c r="DM604" s="1200">
        <f t="shared" si="15"/>
        <v>0</v>
      </c>
      <c r="DN604" s="1201"/>
      <c r="DO604" s="1201"/>
      <c r="DP604" s="1201"/>
      <c r="DQ604" s="1202"/>
      <c r="DR604" s="1200">
        <f t="shared" si="16"/>
        <v>0</v>
      </c>
      <c r="DS604" s="1201"/>
      <c r="DT604" s="1201"/>
      <c r="DU604" s="1201"/>
      <c r="DV604" s="1202"/>
    </row>
    <row r="605" spans="1:126" ht="12.95" customHeight="1">
      <c r="B605" t="s">
        <v>1407</v>
      </c>
      <c r="H605" s="1181"/>
      <c r="I605" s="1181"/>
      <c r="J605" s="1181"/>
      <c r="K605" s="1181"/>
      <c r="L605" s="1181"/>
      <c r="M605" s="1181"/>
      <c r="N605" s="1181"/>
      <c r="O605" s="1181"/>
      <c r="P605" s="1181"/>
      <c r="Q605" s="1181"/>
      <c r="R605" s="1181"/>
      <c r="U605" t="s">
        <v>1407</v>
      </c>
      <c r="AA605" s="1181"/>
      <c r="AB605" s="1181"/>
      <c r="AC605" s="1181"/>
      <c r="AD605" s="1181"/>
      <c r="AE605" s="1181"/>
      <c r="AF605" s="1181"/>
      <c r="AG605" s="1181"/>
      <c r="AH605" s="1181"/>
      <c r="AI605" s="1181"/>
      <c r="AJ605" s="1181"/>
      <c r="AK605" s="1181"/>
      <c r="AZ605" s="33"/>
      <c r="BA605" s="33"/>
      <c r="BB605" s="33"/>
      <c r="BC605" s="33"/>
      <c r="BD605" s="33"/>
      <c r="BE605" s="1194">
        <f t="shared" si="9"/>
        <v>0</v>
      </c>
      <c r="BF605" s="1196"/>
      <c r="BG605" s="1194">
        <f t="shared" si="7"/>
        <v>0</v>
      </c>
      <c r="BH605" s="1196"/>
      <c r="BI605" s="1194">
        <f t="shared" si="10"/>
        <v>0</v>
      </c>
      <c r="BJ605" s="1196"/>
      <c r="BK605" s="1194">
        <f t="shared" si="8"/>
        <v>0</v>
      </c>
      <c r="BL605" s="1196"/>
      <c r="BN605" s="1194">
        <f t="shared" si="1"/>
        <v>0</v>
      </c>
      <c r="BO605" s="1195"/>
      <c r="BP605" s="1195"/>
      <c r="BQ605" s="1195"/>
      <c r="BR605" s="1197"/>
      <c r="BS605" s="1194">
        <f t="shared" si="2"/>
        <v>0</v>
      </c>
      <c r="BT605" s="1195"/>
      <c r="BU605" s="1195"/>
      <c r="BV605" s="1195"/>
      <c r="BW605" s="1196"/>
      <c r="BX605" s="1194">
        <f t="shared" si="3"/>
        <v>0</v>
      </c>
      <c r="BY605" s="1195"/>
      <c r="BZ605" s="1195"/>
      <c r="CA605" s="1195"/>
      <c r="CB605" s="1196"/>
      <c r="CC605" s="1194">
        <f t="shared" si="4"/>
        <v>0</v>
      </c>
      <c r="CD605" s="1195"/>
      <c r="CE605" s="1195"/>
      <c r="CF605" s="1195"/>
      <c r="CG605" s="1196"/>
      <c r="CH605" s="1194">
        <f t="shared" si="5"/>
        <v>0</v>
      </c>
      <c r="CI605" s="1195"/>
      <c r="CJ605" s="1195"/>
      <c r="CK605" s="1195"/>
      <c r="CL605" s="1196"/>
      <c r="CM605" s="1194">
        <f t="shared" si="6"/>
        <v>0</v>
      </c>
      <c r="CN605" s="1195"/>
      <c r="CO605" s="1195"/>
      <c r="CP605" s="1195"/>
      <c r="CQ605" s="1196"/>
      <c r="CS605" s="1200">
        <f t="shared" si="11"/>
        <v>0</v>
      </c>
      <c r="CT605" s="1201"/>
      <c r="CU605" s="1201"/>
      <c r="CV605" s="1201"/>
      <c r="CW605" s="1202"/>
      <c r="CX605" s="1200">
        <f t="shared" si="12"/>
        <v>0</v>
      </c>
      <c r="CY605" s="1201"/>
      <c r="CZ605" s="1201"/>
      <c r="DA605" s="1201"/>
      <c r="DB605" s="1202"/>
      <c r="DC605" s="1200">
        <f t="shared" si="13"/>
        <v>0</v>
      </c>
      <c r="DD605" s="1201"/>
      <c r="DE605" s="1201"/>
      <c r="DF605" s="1201"/>
      <c r="DG605" s="1202"/>
      <c r="DH605" s="1200">
        <f t="shared" si="14"/>
        <v>0</v>
      </c>
      <c r="DI605" s="1201"/>
      <c r="DJ605" s="1201"/>
      <c r="DK605" s="1201"/>
      <c r="DL605" s="1202"/>
      <c r="DM605" s="1200">
        <f t="shared" si="15"/>
        <v>0</v>
      </c>
      <c r="DN605" s="1201"/>
      <c r="DO605" s="1201"/>
      <c r="DP605" s="1201"/>
      <c r="DQ605" s="1202"/>
      <c r="DR605" s="1200">
        <f t="shared" si="16"/>
        <v>0</v>
      </c>
      <c r="DS605" s="1201"/>
      <c r="DT605" s="1201"/>
      <c r="DU605" s="1201"/>
      <c r="DV605" s="1202"/>
    </row>
    <row r="606" spans="1:126" ht="12.95" customHeight="1">
      <c r="B606" t="s">
        <v>1410</v>
      </c>
      <c r="N606" s="1180" t="s">
        <v>821</v>
      </c>
      <c r="O606" s="1180"/>
      <c r="U606" t="s">
        <v>1410</v>
      </c>
      <c r="AG606" s="1180" t="s">
        <v>821</v>
      </c>
      <c r="AH606" s="1180"/>
      <c r="AZ606" s="33"/>
      <c r="BA606" s="33"/>
      <c r="BB606" s="33"/>
      <c r="BC606" s="33"/>
      <c r="BD606" s="33"/>
      <c r="BE606" s="1194">
        <f t="shared" si="9"/>
        <v>0</v>
      </c>
      <c r="BF606" s="1196"/>
      <c r="BG606" s="1194">
        <f t="shared" si="7"/>
        <v>0</v>
      </c>
      <c r="BH606" s="1196"/>
      <c r="BI606" s="1194">
        <f t="shared" si="10"/>
        <v>0</v>
      </c>
      <c r="BJ606" s="1196"/>
      <c r="BK606" s="1194">
        <f t="shared" si="8"/>
        <v>0</v>
      </c>
      <c r="BL606" s="1196"/>
      <c r="BN606" s="1194">
        <f t="shared" si="1"/>
        <v>0</v>
      </c>
      <c r="BO606" s="1195"/>
      <c r="BP606" s="1195"/>
      <c r="BQ606" s="1195"/>
      <c r="BR606" s="1197"/>
      <c r="BS606" s="1194">
        <f t="shared" si="2"/>
        <v>0</v>
      </c>
      <c r="BT606" s="1195"/>
      <c r="BU606" s="1195"/>
      <c r="BV606" s="1195"/>
      <c r="BW606" s="1196"/>
      <c r="BX606" s="1194">
        <f t="shared" si="3"/>
        <v>0</v>
      </c>
      <c r="BY606" s="1195"/>
      <c r="BZ606" s="1195"/>
      <c r="CA606" s="1195"/>
      <c r="CB606" s="1196"/>
      <c r="CC606" s="1194">
        <f t="shared" si="4"/>
        <v>0</v>
      </c>
      <c r="CD606" s="1195"/>
      <c r="CE606" s="1195"/>
      <c r="CF606" s="1195"/>
      <c r="CG606" s="1196"/>
      <c r="CH606" s="1194">
        <f t="shared" si="5"/>
        <v>0</v>
      </c>
      <c r="CI606" s="1195"/>
      <c r="CJ606" s="1195"/>
      <c r="CK606" s="1195"/>
      <c r="CL606" s="1196"/>
      <c r="CM606" s="1194">
        <f t="shared" si="6"/>
        <v>0</v>
      </c>
      <c r="CN606" s="1195"/>
      <c r="CO606" s="1195"/>
      <c r="CP606" s="1195"/>
      <c r="CQ606" s="1196"/>
      <c r="CS606" s="1200">
        <f t="shared" si="11"/>
        <v>0</v>
      </c>
      <c r="CT606" s="1201"/>
      <c r="CU606" s="1201"/>
      <c r="CV606" s="1201"/>
      <c r="CW606" s="1202"/>
      <c r="CX606" s="1200">
        <f t="shared" si="12"/>
        <v>0</v>
      </c>
      <c r="CY606" s="1201"/>
      <c r="CZ606" s="1201"/>
      <c r="DA606" s="1201"/>
      <c r="DB606" s="1202"/>
      <c r="DC606" s="1200">
        <f t="shared" si="13"/>
        <v>0</v>
      </c>
      <c r="DD606" s="1201"/>
      <c r="DE606" s="1201"/>
      <c r="DF606" s="1201"/>
      <c r="DG606" s="1202"/>
      <c r="DH606" s="1200">
        <f t="shared" si="14"/>
        <v>0</v>
      </c>
      <c r="DI606" s="1201"/>
      <c r="DJ606" s="1201"/>
      <c r="DK606" s="1201"/>
      <c r="DL606" s="1202"/>
      <c r="DM606" s="1200">
        <f t="shared" si="15"/>
        <v>0</v>
      </c>
      <c r="DN606" s="1201"/>
      <c r="DO606" s="1201"/>
      <c r="DP606" s="1201"/>
      <c r="DQ606" s="1202"/>
      <c r="DR606" s="1200">
        <f t="shared" si="16"/>
        <v>0</v>
      </c>
      <c r="DS606" s="1201"/>
      <c r="DT606" s="1201"/>
      <c r="DU606" s="1201"/>
      <c r="DV606" s="1202"/>
    </row>
    <row r="607" spans="1:126" ht="12.95" customHeight="1">
      <c r="AZ607" s="33"/>
      <c r="BA607" s="33"/>
      <c r="BB607" s="33"/>
      <c r="BC607" s="33"/>
      <c r="BD607" s="33"/>
      <c r="BE607" s="1194">
        <f t="shared" si="9"/>
        <v>0</v>
      </c>
      <c r="BF607" s="1196"/>
      <c r="BG607" s="1194">
        <f t="shared" si="7"/>
        <v>0</v>
      </c>
      <c r="BH607" s="1196"/>
      <c r="BI607" s="1194">
        <f t="shared" si="10"/>
        <v>0</v>
      </c>
      <c r="BJ607" s="1196"/>
      <c r="BK607" s="1194">
        <f t="shared" si="8"/>
        <v>0</v>
      </c>
      <c r="BL607" s="1196"/>
      <c r="BN607" s="1194">
        <f t="shared" si="1"/>
        <v>0</v>
      </c>
      <c r="BO607" s="1195"/>
      <c r="BP607" s="1195"/>
      <c r="BQ607" s="1195"/>
      <c r="BR607" s="1197"/>
      <c r="BS607" s="1194">
        <f t="shared" si="2"/>
        <v>0</v>
      </c>
      <c r="BT607" s="1195"/>
      <c r="BU607" s="1195"/>
      <c r="BV607" s="1195"/>
      <c r="BW607" s="1196"/>
      <c r="BX607" s="1194">
        <f t="shared" si="3"/>
        <v>0</v>
      </c>
      <c r="BY607" s="1195"/>
      <c r="BZ607" s="1195"/>
      <c r="CA607" s="1195"/>
      <c r="CB607" s="1196"/>
      <c r="CC607" s="1194">
        <f t="shared" si="4"/>
        <v>0</v>
      </c>
      <c r="CD607" s="1195"/>
      <c r="CE607" s="1195"/>
      <c r="CF607" s="1195"/>
      <c r="CG607" s="1196"/>
      <c r="CH607" s="1194">
        <f t="shared" si="5"/>
        <v>0</v>
      </c>
      <c r="CI607" s="1195"/>
      <c r="CJ607" s="1195"/>
      <c r="CK607" s="1195"/>
      <c r="CL607" s="1196"/>
      <c r="CM607" s="1194">
        <f t="shared" si="6"/>
        <v>0</v>
      </c>
      <c r="CN607" s="1195"/>
      <c r="CO607" s="1195"/>
      <c r="CP607" s="1195"/>
      <c r="CQ607" s="1196"/>
      <c r="CS607" s="1200">
        <f t="shared" si="11"/>
        <v>0</v>
      </c>
      <c r="CT607" s="1201"/>
      <c r="CU607" s="1201"/>
      <c r="CV607" s="1201"/>
      <c r="CW607" s="1202"/>
      <c r="CX607" s="1200">
        <f t="shared" si="12"/>
        <v>0</v>
      </c>
      <c r="CY607" s="1201"/>
      <c r="CZ607" s="1201"/>
      <c r="DA607" s="1201"/>
      <c r="DB607" s="1202"/>
      <c r="DC607" s="1200">
        <f t="shared" si="13"/>
        <v>0</v>
      </c>
      <c r="DD607" s="1201"/>
      <c r="DE607" s="1201"/>
      <c r="DF607" s="1201"/>
      <c r="DG607" s="1202"/>
      <c r="DH607" s="1200">
        <f t="shared" si="14"/>
        <v>0</v>
      </c>
      <c r="DI607" s="1201"/>
      <c r="DJ607" s="1201"/>
      <c r="DK607" s="1201"/>
      <c r="DL607" s="1202"/>
      <c r="DM607" s="1200">
        <f t="shared" si="15"/>
        <v>0</v>
      </c>
      <c r="DN607" s="1201"/>
      <c r="DO607" s="1201"/>
      <c r="DP607" s="1201"/>
      <c r="DQ607" s="1202"/>
      <c r="DR607" s="1200">
        <f t="shared" si="16"/>
        <v>0</v>
      </c>
      <c r="DS607" s="1201"/>
      <c r="DT607" s="1201"/>
      <c r="DU607" s="1201"/>
      <c r="DV607" s="1202"/>
    </row>
    <row r="608" spans="1:126" ht="12.95" customHeight="1">
      <c r="A608" s="936" t="s">
        <v>1436</v>
      </c>
      <c r="B608" s="936"/>
      <c r="C608" s="936"/>
      <c r="D608" s="936"/>
      <c r="E608" s="936"/>
      <c r="F608" s="936"/>
      <c r="G608" s="936"/>
      <c r="H608" s="936"/>
      <c r="I608" s="936"/>
      <c r="J608" s="936"/>
      <c r="K608" s="936"/>
      <c r="L608" s="936"/>
      <c r="M608" s="936"/>
      <c r="N608" s="936"/>
      <c r="O608" s="936"/>
      <c r="P608" s="936"/>
      <c r="Q608" s="936"/>
      <c r="R608" s="936"/>
      <c r="S608" s="936"/>
      <c r="T608" s="936"/>
      <c r="U608" s="936"/>
      <c r="V608" s="936"/>
      <c r="W608" s="936"/>
      <c r="X608" s="936"/>
      <c r="Y608" s="936"/>
      <c r="Z608" s="936"/>
      <c r="AA608" s="936"/>
      <c r="AB608" s="936"/>
      <c r="AC608" s="936"/>
      <c r="AD608" s="936"/>
      <c r="AE608" s="936"/>
      <c r="AF608" s="936"/>
      <c r="AG608" s="936"/>
      <c r="AH608" s="936"/>
      <c r="AI608" s="936"/>
      <c r="AJ608" s="936"/>
      <c r="AK608" s="936"/>
      <c r="AL608" s="936"/>
      <c r="AM608" s="936"/>
      <c r="AN608" s="936"/>
      <c r="AO608" s="936"/>
      <c r="AP608" s="936"/>
      <c r="AQ608" s="936"/>
      <c r="AR608" s="936"/>
      <c r="AS608" s="936"/>
      <c r="AZ608" s="33"/>
      <c r="BA608" s="33"/>
      <c r="BB608" s="33"/>
      <c r="BC608" s="33"/>
      <c r="BD608" s="33"/>
      <c r="BE608" s="1194">
        <f t="shared" si="9"/>
        <v>0</v>
      </c>
      <c r="BF608" s="1196"/>
      <c r="BG608" s="1194">
        <f t="shared" si="7"/>
        <v>0</v>
      </c>
      <c r="BH608" s="1196"/>
      <c r="BI608" s="1194">
        <f t="shared" si="10"/>
        <v>0</v>
      </c>
      <c r="BJ608" s="1196"/>
      <c r="BK608" s="1194">
        <f t="shared" si="8"/>
        <v>0</v>
      </c>
      <c r="BL608" s="1196"/>
      <c r="BN608" s="1194">
        <f t="shared" si="1"/>
        <v>0</v>
      </c>
      <c r="BO608" s="1195"/>
      <c r="BP608" s="1195"/>
      <c r="BQ608" s="1195"/>
      <c r="BR608" s="1197"/>
      <c r="BS608" s="1194">
        <f t="shared" si="2"/>
        <v>0</v>
      </c>
      <c r="BT608" s="1195"/>
      <c r="BU608" s="1195"/>
      <c r="BV608" s="1195"/>
      <c r="BW608" s="1196"/>
      <c r="BX608" s="1194">
        <f t="shared" si="3"/>
        <v>0</v>
      </c>
      <c r="BY608" s="1195"/>
      <c r="BZ608" s="1195"/>
      <c r="CA608" s="1195"/>
      <c r="CB608" s="1196"/>
      <c r="CC608" s="1194">
        <f t="shared" si="4"/>
        <v>0</v>
      </c>
      <c r="CD608" s="1195"/>
      <c r="CE608" s="1195"/>
      <c r="CF608" s="1195"/>
      <c r="CG608" s="1196"/>
      <c r="CH608" s="1194">
        <f t="shared" si="5"/>
        <v>0</v>
      </c>
      <c r="CI608" s="1195"/>
      <c r="CJ608" s="1195"/>
      <c r="CK608" s="1195"/>
      <c r="CL608" s="1196"/>
      <c r="CM608" s="1194">
        <f t="shared" si="6"/>
        <v>0</v>
      </c>
      <c r="CN608" s="1195"/>
      <c r="CO608" s="1195"/>
      <c r="CP608" s="1195"/>
      <c r="CQ608" s="1196"/>
      <c r="CS608" s="1200">
        <f t="shared" si="11"/>
        <v>0</v>
      </c>
      <c r="CT608" s="1201"/>
      <c r="CU608" s="1201"/>
      <c r="CV608" s="1201"/>
      <c r="CW608" s="1202"/>
      <c r="CX608" s="1200">
        <f t="shared" si="12"/>
        <v>0</v>
      </c>
      <c r="CY608" s="1201"/>
      <c r="CZ608" s="1201"/>
      <c r="DA608" s="1201"/>
      <c r="DB608" s="1202"/>
      <c r="DC608" s="1200">
        <f t="shared" si="13"/>
        <v>0</v>
      </c>
      <c r="DD608" s="1201"/>
      <c r="DE608" s="1201"/>
      <c r="DF608" s="1201"/>
      <c r="DG608" s="1202"/>
      <c r="DH608" s="1200">
        <f t="shared" si="14"/>
        <v>0</v>
      </c>
      <c r="DI608" s="1201"/>
      <c r="DJ608" s="1201"/>
      <c r="DK608" s="1201"/>
      <c r="DL608" s="1202"/>
      <c r="DM608" s="1200">
        <f t="shared" si="15"/>
        <v>0</v>
      </c>
      <c r="DN608" s="1201"/>
      <c r="DO608" s="1201"/>
      <c r="DP608" s="1201"/>
      <c r="DQ608" s="1202"/>
      <c r="DR608" s="1200">
        <f t="shared" si="16"/>
        <v>0</v>
      </c>
      <c r="DS608" s="1201"/>
      <c r="DT608" s="1201"/>
      <c r="DU608" s="1201"/>
      <c r="DV608" s="1202"/>
    </row>
    <row r="609" spans="1:126" ht="12.95" customHeight="1">
      <c r="A609" s="936"/>
      <c r="B609" s="936"/>
      <c r="C609" s="936"/>
      <c r="D609" s="936"/>
      <c r="E609" s="936"/>
      <c r="F609" s="936"/>
      <c r="G609" s="936"/>
      <c r="H609" s="936"/>
      <c r="I609" s="936"/>
      <c r="J609" s="936"/>
      <c r="K609" s="936"/>
      <c r="L609" s="936"/>
      <c r="M609" s="936"/>
      <c r="N609" s="936"/>
      <c r="O609" s="936"/>
      <c r="P609" s="936"/>
      <c r="Q609" s="936"/>
      <c r="R609" s="936"/>
      <c r="S609" s="936"/>
      <c r="T609" s="936"/>
      <c r="U609" s="936"/>
      <c r="V609" s="936"/>
      <c r="W609" s="936"/>
      <c r="X609" s="936"/>
      <c r="Y609" s="936"/>
      <c r="Z609" s="936"/>
      <c r="AA609" s="936"/>
      <c r="AB609" s="936"/>
      <c r="AC609" s="936"/>
      <c r="AD609" s="936"/>
      <c r="AE609" s="936"/>
      <c r="AF609" s="936"/>
      <c r="AG609" s="936"/>
      <c r="AH609" s="936"/>
      <c r="AI609" s="936"/>
      <c r="AJ609" s="936"/>
      <c r="AK609" s="936"/>
      <c r="AL609" s="936"/>
      <c r="AM609" s="936"/>
      <c r="AN609" s="936"/>
      <c r="AO609" s="936"/>
      <c r="AP609" s="936"/>
      <c r="AQ609" s="936"/>
      <c r="AR609" s="936"/>
      <c r="AS609" s="936"/>
      <c r="AZ609" s="33"/>
      <c r="BA609" s="33"/>
      <c r="BB609" s="33"/>
      <c r="BC609" s="33"/>
      <c r="BD609" s="33"/>
      <c r="BE609" s="1194">
        <f t="shared" si="9"/>
        <v>0</v>
      </c>
      <c r="BF609" s="1196"/>
      <c r="BG609" s="1194">
        <f t="shared" si="7"/>
        <v>0</v>
      </c>
      <c r="BH609" s="1196"/>
      <c r="BI609" s="1194">
        <f t="shared" si="10"/>
        <v>0</v>
      </c>
      <c r="BJ609" s="1196"/>
      <c r="BK609" s="1194">
        <f t="shared" si="8"/>
        <v>0</v>
      </c>
      <c r="BL609" s="1196"/>
      <c r="BN609" s="1194">
        <f t="shared" si="1"/>
        <v>0</v>
      </c>
      <c r="BO609" s="1195"/>
      <c r="BP609" s="1195"/>
      <c r="BQ609" s="1195"/>
      <c r="BR609" s="1197"/>
      <c r="BS609" s="1194">
        <f t="shared" si="2"/>
        <v>0</v>
      </c>
      <c r="BT609" s="1195"/>
      <c r="BU609" s="1195"/>
      <c r="BV609" s="1195"/>
      <c r="BW609" s="1196"/>
      <c r="BX609" s="1194">
        <f t="shared" si="3"/>
        <v>0</v>
      </c>
      <c r="BY609" s="1195"/>
      <c r="BZ609" s="1195"/>
      <c r="CA609" s="1195"/>
      <c r="CB609" s="1196"/>
      <c r="CC609" s="1194">
        <f t="shared" si="4"/>
        <v>0</v>
      </c>
      <c r="CD609" s="1195"/>
      <c r="CE609" s="1195"/>
      <c r="CF609" s="1195"/>
      <c r="CG609" s="1196"/>
      <c r="CH609" s="1194">
        <f t="shared" si="5"/>
        <v>0</v>
      </c>
      <c r="CI609" s="1195"/>
      <c r="CJ609" s="1195"/>
      <c r="CK609" s="1195"/>
      <c r="CL609" s="1196"/>
      <c r="CM609" s="1194">
        <f t="shared" si="6"/>
        <v>0</v>
      </c>
      <c r="CN609" s="1195"/>
      <c r="CO609" s="1195"/>
      <c r="CP609" s="1195"/>
      <c r="CQ609" s="1196"/>
      <c r="CS609" s="1200">
        <f t="shared" si="11"/>
        <v>0</v>
      </c>
      <c r="CT609" s="1201"/>
      <c r="CU609" s="1201"/>
      <c r="CV609" s="1201"/>
      <c r="CW609" s="1202"/>
      <c r="CX609" s="1200">
        <f t="shared" si="12"/>
        <v>0</v>
      </c>
      <c r="CY609" s="1201"/>
      <c r="CZ609" s="1201"/>
      <c r="DA609" s="1201"/>
      <c r="DB609" s="1202"/>
      <c r="DC609" s="1200">
        <f t="shared" si="13"/>
        <v>0</v>
      </c>
      <c r="DD609" s="1201"/>
      <c r="DE609" s="1201"/>
      <c r="DF609" s="1201"/>
      <c r="DG609" s="1202"/>
      <c r="DH609" s="1200">
        <f t="shared" si="14"/>
        <v>0</v>
      </c>
      <c r="DI609" s="1201"/>
      <c r="DJ609" s="1201"/>
      <c r="DK609" s="1201"/>
      <c r="DL609" s="1202"/>
      <c r="DM609" s="1200">
        <f t="shared" si="15"/>
        <v>0</v>
      </c>
      <c r="DN609" s="1201"/>
      <c r="DO609" s="1201"/>
      <c r="DP609" s="1201"/>
      <c r="DQ609" s="1202"/>
      <c r="DR609" s="1200">
        <f t="shared" si="16"/>
        <v>0</v>
      </c>
      <c r="DS609" s="1201"/>
      <c r="DT609" s="1201"/>
      <c r="DU609" s="1201"/>
      <c r="DV609" s="1202"/>
    </row>
    <row r="610" spans="1:126" ht="12.95" customHeight="1">
      <c r="AZ610" s="33"/>
      <c r="BA610" s="33"/>
      <c r="BB610" s="33"/>
      <c r="BC610" s="33"/>
      <c r="BD610" s="33"/>
      <c r="BE610" s="1194">
        <f t="shared" si="9"/>
        <v>0</v>
      </c>
      <c r="BF610" s="1196"/>
      <c r="BG610" s="1194">
        <f t="shared" si="7"/>
        <v>0</v>
      </c>
      <c r="BH610" s="1196"/>
      <c r="BI610" s="1194">
        <f t="shared" si="10"/>
        <v>0</v>
      </c>
      <c r="BJ610" s="1196"/>
      <c r="BK610" s="1194">
        <f t="shared" si="8"/>
        <v>0</v>
      </c>
      <c r="BL610" s="1196"/>
      <c r="BN610" s="1194">
        <f t="shared" si="1"/>
        <v>0</v>
      </c>
      <c r="BO610" s="1195"/>
      <c r="BP610" s="1195"/>
      <c r="BQ610" s="1195"/>
      <c r="BR610" s="1197"/>
      <c r="BS610" s="1194">
        <f t="shared" si="2"/>
        <v>0</v>
      </c>
      <c r="BT610" s="1195"/>
      <c r="BU610" s="1195"/>
      <c r="BV610" s="1195"/>
      <c r="BW610" s="1196"/>
      <c r="BX610" s="1194">
        <f t="shared" si="3"/>
        <v>0</v>
      </c>
      <c r="BY610" s="1195"/>
      <c r="BZ610" s="1195"/>
      <c r="CA610" s="1195"/>
      <c r="CB610" s="1196"/>
      <c r="CC610" s="1194">
        <f t="shared" si="4"/>
        <v>0</v>
      </c>
      <c r="CD610" s="1195"/>
      <c r="CE610" s="1195"/>
      <c r="CF610" s="1195"/>
      <c r="CG610" s="1196"/>
      <c r="CH610" s="1194">
        <f t="shared" si="5"/>
        <v>0</v>
      </c>
      <c r="CI610" s="1195"/>
      <c r="CJ610" s="1195"/>
      <c r="CK610" s="1195"/>
      <c r="CL610" s="1196"/>
      <c r="CM610" s="1194">
        <f t="shared" si="6"/>
        <v>0</v>
      </c>
      <c r="CN610" s="1195"/>
      <c r="CO610" s="1195"/>
      <c r="CP610" s="1195"/>
      <c r="CQ610" s="1196"/>
      <c r="CS610" s="1200">
        <f t="shared" si="11"/>
        <v>0</v>
      </c>
      <c r="CT610" s="1201"/>
      <c r="CU610" s="1201"/>
      <c r="CV610" s="1201"/>
      <c r="CW610" s="1202"/>
      <c r="CX610" s="1200">
        <f t="shared" si="12"/>
        <v>0</v>
      </c>
      <c r="CY610" s="1201"/>
      <c r="CZ610" s="1201"/>
      <c r="DA610" s="1201"/>
      <c r="DB610" s="1202"/>
      <c r="DC610" s="1200">
        <f t="shared" si="13"/>
        <v>0</v>
      </c>
      <c r="DD610" s="1201"/>
      <c r="DE610" s="1201"/>
      <c r="DF610" s="1201"/>
      <c r="DG610" s="1202"/>
      <c r="DH610" s="1200">
        <f t="shared" si="14"/>
        <v>0</v>
      </c>
      <c r="DI610" s="1201"/>
      <c r="DJ610" s="1201"/>
      <c r="DK610" s="1201"/>
      <c r="DL610" s="1202"/>
      <c r="DM610" s="1200">
        <f t="shared" si="15"/>
        <v>0</v>
      </c>
      <c r="DN610" s="1201"/>
      <c r="DO610" s="1201"/>
      <c r="DP610" s="1201"/>
      <c r="DQ610" s="1202"/>
      <c r="DR610" s="1200">
        <f t="shared" si="16"/>
        <v>0</v>
      </c>
      <c r="DS610" s="1201"/>
      <c r="DT610" s="1201"/>
      <c r="DU610" s="1201"/>
      <c r="DV610" s="1202"/>
    </row>
    <row r="611" spans="1:126" ht="12.95" customHeight="1">
      <c r="A611" s="2" t="s">
        <v>854</v>
      </c>
      <c r="B611" s="2"/>
      <c r="C611" s="2" t="s">
        <v>184</v>
      </c>
      <c r="AZ611" s="33"/>
      <c r="BA611" s="33"/>
      <c r="BB611" s="33"/>
      <c r="BC611" s="33"/>
      <c r="BD611" s="33"/>
      <c r="BE611" s="1194">
        <f t="shared" si="9"/>
        <v>0</v>
      </c>
      <c r="BF611" s="1196"/>
      <c r="BG611" s="1194">
        <f t="shared" si="7"/>
        <v>0</v>
      </c>
      <c r="BH611" s="1196"/>
      <c r="BI611" s="1194">
        <f t="shared" si="10"/>
        <v>0</v>
      </c>
      <c r="BJ611" s="1196"/>
      <c r="BK611" s="1194">
        <f t="shared" si="8"/>
        <v>0</v>
      </c>
      <c r="BL611" s="1196"/>
      <c r="BN611" s="1194">
        <f t="shared" si="1"/>
        <v>0</v>
      </c>
      <c r="BO611" s="1195"/>
      <c r="BP611" s="1195"/>
      <c r="BQ611" s="1195"/>
      <c r="BR611" s="1197"/>
      <c r="BS611" s="1194">
        <f t="shared" si="2"/>
        <v>0</v>
      </c>
      <c r="BT611" s="1195"/>
      <c r="BU611" s="1195"/>
      <c r="BV611" s="1195"/>
      <c r="BW611" s="1196"/>
      <c r="BX611" s="1194">
        <f t="shared" si="3"/>
        <v>0</v>
      </c>
      <c r="BY611" s="1195"/>
      <c r="BZ611" s="1195"/>
      <c r="CA611" s="1195"/>
      <c r="CB611" s="1196"/>
      <c r="CC611" s="1194">
        <f t="shared" si="4"/>
        <v>0</v>
      </c>
      <c r="CD611" s="1195"/>
      <c r="CE611" s="1195"/>
      <c r="CF611" s="1195"/>
      <c r="CG611" s="1196"/>
      <c r="CH611" s="1194">
        <f t="shared" si="5"/>
        <v>0</v>
      </c>
      <c r="CI611" s="1195"/>
      <c r="CJ611" s="1195"/>
      <c r="CK611" s="1195"/>
      <c r="CL611" s="1196"/>
      <c r="CM611" s="1194">
        <f t="shared" si="6"/>
        <v>0</v>
      </c>
      <c r="CN611" s="1195"/>
      <c r="CO611" s="1195"/>
      <c r="CP611" s="1195"/>
      <c r="CQ611" s="1196"/>
      <c r="CS611" s="1200">
        <f t="shared" si="11"/>
        <v>0</v>
      </c>
      <c r="CT611" s="1201"/>
      <c r="CU611" s="1201"/>
      <c r="CV611" s="1201"/>
      <c r="CW611" s="1202"/>
      <c r="CX611" s="1200">
        <f t="shared" si="12"/>
        <v>0</v>
      </c>
      <c r="CY611" s="1201"/>
      <c r="CZ611" s="1201"/>
      <c r="DA611" s="1201"/>
      <c r="DB611" s="1202"/>
      <c r="DC611" s="1200">
        <f t="shared" si="13"/>
        <v>0</v>
      </c>
      <c r="DD611" s="1201"/>
      <c r="DE611" s="1201"/>
      <c r="DF611" s="1201"/>
      <c r="DG611" s="1202"/>
      <c r="DH611" s="1200">
        <f t="shared" si="14"/>
        <v>0</v>
      </c>
      <c r="DI611" s="1201"/>
      <c r="DJ611" s="1201"/>
      <c r="DK611" s="1201"/>
      <c r="DL611" s="1202"/>
      <c r="DM611" s="1200">
        <f t="shared" si="15"/>
        <v>0</v>
      </c>
      <c r="DN611" s="1201"/>
      <c r="DO611" s="1201"/>
      <c r="DP611" s="1201"/>
      <c r="DQ611" s="1202"/>
      <c r="DR611" s="1200">
        <f t="shared" si="16"/>
        <v>0</v>
      </c>
      <c r="DS611" s="1201"/>
      <c r="DT611" s="1201"/>
      <c r="DU611" s="1201"/>
      <c r="DV611" s="1202"/>
    </row>
    <row r="612" spans="1:126" ht="12.95" customHeight="1">
      <c r="A612" s="2"/>
      <c r="B612" s="2"/>
      <c r="C612" s="2"/>
      <c r="AZ612" s="33"/>
      <c r="BA612" s="33"/>
      <c r="BB612" s="33"/>
      <c r="BC612" s="33"/>
      <c r="BD612" s="33"/>
      <c r="BE612" s="1194">
        <f t="shared" si="9"/>
        <v>0</v>
      </c>
      <c r="BF612" s="1196"/>
      <c r="BG612" s="1194">
        <f t="shared" si="7"/>
        <v>0</v>
      </c>
      <c r="BH612" s="1196"/>
      <c r="BI612" s="1194">
        <f t="shared" si="10"/>
        <v>0</v>
      </c>
      <c r="BJ612" s="1196"/>
      <c r="BK612" s="1194">
        <f t="shared" si="8"/>
        <v>0</v>
      </c>
      <c r="BL612" s="1196"/>
      <c r="BN612" s="1194">
        <f t="shared" si="1"/>
        <v>0</v>
      </c>
      <c r="BO612" s="1195"/>
      <c r="BP612" s="1195"/>
      <c r="BQ612" s="1195"/>
      <c r="BR612" s="1197"/>
      <c r="BS612" s="1194">
        <f t="shared" si="2"/>
        <v>0</v>
      </c>
      <c r="BT612" s="1195"/>
      <c r="BU612" s="1195"/>
      <c r="BV612" s="1195"/>
      <c r="BW612" s="1196"/>
      <c r="BX612" s="1194">
        <f t="shared" si="3"/>
        <v>0</v>
      </c>
      <c r="BY612" s="1195"/>
      <c r="BZ612" s="1195"/>
      <c r="CA612" s="1195"/>
      <c r="CB612" s="1196"/>
      <c r="CC612" s="1194">
        <f t="shared" si="4"/>
        <v>0</v>
      </c>
      <c r="CD612" s="1195"/>
      <c r="CE612" s="1195"/>
      <c r="CF612" s="1195"/>
      <c r="CG612" s="1196"/>
      <c r="CH612" s="1194">
        <f t="shared" si="5"/>
        <v>0</v>
      </c>
      <c r="CI612" s="1195"/>
      <c r="CJ612" s="1195"/>
      <c r="CK612" s="1195"/>
      <c r="CL612" s="1196"/>
      <c r="CM612" s="1194">
        <f t="shared" si="6"/>
        <v>0</v>
      </c>
      <c r="CN612" s="1195"/>
      <c r="CO612" s="1195"/>
      <c r="CP612" s="1195"/>
      <c r="CQ612" s="1196"/>
      <c r="CS612" s="1200">
        <f t="shared" si="11"/>
        <v>0</v>
      </c>
      <c r="CT612" s="1201"/>
      <c r="CU612" s="1201"/>
      <c r="CV612" s="1201"/>
      <c r="CW612" s="1202"/>
      <c r="CX612" s="1200">
        <f t="shared" si="12"/>
        <v>0</v>
      </c>
      <c r="CY612" s="1201"/>
      <c r="CZ612" s="1201"/>
      <c r="DA612" s="1201"/>
      <c r="DB612" s="1202"/>
      <c r="DC612" s="1200">
        <f t="shared" si="13"/>
        <v>0</v>
      </c>
      <c r="DD612" s="1201"/>
      <c r="DE612" s="1201"/>
      <c r="DF612" s="1201"/>
      <c r="DG612" s="1202"/>
      <c r="DH612" s="1200">
        <f t="shared" si="14"/>
        <v>0</v>
      </c>
      <c r="DI612" s="1201"/>
      <c r="DJ612" s="1201"/>
      <c r="DK612" s="1201"/>
      <c r="DL612" s="1202"/>
      <c r="DM612" s="1200">
        <f t="shared" si="15"/>
        <v>0</v>
      </c>
      <c r="DN612" s="1201"/>
      <c r="DO612" s="1201"/>
      <c r="DP612" s="1201"/>
      <c r="DQ612" s="1202"/>
      <c r="DR612" s="1200">
        <f t="shared" si="16"/>
        <v>0</v>
      </c>
      <c r="DS612" s="1201"/>
      <c r="DT612" s="1201"/>
      <c r="DU612" s="1201"/>
      <c r="DV612" s="1202"/>
    </row>
    <row r="613" spans="1:126" ht="12.95" customHeight="1">
      <c r="C613" s="2" t="s">
        <v>1367</v>
      </c>
      <c r="AZ613" s="33"/>
      <c r="BA613" s="33"/>
      <c r="BB613" s="33"/>
      <c r="BC613" s="33"/>
      <c r="BD613" s="33"/>
      <c r="BE613" s="1194">
        <f t="shared" si="9"/>
        <v>0</v>
      </c>
      <c r="BF613" s="1196"/>
      <c r="BG613" s="1194">
        <f t="shared" si="7"/>
        <v>0</v>
      </c>
      <c r="BH613" s="1196"/>
      <c r="BI613" s="1194">
        <f t="shared" si="10"/>
        <v>0</v>
      </c>
      <c r="BJ613" s="1196"/>
      <c r="BK613" s="1194">
        <f t="shared" si="8"/>
        <v>0</v>
      </c>
      <c r="BL613" s="1196"/>
      <c r="BN613" s="1194">
        <f>SUM(BN588:BR612)</f>
        <v>0</v>
      </c>
      <c r="BO613" s="1195"/>
      <c r="BP613" s="1195"/>
      <c r="BQ613" s="1195"/>
      <c r="BR613" s="1196"/>
      <c r="BS613" s="1194">
        <f>SUM(BS588:BW612)</f>
        <v>21</v>
      </c>
      <c r="BT613" s="1195"/>
      <c r="BU613" s="1195"/>
      <c r="BV613" s="1195"/>
      <c r="BW613" s="1196"/>
      <c r="BX613" s="1194">
        <f>SUM(BX588:CB612)</f>
        <v>9</v>
      </c>
      <c r="BY613" s="1195"/>
      <c r="BZ613" s="1195"/>
      <c r="CA613" s="1195"/>
      <c r="CB613" s="1196"/>
      <c r="CC613" s="1194">
        <f>SUM(CC588:CG612)</f>
        <v>12</v>
      </c>
      <c r="CD613" s="1195"/>
      <c r="CE613" s="1195"/>
      <c r="CF613" s="1195"/>
      <c r="CG613" s="1196"/>
      <c r="CH613" s="1194">
        <f>SUM(CH588:CL612)</f>
        <v>0</v>
      </c>
      <c r="CI613" s="1195"/>
      <c r="CJ613" s="1195"/>
      <c r="CK613" s="1195"/>
      <c r="CL613" s="1196"/>
      <c r="CM613" s="1194">
        <f>SUM(CM588:CQ612)</f>
        <v>0</v>
      </c>
      <c r="CN613" s="1195"/>
      <c r="CO613" s="1195"/>
      <c r="CP613" s="1195"/>
      <c r="CQ613" s="1196"/>
      <c r="CS613" s="1200">
        <f t="shared" si="11"/>
        <v>0</v>
      </c>
      <c r="CT613" s="1201"/>
      <c r="CU613" s="1201"/>
      <c r="CV613" s="1201"/>
      <c r="CW613" s="1202"/>
      <c r="CX613" s="1200">
        <f t="shared" si="12"/>
        <v>0</v>
      </c>
      <c r="CY613" s="1201"/>
      <c r="CZ613" s="1201"/>
      <c r="DA613" s="1201"/>
      <c r="DB613" s="1202"/>
      <c r="DC613" s="1200">
        <f t="shared" si="13"/>
        <v>0</v>
      </c>
      <c r="DD613" s="1201"/>
      <c r="DE613" s="1201"/>
      <c r="DF613" s="1201"/>
      <c r="DG613" s="1202"/>
      <c r="DH613" s="1200">
        <f t="shared" si="14"/>
        <v>0</v>
      </c>
      <c r="DI613" s="1201"/>
      <c r="DJ613" s="1201"/>
      <c r="DK613" s="1201"/>
      <c r="DL613" s="1202"/>
      <c r="DM613" s="1200">
        <f t="shared" si="15"/>
        <v>0</v>
      </c>
      <c r="DN613" s="1201"/>
      <c r="DO613" s="1201"/>
      <c r="DP613" s="1201"/>
      <c r="DQ613" s="1202"/>
      <c r="DR613" s="1200">
        <f t="shared" si="16"/>
        <v>0</v>
      </c>
      <c r="DS613" s="1201"/>
      <c r="DT613" s="1201"/>
      <c r="DU613" s="1201"/>
      <c r="DV613" s="1202"/>
    </row>
    <row r="614" spans="1:126" ht="12.95" customHeight="1" thickBot="1">
      <c r="B614" s="647"/>
      <c r="C614" s="2"/>
      <c r="AZ614" s="33"/>
      <c r="BA614" s="33"/>
      <c r="BB614" s="33"/>
      <c r="BC614" s="33"/>
      <c r="BD614" s="33"/>
      <c r="BE614" s="33"/>
      <c r="BF614" s="33"/>
      <c r="BG614" s="1194">
        <f>SUM(BG589:BH613)</f>
        <v>9</v>
      </c>
      <c r="BH614" s="1196"/>
      <c r="BI614" s="33"/>
      <c r="BJ614" s="33"/>
      <c r="BK614" s="1194">
        <f>SUM(BK589:BL613)</f>
        <v>17</v>
      </c>
      <c r="BL614" s="1196"/>
      <c r="BN614" s="33" t="s">
        <v>1437</v>
      </c>
      <c r="BO614" s="33"/>
      <c r="BP614" s="33"/>
      <c r="BQ614" s="33"/>
      <c r="BR614" s="338">
        <f>BN613*1</f>
        <v>0</v>
      </c>
      <c r="BS614" s="33"/>
      <c r="BT614" s="33"/>
      <c r="BU614" s="33"/>
      <c r="BV614" s="33"/>
      <c r="BW614" s="338">
        <f>BS613*1</f>
        <v>21</v>
      </c>
      <c r="BX614" s="33"/>
      <c r="BY614" s="33"/>
      <c r="BZ614" s="33"/>
      <c r="CA614" s="33"/>
      <c r="CB614" s="338">
        <f>BX613*2</f>
        <v>18</v>
      </c>
      <c r="CC614" s="33"/>
      <c r="CD614" s="33"/>
      <c r="CE614" s="33"/>
      <c r="CF614" s="33"/>
      <c r="CG614" s="338">
        <f>CC613*3</f>
        <v>36</v>
      </c>
      <c r="CH614" s="33"/>
      <c r="CI614" s="33"/>
      <c r="CJ614" s="33"/>
      <c r="CK614" s="33"/>
      <c r="CL614" s="338">
        <f>CH613*4</f>
        <v>0</v>
      </c>
      <c r="CM614" s="33"/>
      <c r="CN614" s="33"/>
      <c r="CO614" s="33"/>
      <c r="CP614" s="33"/>
      <c r="CQ614" s="337">
        <f>CM613*5</f>
        <v>0</v>
      </c>
      <c r="CS614" s="1194">
        <f>SUM(CS589:CW613)</f>
        <v>0</v>
      </c>
      <c r="CT614" s="1195"/>
      <c r="CU614" s="1195"/>
      <c r="CV614" s="1195"/>
      <c r="CW614" s="1196"/>
      <c r="CX614" s="1194">
        <f>SUM(CX589:DB613)</f>
        <v>13</v>
      </c>
      <c r="CY614" s="1195"/>
      <c r="CZ614" s="1195"/>
      <c r="DA614" s="1195"/>
      <c r="DB614" s="1196"/>
      <c r="DC614" s="1194">
        <f>SUM(DC589:DG613)</f>
        <v>1</v>
      </c>
      <c r="DD614" s="1195"/>
      <c r="DE614" s="1195"/>
      <c r="DF614" s="1195"/>
      <c r="DG614" s="1196"/>
      <c r="DH614" s="1194">
        <f>SUM(DH589:DL613)</f>
        <v>3</v>
      </c>
      <c r="DI614" s="1195"/>
      <c r="DJ614" s="1195"/>
      <c r="DK614" s="1195"/>
      <c r="DL614" s="1196"/>
      <c r="DM614" s="1194">
        <f>SUM(DM589:DQ613)</f>
        <v>0</v>
      </c>
      <c r="DN614" s="1195"/>
      <c r="DO614" s="1195"/>
      <c r="DP614" s="1195"/>
      <c r="DQ614" s="1196"/>
      <c r="DR614" s="1194">
        <f>SUM(DR589:DV613)</f>
        <v>0</v>
      </c>
      <c r="DS614" s="1195"/>
      <c r="DT614" s="1195"/>
      <c r="DU614" s="1195"/>
      <c r="DV614" s="1196"/>
    </row>
    <row r="615" spans="1:126" ht="12.95" customHeight="1" thickBot="1">
      <c r="B615" s="1449" t="s">
        <v>1368</v>
      </c>
      <c r="C615" s="1450"/>
      <c r="D615" s="1450"/>
      <c r="E615" s="1450"/>
      <c r="F615" s="1450"/>
      <c r="G615" s="1450"/>
      <c r="H615" s="1450"/>
      <c r="I615" s="1450"/>
      <c r="J615" s="1450"/>
      <c r="K615" s="1450"/>
      <c r="L615" s="1450"/>
      <c r="M615" s="1327" t="s">
        <v>1369</v>
      </c>
      <c r="N615" s="1327"/>
      <c r="O615" s="1327"/>
      <c r="P615" s="1327"/>
      <c r="Q615" s="1258" t="s">
        <v>1438</v>
      </c>
      <c r="R615" s="1259"/>
      <c r="S615" s="1260"/>
      <c r="T615" s="1258" t="s">
        <v>1439</v>
      </c>
      <c r="U615" s="1259"/>
      <c r="V615" s="1260"/>
      <c r="W615" s="1464" t="s">
        <v>1372</v>
      </c>
      <c r="X615" s="1464"/>
      <c r="Y615" s="1465"/>
      <c r="Z615" s="1327" t="s">
        <v>1440</v>
      </c>
      <c r="AA615" s="1327"/>
      <c r="AB615" s="1327"/>
      <c r="AC615" s="1455" t="s">
        <v>1374</v>
      </c>
      <c r="AD615" s="1456"/>
      <c r="AE615" s="1457"/>
      <c r="AF615" s="1258" t="s">
        <v>1441</v>
      </c>
      <c r="AG615" s="1259"/>
      <c r="AH615" s="1259"/>
      <c r="AI615" s="1259"/>
      <c r="AJ615" s="1260"/>
      <c r="AK615" s="1440" t="s">
        <v>1442</v>
      </c>
      <c r="AL615" s="1441"/>
      <c r="AM615" s="1441"/>
      <c r="AN615" s="1442"/>
      <c r="AO615" s="1327" t="s">
        <v>1376</v>
      </c>
      <c r="AP615" s="1327"/>
      <c r="AQ615" s="1327"/>
      <c r="AR615" s="1327"/>
      <c r="AS615" s="1327"/>
      <c r="AT615" s="33"/>
      <c r="AU615" s="33"/>
      <c r="AV615" s="33"/>
      <c r="AW615" s="33"/>
      <c r="AX615" s="33"/>
      <c r="AY615" s="33"/>
      <c r="AZ615" s="33"/>
      <c r="BN615" s="33" t="s">
        <v>1443</v>
      </c>
      <c r="BO615" s="33"/>
      <c r="BP615" s="33"/>
      <c r="BQ615" s="33"/>
      <c r="BR615" s="33"/>
      <c r="BS615" s="33"/>
      <c r="BT615" s="33"/>
      <c r="BU615" s="33"/>
      <c r="BV615" s="33"/>
      <c r="BW615" s="33"/>
      <c r="BX615" s="33"/>
      <c r="BY615" s="33"/>
      <c r="BZ615" s="33"/>
      <c r="CA615" s="33"/>
      <c r="CB615" s="33"/>
      <c r="CC615" s="33"/>
      <c r="CD615" s="33"/>
      <c r="CE615" s="33"/>
      <c r="CF615" s="33"/>
      <c r="CG615" s="33"/>
      <c r="CH615" s="33"/>
      <c r="CI615" s="33"/>
      <c r="CJ615" s="33"/>
      <c r="CK615" s="33"/>
      <c r="CL615" s="33"/>
      <c r="CM615" s="33"/>
      <c r="CN615" s="33"/>
      <c r="CO615" s="33"/>
      <c r="CP615" s="836" t="s">
        <v>1444</v>
      </c>
      <c r="CQ615" s="339">
        <f>BR614+BW614+CB614+CG614+CL614+CQ614</f>
        <v>75</v>
      </c>
      <c r="CR615" s="33"/>
      <c r="CS615" s="33"/>
    </row>
    <row r="616" spans="1:126" ht="12.95" customHeight="1">
      <c r="B616" s="1451"/>
      <c r="C616" s="1383"/>
      <c r="D616" s="1383"/>
      <c r="E616" s="1383"/>
      <c r="F616" s="1383"/>
      <c r="G616" s="1383"/>
      <c r="H616" s="1383"/>
      <c r="I616" s="1383"/>
      <c r="J616" s="1383"/>
      <c r="K616" s="1383"/>
      <c r="L616" s="1383"/>
      <c r="M616" s="1327"/>
      <c r="N616" s="1327"/>
      <c r="O616" s="1327"/>
      <c r="P616" s="1327"/>
      <c r="Q616" s="1261"/>
      <c r="R616" s="1262"/>
      <c r="S616" s="1263"/>
      <c r="T616" s="1261"/>
      <c r="U616" s="1262"/>
      <c r="V616" s="1263"/>
      <c r="W616" s="1466"/>
      <c r="X616" s="1466"/>
      <c r="Y616" s="1467"/>
      <c r="Z616" s="1327"/>
      <c r="AA616" s="1327"/>
      <c r="AB616" s="1327"/>
      <c r="AC616" s="1458"/>
      <c r="AD616" s="1459"/>
      <c r="AE616" s="1460"/>
      <c r="AF616" s="1261"/>
      <c r="AG616" s="1262"/>
      <c r="AH616" s="1262"/>
      <c r="AI616" s="1262"/>
      <c r="AJ616" s="1263"/>
      <c r="AK616" s="1443"/>
      <c r="AL616" s="1444"/>
      <c r="AM616" s="1444"/>
      <c r="AN616" s="1445"/>
      <c r="AO616" s="1327"/>
      <c r="AP616" s="1327"/>
      <c r="AQ616" s="1327"/>
      <c r="AR616" s="1327"/>
      <c r="AS616" s="1327"/>
      <c r="AT616" s="33"/>
      <c r="AU616" s="33"/>
      <c r="AV616" s="33"/>
      <c r="AW616" s="33"/>
      <c r="AX616" s="33"/>
      <c r="AY616" s="33"/>
      <c r="AZ616" s="33"/>
      <c r="BN616" s="1194">
        <f>IF(J738="SRO/Studio",O738,0)</f>
        <v>0</v>
      </c>
      <c r="BO616" s="1195"/>
      <c r="BP616" s="1195"/>
      <c r="BQ616" s="1195"/>
      <c r="BR616" s="1196"/>
      <c r="BS616" s="1194">
        <f>IF(J738="1 Bedroom",O738,0)</f>
        <v>0</v>
      </c>
      <c r="BT616" s="1195"/>
      <c r="BU616" s="1195"/>
      <c r="BV616" s="1195"/>
      <c r="BW616" s="1196"/>
      <c r="BX616" s="1194">
        <f>IF(J738="2 Bedrooms",O738,0)</f>
        <v>1</v>
      </c>
      <c r="BY616" s="1195"/>
      <c r="BZ616" s="1195"/>
      <c r="CA616" s="1195"/>
      <c r="CB616" s="1196"/>
      <c r="CC616" s="1194">
        <f>IF(J738="3 Bedrooms",O738,0)</f>
        <v>0</v>
      </c>
      <c r="CD616" s="1195"/>
      <c r="CE616" s="1195"/>
      <c r="CF616" s="1195"/>
      <c r="CG616" s="1196"/>
      <c r="CH616" s="1194">
        <f>IF(J738="4 Bedrooms",O738,0)</f>
        <v>0</v>
      </c>
      <c r="CI616" s="1195"/>
      <c r="CJ616" s="1195"/>
      <c r="CK616" s="1195"/>
      <c r="CL616" s="1196"/>
      <c r="CM616" s="1198">
        <f>IF(J738="5 Bedrooms",O738,0)</f>
        <v>0</v>
      </c>
      <c r="CN616" s="1199"/>
      <c r="CO616" s="1199"/>
      <c r="CP616" s="1199"/>
      <c r="CQ616" s="1197"/>
      <c r="CR616" s="33"/>
      <c r="CS616" s="33"/>
    </row>
    <row r="617" spans="1:126" ht="12.95" customHeight="1">
      <c r="B617" s="1452"/>
      <c r="C617" s="1453"/>
      <c r="D617" s="1453"/>
      <c r="E617" s="1453"/>
      <c r="F617" s="1453"/>
      <c r="G617" s="1453"/>
      <c r="H617" s="1453"/>
      <c r="I617" s="1453"/>
      <c r="J617" s="1453"/>
      <c r="K617" s="1453"/>
      <c r="L617" s="1453"/>
      <c r="M617" s="1327"/>
      <c r="N617" s="1327"/>
      <c r="O617" s="1327"/>
      <c r="P617" s="1327"/>
      <c r="Q617" s="1264"/>
      <c r="R617" s="1265"/>
      <c r="S617" s="1266"/>
      <c r="T617" s="1264"/>
      <c r="U617" s="1265"/>
      <c r="V617" s="1266"/>
      <c r="W617" s="1468"/>
      <c r="X617" s="1468"/>
      <c r="Y617" s="1469"/>
      <c r="Z617" s="1327"/>
      <c r="AA617" s="1327"/>
      <c r="AB617" s="1327"/>
      <c r="AC617" s="1461"/>
      <c r="AD617" s="1462"/>
      <c r="AE617" s="1463"/>
      <c r="AF617" s="1264"/>
      <c r="AG617" s="1265"/>
      <c r="AH617" s="1265"/>
      <c r="AI617" s="1265"/>
      <c r="AJ617" s="1266"/>
      <c r="AK617" s="1446"/>
      <c r="AL617" s="1447"/>
      <c r="AM617" s="1447"/>
      <c r="AN617" s="1448"/>
      <c r="AO617" s="1327"/>
      <c r="AP617" s="1327"/>
      <c r="AQ617" s="1327"/>
      <c r="AR617" s="1327"/>
      <c r="AS617" s="1327"/>
      <c r="AT617" s="33"/>
      <c r="AU617" s="33"/>
      <c r="AV617" s="33"/>
      <c r="AW617" s="33"/>
      <c r="AX617" s="33"/>
      <c r="AY617" s="33"/>
      <c r="AZ617" s="33"/>
      <c r="BN617" s="1194">
        <f>IF(J739="SRO/Studio",O739,0)</f>
        <v>0</v>
      </c>
      <c r="BO617" s="1195"/>
      <c r="BP617" s="1195"/>
      <c r="BQ617" s="1195"/>
      <c r="BR617" s="1196"/>
      <c r="BS617" s="1194">
        <f>IF(J739="1 Bedroom",O739,0)</f>
        <v>0</v>
      </c>
      <c r="BT617" s="1195"/>
      <c r="BU617" s="1195"/>
      <c r="BV617" s="1195"/>
      <c r="BW617" s="1196"/>
      <c r="BX617" s="1194">
        <f>IF(J739="2 Bedrooms",O739,0)</f>
        <v>0</v>
      </c>
      <c r="BY617" s="1195"/>
      <c r="BZ617" s="1195"/>
      <c r="CA617" s="1195"/>
      <c r="CB617" s="1196"/>
      <c r="CC617" s="1194">
        <f>IF(J739="3 Bedrooms",O739,0)</f>
        <v>0</v>
      </c>
      <c r="CD617" s="1195"/>
      <c r="CE617" s="1195"/>
      <c r="CF617" s="1195"/>
      <c r="CG617" s="1196"/>
      <c r="CH617" s="1194">
        <f>IF(J739="4 Bedrooms",O739,0)</f>
        <v>0</v>
      </c>
      <c r="CI617" s="1195"/>
      <c r="CJ617" s="1195"/>
      <c r="CK617" s="1195"/>
      <c r="CL617" s="1196"/>
      <c r="CM617" s="1198">
        <f>IF(J739="5 Bedrooms",O739,0)</f>
        <v>0</v>
      </c>
      <c r="CN617" s="1199"/>
      <c r="CO617" s="1199"/>
      <c r="CP617" s="1199"/>
      <c r="CQ617" s="1197"/>
      <c r="CR617" s="33"/>
      <c r="CS617" s="33"/>
    </row>
    <row r="618" spans="1:126" ht="12.95" customHeight="1">
      <c r="B618" s="41" t="s">
        <v>14</v>
      </c>
      <c r="C618" s="1281" t="s">
        <v>1445</v>
      </c>
      <c r="D618" s="1281"/>
      <c r="E618" s="1281"/>
      <c r="F618" s="1281"/>
      <c r="G618" s="1281"/>
      <c r="H618" s="1281"/>
      <c r="I618" s="1281"/>
      <c r="J618" s="1281"/>
      <c r="K618" s="1281"/>
      <c r="L618" s="1281"/>
      <c r="M618" s="1834" t="s">
        <v>1345</v>
      </c>
      <c r="N618" s="1834"/>
      <c r="O618" s="1834"/>
      <c r="P618" s="1834"/>
      <c r="Q618" s="1835">
        <v>35</v>
      </c>
      <c r="R618" s="1836"/>
      <c r="S618" s="1837"/>
      <c r="T618" s="1835">
        <v>35</v>
      </c>
      <c r="U618" s="1836"/>
      <c r="V618" s="1837"/>
      <c r="W618" s="1838">
        <f>[1]EVERYTHING!$E$5</f>
        <v>0.08</v>
      </c>
      <c r="X618" s="1839"/>
      <c r="Y618" s="1840"/>
      <c r="Z618" s="1841" t="s">
        <v>1446</v>
      </c>
      <c r="AA618" s="1842"/>
      <c r="AB618" s="1843"/>
      <c r="AC618" s="1185">
        <v>1</v>
      </c>
      <c r="AD618" s="1186"/>
      <c r="AE618" s="1187"/>
      <c r="AF618" s="1058">
        <f>[1]EVERYTHING!$S$64</f>
        <v>385927.35118877701</v>
      </c>
      <c r="AG618" s="1059"/>
      <c r="AH618" s="1059"/>
      <c r="AI618" s="1059"/>
      <c r="AJ618" s="1060"/>
      <c r="AK618" s="1188"/>
      <c r="AL618" s="1189"/>
      <c r="AM618" s="1189"/>
      <c r="AN618" s="1190"/>
      <c r="AO618" s="1087">
        <f>[1]EVERYTHING!$C$5</f>
        <v>4528000</v>
      </c>
      <c r="AP618" s="1087"/>
      <c r="AQ618" s="1087"/>
      <c r="AR618" s="1087"/>
      <c r="AS618" s="1087"/>
      <c r="AT618" s="745" t="str">
        <f t="shared" ref="AT618:AT625" si="17">IF(AND(NOT(C617=""),C618="",NOT(C619="")),"!","")</f>
        <v/>
      </c>
      <c r="AU618" s="33"/>
      <c r="AV618" s="33"/>
      <c r="AW618" s="33"/>
      <c r="AX618" s="33"/>
      <c r="AY618" s="33"/>
      <c r="BA618" s="33" t="s">
        <v>1225</v>
      </c>
      <c r="BC618" s="33"/>
      <c r="BD618" s="33"/>
      <c r="BN618" s="1194">
        <f>IF(J740="SRO/Studio",O740,0)</f>
        <v>0</v>
      </c>
      <c r="BO618" s="1195"/>
      <c r="BP618" s="1195"/>
      <c r="BQ618" s="1195"/>
      <c r="BR618" s="1196"/>
      <c r="BS618" s="1194">
        <f>IF(J740="1 Bedroom",O740,0)</f>
        <v>0</v>
      </c>
      <c r="BT618" s="1195"/>
      <c r="BU618" s="1195"/>
      <c r="BV618" s="1195"/>
      <c r="BW618" s="1196"/>
      <c r="BX618" s="1194">
        <f>IF(J740="2 Bedrooms",O740,0)</f>
        <v>0</v>
      </c>
      <c r="BY618" s="1195"/>
      <c r="BZ618" s="1195"/>
      <c r="CA618" s="1195"/>
      <c r="CB618" s="1196"/>
      <c r="CC618" s="1194">
        <f>IF(J740="3 Bedrooms",O740,0)</f>
        <v>0</v>
      </c>
      <c r="CD618" s="1195"/>
      <c r="CE618" s="1195"/>
      <c r="CF618" s="1195"/>
      <c r="CG618" s="1196"/>
      <c r="CH618" s="1194">
        <f>IF(J740="4 Bedrooms",O740,0)</f>
        <v>0</v>
      </c>
      <c r="CI618" s="1195"/>
      <c r="CJ618" s="1195"/>
      <c r="CK618" s="1195"/>
      <c r="CL618" s="1196"/>
      <c r="CM618" s="1198">
        <f>IF(J740="5 Bedrooms",O740,0)</f>
        <v>0</v>
      </c>
      <c r="CN618" s="1199"/>
      <c r="CO618" s="1199"/>
      <c r="CP618" s="1199"/>
      <c r="CQ618" s="1197"/>
      <c r="CR618" s="33"/>
      <c r="CS618" s="33"/>
    </row>
    <row r="619" spans="1:126" ht="12.95" customHeight="1">
      <c r="B619" s="42" t="s">
        <v>27</v>
      </c>
      <c r="C619" s="1281" t="str">
        <f>C547</f>
        <v>Contra Costa County HOME</v>
      </c>
      <c r="D619" s="1281"/>
      <c r="E619" s="1281"/>
      <c r="F619" s="1281"/>
      <c r="G619" s="1281"/>
      <c r="H619" s="1281"/>
      <c r="I619" s="1281"/>
      <c r="J619" s="1281"/>
      <c r="K619" s="1281"/>
      <c r="L619" s="1281"/>
      <c r="M619" s="1281" t="s">
        <v>1347</v>
      </c>
      <c r="N619" s="1281"/>
      <c r="O619" s="1281"/>
      <c r="P619" s="1281"/>
      <c r="Q619" s="1209">
        <v>660</v>
      </c>
      <c r="R619" s="1210"/>
      <c r="S619" s="1211"/>
      <c r="T619" s="1835"/>
      <c r="U619" s="1836"/>
      <c r="V619" s="1837"/>
      <c r="W619" s="1191">
        <v>0.03</v>
      </c>
      <c r="X619" s="1192"/>
      <c r="Y619" s="1193"/>
      <c r="Z619" s="1841" t="s">
        <v>1447</v>
      </c>
      <c r="AA619" s="1842"/>
      <c r="AB619" s="1843"/>
      <c r="AC619" s="1185">
        <v>2</v>
      </c>
      <c r="AD619" s="1186"/>
      <c r="AE619" s="1187"/>
      <c r="AF619" s="1058"/>
      <c r="AG619" s="1059"/>
      <c r="AH619" s="1059"/>
      <c r="AI619" s="1059"/>
      <c r="AJ619" s="1060"/>
      <c r="AK619" s="1188"/>
      <c r="AL619" s="1189"/>
      <c r="AM619" s="1189"/>
      <c r="AN619" s="1190"/>
      <c r="AO619" s="1087">
        <f>AM547</f>
        <v>2650000</v>
      </c>
      <c r="AP619" s="1087"/>
      <c r="AQ619" s="1087"/>
      <c r="AR619" s="1087"/>
      <c r="AS619" s="1087"/>
      <c r="AT619" s="745" t="str">
        <f t="shared" si="17"/>
        <v/>
      </c>
      <c r="AU619" s="33"/>
      <c r="AV619" s="33"/>
      <c r="AW619" s="33"/>
      <c r="AX619" s="33"/>
      <c r="AY619" s="33"/>
      <c r="BA619" s="33" t="s">
        <v>1448</v>
      </c>
      <c r="BC619" s="33"/>
      <c r="BD619" s="33"/>
      <c r="BN619" s="1194">
        <f>IF(J741="SRO/Studio",O741,0)</f>
        <v>0</v>
      </c>
      <c r="BO619" s="1195"/>
      <c r="BP619" s="1195"/>
      <c r="BQ619" s="1195"/>
      <c r="BR619" s="1196"/>
      <c r="BS619" s="1194">
        <f>IF(J741="1 Bedroom",O741,0)</f>
        <v>0</v>
      </c>
      <c r="BT619" s="1195"/>
      <c r="BU619" s="1195"/>
      <c r="BV619" s="1195"/>
      <c r="BW619" s="1196"/>
      <c r="BX619" s="1194">
        <f>IF(J741="2 Bedrooms",O741,0)</f>
        <v>0</v>
      </c>
      <c r="BY619" s="1195"/>
      <c r="BZ619" s="1195"/>
      <c r="CA619" s="1195"/>
      <c r="CB619" s="1196"/>
      <c r="CC619" s="1194">
        <f>IF(J741="3 Bedrooms",O741,0)</f>
        <v>0</v>
      </c>
      <c r="CD619" s="1195"/>
      <c r="CE619" s="1195"/>
      <c r="CF619" s="1195"/>
      <c r="CG619" s="1196"/>
      <c r="CH619" s="1194">
        <f>IF(J741="4 Bedrooms",O741,0)</f>
        <v>0</v>
      </c>
      <c r="CI619" s="1195"/>
      <c r="CJ619" s="1195"/>
      <c r="CK619" s="1195"/>
      <c r="CL619" s="1196"/>
      <c r="CM619" s="1198">
        <f>IF(J741="5 Bedrooms",O741,0)</f>
        <v>0</v>
      </c>
      <c r="CN619" s="1199"/>
      <c r="CO619" s="1199"/>
      <c r="CP619" s="1199"/>
      <c r="CQ619" s="1197"/>
      <c r="CR619" s="33"/>
      <c r="CS619" s="33"/>
    </row>
    <row r="620" spans="1:126" ht="12.95" customHeight="1">
      <c r="B620" s="42" t="s">
        <v>33</v>
      </c>
      <c r="C620" s="1281" t="str">
        <f t="shared" ref="C620:C625" si="18">C548</f>
        <v>Contra Costa County HOME ARP</v>
      </c>
      <c r="D620" s="1281"/>
      <c r="E620" s="1281"/>
      <c r="F620" s="1281"/>
      <c r="G620" s="1281"/>
      <c r="H620" s="1281"/>
      <c r="I620" s="1281"/>
      <c r="J620" s="1281"/>
      <c r="K620" s="1281"/>
      <c r="L620" s="1281"/>
      <c r="M620" s="1281" t="s">
        <v>1347</v>
      </c>
      <c r="N620" s="1281"/>
      <c r="O620" s="1281"/>
      <c r="P620" s="1281"/>
      <c r="Q620" s="1209">
        <v>660</v>
      </c>
      <c r="R620" s="1210"/>
      <c r="S620" s="1211"/>
      <c r="T620" s="1835"/>
      <c r="U620" s="1836"/>
      <c r="V620" s="1837"/>
      <c r="W620" s="1191">
        <v>0.03</v>
      </c>
      <c r="X620" s="1192"/>
      <c r="Y620" s="1193"/>
      <c r="Z620" s="1841" t="s">
        <v>1447</v>
      </c>
      <c r="AA620" s="1842"/>
      <c r="AB620" s="1843"/>
      <c r="AC620" s="1185">
        <v>2</v>
      </c>
      <c r="AD620" s="1186"/>
      <c r="AE620" s="1187"/>
      <c r="AF620" s="1058"/>
      <c r="AG620" s="1059"/>
      <c r="AH620" s="1059"/>
      <c r="AI620" s="1059"/>
      <c r="AJ620" s="1060"/>
      <c r="AK620" s="1188"/>
      <c r="AL620" s="1189"/>
      <c r="AM620" s="1189"/>
      <c r="AN620" s="1190"/>
      <c r="AO620" s="1087">
        <f>[1]EVERYTHING!$C$8</f>
        <v>4382047</v>
      </c>
      <c r="AP620" s="1087"/>
      <c r="AQ620" s="1087"/>
      <c r="AR620" s="1087"/>
      <c r="AS620" s="1087"/>
      <c r="AT620" s="745" t="str">
        <f t="shared" si="17"/>
        <v/>
      </c>
      <c r="AU620" s="33"/>
      <c r="AV620" s="33"/>
      <c r="AW620" s="33"/>
      <c r="AX620" s="33"/>
      <c r="AY620" s="33"/>
      <c r="AZ620" s="33"/>
      <c r="BA620" s="33" t="s">
        <v>1447</v>
      </c>
      <c r="BB620" s="33"/>
      <c r="BC620" s="33"/>
      <c r="BD620" s="33"/>
      <c r="BN620" s="1194">
        <f>SUM(BN616:BR619)</f>
        <v>0</v>
      </c>
      <c r="BO620" s="1195"/>
      <c r="BP620" s="1195"/>
      <c r="BQ620" s="1195"/>
      <c r="BR620" s="1196"/>
      <c r="BS620" s="1194">
        <f>SUM(BS616:BW619)</f>
        <v>0</v>
      </c>
      <c r="BT620" s="1195"/>
      <c r="BU620" s="1195"/>
      <c r="BV620" s="1195"/>
      <c r="BW620" s="1196"/>
      <c r="BX620" s="1194">
        <f>SUM(BX616:CB619)</f>
        <v>1</v>
      </c>
      <c r="BY620" s="1195"/>
      <c r="BZ620" s="1195"/>
      <c r="CA620" s="1195"/>
      <c r="CB620" s="1196"/>
      <c r="CC620" s="1194">
        <f>SUM(CC616:CG619)</f>
        <v>0</v>
      </c>
      <c r="CD620" s="1195"/>
      <c r="CE620" s="1195"/>
      <c r="CF620" s="1195"/>
      <c r="CG620" s="1196"/>
      <c r="CH620" s="1194">
        <f>SUM(CH616:CL619)</f>
        <v>0</v>
      </c>
      <c r="CI620" s="1195"/>
      <c r="CJ620" s="1195"/>
      <c r="CK620" s="1195"/>
      <c r="CL620" s="1196"/>
      <c r="CM620" s="1194">
        <f>SUM(CM616:CQ619)</f>
        <v>0</v>
      </c>
      <c r="CN620" s="1195"/>
      <c r="CO620" s="1195"/>
      <c r="CP620" s="1195"/>
      <c r="CQ620" s="1196"/>
      <c r="CS620" s="338">
        <f>BN620+BS620+BX620+CC620+CH620+CM620</f>
        <v>1</v>
      </c>
      <c r="CT620" s="769" t="s">
        <v>1449</v>
      </c>
      <c r="CU620" s="33"/>
    </row>
    <row r="621" spans="1:126" ht="12.95" customHeight="1">
      <c r="B621" s="42" t="s">
        <v>91</v>
      </c>
      <c r="C621" s="1281" t="str">
        <f t="shared" si="18"/>
        <v>Contra Costa County PLHA</v>
      </c>
      <c r="D621" s="1281"/>
      <c r="E621" s="1281"/>
      <c r="F621" s="1281"/>
      <c r="G621" s="1281"/>
      <c r="H621" s="1281"/>
      <c r="I621" s="1281"/>
      <c r="J621" s="1281"/>
      <c r="K621" s="1281"/>
      <c r="L621" s="1281"/>
      <c r="M621" s="1281" t="s">
        <v>1347</v>
      </c>
      <c r="N621" s="1281"/>
      <c r="O621" s="1281"/>
      <c r="P621" s="1281"/>
      <c r="Q621" s="1209">
        <v>660</v>
      </c>
      <c r="R621" s="1210"/>
      <c r="S621" s="1211"/>
      <c r="T621" s="1835"/>
      <c r="U621" s="1836"/>
      <c r="V621" s="1837"/>
      <c r="W621" s="1191">
        <v>0.03</v>
      </c>
      <c r="X621" s="1192"/>
      <c r="Y621" s="1193"/>
      <c r="Z621" s="1841" t="s">
        <v>1447</v>
      </c>
      <c r="AA621" s="1842"/>
      <c r="AB621" s="1843"/>
      <c r="AC621" s="1185">
        <v>2</v>
      </c>
      <c r="AD621" s="1186"/>
      <c r="AE621" s="1187"/>
      <c r="AF621" s="1058"/>
      <c r="AG621" s="1059"/>
      <c r="AH621" s="1059"/>
      <c r="AI621" s="1059"/>
      <c r="AJ621" s="1060"/>
      <c r="AK621" s="1188"/>
      <c r="AL621" s="1189"/>
      <c r="AM621" s="1189"/>
      <c r="AN621" s="1190"/>
      <c r="AO621" s="1087">
        <f t="shared" ref="AO621:AO625" si="19">AM549</f>
        <v>1000000</v>
      </c>
      <c r="AP621" s="1087"/>
      <c r="AQ621" s="1087"/>
      <c r="AR621" s="1087"/>
      <c r="AS621" s="1087"/>
      <c r="AT621" s="745" t="str">
        <f t="shared" si="17"/>
        <v/>
      </c>
      <c r="AU621" s="33"/>
      <c r="AV621" s="33"/>
      <c r="AW621" s="33"/>
      <c r="AX621" s="33"/>
      <c r="AY621" s="33"/>
      <c r="AZ621" s="33"/>
      <c r="BA621" s="33" t="s">
        <v>1446</v>
      </c>
      <c r="BN621" s="33" t="s">
        <v>1450</v>
      </c>
      <c r="BO621" s="33"/>
      <c r="BP621" s="33"/>
      <c r="BQ621" s="33"/>
      <c r="BR621" s="33"/>
      <c r="BS621" s="33"/>
      <c r="BT621" s="33"/>
      <c r="BU621" s="33"/>
      <c r="BV621" s="33"/>
      <c r="BW621" s="33"/>
      <c r="BX621" s="33"/>
      <c r="BY621" s="33"/>
      <c r="BZ621" s="33"/>
      <c r="CA621" s="33"/>
      <c r="CB621" s="33"/>
      <c r="CC621" s="33"/>
      <c r="CD621" s="33"/>
      <c r="CE621" s="33"/>
      <c r="CF621" s="33"/>
      <c r="CG621" s="33"/>
      <c r="CH621" s="33"/>
      <c r="CI621" s="33"/>
      <c r="CJ621" s="33"/>
      <c r="CK621" s="33"/>
      <c r="CL621" s="33"/>
      <c r="CM621" s="33"/>
      <c r="CN621" s="33"/>
      <c r="CO621" s="33"/>
      <c r="CP621" s="33"/>
      <c r="CQ621" s="33"/>
      <c r="CR621" s="33"/>
      <c r="CS621" s="33"/>
    </row>
    <row r="622" spans="1:126" ht="12.95" customHeight="1">
      <c r="B622" s="42" t="s">
        <v>95</v>
      </c>
      <c r="C622" s="1281" t="str">
        <f t="shared" si="18"/>
        <v>Contra Costa County Measure X</v>
      </c>
      <c r="D622" s="1281"/>
      <c r="E622" s="1281"/>
      <c r="F622" s="1281"/>
      <c r="G622" s="1281"/>
      <c r="H622" s="1281"/>
      <c r="I622" s="1281"/>
      <c r="J622" s="1281"/>
      <c r="K622" s="1281"/>
      <c r="L622" s="1281"/>
      <c r="M622" s="1281" t="s">
        <v>1347</v>
      </c>
      <c r="N622" s="1281"/>
      <c r="O622" s="1281"/>
      <c r="P622" s="1281"/>
      <c r="Q622" s="1209">
        <v>660</v>
      </c>
      <c r="R622" s="1210"/>
      <c r="S622" s="1211"/>
      <c r="T622" s="1835"/>
      <c r="U622" s="1836"/>
      <c r="V622" s="1837"/>
      <c r="W622" s="1191">
        <v>0.03</v>
      </c>
      <c r="X622" s="1192"/>
      <c r="Y622" s="1193"/>
      <c r="Z622" s="1841" t="s">
        <v>1447</v>
      </c>
      <c r="AA622" s="1842"/>
      <c r="AB622" s="1843"/>
      <c r="AC622" s="1185">
        <v>2</v>
      </c>
      <c r="AD622" s="1186"/>
      <c r="AE622" s="1187"/>
      <c r="AF622" s="1058"/>
      <c r="AG622" s="1059"/>
      <c r="AH622" s="1059"/>
      <c r="AI622" s="1059"/>
      <c r="AJ622" s="1060"/>
      <c r="AK622" s="1188"/>
      <c r="AL622" s="1189"/>
      <c r="AM622" s="1189"/>
      <c r="AN622" s="1190"/>
      <c r="AO622" s="1087">
        <f t="shared" si="19"/>
        <v>1421000</v>
      </c>
      <c r="AP622" s="1087"/>
      <c r="AQ622" s="1087"/>
      <c r="AR622" s="1087"/>
      <c r="AS622" s="1087"/>
      <c r="AT622" s="745" t="str">
        <f t="shared" si="17"/>
        <v/>
      </c>
      <c r="AU622" s="33"/>
      <c r="AV622" s="33"/>
      <c r="AW622" s="33"/>
      <c r="AX622" s="33"/>
      <c r="AY622" s="33"/>
      <c r="AZ622" s="33"/>
      <c r="BA622" s="33" t="s">
        <v>228</v>
      </c>
      <c r="BN622" s="1194">
        <f t="shared" ref="BN622:BN631" si="20">IF(J752="SRO/Studio",O752,0)</f>
        <v>0</v>
      </c>
      <c r="BO622" s="1195"/>
      <c r="BP622" s="1195"/>
      <c r="BQ622" s="1195"/>
      <c r="BR622" s="1196"/>
      <c r="BS622" s="1194">
        <f t="shared" ref="BS622:BS631" si="21">IF(J752="1 Bedroom",O752,0)</f>
        <v>0</v>
      </c>
      <c r="BT622" s="1195"/>
      <c r="BU622" s="1195"/>
      <c r="BV622" s="1195"/>
      <c r="BW622" s="1196"/>
      <c r="BX622" s="1194">
        <f t="shared" ref="BX622:BX631" si="22">IF(J752="2 Bedrooms",O752,0)</f>
        <v>0</v>
      </c>
      <c r="BY622" s="1195"/>
      <c r="BZ622" s="1195"/>
      <c r="CA622" s="1195"/>
      <c r="CB622" s="1196"/>
      <c r="CC622" s="1194">
        <f t="shared" ref="CC622:CC631" si="23">IF(J752="3 Bedrooms",O752,0)</f>
        <v>0</v>
      </c>
      <c r="CD622" s="1195"/>
      <c r="CE622" s="1195"/>
      <c r="CF622" s="1195"/>
      <c r="CG622" s="1196"/>
      <c r="CH622" s="1194">
        <f t="shared" ref="CH622:CH631" si="24">IF(J752="4 Bedrooms",O752,0)</f>
        <v>0</v>
      </c>
      <c r="CI622" s="1195"/>
      <c r="CJ622" s="1195"/>
      <c r="CK622" s="1195"/>
      <c r="CL622" s="1196"/>
      <c r="CM622" s="1194">
        <f t="shared" ref="CM622:CM631" si="25">IF(J752="5 Bedrooms",O752,0)</f>
        <v>0</v>
      </c>
      <c r="CN622" s="1195"/>
      <c r="CO622" s="1195"/>
      <c r="CP622" s="1195"/>
      <c r="CQ622" s="1196"/>
      <c r="CR622" s="33"/>
      <c r="CS622" s="33"/>
    </row>
    <row r="623" spans="1:126" ht="12.95" customHeight="1">
      <c r="B623" s="42" t="s">
        <v>1384</v>
      </c>
      <c r="C623" s="1281" t="str">
        <f t="shared" si="18"/>
        <v>City of Richmond</v>
      </c>
      <c r="D623" s="1281"/>
      <c r="E623" s="1281"/>
      <c r="F623" s="1281"/>
      <c r="G623" s="1281"/>
      <c r="H623" s="1281"/>
      <c r="I623" s="1281"/>
      <c r="J623" s="1281"/>
      <c r="K623" s="1281"/>
      <c r="L623" s="1281"/>
      <c r="M623" s="1281" t="s">
        <v>1347</v>
      </c>
      <c r="N623" s="1281"/>
      <c r="O623" s="1281"/>
      <c r="P623" s="1281"/>
      <c r="Q623" s="1209">
        <v>660</v>
      </c>
      <c r="R623" s="1210"/>
      <c r="S623" s="1211"/>
      <c r="T623" s="1835"/>
      <c r="U623" s="1836"/>
      <c r="V623" s="1837"/>
      <c r="W623" s="1191">
        <v>0.03</v>
      </c>
      <c r="X623" s="1192"/>
      <c r="Y623" s="1193"/>
      <c r="Z623" s="1841" t="s">
        <v>1447</v>
      </c>
      <c r="AA623" s="1842"/>
      <c r="AB623" s="1843"/>
      <c r="AC623" s="1185">
        <v>2</v>
      </c>
      <c r="AD623" s="1186"/>
      <c r="AE623" s="1187"/>
      <c r="AF623" s="1058"/>
      <c r="AG623" s="1059"/>
      <c r="AH623" s="1059"/>
      <c r="AI623" s="1059"/>
      <c r="AJ623" s="1060"/>
      <c r="AK623" s="1188"/>
      <c r="AL623" s="1189"/>
      <c r="AM623" s="1189"/>
      <c r="AN623" s="1190"/>
      <c r="AO623" s="1087">
        <f t="shared" si="19"/>
        <v>1144947</v>
      </c>
      <c r="AP623" s="1087"/>
      <c r="AQ623" s="1087"/>
      <c r="AR623" s="1087"/>
      <c r="AS623" s="1087"/>
      <c r="AT623" s="745" t="str">
        <f t="shared" si="17"/>
        <v/>
      </c>
      <c r="AU623" s="33"/>
      <c r="AV623" s="33"/>
      <c r="AW623" s="33"/>
      <c r="AX623" s="33"/>
      <c r="AY623" s="33"/>
      <c r="AZ623" s="33"/>
      <c r="BN623" s="1194">
        <f t="shared" si="20"/>
        <v>0</v>
      </c>
      <c r="BO623" s="1195"/>
      <c r="BP623" s="1195"/>
      <c r="BQ623" s="1195"/>
      <c r="BR623" s="1196"/>
      <c r="BS623" s="1194">
        <f t="shared" si="21"/>
        <v>0</v>
      </c>
      <c r="BT623" s="1195"/>
      <c r="BU623" s="1195"/>
      <c r="BV623" s="1195"/>
      <c r="BW623" s="1196"/>
      <c r="BX623" s="1194">
        <f t="shared" si="22"/>
        <v>0</v>
      </c>
      <c r="BY623" s="1195"/>
      <c r="BZ623" s="1195"/>
      <c r="CA623" s="1195"/>
      <c r="CB623" s="1196"/>
      <c r="CC623" s="1194">
        <f t="shared" si="23"/>
        <v>0</v>
      </c>
      <c r="CD623" s="1195"/>
      <c r="CE623" s="1195"/>
      <c r="CF623" s="1195"/>
      <c r="CG623" s="1196"/>
      <c r="CH623" s="1194">
        <f t="shared" si="24"/>
        <v>0</v>
      </c>
      <c r="CI623" s="1195"/>
      <c r="CJ623" s="1195"/>
      <c r="CK623" s="1195"/>
      <c r="CL623" s="1196"/>
      <c r="CM623" s="1194">
        <f t="shared" si="25"/>
        <v>0</v>
      </c>
      <c r="CN623" s="1195"/>
      <c r="CO623" s="1195"/>
      <c r="CP623" s="1195"/>
      <c r="CQ623" s="1196"/>
      <c r="CR623" s="33"/>
      <c r="CS623" s="33"/>
    </row>
    <row r="624" spans="1:126" ht="12.95" customHeight="1">
      <c r="B624" s="42" t="s">
        <v>1386</v>
      </c>
      <c r="C624" s="1281" t="str">
        <f t="shared" si="18"/>
        <v>City of Richmond Grant</v>
      </c>
      <c r="D624" s="1281"/>
      <c r="E624" s="1281"/>
      <c r="F624" s="1281"/>
      <c r="G624" s="1281"/>
      <c r="H624" s="1281"/>
      <c r="I624" s="1281"/>
      <c r="J624" s="1281"/>
      <c r="K624" s="1281"/>
      <c r="L624" s="1281"/>
      <c r="M624" s="1281" t="s">
        <v>1343</v>
      </c>
      <c r="N624" s="1281"/>
      <c r="O624" s="1281"/>
      <c r="P624" s="1281"/>
      <c r="Q624" s="1209">
        <v>660</v>
      </c>
      <c r="R624" s="1210"/>
      <c r="S624" s="1211"/>
      <c r="T624" s="1835"/>
      <c r="U624" s="1836"/>
      <c r="V624" s="1837"/>
      <c r="W624" s="1191">
        <v>0</v>
      </c>
      <c r="X624" s="1192"/>
      <c r="Y624" s="1193"/>
      <c r="Z624" s="1841" t="s">
        <v>1448</v>
      </c>
      <c r="AA624" s="1842"/>
      <c r="AB624" s="1843"/>
      <c r="AC624" s="1185"/>
      <c r="AD624" s="1186"/>
      <c r="AE624" s="1187"/>
      <c r="AF624" s="1058"/>
      <c r="AG624" s="1059"/>
      <c r="AH624" s="1059"/>
      <c r="AI624" s="1059"/>
      <c r="AJ624" s="1060"/>
      <c r="AK624" s="1188"/>
      <c r="AL624" s="1189"/>
      <c r="AM624" s="1189"/>
      <c r="AN624" s="1190"/>
      <c r="AO624" s="1087">
        <f t="shared" si="19"/>
        <v>349072</v>
      </c>
      <c r="AP624" s="1087"/>
      <c r="AQ624" s="1087"/>
      <c r="AR624" s="1087"/>
      <c r="AS624" s="1087"/>
      <c r="AT624" s="745" t="str">
        <f t="shared" si="17"/>
        <v/>
      </c>
      <c r="AU624" s="33"/>
      <c r="AV624" s="33"/>
      <c r="AW624" s="33"/>
      <c r="AX624" s="33"/>
      <c r="AY624" s="33"/>
      <c r="AZ624" s="33"/>
      <c r="BN624" s="1194">
        <f t="shared" si="20"/>
        <v>0</v>
      </c>
      <c r="BO624" s="1195"/>
      <c r="BP624" s="1195"/>
      <c r="BQ624" s="1195"/>
      <c r="BR624" s="1196"/>
      <c r="BS624" s="1194">
        <f t="shared" si="21"/>
        <v>0</v>
      </c>
      <c r="BT624" s="1195"/>
      <c r="BU624" s="1195"/>
      <c r="BV624" s="1195"/>
      <c r="BW624" s="1196"/>
      <c r="BX624" s="1194">
        <f t="shared" si="22"/>
        <v>0</v>
      </c>
      <c r="BY624" s="1195"/>
      <c r="BZ624" s="1195"/>
      <c r="CA624" s="1195"/>
      <c r="CB624" s="1196"/>
      <c r="CC624" s="1194">
        <f t="shared" si="23"/>
        <v>0</v>
      </c>
      <c r="CD624" s="1195"/>
      <c r="CE624" s="1195"/>
      <c r="CF624" s="1195"/>
      <c r="CG624" s="1196"/>
      <c r="CH624" s="1194">
        <f t="shared" si="24"/>
        <v>0</v>
      </c>
      <c r="CI624" s="1195"/>
      <c r="CJ624" s="1195"/>
      <c r="CK624" s="1195"/>
      <c r="CL624" s="1196"/>
      <c r="CM624" s="1194">
        <f t="shared" si="25"/>
        <v>0</v>
      </c>
      <c r="CN624" s="1195"/>
      <c r="CO624" s="1195"/>
      <c r="CP624" s="1195"/>
      <c r="CQ624" s="1196"/>
      <c r="CR624" s="33"/>
      <c r="CS624" s="33"/>
    </row>
    <row r="625" spans="1:97" ht="12.95" customHeight="1">
      <c r="B625" s="42" t="s">
        <v>1388</v>
      </c>
      <c r="C625" s="1281" t="str">
        <f t="shared" si="18"/>
        <v>DTSC</v>
      </c>
      <c r="D625" s="1281"/>
      <c r="E625" s="1281"/>
      <c r="F625" s="1281"/>
      <c r="G625" s="1281"/>
      <c r="H625" s="1281"/>
      <c r="I625" s="1281"/>
      <c r="J625" s="1281"/>
      <c r="K625" s="1281"/>
      <c r="L625" s="1281"/>
      <c r="M625" s="1281" t="s">
        <v>1343</v>
      </c>
      <c r="N625" s="1281"/>
      <c r="O625" s="1281"/>
      <c r="P625" s="1281"/>
      <c r="Q625" s="1209">
        <v>660</v>
      </c>
      <c r="R625" s="1210"/>
      <c r="S625" s="1211"/>
      <c r="T625" s="1835"/>
      <c r="U625" s="1836"/>
      <c r="V625" s="1837"/>
      <c r="W625" s="1191">
        <v>0</v>
      </c>
      <c r="X625" s="1192"/>
      <c r="Y625" s="1193"/>
      <c r="Z625" s="1841" t="s">
        <v>1448</v>
      </c>
      <c r="AA625" s="1842"/>
      <c r="AB625" s="1843"/>
      <c r="AC625" s="1185"/>
      <c r="AD625" s="1186"/>
      <c r="AE625" s="1187"/>
      <c r="AF625" s="1058"/>
      <c r="AG625" s="1059"/>
      <c r="AH625" s="1059"/>
      <c r="AI625" s="1059"/>
      <c r="AJ625" s="1060"/>
      <c r="AK625" s="1188"/>
      <c r="AL625" s="1189"/>
      <c r="AM625" s="1189"/>
      <c r="AN625" s="1190"/>
      <c r="AO625" s="1087">
        <f t="shared" si="19"/>
        <v>464940</v>
      </c>
      <c r="AP625" s="1087"/>
      <c r="AQ625" s="1087"/>
      <c r="AR625" s="1087"/>
      <c r="AS625" s="1087"/>
      <c r="AT625" s="745" t="str">
        <f t="shared" si="17"/>
        <v/>
      </c>
      <c r="AU625" s="33"/>
      <c r="AV625" s="33"/>
      <c r="AW625" s="33"/>
      <c r="AX625" s="33"/>
      <c r="AY625" s="33"/>
      <c r="AZ625" s="33"/>
      <c r="BN625" s="1194">
        <f t="shared" si="20"/>
        <v>0</v>
      </c>
      <c r="BO625" s="1195"/>
      <c r="BP625" s="1195"/>
      <c r="BQ625" s="1195"/>
      <c r="BR625" s="1196"/>
      <c r="BS625" s="1194">
        <f t="shared" si="21"/>
        <v>0</v>
      </c>
      <c r="BT625" s="1195"/>
      <c r="BU625" s="1195"/>
      <c r="BV625" s="1195"/>
      <c r="BW625" s="1196"/>
      <c r="BX625" s="1194">
        <f t="shared" si="22"/>
        <v>0</v>
      </c>
      <c r="BY625" s="1195"/>
      <c r="BZ625" s="1195"/>
      <c r="CA625" s="1195"/>
      <c r="CB625" s="1196"/>
      <c r="CC625" s="1194">
        <f t="shared" si="23"/>
        <v>0</v>
      </c>
      <c r="CD625" s="1195"/>
      <c r="CE625" s="1195"/>
      <c r="CF625" s="1195"/>
      <c r="CG625" s="1196"/>
      <c r="CH625" s="1194">
        <f t="shared" si="24"/>
        <v>0</v>
      </c>
      <c r="CI625" s="1195"/>
      <c r="CJ625" s="1195"/>
      <c r="CK625" s="1195"/>
      <c r="CL625" s="1196"/>
      <c r="CM625" s="1194">
        <f t="shared" si="25"/>
        <v>0</v>
      </c>
      <c r="CN625" s="1195"/>
      <c r="CO625" s="1195"/>
      <c r="CP625" s="1195"/>
      <c r="CQ625" s="1196"/>
      <c r="CR625" s="33"/>
      <c r="CS625" s="33"/>
    </row>
    <row r="626" spans="1:97" ht="12.95" customHeight="1">
      <c r="B626" s="42" t="s">
        <v>1390</v>
      </c>
      <c r="C626" s="1281" t="s">
        <v>1451</v>
      </c>
      <c r="D626" s="1281"/>
      <c r="E626" s="1281"/>
      <c r="F626" s="1281"/>
      <c r="G626" s="1281"/>
      <c r="H626" s="1281"/>
      <c r="I626" s="1281"/>
      <c r="J626" s="1281"/>
      <c r="K626" s="1281"/>
      <c r="L626" s="1281"/>
      <c r="M626" s="1834" t="s">
        <v>1347</v>
      </c>
      <c r="N626" s="1834"/>
      <c r="O626" s="1834"/>
      <c r="P626" s="1834"/>
      <c r="Q626" s="1209">
        <v>660</v>
      </c>
      <c r="R626" s="1210"/>
      <c r="S626" s="1211"/>
      <c r="T626" s="1835"/>
      <c r="U626" s="1836"/>
      <c r="V626" s="1837"/>
      <c r="W626" s="1838">
        <v>0.03</v>
      </c>
      <c r="X626" s="1839"/>
      <c r="Y626" s="1840"/>
      <c r="Z626" s="1841" t="s">
        <v>1447</v>
      </c>
      <c r="AA626" s="1842"/>
      <c r="AB626" s="1843"/>
      <c r="AC626" s="1185">
        <v>3</v>
      </c>
      <c r="AD626" s="1186"/>
      <c r="AE626" s="1187"/>
      <c r="AF626" s="1058"/>
      <c r="AG626" s="1059"/>
      <c r="AH626" s="1059"/>
      <c r="AI626" s="1059"/>
      <c r="AJ626" s="1060"/>
      <c r="AK626" s="1188"/>
      <c r="AL626" s="1189"/>
      <c r="AM626" s="1189"/>
      <c r="AN626" s="1190"/>
      <c r="AO626" s="1087">
        <f>[1]EVERYTHING!$C$15</f>
        <v>3068780</v>
      </c>
      <c r="AP626" s="1087"/>
      <c r="AQ626" s="1087"/>
      <c r="AR626" s="1087"/>
      <c r="AS626" s="1087"/>
      <c r="AT626" s="745" t="str">
        <f>IF(AND(NOT(C625=""),C626="",NOT(C627="")),"!","")</f>
        <v/>
      </c>
      <c r="AU626" s="33"/>
      <c r="AV626" s="33"/>
      <c r="AW626" s="33"/>
      <c r="AX626" s="33"/>
      <c r="AY626" s="33"/>
      <c r="AZ626" s="33"/>
      <c r="BN626" s="1194">
        <f t="shared" si="20"/>
        <v>0</v>
      </c>
      <c r="BO626" s="1195"/>
      <c r="BP626" s="1195"/>
      <c r="BQ626" s="1195"/>
      <c r="BR626" s="1196"/>
      <c r="BS626" s="1194">
        <f t="shared" si="21"/>
        <v>0</v>
      </c>
      <c r="BT626" s="1195"/>
      <c r="BU626" s="1195"/>
      <c r="BV626" s="1195"/>
      <c r="BW626" s="1196"/>
      <c r="BX626" s="1194">
        <f t="shared" si="22"/>
        <v>0</v>
      </c>
      <c r="BY626" s="1195"/>
      <c r="BZ626" s="1195"/>
      <c r="CA626" s="1195"/>
      <c r="CB626" s="1196"/>
      <c r="CC626" s="1194">
        <f t="shared" si="23"/>
        <v>0</v>
      </c>
      <c r="CD626" s="1195"/>
      <c r="CE626" s="1195"/>
      <c r="CF626" s="1195"/>
      <c r="CG626" s="1196"/>
      <c r="CH626" s="1194">
        <f t="shared" si="24"/>
        <v>0</v>
      </c>
      <c r="CI626" s="1195"/>
      <c r="CJ626" s="1195"/>
      <c r="CK626" s="1195"/>
      <c r="CL626" s="1196"/>
      <c r="CM626" s="1194">
        <f t="shared" si="25"/>
        <v>0</v>
      </c>
      <c r="CN626" s="1195"/>
      <c r="CO626" s="1195"/>
      <c r="CP626" s="1195"/>
      <c r="CQ626" s="1196"/>
      <c r="CR626" s="33"/>
      <c r="CS626" s="33"/>
    </row>
    <row r="627" spans="1:97" ht="12.95" customHeight="1">
      <c r="B627" s="42" t="s">
        <v>1392</v>
      </c>
      <c r="C627" s="1281" t="str">
        <f>C554</f>
        <v>GP Equity</v>
      </c>
      <c r="D627" s="1281"/>
      <c r="E627" s="1281"/>
      <c r="F627" s="1281"/>
      <c r="G627" s="1281"/>
      <c r="H627" s="1281"/>
      <c r="I627" s="1281"/>
      <c r="J627" s="1281"/>
      <c r="K627" s="1281"/>
      <c r="L627" s="1281"/>
      <c r="M627" s="1834" t="s">
        <v>1339</v>
      </c>
      <c r="N627" s="1834"/>
      <c r="O627" s="1834"/>
      <c r="P627" s="1834"/>
      <c r="Q627" s="1844"/>
      <c r="R627" s="1845"/>
      <c r="S627" s="1846"/>
      <c r="T627" s="1835"/>
      <c r="U627" s="1836"/>
      <c r="V627" s="1837"/>
      <c r="W627" s="1838"/>
      <c r="X627" s="1839"/>
      <c r="Y627" s="1840"/>
      <c r="Z627" s="1841" t="s">
        <v>1225</v>
      </c>
      <c r="AA627" s="1842"/>
      <c r="AB627" s="1843"/>
      <c r="AC627" s="1185"/>
      <c r="AD627" s="1186"/>
      <c r="AE627" s="1187"/>
      <c r="AF627" s="1058"/>
      <c r="AG627" s="1059"/>
      <c r="AH627" s="1059"/>
      <c r="AI627" s="1059"/>
      <c r="AJ627" s="1060"/>
      <c r="AK627" s="1188"/>
      <c r="AL627" s="1189"/>
      <c r="AM627" s="1189"/>
      <c r="AN627" s="1190"/>
      <c r="AO627" s="1087">
        <f>AM554</f>
        <v>100</v>
      </c>
      <c r="AP627" s="1087"/>
      <c r="AQ627" s="1087"/>
      <c r="AR627" s="1087"/>
      <c r="AS627" s="1087"/>
      <c r="AT627" s="745" t="str">
        <f>IF(AND(NOT(C626=""),C627="",NOT(C628="")),"!","")</f>
        <v/>
      </c>
      <c r="AU627" s="33"/>
      <c r="AV627" s="33"/>
      <c r="AW627" s="33"/>
      <c r="AX627" s="33"/>
      <c r="AY627" s="33"/>
      <c r="AZ627" s="33"/>
      <c r="BN627" s="1194">
        <f t="shared" si="20"/>
        <v>0</v>
      </c>
      <c r="BO627" s="1195"/>
      <c r="BP627" s="1195"/>
      <c r="BQ627" s="1195"/>
      <c r="BR627" s="1196"/>
      <c r="BS627" s="1194">
        <f t="shared" si="21"/>
        <v>0</v>
      </c>
      <c r="BT627" s="1195"/>
      <c r="BU627" s="1195"/>
      <c r="BV627" s="1195"/>
      <c r="BW627" s="1196"/>
      <c r="BX627" s="1194">
        <f t="shared" si="22"/>
        <v>0</v>
      </c>
      <c r="BY627" s="1195"/>
      <c r="BZ627" s="1195"/>
      <c r="CA627" s="1195"/>
      <c r="CB627" s="1196"/>
      <c r="CC627" s="1194">
        <f t="shared" si="23"/>
        <v>0</v>
      </c>
      <c r="CD627" s="1195"/>
      <c r="CE627" s="1195"/>
      <c r="CF627" s="1195"/>
      <c r="CG627" s="1196"/>
      <c r="CH627" s="1194">
        <f t="shared" si="24"/>
        <v>0</v>
      </c>
      <c r="CI627" s="1195"/>
      <c r="CJ627" s="1195"/>
      <c r="CK627" s="1195"/>
      <c r="CL627" s="1196"/>
      <c r="CM627" s="1194">
        <f t="shared" si="25"/>
        <v>0</v>
      </c>
      <c r="CN627" s="1195"/>
      <c r="CO627" s="1195"/>
      <c r="CP627" s="1195"/>
      <c r="CQ627" s="1196"/>
      <c r="CR627" s="33"/>
      <c r="CS627" s="33"/>
    </row>
    <row r="628" spans="1:97" ht="12.95" customHeight="1">
      <c r="B628" s="42" t="s">
        <v>1394</v>
      </c>
      <c r="C628" s="1281"/>
      <c r="D628" s="1281"/>
      <c r="E628" s="1281"/>
      <c r="F628" s="1281"/>
      <c r="G628" s="1281"/>
      <c r="H628" s="1281"/>
      <c r="I628" s="1281"/>
      <c r="J628" s="1281"/>
      <c r="K628" s="1281"/>
      <c r="L628" s="1281"/>
      <c r="M628" s="1834" t="s">
        <v>1225</v>
      </c>
      <c r="N628" s="1834"/>
      <c r="O628" s="1834"/>
      <c r="P628" s="1834"/>
      <c r="Q628" s="1844"/>
      <c r="R628" s="1845"/>
      <c r="S628" s="1846"/>
      <c r="T628" s="1835"/>
      <c r="U628" s="1836"/>
      <c r="V628" s="1837"/>
      <c r="W628" s="1838"/>
      <c r="X628" s="1839"/>
      <c r="Y628" s="1840"/>
      <c r="Z628" s="1841" t="s">
        <v>1225</v>
      </c>
      <c r="AA628" s="1842"/>
      <c r="AB628" s="1843"/>
      <c r="AC628" s="1185"/>
      <c r="AD628" s="1186"/>
      <c r="AE628" s="1187"/>
      <c r="AF628" s="1058"/>
      <c r="AG628" s="1059"/>
      <c r="AH628" s="1059"/>
      <c r="AI628" s="1059"/>
      <c r="AJ628" s="1060"/>
      <c r="AK628" s="1188"/>
      <c r="AL628" s="1189"/>
      <c r="AM628" s="1189"/>
      <c r="AN628" s="1190"/>
      <c r="AO628" s="1087"/>
      <c r="AP628" s="1087"/>
      <c r="AQ628" s="1087"/>
      <c r="AR628" s="1087"/>
      <c r="AS628" s="1087"/>
      <c r="AT628" s="745" t="str">
        <f>IF(AND(NOT(C627=""),C628="",NOT(C629="")),"!","")</f>
        <v/>
      </c>
      <c r="AU628" s="33"/>
      <c r="AV628" s="33"/>
      <c r="AW628" s="33"/>
      <c r="AX628" s="33"/>
      <c r="AY628" s="33"/>
      <c r="AZ628" s="33"/>
      <c r="BN628" s="1194">
        <f t="shared" si="20"/>
        <v>0</v>
      </c>
      <c r="BO628" s="1195"/>
      <c r="BP628" s="1195"/>
      <c r="BQ628" s="1195"/>
      <c r="BR628" s="1196"/>
      <c r="BS628" s="1194">
        <f t="shared" si="21"/>
        <v>0</v>
      </c>
      <c r="BT628" s="1195"/>
      <c r="BU628" s="1195"/>
      <c r="BV628" s="1195"/>
      <c r="BW628" s="1196"/>
      <c r="BX628" s="1194">
        <f t="shared" si="22"/>
        <v>0</v>
      </c>
      <c r="BY628" s="1195"/>
      <c r="BZ628" s="1195"/>
      <c r="CA628" s="1195"/>
      <c r="CB628" s="1196"/>
      <c r="CC628" s="1194">
        <f t="shared" si="23"/>
        <v>0</v>
      </c>
      <c r="CD628" s="1195"/>
      <c r="CE628" s="1195"/>
      <c r="CF628" s="1195"/>
      <c r="CG628" s="1196"/>
      <c r="CH628" s="1194">
        <f t="shared" si="24"/>
        <v>0</v>
      </c>
      <c r="CI628" s="1195"/>
      <c r="CJ628" s="1195"/>
      <c r="CK628" s="1195"/>
      <c r="CL628" s="1196"/>
      <c r="CM628" s="1194">
        <f t="shared" si="25"/>
        <v>0</v>
      </c>
      <c r="CN628" s="1195"/>
      <c r="CO628" s="1195"/>
      <c r="CP628" s="1195"/>
      <c r="CQ628" s="1196"/>
      <c r="CR628" s="33"/>
      <c r="CS628" s="33"/>
    </row>
    <row r="629" spans="1:97" ht="12.95" customHeight="1">
      <c r="B629" s="42" t="s">
        <v>1395</v>
      </c>
      <c r="C629" s="1281"/>
      <c r="D629" s="1281"/>
      <c r="E629" s="1281"/>
      <c r="F629" s="1281"/>
      <c r="G629" s="1281"/>
      <c r="H629" s="1281"/>
      <c r="I629" s="1281"/>
      <c r="J629" s="1281"/>
      <c r="K629" s="1281"/>
      <c r="L629" s="1281"/>
      <c r="M629" s="1834" t="s">
        <v>1225</v>
      </c>
      <c r="N629" s="1834"/>
      <c r="O629" s="1834"/>
      <c r="P629" s="1834"/>
      <c r="Q629" s="1844"/>
      <c r="R629" s="1845"/>
      <c r="S629" s="1846"/>
      <c r="T629" s="1835"/>
      <c r="U629" s="1836"/>
      <c r="V629" s="1837"/>
      <c r="W629" s="1838"/>
      <c r="X629" s="1839"/>
      <c r="Y629" s="1840"/>
      <c r="Z629" s="1841" t="s">
        <v>1225</v>
      </c>
      <c r="AA629" s="1842"/>
      <c r="AB629" s="1843"/>
      <c r="AC629" s="1185"/>
      <c r="AD629" s="1186"/>
      <c r="AE629" s="1187"/>
      <c r="AF629" s="1058"/>
      <c r="AG629" s="1059"/>
      <c r="AH629" s="1059"/>
      <c r="AI629" s="1059"/>
      <c r="AJ629" s="1060"/>
      <c r="AK629" s="1188"/>
      <c r="AL629" s="1189"/>
      <c r="AM629" s="1189"/>
      <c r="AN629" s="1190"/>
      <c r="AO629" s="1087"/>
      <c r="AP629" s="1087"/>
      <c r="AQ629" s="1087"/>
      <c r="AR629" s="1087"/>
      <c r="AS629" s="1087"/>
      <c r="AT629" s="745" t="str">
        <f>IF(AND(NOT(C628=""),C629="",NOT(C630="")),"!","")</f>
        <v/>
      </c>
      <c r="AU629" s="33"/>
      <c r="AV629" s="33"/>
      <c r="AW629" s="33"/>
      <c r="AX629" s="33"/>
      <c r="AY629" s="33"/>
      <c r="AZ629" s="33"/>
      <c r="BN629" s="1194">
        <f t="shared" si="20"/>
        <v>0</v>
      </c>
      <c r="BO629" s="1195"/>
      <c r="BP629" s="1195"/>
      <c r="BQ629" s="1195"/>
      <c r="BR629" s="1196"/>
      <c r="BS629" s="1194">
        <f t="shared" si="21"/>
        <v>0</v>
      </c>
      <c r="BT629" s="1195"/>
      <c r="BU629" s="1195"/>
      <c r="BV629" s="1195"/>
      <c r="BW629" s="1196"/>
      <c r="BX629" s="1194">
        <f t="shared" si="22"/>
        <v>0</v>
      </c>
      <c r="BY629" s="1195"/>
      <c r="BZ629" s="1195"/>
      <c r="CA629" s="1195"/>
      <c r="CB629" s="1196"/>
      <c r="CC629" s="1194">
        <f t="shared" si="23"/>
        <v>0</v>
      </c>
      <c r="CD629" s="1195"/>
      <c r="CE629" s="1195"/>
      <c r="CF629" s="1195"/>
      <c r="CG629" s="1196"/>
      <c r="CH629" s="1194">
        <f t="shared" si="24"/>
        <v>0</v>
      </c>
      <c r="CI629" s="1195"/>
      <c r="CJ629" s="1195"/>
      <c r="CK629" s="1195"/>
      <c r="CL629" s="1196"/>
      <c r="CM629" s="1194">
        <f t="shared" si="25"/>
        <v>0</v>
      </c>
      <c r="CN629" s="1195"/>
      <c r="CO629" s="1195"/>
      <c r="CP629" s="1195"/>
      <c r="CQ629" s="1196"/>
      <c r="CR629" s="33"/>
      <c r="CS629" s="33"/>
    </row>
    <row r="630" spans="1:97" ht="12.95" customHeight="1">
      <c r="B630" s="1094" t="s">
        <v>1452</v>
      </c>
      <c r="C630" s="1095"/>
      <c r="D630" s="1095"/>
      <c r="E630" s="1095"/>
      <c r="F630" s="1095"/>
      <c r="G630" s="1095"/>
      <c r="H630" s="1095"/>
      <c r="I630" s="1095"/>
      <c r="J630" s="1095"/>
      <c r="K630" s="1095"/>
      <c r="L630" s="1095"/>
      <c r="M630" s="1095"/>
      <c r="N630" s="1095"/>
      <c r="O630" s="1095"/>
      <c r="P630" s="1095"/>
      <c r="Q630" s="1095"/>
      <c r="R630" s="1095"/>
      <c r="S630" s="1095"/>
      <c r="T630" s="1095"/>
      <c r="U630" s="1095"/>
      <c r="V630" s="1095"/>
      <c r="W630" s="1095"/>
      <c r="X630" s="1095"/>
      <c r="Y630" s="1095"/>
      <c r="Z630" s="1095"/>
      <c r="AA630" s="1095"/>
      <c r="AB630" s="1095"/>
      <c r="AC630" s="1095"/>
      <c r="AD630" s="1095"/>
      <c r="AE630" s="1095"/>
      <c r="AF630" s="1095"/>
      <c r="AG630" s="1095"/>
      <c r="AH630" s="1095"/>
      <c r="AI630" s="1095"/>
      <c r="AJ630" s="1095"/>
      <c r="AK630" s="1095"/>
      <c r="AL630" s="1095"/>
      <c r="AM630" s="1095"/>
      <c r="AN630" s="1096"/>
      <c r="AO630" s="1111">
        <f>SUM(AO618:AS629)</f>
        <v>19008886</v>
      </c>
      <c r="AP630" s="1112"/>
      <c r="AQ630" s="1112"/>
      <c r="AR630" s="1112"/>
      <c r="AS630" s="1113"/>
      <c r="AT630" s="33"/>
      <c r="AU630" s="33"/>
      <c r="AV630" s="33"/>
      <c r="AW630" s="33"/>
      <c r="AX630" s="33"/>
      <c r="AY630" s="33"/>
      <c r="AZ630" s="33"/>
      <c r="BN630" s="1194">
        <f t="shared" si="20"/>
        <v>0</v>
      </c>
      <c r="BO630" s="1195"/>
      <c r="BP630" s="1195"/>
      <c r="BQ630" s="1195"/>
      <c r="BR630" s="1196"/>
      <c r="BS630" s="1194">
        <f t="shared" si="21"/>
        <v>0</v>
      </c>
      <c r="BT630" s="1195"/>
      <c r="BU630" s="1195"/>
      <c r="BV630" s="1195"/>
      <c r="BW630" s="1196"/>
      <c r="BX630" s="1194">
        <f t="shared" si="22"/>
        <v>0</v>
      </c>
      <c r="BY630" s="1195"/>
      <c r="BZ630" s="1195"/>
      <c r="CA630" s="1195"/>
      <c r="CB630" s="1196"/>
      <c r="CC630" s="1194">
        <f t="shared" si="23"/>
        <v>0</v>
      </c>
      <c r="CD630" s="1195"/>
      <c r="CE630" s="1195"/>
      <c r="CF630" s="1195"/>
      <c r="CG630" s="1196"/>
      <c r="CH630" s="1194">
        <f t="shared" si="24"/>
        <v>0</v>
      </c>
      <c r="CI630" s="1195"/>
      <c r="CJ630" s="1195"/>
      <c r="CK630" s="1195"/>
      <c r="CL630" s="1196"/>
      <c r="CM630" s="1194">
        <f t="shared" si="25"/>
        <v>0</v>
      </c>
      <c r="CN630" s="1195"/>
      <c r="CO630" s="1195"/>
      <c r="CP630" s="1195"/>
      <c r="CQ630" s="1196"/>
      <c r="CR630" s="33"/>
      <c r="CS630" s="33"/>
    </row>
    <row r="631" spans="1:97" ht="12.95" customHeight="1">
      <c r="B631" s="1094" t="s">
        <v>1453</v>
      </c>
      <c r="C631" s="1095"/>
      <c r="D631" s="1095"/>
      <c r="E631" s="1095"/>
      <c r="F631" s="1095"/>
      <c r="G631" s="1095"/>
      <c r="H631" s="1095"/>
      <c r="I631" s="1095"/>
      <c r="J631" s="1095"/>
      <c r="K631" s="1095"/>
      <c r="L631" s="1095"/>
      <c r="M631" s="1095"/>
      <c r="N631" s="1095"/>
      <c r="O631" s="1095"/>
      <c r="P631" s="1095"/>
      <c r="Q631" s="1095"/>
      <c r="R631" s="1095"/>
      <c r="S631" s="1095"/>
      <c r="T631" s="1095"/>
      <c r="U631" s="1095"/>
      <c r="V631" s="1095"/>
      <c r="W631" s="1095"/>
      <c r="X631" s="1095"/>
      <c r="Y631" s="1095"/>
      <c r="Z631" s="1095"/>
      <c r="AA631" s="1095"/>
      <c r="AB631" s="1095"/>
      <c r="AC631" s="1095"/>
      <c r="AD631" s="1095"/>
      <c r="AE631" s="1095"/>
      <c r="AF631" s="1095"/>
      <c r="AG631" s="1095"/>
      <c r="AH631" s="1095"/>
      <c r="AI631" s="1095"/>
      <c r="AJ631" s="1095"/>
      <c r="AK631" s="1095"/>
      <c r="AL631" s="1095"/>
      <c r="AM631" s="1095"/>
      <c r="AN631" s="1096"/>
      <c r="AO631" s="1047">
        <f>[1]EVERYTHING!$C$20-[1]EVERYTHING!$C$122</f>
        <v>21954879.945813179</v>
      </c>
      <c r="AP631" s="1048"/>
      <c r="AQ631" s="1048"/>
      <c r="AR631" s="1048"/>
      <c r="AS631" s="1049"/>
      <c r="AT631" s="33"/>
      <c r="AU631" s="33"/>
      <c r="AV631" s="33"/>
      <c r="AW631" s="33"/>
      <c r="AX631" s="33"/>
      <c r="AY631" s="33"/>
      <c r="AZ631" s="33"/>
      <c r="BN631" s="1194">
        <f t="shared" si="20"/>
        <v>0</v>
      </c>
      <c r="BO631" s="1195"/>
      <c r="BP631" s="1195"/>
      <c r="BQ631" s="1195"/>
      <c r="BR631" s="1196"/>
      <c r="BS631" s="1194">
        <f t="shared" si="21"/>
        <v>0</v>
      </c>
      <c r="BT631" s="1195"/>
      <c r="BU631" s="1195"/>
      <c r="BV631" s="1195"/>
      <c r="BW631" s="1196"/>
      <c r="BX631" s="1194">
        <f t="shared" si="22"/>
        <v>0</v>
      </c>
      <c r="BY631" s="1195"/>
      <c r="BZ631" s="1195"/>
      <c r="CA631" s="1195"/>
      <c r="CB631" s="1196"/>
      <c r="CC631" s="1194">
        <f t="shared" si="23"/>
        <v>0</v>
      </c>
      <c r="CD631" s="1195"/>
      <c r="CE631" s="1195"/>
      <c r="CF631" s="1195"/>
      <c r="CG631" s="1196"/>
      <c r="CH631" s="1194">
        <f t="shared" si="24"/>
        <v>0</v>
      </c>
      <c r="CI631" s="1195"/>
      <c r="CJ631" s="1195"/>
      <c r="CK631" s="1195"/>
      <c r="CL631" s="1196"/>
      <c r="CM631" s="1194">
        <f t="shared" si="25"/>
        <v>0</v>
      </c>
      <c r="CN631" s="1195"/>
      <c r="CO631" s="1195"/>
      <c r="CP631" s="1195"/>
      <c r="CQ631" s="1196"/>
      <c r="CR631" s="33"/>
      <c r="CS631" s="33"/>
    </row>
    <row r="632" spans="1:97" ht="12.95" customHeight="1">
      <c r="B632" s="1328" t="s">
        <v>1454</v>
      </c>
      <c r="C632" s="1326"/>
      <c r="D632" s="1326"/>
      <c r="E632" s="1326"/>
      <c r="F632" s="1326"/>
      <c r="G632" s="1326"/>
      <c r="H632" s="1326"/>
      <c r="I632" s="1326"/>
      <c r="J632" s="1326"/>
      <c r="K632" s="1326"/>
      <c r="L632" s="1326"/>
      <c r="M632" s="1326"/>
      <c r="N632" s="1326"/>
      <c r="O632" s="1326"/>
      <c r="P632" s="1326"/>
      <c r="Q632" s="1326"/>
      <c r="R632" s="1326"/>
      <c r="S632" s="1326"/>
      <c r="T632" s="1326"/>
      <c r="U632" s="1326"/>
      <c r="V632" s="1326"/>
      <c r="W632" s="1326"/>
      <c r="X632" s="1326"/>
      <c r="Y632" s="1326"/>
      <c r="Z632" s="1326"/>
      <c r="AA632" s="1326"/>
      <c r="AB632" s="1326"/>
      <c r="AC632" s="1326"/>
      <c r="AD632" s="1326"/>
      <c r="AE632" s="1326"/>
      <c r="AF632" s="1326"/>
      <c r="AG632" s="1326"/>
      <c r="AH632" s="1326"/>
      <c r="AI632" s="1326"/>
      <c r="AJ632" s="1326"/>
      <c r="AK632" s="1326"/>
      <c r="AL632" s="1326"/>
      <c r="AM632" s="1326"/>
      <c r="AN632" s="1329"/>
      <c r="AO632" s="1111">
        <f>AO630+AO631</f>
        <v>40963765.945813179</v>
      </c>
      <c r="AP632" s="1112"/>
      <c r="AQ632" s="1112"/>
      <c r="AR632" s="1112"/>
      <c r="AS632" s="1113"/>
      <c r="AT632" s="33"/>
      <c r="AU632" s="33"/>
      <c r="AV632" s="33"/>
      <c r="AW632" s="33"/>
      <c r="AX632" s="33"/>
      <c r="AY632" s="33"/>
      <c r="AZ632" s="33"/>
      <c r="BN632" s="1194">
        <f>SUM(BN622:BR631)</f>
        <v>0</v>
      </c>
      <c r="BO632" s="1195"/>
      <c r="BP632" s="1195"/>
      <c r="BQ632" s="1195"/>
      <c r="BR632" s="1196"/>
      <c r="BS632" s="1194">
        <f>SUM(BS622:BW631)</f>
        <v>0</v>
      </c>
      <c r="BT632" s="1195"/>
      <c r="BU632" s="1195"/>
      <c r="BV632" s="1195"/>
      <c r="BW632" s="1196"/>
      <c r="BX632" s="1194">
        <f>SUM(BX622:CB631)</f>
        <v>0</v>
      </c>
      <c r="BY632" s="1195"/>
      <c r="BZ632" s="1195"/>
      <c r="CA632" s="1195"/>
      <c r="CB632" s="1196"/>
      <c r="CC632" s="1194">
        <f>SUM(CC622:CG631)</f>
        <v>0</v>
      </c>
      <c r="CD632" s="1195"/>
      <c r="CE632" s="1195"/>
      <c r="CF632" s="1195"/>
      <c r="CG632" s="1196"/>
      <c r="CH632" s="1194">
        <f>SUM(CH622:CL631)</f>
        <v>0</v>
      </c>
      <c r="CI632" s="1195"/>
      <c r="CJ632" s="1195"/>
      <c r="CK632" s="1195"/>
      <c r="CL632" s="1196"/>
      <c r="CM632" s="1194">
        <f>SUM(CM622:CQ631)</f>
        <v>0</v>
      </c>
      <c r="CN632" s="1195"/>
      <c r="CO632" s="1195"/>
      <c r="CP632" s="1195"/>
      <c r="CQ632" s="1196"/>
      <c r="CR632" s="33"/>
      <c r="CS632" s="33"/>
    </row>
    <row r="633" spans="1:97" ht="12.95" customHeight="1" thickBot="1">
      <c r="A633" s="3"/>
      <c r="K633" s="836"/>
      <c r="L633" s="27"/>
      <c r="M633" s="27"/>
      <c r="N633" s="27"/>
      <c r="O633" s="27"/>
      <c r="P633" s="27"/>
      <c r="Q633" s="27"/>
      <c r="R633" s="27"/>
      <c r="AC633" s="836"/>
      <c r="AD633" s="27"/>
      <c r="AE633" s="27"/>
      <c r="AF633" s="27"/>
      <c r="AG633" s="27"/>
      <c r="AH633" s="27"/>
      <c r="AI633" s="27"/>
      <c r="AJ633" s="27"/>
      <c r="AM633" s="33"/>
      <c r="AN633" s="33"/>
      <c r="AO633" s="33"/>
      <c r="AP633" s="33"/>
      <c r="AQ633" s="33"/>
      <c r="AR633" s="33"/>
      <c r="AS633" s="33"/>
      <c r="AT633" s="33"/>
      <c r="AU633" s="33"/>
      <c r="AV633" s="33"/>
      <c r="AW633" s="33"/>
      <c r="AX633" s="33"/>
      <c r="AY633" s="33"/>
      <c r="AZ633" s="33"/>
      <c r="BN633" s="33" t="s">
        <v>1455</v>
      </c>
      <c r="BO633" s="33"/>
      <c r="BP633" s="33"/>
      <c r="BQ633" s="33"/>
      <c r="BR633" s="338">
        <f>BN632*1</f>
        <v>0</v>
      </c>
      <c r="BS633" s="33"/>
      <c r="BT633" s="33"/>
      <c r="BU633" s="33"/>
      <c r="BV633" s="33"/>
      <c r="BW633" s="338">
        <f>BS632*1</f>
        <v>0</v>
      </c>
      <c r="BX633" s="33"/>
      <c r="BY633" s="33"/>
      <c r="BZ633" s="33"/>
      <c r="CA633" s="33"/>
      <c r="CB633" s="338">
        <f>BX632*2</f>
        <v>0</v>
      </c>
      <c r="CC633" s="33"/>
      <c r="CD633" s="33"/>
      <c r="CE633" s="33"/>
      <c r="CF633" s="33"/>
      <c r="CG633" s="338">
        <f>CC632*3</f>
        <v>0</v>
      </c>
      <c r="CH633" s="33"/>
      <c r="CI633" s="33"/>
      <c r="CJ633" s="33"/>
      <c r="CK633" s="33"/>
      <c r="CL633" s="338">
        <f>CH632*4</f>
        <v>0</v>
      </c>
      <c r="CM633" s="33"/>
      <c r="CN633" s="33"/>
      <c r="CO633" s="33"/>
      <c r="CP633" s="33"/>
      <c r="CQ633" s="337">
        <f>CM632*5</f>
        <v>0</v>
      </c>
      <c r="CR633" s="33"/>
      <c r="CS633" s="33"/>
    </row>
    <row r="634" spans="1:97" ht="12.95" customHeight="1" thickBot="1">
      <c r="A634" s="43" t="s">
        <v>14</v>
      </c>
      <c r="B634" t="s">
        <v>1397</v>
      </c>
      <c r="G634" s="1076" t="str">
        <f>C618</f>
        <v>Permanent Loan</v>
      </c>
      <c r="H634" s="1076"/>
      <c r="I634" s="1076"/>
      <c r="J634" s="1076"/>
      <c r="K634" s="1076"/>
      <c r="L634" s="1076"/>
      <c r="M634" s="1076"/>
      <c r="N634" s="1076"/>
      <c r="O634" s="1076"/>
      <c r="P634" s="1076"/>
      <c r="Q634" s="1076"/>
      <c r="R634" s="1076"/>
      <c r="S634" s="11"/>
      <c r="T634" s="43" t="s">
        <v>27</v>
      </c>
      <c r="U634" t="s">
        <v>1397</v>
      </c>
      <c r="Z634" s="1076" t="str">
        <f>C619</f>
        <v>Contra Costa County HOME</v>
      </c>
      <c r="AA634" s="1076"/>
      <c r="AB634" s="1076"/>
      <c r="AC634" s="1076"/>
      <c r="AD634" s="1076"/>
      <c r="AE634" s="1076"/>
      <c r="AF634" s="1076"/>
      <c r="AG634" s="1076"/>
      <c r="AH634" s="1076"/>
      <c r="AI634" s="1076"/>
      <c r="AJ634" s="1076"/>
      <c r="AK634" s="1076"/>
      <c r="AM634" s="33"/>
      <c r="AN634" s="33"/>
      <c r="AO634" s="33"/>
      <c r="AP634" s="33"/>
      <c r="AQ634" s="33"/>
      <c r="AR634" s="33"/>
      <c r="AS634" s="33"/>
      <c r="AT634" s="33"/>
      <c r="AU634" s="33"/>
      <c r="AV634" s="33"/>
      <c r="AW634" s="33"/>
      <c r="AX634" s="33"/>
      <c r="AY634" s="33"/>
      <c r="AZ634" s="33"/>
      <c r="CP634" s="836" t="s">
        <v>1456</v>
      </c>
      <c r="CQ634" s="339">
        <f>BN632+BS632+BX632+CC632+CH632+CM632</f>
        <v>0</v>
      </c>
      <c r="CR634" s="33"/>
      <c r="CS634" s="33"/>
    </row>
    <row r="635" spans="1:97" ht="12.95" customHeight="1" thickBot="1">
      <c r="A635" s="3"/>
      <c r="B635" t="s">
        <v>1048</v>
      </c>
      <c r="G635" s="1184" t="s">
        <v>1398</v>
      </c>
      <c r="H635" s="1181"/>
      <c r="I635" s="1181"/>
      <c r="J635" s="1181"/>
      <c r="K635" s="1181"/>
      <c r="L635" s="1181"/>
      <c r="M635" s="1181"/>
      <c r="N635" s="1181"/>
      <c r="O635" s="1181"/>
      <c r="P635" s="1181"/>
      <c r="Q635" s="1181"/>
      <c r="R635" s="1181"/>
      <c r="S635" s="11"/>
      <c r="T635" s="3"/>
      <c r="U635" t="s">
        <v>1048</v>
      </c>
      <c r="Z635" s="1184" t="s">
        <v>1399</v>
      </c>
      <c r="AA635" s="1181"/>
      <c r="AB635" s="1181"/>
      <c r="AC635" s="1181"/>
      <c r="AD635" s="1181"/>
      <c r="AE635" s="1181"/>
      <c r="AF635" s="1181"/>
      <c r="AG635" s="1181"/>
      <c r="AH635" s="1181"/>
      <c r="AI635" s="1181"/>
      <c r="AJ635" s="1181"/>
      <c r="AK635" s="1181"/>
      <c r="AM635" s="33"/>
      <c r="AN635" s="33"/>
      <c r="AO635" s="33"/>
      <c r="AP635" s="33"/>
      <c r="AQ635" s="33"/>
      <c r="AR635" s="33"/>
      <c r="AS635" s="33"/>
      <c r="AT635" s="33"/>
      <c r="AU635" s="33"/>
      <c r="AV635" s="33"/>
      <c r="AW635" s="33"/>
      <c r="AX635" s="33"/>
      <c r="AY635" s="33"/>
      <c r="AZ635" s="33"/>
      <c r="CR635" s="33"/>
      <c r="CS635" s="33"/>
    </row>
    <row r="636" spans="1:97" ht="12.95" customHeight="1" thickBot="1">
      <c r="A636" s="3"/>
      <c r="B636" t="s">
        <v>908</v>
      </c>
      <c r="G636" s="1184" t="s">
        <v>1400</v>
      </c>
      <c r="H636" s="1181"/>
      <c r="I636" s="1181"/>
      <c r="J636" s="1181"/>
      <c r="K636" s="1181"/>
      <c r="L636" s="1181"/>
      <c r="M636" s="1181"/>
      <c r="N636" s="1181"/>
      <c r="O636" s="1181"/>
      <c r="P636" s="1181"/>
      <c r="Q636" s="1181"/>
      <c r="R636" s="1181"/>
      <c r="T636" s="3"/>
      <c r="U636" t="s">
        <v>908</v>
      </c>
      <c r="Z636" s="1179" t="s">
        <v>1401</v>
      </c>
      <c r="AA636" s="1183"/>
      <c r="AB636" s="1183"/>
      <c r="AC636" s="1183"/>
      <c r="AD636" s="1183"/>
      <c r="AE636" s="1183"/>
      <c r="AF636" s="1183"/>
      <c r="AG636" s="1183"/>
      <c r="AH636" s="1183"/>
      <c r="AI636" s="1183"/>
      <c r="AJ636" s="1183"/>
      <c r="AK636" s="1183"/>
      <c r="AM636" s="33"/>
      <c r="AN636" s="33"/>
      <c r="AO636" s="33"/>
      <c r="AP636" s="33"/>
      <c r="AQ636" s="33"/>
      <c r="AR636" s="33"/>
      <c r="AS636" s="33"/>
      <c r="AT636" s="33"/>
      <c r="AU636" s="33"/>
      <c r="AV636" s="33"/>
      <c r="AW636" s="33"/>
      <c r="AX636" s="33"/>
      <c r="AY636" s="33"/>
      <c r="AZ636" s="33"/>
      <c r="CP636" s="836" t="s">
        <v>1457</v>
      </c>
      <c r="CQ636" s="339">
        <f>CQ634+CQ615</f>
        <v>75</v>
      </c>
      <c r="CR636" s="33"/>
      <c r="CS636" s="33"/>
    </row>
    <row r="637" spans="1:97" ht="12.95" customHeight="1">
      <c r="A637" s="3"/>
      <c r="B637" t="s">
        <v>1402</v>
      </c>
      <c r="G637" s="1184" t="s">
        <v>1403</v>
      </c>
      <c r="H637" s="1181"/>
      <c r="I637" s="1181"/>
      <c r="J637" s="1181"/>
      <c r="K637" s="1181"/>
      <c r="L637" s="1181"/>
      <c r="M637" s="1181"/>
      <c r="N637" s="1181"/>
      <c r="O637" s="1181"/>
      <c r="P637" s="1181"/>
      <c r="Q637" s="1181"/>
      <c r="R637" s="1181"/>
      <c r="S637" s="11"/>
      <c r="T637" s="3"/>
      <c r="U637" t="s">
        <v>1402</v>
      </c>
      <c r="Z637" s="1179" t="s">
        <v>1458</v>
      </c>
      <c r="AA637" s="1183"/>
      <c r="AB637" s="1183"/>
      <c r="AC637" s="1183"/>
      <c r="AD637" s="1183"/>
      <c r="AE637" s="1183"/>
      <c r="AF637" s="1183"/>
      <c r="AG637" s="1183"/>
      <c r="AH637" s="1183"/>
      <c r="AI637" s="1183"/>
      <c r="AJ637" s="1183"/>
      <c r="AK637" s="1183"/>
      <c r="AM637" s="33"/>
      <c r="AN637" s="33"/>
      <c r="AO637" s="33"/>
      <c r="AP637" s="33"/>
      <c r="AQ637" s="33"/>
      <c r="AR637" s="33"/>
      <c r="AS637" s="33"/>
      <c r="AT637" s="33"/>
      <c r="AU637" s="33"/>
      <c r="AV637" s="33"/>
      <c r="AW637" s="33"/>
      <c r="AX637" s="33"/>
      <c r="AY637" s="33"/>
      <c r="AZ637" s="33"/>
      <c r="BN637" s="33" t="s">
        <v>1459</v>
      </c>
      <c r="BO637" s="33"/>
      <c r="BP637" s="33"/>
      <c r="BQ637" s="33"/>
      <c r="BR637" s="33"/>
      <c r="BS637" s="33"/>
      <c r="BT637" s="33"/>
      <c r="BU637" s="33"/>
      <c r="BV637" s="33"/>
      <c r="BW637" s="33"/>
      <c r="BX637" s="33"/>
      <c r="BY637" s="33"/>
      <c r="BZ637" s="33"/>
      <c r="CA637" s="33"/>
      <c r="CB637" s="33"/>
      <c r="CC637" s="33"/>
      <c r="CD637" s="33"/>
      <c r="CE637" s="33"/>
      <c r="CF637" s="33"/>
      <c r="CG637" s="33"/>
      <c r="CH637" s="33"/>
      <c r="CI637" s="33"/>
      <c r="CJ637" s="33"/>
      <c r="CK637" s="33"/>
      <c r="CL637" s="33"/>
      <c r="CM637" s="33"/>
      <c r="CN637" s="33"/>
      <c r="CO637" s="33"/>
      <c r="CP637" s="33"/>
      <c r="CQ637" s="33"/>
      <c r="CR637" s="33"/>
      <c r="CS637" s="33"/>
    </row>
    <row r="638" spans="1:97" ht="12.95" customHeight="1">
      <c r="A638" s="3"/>
      <c r="B638" t="s">
        <v>824</v>
      </c>
      <c r="G638" s="1182" t="s">
        <v>1405</v>
      </c>
      <c r="H638" s="1182"/>
      <c r="I638" s="1182"/>
      <c r="J638" s="1182"/>
      <c r="K638" s="1182"/>
      <c r="L638" s="1182"/>
      <c r="O638" s="722" t="s">
        <v>1058</v>
      </c>
      <c r="P638" s="1179"/>
      <c r="Q638" s="1179"/>
      <c r="R638" s="1179"/>
      <c r="S638" s="13"/>
      <c r="T638" s="3"/>
      <c r="U638" t="s">
        <v>824</v>
      </c>
      <c r="Z638" s="1182" t="s">
        <v>1406</v>
      </c>
      <c r="AA638" s="1182"/>
      <c r="AB638" s="1182"/>
      <c r="AC638" s="1182"/>
      <c r="AD638" s="1182"/>
      <c r="AE638" s="1182"/>
      <c r="AH638" s="722" t="s">
        <v>1058</v>
      </c>
      <c r="AI638" s="1179"/>
      <c r="AJ638" s="1179"/>
      <c r="AK638" s="1179"/>
      <c r="AM638" s="33"/>
      <c r="AN638" s="33"/>
      <c r="AO638" s="33"/>
      <c r="AP638" s="33"/>
      <c r="AQ638" s="33"/>
      <c r="AR638" s="33"/>
      <c r="AS638" s="33"/>
      <c r="AT638" s="33"/>
      <c r="AU638" s="33"/>
      <c r="AV638" s="33"/>
      <c r="AW638" s="33"/>
      <c r="AX638" s="33"/>
      <c r="AY638" s="33"/>
      <c r="AZ638" s="33"/>
      <c r="BN638" s="1194">
        <f>BN613+BN620+BN632</f>
        <v>0</v>
      </c>
      <c r="BO638" s="1195"/>
      <c r="BP638" s="1195"/>
      <c r="BQ638" s="1195"/>
      <c r="BR638" s="1196"/>
      <c r="BS638" s="1194">
        <f>BS613+BS620+BS632</f>
        <v>21</v>
      </c>
      <c r="BT638" s="1195"/>
      <c r="BU638" s="1195"/>
      <c r="BV638" s="1195"/>
      <c r="BW638" s="1196"/>
      <c r="BX638" s="1194">
        <f>BX613+BX620+BX632</f>
        <v>10</v>
      </c>
      <c r="BY638" s="1195"/>
      <c r="BZ638" s="1195"/>
      <c r="CA638" s="1195"/>
      <c r="CB638" s="1196"/>
      <c r="CC638" s="1194">
        <f>CC613+CC620+CC632</f>
        <v>12</v>
      </c>
      <c r="CD638" s="1195"/>
      <c r="CE638" s="1195"/>
      <c r="CF638" s="1195"/>
      <c r="CG638" s="1196"/>
      <c r="CH638" s="1194">
        <f>CH613+CH620+CH632</f>
        <v>0</v>
      </c>
      <c r="CI638" s="1195"/>
      <c r="CJ638" s="1195"/>
      <c r="CK638" s="1195"/>
      <c r="CL638" s="1196"/>
      <c r="CM638" s="1194">
        <f>CM632+CM620+CM613</f>
        <v>0</v>
      </c>
      <c r="CN638" s="1195"/>
      <c r="CO638" s="1195"/>
      <c r="CP638" s="1195"/>
      <c r="CQ638" s="1196"/>
      <c r="CR638" s="33"/>
      <c r="CS638" s="33"/>
    </row>
    <row r="639" spans="1:97" ht="12.95" customHeight="1">
      <c r="A639" s="3"/>
      <c r="B639" t="s">
        <v>1407</v>
      </c>
      <c r="H639" s="1181" t="s">
        <v>1445</v>
      </c>
      <c r="I639" s="1181"/>
      <c r="J639" s="1181"/>
      <c r="K639" s="1181"/>
      <c r="L639" s="1181"/>
      <c r="M639" s="1181"/>
      <c r="N639" s="1181"/>
      <c r="O639" s="1181"/>
      <c r="P639" s="1181"/>
      <c r="Q639" s="1181"/>
      <c r="R639" s="1181"/>
      <c r="S639" s="11"/>
      <c r="T639" s="3"/>
      <c r="U639" t="s">
        <v>1407</v>
      </c>
      <c r="AA639" s="1181" t="s">
        <v>1409</v>
      </c>
      <c r="AB639" s="1181"/>
      <c r="AC639" s="1181"/>
      <c r="AD639" s="1181"/>
      <c r="AE639" s="1181"/>
      <c r="AF639" s="1181"/>
      <c r="AG639" s="1181"/>
      <c r="AH639" s="1181"/>
      <c r="AI639" s="1181"/>
      <c r="AJ639" s="1181"/>
      <c r="AK639" s="1181"/>
      <c r="AM639" s="33"/>
      <c r="AN639" s="33"/>
      <c r="AO639" s="33"/>
      <c r="AP639" s="33"/>
      <c r="AQ639" s="33"/>
      <c r="AR639" s="33"/>
      <c r="AS639" s="33"/>
      <c r="AT639" s="33"/>
      <c r="AU639" s="33"/>
      <c r="AV639" s="33"/>
      <c r="AW639" s="33"/>
      <c r="AX639" s="33"/>
      <c r="AY639" s="33"/>
      <c r="AZ639" s="33"/>
      <c r="CM639" s="33"/>
      <c r="CN639" s="33"/>
      <c r="CO639" s="33"/>
      <c r="CP639" s="33"/>
      <c r="CQ639" s="33"/>
      <c r="CR639" s="33"/>
      <c r="CS639" s="33"/>
    </row>
    <row r="640" spans="1:97" ht="12.95" customHeight="1">
      <c r="A640" s="33"/>
      <c r="B640" t="s">
        <v>1410</v>
      </c>
      <c r="N640" s="1180" t="s">
        <v>712</v>
      </c>
      <c r="O640" s="1180"/>
      <c r="T640" s="3"/>
      <c r="U640" t="s">
        <v>1410</v>
      </c>
      <c r="AG640" s="1180" t="s">
        <v>821</v>
      </c>
      <c r="AH640" s="1180"/>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c r="CA640" s="33"/>
      <c r="CB640" s="33"/>
      <c r="CC640" s="33"/>
      <c r="CD640" s="33"/>
      <c r="CE640" s="33"/>
      <c r="CF640" s="33"/>
      <c r="CG640" s="33"/>
      <c r="CH640" s="33"/>
      <c r="CI640" s="33"/>
      <c r="CJ640" s="33"/>
      <c r="CK640" s="33"/>
      <c r="CL640" s="33"/>
      <c r="CM640" s="33"/>
      <c r="CN640" s="33"/>
      <c r="CO640" s="33"/>
      <c r="CP640" s="33"/>
      <c r="CQ640" s="33"/>
      <c r="CR640" s="33"/>
      <c r="CS640" s="33"/>
    </row>
    <row r="641" spans="1:97" ht="12.95" customHeight="1">
      <c r="A641" s="3"/>
      <c r="T641" s="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c r="CA641" s="33"/>
      <c r="CB641" s="33"/>
      <c r="CC641" s="33"/>
      <c r="CD641" s="33"/>
      <c r="CE641" s="33"/>
      <c r="CF641" s="33"/>
      <c r="CG641" s="33"/>
      <c r="CH641" s="33"/>
      <c r="CI641" s="33"/>
      <c r="CJ641" s="33"/>
      <c r="CK641" s="33"/>
      <c r="CL641" s="33"/>
      <c r="CM641" s="33"/>
      <c r="CN641" s="33"/>
      <c r="CO641" s="33"/>
      <c r="CP641" s="33"/>
      <c r="CQ641" s="33"/>
      <c r="CR641" s="33"/>
      <c r="CS641" s="33"/>
    </row>
    <row r="642" spans="1:97" ht="12.95" customHeight="1">
      <c r="A642" s="43" t="s">
        <v>33</v>
      </c>
      <c r="B642" t="s">
        <v>1397</v>
      </c>
      <c r="G642" s="1076" t="str">
        <f>C620</f>
        <v>Contra Costa County HOME ARP</v>
      </c>
      <c r="H642" s="1076"/>
      <c r="I642" s="1076"/>
      <c r="J642" s="1076"/>
      <c r="K642" s="1076"/>
      <c r="L642" s="1076"/>
      <c r="M642" s="1076"/>
      <c r="N642" s="1076"/>
      <c r="O642" s="1076"/>
      <c r="P642" s="1076"/>
      <c r="Q642" s="1076"/>
      <c r="R642" s="1076"/>
      <c r="T642" s="43" t="s">
        <v>91</v>
      </c>
      <c r="U642" t="s">
        <v>1397</v>
      </c>
      <c r="Z642" s="1076" t="str">
        <f>C621</f>
        <v>Contra Costa County PLHA</v>
      </c>
      <c r="AA642" s="1076"/>
      <c r="AB642" s="1076"/>
      <c r="AC642" s="1076"/>
      <c r="AD642" s="1076"/>
      <c r="AE642" s="1076"/>
      <c r="AF642" s="1076"/>
      <c r="AG642" s="1076"/>
      <c r="AH642" s="1076"/>
      <c r="AI642" s="1076"/>
      <c r="AJ642" s="1076"/>
      <c r="AK642" s="1076"/>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c r="CA642" s="33"/>
      <c r="CB642" s="33"/>
      <c r="CC642" s="33"/>
      <c r="CD642" s="33"/>
      <c r="CE642" s="33"/>
      <c r="CF642" s="33"/>
      <c r="CG642" s="33"/>
      <c r="CH642" s="33"/>
      <c r="CI642" s="33"/>
      <c r="CJ642" s="33"/>
      <c r="CK642" s="33"/>
      <c r="CL642" s="33"/>
      <c r="CM642" s="33"/>
      <c r="CN642" s="33"/>
      <c r="CO642" s="33"/>
      <c r="CP642" s="33"/>
      <c r="CQ642" s="33"/>
      <c r="CR642" s="33"/>
      <c r="CS642" s="33"/>
    </row>
    <row r="643" spans="1:97" ht="12.95" customHeight="1">
      <c r="A643" s="3"/>
      <c r="B643" t="s">
        <v>1048</v>
      </c>
      <c r="G643" s="1184" t="s">
        <v>1399</v>
      </c>
      <c r="H643" s="1181"/>
      <c r="I643" s="1181"/>
      <c r="J643" s="1181"/>
      <c r="K643" s="1181"/>
      <c r="L643" s="1181"/>
      <c r="M643" s="1181"/>
      <c r="N643" s="1181"/>
      <c r="O643" s="1181"/>
      <c r="P643" s="1181"/>
      <c r="Q643" s="1181"/>
      <c r="R643" s="1181"/>
      <c r="T643" s="3"/>
      <c r="U643" t="s">
        <v>1048</v>
      </c>
      <c r="Z643" s="1184" t="s">
        <v>1399</v>
      </c>
      <c r="AA643" s="1181"/>
      <c r="AB643" s="1181"/>
      <c r="AC643" s="1181"/>
      <c r="AD643" s="1181"/>
      <c r="AE643" s="1181"/>
      <c r="AF643" s="1181"/>
      <c r="AG643" s="1181"/>
      <c r="AH643" s="1181"/>
      <c r="AI643" s="1181"/>
      <c r="AJ643" s="1181"/>
      <c r="AK643" s="1181"/>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c r="CA643" s="33"/>
      <c r="CB643" s="33"/>
      <c r="CC643" s="33"/>
      <c r="CD643" s="33"/>
      <c r="CE643" s="33"/>
      <c r="CF643" s="33"/>
      <c r="CG643" s="33"/>
      <c r="CH643" s="33"/>
      <c r="CI643" s="33"/>
      <c r="CJ643" s="33"/>
      <c r="CK643" s="33"/>
      <c r="CL643" s="33"/>
      <c r="CM643" s="33"/>
      <c r="CN643" s="33"/>
      <c r="CO643" s="33"/>
      <c r="CP643" s="33"/>
      <c r="CQ643" s="33"/>
      <c r="CR643" s="33"/>
      <c r="CS643" s="33"/>
    </row>
    <row r="644" spans="1:97" ht="12.95" customHeight="1">
      <c r="A644" s="3"/>
      <c r="B644" t="s">
        <v>908</v>
      </c>
      <c r="G644" s="1179" t="s">
        <v>1401</v>
      </c>
      <c r="H644" s="1183"/>
      <c r="I644" s="1183"/>
      <c r="J644" s="1183"/>
      <c r="K644" s="1183"/>
      <c r="L644" s="1183"/>
      <c r="M644" s="1183"/>
      <c r="N644" s="1183"/>
      <c r="O644" s="1183"/>
      <c r="P644" s="1183"/>
      <c r="Q644" s="1183"/>
      <c r="R644" s="1183"/>
      <c r="T644" s="3"/>
      <c r="U644" t="s">
        <v>908</v>
      </c>
      <c r="Z644" s="1179" t="s">
        <v>1401</v>
      </c>
      <c r="AA644" s="1183"/>
      <c r="AB644" s="1183"/>
      <c r="AC644" s="1183"/>
      <c r="AD644" s="1183"/>
      <c r="AE644" s="1183"/>
      <c r="AF644" s="1183"/>
      <c r="AG644" s="1183"/>
      <c r="AH644" s="1183"/>
      <c r="AI644" s="1183"/>
      <c r="AJ644" s="1183"/>
      <c r="AK644" s="1183"/>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c r="CA644" s="33"/>
      <c r="CB644" s="33"/>
      <c r="CC644" s="33"/>
      <c r="CD644" s="33"/>
      <c r="CE644" s="33"/>
      <c r="CF644" s="33"/>
      <c r="CG644" s="33"/>
      <c r="CH644" s="33"/>
      <c r="CI644" s="33"/>
      <c r="CJ644" s="33"/>
      <c r="CK644" s="33"/>
      <c r="CL644" s="33"/>
      <c r="CM644" s="33"/>
      <c r="CN644" s="33"/>
      <c r="CO644" s="33"/>
      <c r="CP644" s="33"/>
      <c r="CQ644" s="33"/>
      <c r="CR644" s="33"/>
      <c r="CS644" s="33"/>
    </row>
    <row r="645" spans="1:97" ht="12.95" customHeight="1">
      <c r="A645" s="3"/>
      <c r="B645" t="s">
        <v>1402</v>
      </c>
      <c r="G645" s="1179" t="s">
        <v>1458</v>
      </c>
      <c r="H645" s="1183"/>
      <c r="I645" s="1183"/>
      <c r="J645" s="1183"/>
      <c r="K645" s="1183"/>
      <c r="L645" s="1183"/>
      <c r="M645" s="1183"/>
      <c r="N645" s="1183"/>
      <c r="O645" s="1183"/>
      <c r="P645" s="1183"/>
      <c r="Q645" s="1183"/>
      <c r="R645" s="1183"/>
      <c r="T645" s="3"/>
      <c r="U645" t="s">
        <v>1402</v>
      </c>
      <c r="Z645" s="1179" t="s">
        <v>1458</v>
      </c>
      <c r="AA645" s="1183"/>
      <c r="AB645" s="1183"/>
      <c r="AC645" s="1183"/>
      <c r="AD645" s="1183"/>
      <c r="AE645" s="1183"/>
      <c r="AF645" s="1183"/>
      <c r="AG645" s="1183"/>
      <c r="AH645" s="1183"/>
      <c r="AI645" s="1183"/>
      <c r="AJ645" s="1183"/>
      <c r="AK645" s="118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c r="CA645" s="33"/>
      <c r="CB645" s="33"/>
      <c r="CC645" s="33"/>
      <c r="CD645" s="33"/>
      <c r="CE645" s="33"/>
      <c r="CF645" s="33"/>
      <c r="CG645" s="33"/>
      <c r="CH645" s="33"/>
      <c r="CI645" s="33"/>
      <c r="CJ645" s="33"/>
      <c r="CK645" s="33"/>
      <c r="CL645" s="33"/>
      <c r="CM645" s="33"/>
      <c r="CN645" s="33"/>
      <c r="CO645" s="33"/>
      <c r="CP645" s="33"/>
      <c r="CQ645" s="33"/>
      <c r="CR645" s="33"/>
      <c r="CS645" s="33"/>
    </row>
    <row r="646" spans="1:97" ht="12.95" customHeight="1">
      <c r="A646" s="3"/>
      <c r="B646" t="s">
        <v>824</v>
      </c>
      <c r="G646" s="1182" t="s">
        <v>1406</v>
      </c>
      <c r="H646" s="1182"/>
      <c r="I646" s="1182"/>
      <c r="J646" s="1182"/>
      <c r="K646" s="1182"/>
      <c r="L646" s="1182"/>
      <c r="O646" s="722" t="s">
        <v>1058</v>
      </c>
      <c r="P646" s="1179"/>
      <c r="Q646" s="1179"/>
      <c r="R646" s="1179"/>
      <c r="T646" s="3"/>
      <c r="U646" t="s">
        <v>824</v>
      </c>
      <c r="Z646" s="1182" t="s">
        <v>1406</v>
      </c>
      <c r="AA646" s="1182"/>
      <c r="AB646" s="1182"/>
      <c r="AC646" s="1182"/>
      <c r="AD646" s="1182"/>
      <c r="AE646" s="1182"/>
      <c r="AH646" s="722" t="s">
        <v>1058</v>
      </c>
      <c r="AI646" s="1179"/>
      <c r="AJ646" s="1179"/>
      <c r="AK646" s="1179"/>
      <c r="AL646" s="226"/>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row>
    <row r="647" spans="1:97" ht="12.95" customHeight="1">
      <c r="A647" s="3"/>
      <c r="B647" t="s">
        <v>1407</v>
      </c>
      <c r="H647" s="1181" t="s">
        <v>1409</v>
      </c>
      <c r="I647" s="1181"/>
      <c r="J647" s="1181"/>
      <c r="K647" s="1181"/>
      <c r="L647" s="1181"/>
      <c r="M647" s="1181"/>
      <c r="N647" s="1181"/>
      <c r="O647" s="1181"/>
      <c r="P647" s="1181"/>
      <c r="Q647" s="1181"/>
      <c r="R647" s="1181"/>
      <c r="T647" s="3"/>
      <c r="U647" t="s">
        <v>1407</v>
      </c>
      <c r="AA647" s="1181" t="s">
        <v>1409</v>
      </c>
      <c r="AB647" s="1181"/>
      <c r="AC647" s="1181"/>
      <c r="AD647" s="1181"/>
      <c r="AE647" s="1181"/>
      <c r="AF647" s="1181"/>
      <c r="AG647" s="1181"/>
      <c r="AH647" s="1181"/>
      <c r="AI647" s="1181"/>
      <c r="AJ647" s="1181"/>
      <c r="AK647" s="1181"/>
      <c r="AL647" s="226"/>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c r="CA647" s="33"/>
      <c r="CB647" s="33"/>
      <c r="CC647" s="33"/>
      <c r="CD647" s="33"/>
      <c r="CE647" s="33"/>
      <c r="CF647" s="33"/>
      <c r="CG647" s="33"/>
      <c r="CH647" s="33"/>
      <c r="CI647" s="33"/>
      <c r="CJ647" s="33"/>
      <c r="CK647" s="33"/>
      <c r="CL647" s="33"/>
      <c r="CM647" s="33"/>
      <c r="CN647" s="33"/>
      <c r="CO647" s="33"/>
      <c r="CP647" s="33"/>
      <c r="CQ647" s="33"/>
      <c r="CR647" s="33"/>
      <c r="CS647" s="33"/>
    </row>
    <row r="648" spans="1:97" ht="12.95" customHeight="1">
      <c r="B648" t="s">
        <v>1410</v>
      </c>
      <c r="N648" s="1180" t="s">
        <v>712</v>
      </c>
      <c r="O648" s="1180"/>
      <c r="T648" s="3"/>
      <c r="U648" t="s">
        <v>1410</v>
      </c>
      <c r="AG648" s="1180" t="s">
        <v>712</v>
      </c>
      <c r="AH648" s="1180"/>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c r="CA648" s="33"/>
      <c r="CB648" s="33"/>
      <c r="CC648" s="33"/>
      <c r="CD648" s="33"/>
      <c r="CE648" s="33"/>
      <c r="CF648" s="33"/>
      <c r="CG648" s="33"/>
      <c r="CH648" s="33"/>
      <c r="CI648" s="33"/>
      <c r="CJ648" s="33"/>
      <c r="CK648" s="33"/>
      <c r="CL648" s="33"/>
      <c r="CM648" s="33"/>
      <c r="CN648" s="33"/>
      <c r="CO648" s="33"/>
      <c r="CP648" s="33"/>
      <c r="CQ648" s="33"/>
      <c r="CR648" s="33"/>
      <c r="CS648" s="33"/>
    </row>
    <row r="649" spans="1:97" ht="12.95" customHeight="1">
      <c r="A649" s="3"/>
      <c r="T649" s="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c r="CM649" s="33"/>
      <c r="CN649" s="33"/>
      <c r="CO649" s="33"/>
      <c r="CP649" s="33"/>
      <c r="CQ649" s="33"/>
      <c r="CR649" s="33"/>
      <c r="CS649" s="33"/>
    </row>
    <row r="650" spans="1:97" ht="12.95" customHeight="1">
      <c r="A650" s="43" t="s">
        <v>95</v>
      </c>
      <c r="B650" t="s">
        <v>1397</v>
      </c>
      <c r="G650" s="1076" t="str">
        <f>C622</f>
        <v>Contra Costa County Measure X</v>
      </c>
      <c r="H650" s="1076"/>
      <c r="I650" s="1076"/>
      <c r="J650" s="1076"/>
      <c r="K650" s="1076"/>
      <c r="L650" s="1076"/>
      <c r="M650" s="1076"/>
      <c r="N650" s="1076"/>
      <c r="O650" s="1076"/>
      <c r="P650" s="1076"/>
      <c r="Q650" s="1076"/>
      <c r="R650" s="1076"/>
      <c r="T650" s="43" t="s">
        <v>1384</v>
      </c>
      <c r="U650" t="s">
        <v>1397</v>
      </c>
      <c r="Z650" s="1076" t="str">
        <f>C623</f>
        <v>City of Richmond</v>
      </c>
      <c r="AA650" s="1076"/>
      <c r="AB650" s="1076"/>
      <c r="AC650" s="1076"/>
      <c r="AD650" s="1076"/>
      <c r="AE650" s="1076"/>
      <c r="AF650" s="1076"/>
      <c r="AG650" s="1076"/>
      <c r="AH650" s="1076"/>
      <c r="AI650" s="1076"/>
      <c r="AJ650" s="1076"/>
      <c r="AK650" s="1076"/>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c r="CM650" s="33"/>
      <c r="CN650" s="33"/>
      <c r="CO650" s="33"/>
      <c r="CP650" s="33"/>
      <c r="CQ650" s="33"/>
      <c r="CR650" s="33"/>
      <c r="CS650" s="33"/>
    </row>
    <row r="651" spans="1:97" ht="12.95" customHeight="1">
      <c r="A651" s="3"/>
      <c r="B651" t="s">
        <v>1048</v>
      </c>
      <c r="G651" s="1184" t="s">
        <v>1399</v>
      </c>
      <c r="H651" s="1181"/>
      <c r="I651" s="1181"/>
      <c r="J651" s="1181"/>
      <c r="K651" s="1181"/>
      <c r="L651" s="1181"/>
      <c r="M651" s="1181"/>
      <c r="N651" s="1181"/>
      <c r="O651" s="1181"/>
      <c r="P651" s="1181"/>
      <c r="Q651" s="1181"/>
      <c r="R651" s="1181"/>
      <c r="T651" s="3"/>
      <c r="U651" t="s">
        <v>1048</v>
      </c>
      <c r="Z651" s="1184" t="s">
        <v>1411</v>
      </c>
      <c r="AA651" s="1181"/>
      <c r="AB651" s="1181"/>
      <c r="AC651" s="1181"/>
      <c r="AD651" s="1181"/>
      <c r="AE651" s="1181"/>
      <c r="AF651" s="1181"/>
      <c r="AG651" s="1181"/>
      <c r="AH651" s="1181"/>
      <c r="AI651" s="1181"/>
      <c r="AJ651" s="1181"/>
      <c r="AK651" s="1181"/>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c r="CM651" s="33"/>
      <c r="CN651" s="33"/>
      <c r="CO651" s="33"/>
      <c r="CP651" s="33"/>
      <c r="CQ651" s="33"/>
      <c r="CR651" s="33"/>
      <c r="CS651" s="33"/>
    </row>
    <row r="652" spans="1:97" ht="12.95" customHeight="1">
      <c r="A652" s="3"/>
      <c r="B652" t="s">
        <v>908</v>
      </c>
      <c r="G652" s="1184" t="s">
        <v>1401</v>
      </c>
      <c r="H652" s="1181"/>
      <c r="I652" s="1181"/>
      <c r="J652" s="1181"/>
      <c r="K652" s="1181"/>
      <c r="L652" s="1181"/>
      <c r="M652" s="1181"/>
      <c r="N652" s="1181"/>
      <c r="O652" s="1181"/>
      <c r="P652" s="1181"/>
      <c r="Q652" s="1181"/>
      <c r="R652" s="1181"/>
      <c r="T652" s="3"/>
      <c r="U652" t="s">
        <v>908</v>
      </c>
      <c r="Z652" s="1179" t="s">
        <v>1412</v>
      </c>
      <c r="AA652" s="1183"/>
      <c r="AB652" s="1183"/>
      <c r="AC652" s="1183"/>
      <c r="AD652" s="1183"/>
      <c r="AE652" s="1183"/>
      <c r="AF652" s="1183"/>
      <c r="AG652" s="1183"/>
      <c r="AH652" s="1183"/>
      <c r="AI652" s="1183"/>
      <c r="AJ652" s="1183"/>
      <c r="AK652" s="118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c r="CM652" s="33"/>
      <c r="CN652" s="33"/>
      <c r="CO652" s="33"/>
      <c r="CP652" s="33"/>
      <c r="CQ652" s="33"/>
      <c r="CR652" s="33"/>
      <c r="CS652" s="33"/>
    </row>
    <row r="653" spans="1:97" ht="12.95" customHeight="1">
      <c r="A653" s="3"/>
      <c r="B653" t="s">
        <v>1402</v>
      </c>
      <c r="G653" s="1184" t="s">
        <v>1458</v>
      </c>
      <c r="H653" s="1181"/>
      <c r="I653" s="1181"/>
      <c r="J653" s="1181"/>
      <c r="K653" s="1181"/>
      <c r="L653" s="1181"/>
      <c r="M653" s="1181"/>
      <c r="N653" s="1181"/>
      <c r="O653" s="1181"/>
      <c r="P653" s="1181"/>
      <c r="Q653" s="1181"/>
      <c r="R653" s="1181"/>
      <c r="T653" s="3"/>
      <c r="U653" t="s">
        <v>1402</v>
      </c>
      <c r="Z653" s="1179" t="s">
        <v>1413</v>
      </c>
      <c r="AA653" s="1183"/>
      <c r="AB653" s="1183"/>
      <c r="AC653" s="1183"/>
      <c r="AD653" s="1183"/>
      <c r="AE653" s="1183"/>
      <c r="AF653" s="1183"/>
      <c r="AG653" s="1183"/>
      <c r="AH653" s="1183"/>
      <c r="AI653" s="1183"/>
      <c r="AJ653" s="1183"/>
      <c r="AK653" s="118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c r="CM653" s="33"/>
      <c r="CN653" s="33"/>
      <c r="CO653" s="33"/>
      <c r="CP653" s="33"/>
      <c r="CQ653" s="33"/>
      <c r="CR653" s="33"/>
      <c r="CS653" s="33"/>
    </row>
    <row r="654" spans="1:97" ht="12.95" customHeight="1">
      <c r="A654" s="3"/>
      <c r="B654" t="s">
        <v>824</v>
      </c>
      <c r="G654" s="1182" t="s">
        <v>1406</v>
      </c>
      <c r="H654" s="1182"/>
      <c r="I654" s="1182"/>
      <c r="J654" s="1182"/>
      <c r="K654" s="1182"/>
      <c r="L654" s="1182"/>
      <c r="O654" s="722" t="s">
        <v>1058</v>
      </c>
      <c r="P654" s="1179"/>
      <c r="Q654" s="1179"/>
      <c r="R654" s="1179"/>
      <c r="T654" s="3"/>
      <c r="U654" t="s">
        <v>824</v>
      </c>
      <c r="Z654" s="1182" t="s">
        <v>1414</v>
      </c>
      <c r="AA654" s="1182"/>
      <c r="AB654" s="1182"/>
      <c r="AC654" s="1182"/>
      <c r="AD654" s="1182"/>
      <c r="AE654" s="1182"/>
      <c r="AH654" s="722" t="s">
        <v>1058</v>
      </c>
      <c r="AI654" s="1179"/>
      <c r="AJ654" s="1179"/>
      <c r="AK654" s="1179"/>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c r="CM654" s="33"/>
      <c r="CN654" s="33"/>
      <c r="CO654" s="33"/>
      <c r="CP654" s="33"/>
      <c r="CQ654" s="33"/>
      <c r="CR654" s="33"/>
      <c r="CS654" s="33"/>
    </row>
    <row r="655" spans="1:97" ht="12.95" customHeight="1">
      <c r="A655" s="3"/>
      <c r="B655" t="s">
        <v>1407</v>
      </c>
      <c r="H655" s="1181" t="s">
        <v>1409</v>
      </c>
      <c r="I655" s="1181"/>
      <c r="J655" s="1181"/>
      <c r="K655" s="1181"/>
      <c r="L655" s="1181"/>
      <c r="M655" s="1181"/>
      <c r="N655" s="1181"/>
      <c r="O655" s="1181"/>
      <c r="P655" s="1181"/>
      <c r="Q655" s="1181"/>
      <c r="R655" s="1181"/>
      <c r="T655" s="3"/>
      <c r="U655" t="s">
        <v>1407</v>
      </c>
      <c r="AA655" s="1181" t="s">
        <v>1415</v>
      </c>
      <c r="AB655" s="1181"/>
      <c r="AC655" s="1181"/>
      <c r="AD655" s="1181"/>
      <c r="AE655" s="1181"/>
      <c r="AF655" s="1181"/>
      <c r="AG655" s="1181"/>
      <c r="AH655" s="1181"/>
      <c r="AI655" s="1181"/>
      <c r="AJ655" s="1181"/>
      <c r="AK655" s="1181"/>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c r="CM655" s="33"/>
      <c r="CN655" s="33"/>
      <c r="CO655" s="33"/>
      <c r="CP655" s="33"/>
      <c r="CQ655" s="33"/>
      <c r="CR655" s="33"/>
      <c r="CS655" s="33"/>
    </row>
    <row r="656" spans="1:97" ht="12.95" customHeight="1">
      <c r="B656" t="s">
        <v>1410</v>
      </c>
      <c r="N656" s="1180" t="s">
        <v>712</v>
      </c>
      <c r="O656" s="1180"/>
      <c r="T656" s="3"/>
      <c r="U656" t="s">
        <v>1410</v>
      </c>
      <c r="AG656" s="1180" t="s">
        <v>712</v>
      </c>
      <c r="AH656" s="1180"/>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row>
    <row r="657" spans="1:97" ht="12.95" customHeight="1">
      <c r="A657" s="3"/>
      <c r="T657" s="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c r="CA657" s="33"/>
      <c r="CB657" s="33"/>
      <c r="CC657" s="33"/>
      <c r="CD657" s="33"/>
      <c r="CE657" s="33"/>
      <c r="CF657" s="33"/>
      <c r="CG657" s="33"/>
      <c r="CH657" s="33"/>
      <c r="CI657" s="33"/>
      <c r="CJ657" s="33"/>
      <c r="CK657" s="33"/>
      <c r="CL657" s="33"/>
      <c r="CM657" s="33"/>
      <c r="CN657" s="33"/>
      <c r="CO657" s="33"/>
      <c r="CP657" s="33"/>
      <c r="CQ657" s="33"/>
      <c r="CR657" s="33"/>
      <c r="CS657" s="33"/>
    </row>
    <row r="658" spans="1:97" ht="12.95" customHeight="1">
      <c r="A658" s="43" t="s">
        <v>1386</v>
      </c>
      <c r="B658" t="s">
        <v>1397</v>
      </c>
      <c r="G658" s="1076" t="str">
        <f>C624</f>
        <v>City of Richmond Grant</v>
      </c>
      <c r="H658" s="1076"/>
      <c r="I658" s="1076"/>
      <c r="J658" s="1076"/>
      <c r="K658" s="1076"/>
      <c r="L658" s="1076"/>
      <c r="M658" s="1076"/>
      <c r="N658" s="1076"/>
      <c r="O658" s="1076"/>
      <c r="P658" s="1076"/>
      <c r="Q658" s="1076"/>
      <c r="R658" s="1076"/>
      <c r="T658" s="43" t="s">
        <v>1388</v>
      </c>
      <c r="U658" t="s">
        <v>1397</v>
      </c>
      <c r="Z658" s="1076" t="str">
        <f>C625</f>
        <v>DTSC</v>
      </c>
      <c r="AA658" s="1076"/>
      <c r="AB658" s="1076"/>
      <c r="AC658" s="1076"/>
      <c r="AD658" s="1076"/>
      <c r="AE658" s="1076"/>
      <c r="AF658" s="1076"/>
      <c r="AG658" s="1076"/>
      <c r="AH658" s="1076"/>
      <c r="AI658" s="1076"/>
      <c r="AJ658" s="1076"/>
      <c r="AK658" s="1076"/>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c r="CA658" s="33"/>
      <c r="CB658" s="33"/>
      <c r="CC658" s="33"/>
      <c r="CD658" s="33"/>
      <c r="CE658" s="33"/>
      <c r="CF658" s="33"/>
      <c r="CG658" s="33"/>
      <c r="CH658" s="33"/>
      <c r="CI658" s="33"/>
      <c r="CJ658" s="33"/>
      <c r="CK658" s="33"/>
      <c r="CL658" s="33"/>
      <c r="CM658" s="33"/>
      <c r="CN658" s="33"/>
      <c r="CO658" s="33"/>
      <c r="CP658" s="33"/>
      <c r="CQ658" s="33"/>
      <c r="CR658" s="33"/>
      <c r="CS658" s="33"/>
    </row>
    <row r="659" spans="1:97" ht="12.95" customHeight="1">
      <c r="A659" s="3"/>
      <c r="B659" t="s">
        <v>1048</v>
      </c>
      <c r="G659" s="1184" t="s">
        <v>1411</v>
      </c>
      <c r="H659" s="1181"/>
      <c r="I659" s="1181"/>
      <c r="J659" s="1181"/>
      <c r="K659" s="1181"/>
      <c r="L659" s="1181"/>
      <c r="M659" s="1181"/>
      <c r="N659" s="1181"/>
      <c r="O659" s="1181"/>
      <c r="P659" s="1181"/>
      <c r="Q659" s="1181"/>
      <c r="R659" s="1181"/>
      <c r="T659" s="3"/>
      <c r="U659" t="s">
        <v>1048</v>
      </c>
      <c r="Z659" s="1184" t="s">
        <v>1416</v>
      </c>
      <c r="AA659" s="1181"/>
      <c r="AB659" s="1181"/>
      <c r="AC659" s="1181"/>
      <c r="AD659" s="1181"/>
      <c r="AE659" s="1181"/>
      <c r="AF659" s="1181"/>
      <c r="AG659" s="1181"/>
      <c r="AH659" s="1181"/>
      <c r="AI659" s="1181"/>
      <c r="AJ659" s="1181"/>
      <c r="AK659" s="1181"/>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c r="CA659" s="33"/>
      <c r="CB659" s="33"/>
      <c r="CC659" s="33"/>
      <c r="CD659" s="33"/>
      <c r="CE659" s="33"/>
      <c r="CF659" s="33"/>
      <c r="CG659" s="33"/>
      <c r="CH659" s="33"/>
      <c r="CI659" s="33"/>
      <c r="CJ659" s="33"/>
      <c r="CK659" s="33"/>
      <c r="CL659" s="33"/>
      <c r="CM659" s="33"/>
      <c r="CN659" s="33"/>
      <c r="CO659" s="33"/>
      <c r="CP659" s="33"/>
      <c r="CQ659" s="33"/>
      <c r="CR659" s="33"/>
      <c r="CS659" s="33"/>
    </row>
    <row r="660" spans="1:97" ht="12.95" customHeight="1">
      <c r="A660" s="3"/>
      <c r="B660" t="s">
        <v>908</v>
      </c>
      <c r="G660" s="1184" t="s">
        <v>1412</v>
      </c>
      <c r="H660" s="1181"/>
      <c r="I660" s="1181"/>
      <c r="J660" s="1181"/>
      <c r="K660" s="1181"/>
      <c r="L660" s="1181"/>
      <c r="M660" s="1181"/>
      <c r="N660" s="1181"/>
      <c r="O660" s="1181"/>
      <c r="P660" s="1181"/>
      <c r="Q660" s="1181"/>
      <c r="R660" s="1181"/>
      <c r="T660" s="3"/>
      <c r="U660" t="s">
        <v>908</v>
      </c>
      <c r="Z660" s="1179" t="s">
        <v>1417</v>
      </c>
      <c r="AA660" s="1183"/>
      <c r="AB660" s="1183"/>
      <c r="AC660" s="1183"/>
      <c r="AD660" s="1183"/>
      <c r="AE660" s="1183"/>
      <c r="AF660" s="1183"/>
      <c r="AG660" s="1183"/>
      <c r="AH660" s="1183"/>
      <c r="AI660" s="1183"/>
      <c r="AJ660" s="1183"/>
      <c r="AK660" s="1183"/>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c r="CA660" s="33"/>
      <c r="CB660" s="33"/>
      <c r="CC660" s="33"/>
      <c r="CD660" s="33"/>
      <c r="CE660" s="33"/>
      <c r="CF660" s="33"/>
      <c r="CG660" s="33"/>
      <c r="CH660" s="33"/>
      <c r="CI660" s="33"/>
      <c r="CJ660" s="33"/>
      <c r="CK660" s="33"/>
      <c r="CL660" s="33"/>
      <c r="CM660" s="33"/>
      <c r="CN660" s="33"/>
      <c r="CO660" s="33"/>
      <c r="CP660" s="33"/>
      <c r="CQ660" s="33"/>
      <c r="CR660" s="33"/>
      <c r="CS660" s="33"/>
    </row>
    <row r="661" spans="1:97" ht="12.95" customHeight="1">
      <c r="A661" s="3"/>
      <c r="B661" t="s">
        <v>1402</v>
      </c>
      <c r="G661" s="1184" t="s">
        <v>1413</v>
      </c>
      <c r="H661" s="1181"/>
      <c r="I661" s="1181"/>
      <c r="J661" s="1181"/>
      <c r="K661" s="1181"/>
      <c r="L661" s="1181"/>
      <c r="M661" s="1181"/>
      <c r="N661" s="1181"/>
      <c r="O661" s="1181"/>
      <c r="P661" s="1181"/>
      <c r="Q661" s="1181"/>
      <c r="R661" s="1181"/>
      <c r="T661" s="3"/>
      <c r="U661" t="s">
        <v>1402</v>
      </c>
      <c r="Z661" s="1179" t="s">
        <v>1419</v>
      </c>
      <c r="AA661" s="1183"/>
      <c r="AB661" s="1183"/>
      <c r="AC661" s="1183"/>
      <c r="AD661" s="1183"/>
      <c r="AE661" s="1183"/>
      <c r="AF661" s="1183"/>
      <c r="AG661" s="1183"/>
      <c r="AH661" s="1183"/>
      <c r="AI661" s="1183"/>
      <c r="AJ661" s="1183"/>
      <c r="AK661" s="1183"/>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c r="CA661" s="33"/>
      <c r="CB661" s="33"/>
      <c r="CC661" s="33"/>
      <c r="CD661" s="33"/>
      <c r="CE661" s="33"/>
      <c r="CF661" s="33"/>
      <c r="CG661" s="33"/>
      <c r="CH661" s="33"/>
      <c r="CI661" s="33"/>
      <c r="CJ661" s="33"/>
      <c r="CK661" s="33"/>
      <c r="CL661" s="33"/>
      <c r="CM661" s="33"/>
      <c r="CN661" s="33"/>
      <c r="CO661" s="33"/>
      <c r="CP661" s="33"/>
      <c r="CQ661" s="33"/>
      <c r="CR661" s="33"/>
      <c r="CS661" s="33"/>
    </row>
    <row r="662" spans="1:97" ht="12.95" customHeight="1">
      <c r="A662" s="3"/>
      <c r="B662" t="s">
        <v>824</v>
      </c>
      <c r="G662" s="1182" t="s">
        <v>1414</v>
      </c>
      <c r="H662" s="1182"/>
      <c r="I662" s="1182"/>
      <c r="J662" s="1182"/>
      <c r="K662" s="1182"/>
      <c r="L662" s="1182"/>
      <c r="O662" s="722" t="s">
        <v>1058</v>
      </c>
      <c r="P662" s="1179"/>
      <c r="Q662" s="1179"/>
      <c r="R662" s="1179"/>
      <c r="T662" s="3"/>
      <c r="U662" t="s">
        <v>824</v>
      </c>
      <c r="Z662" s="1182" t="s">
        <v>1427</v>
      </c>
      <c r="AA662" s="1182"/>
      <c r="AB662" s="1182"/>
      <c r="AC662" s="1182"/>
      <c r="AD662" s="1182"/>
      <c r="AE662" s="1182"/>
      <c r="AH662" s="722" t="s">
        <v>1058</v>
      </c>
      <c r="AI662" s="1179"/>
      <c r="AJ662" s="1179"/>
      <c r="AK662" s="1179"/>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c r="CA662" s="33"/>
      <c r="CB662" s="33"/>
      <c r="CC662" s="33"/>
      <c r="CD662" s="33"/>
      <c r="CE662" s="33"/>
      <c r="CF662" s="33"/>
      <c r="CG662" s="33"/>
      <c r="CH662" s="33"/>
      <c r="CI662" s="33"/>
      <c r="CJ662" s="33"/>
      <c r="CK662" s="33"/>
      <c r="CL662" s="33"/>
      <c r="CM662" s="33"/>
      <c r="CN662" s="33"/>
      <c r="CO662" s="33"/>
      <c r="CP662" s="33"/>
      <c r="CQ662" s="33"/>
      <c r="CR662" s="33"/>
      <c r="CS662" s="33"/>
    </row>
    <row r="663" spans="1:97" ht="12.95" customHeight="1">
      <c r="A663" s="3"/>
      <c r="B663" t="s">
        <v>1407</v>
      </c>
      <c r="H663" s="1181" t="s">
        <v>1343</v>
      </c>
      <c r="I663" s="1181"/>
      <c r="J663" s="1181"/>
      <c r="K663" s="1181"/>
      <c r="L663" s="1181"/>
      <c r="M663" s="1181"/>
      <c r="N663" s="1181"/>
      <c r="O663" s="1181"/>
      <c r="P663" s="1181"/>
      <c r="Q663" s="1181"/>
      <c r="R663" s="1181"/>
      <c r="T663" s="3"/>
      <c r="U663" t="s">
        <v>1407</v>
      </c>
      <c r="AA663" s="1181" t="s">
        <v>1343</v>
      </c>
      <c r="AB663" s="1181"/>
      <c r="AC663" s="1181"/>
      <c r="AD663" s="1181"/>
      <c r="AE663" s="1181"/>
      <c r="AF663" s="1181"/>
      <c r="AG663" s="1181"/>
      <c r="AH663" s="1181"/>
      <c r="AI663" s="1181"/>
      <c r="AJ663" s="1181"/>
      <c r="AK663" s="1181"/>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c r="CA663" s="33"/>
      <c r="CB663" s="33"/>
      <c r="CC663" s="33"/>
      <c r="CD663" s="33"/>
      <c r="CE663" s="33"/>
      <c r="CF663" s="33"/>
      <c r="CG663" s="33"/>
      <c r="CH663" s="33"/>
      <c r="CI663" s="33"/>
      <c r="CJ663" s="33"/>
      <c r="CK663" s="33"/>
      <c r="CL663" s="33"/>
      <c r="CM663" s="33"/>
      <c r="CN663" s="33"/>
      <c r="CO663" s="33"/>
      <c r="CP663" s="33"/>
      <c r="CQ663" s="33"/>
      <c r="CR663" s="33"/>
      <c r="CS663" s="33"/>
    </row>
    <row r="664" spans="1:97" ht="12.95" customHeight="1">
      <c r="B664" t="s">
        <v>1410</v>
      </c>
      <c r="N664" s="1180" t="s">
        <v>712</v>
      </c>
      <c r="O664" s="1180"/>
      <c r="T664" s="3"/>
      <c r="U664" t="s">
        <v>1410</v>
      </c>
      <c r="AG664" s="1180" t="s">
        <v>712</v>
      </c>
      <c r="AH664" s="1180"/>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c r="CA664" s="33"/>
      <c r="CB664" s="33"/>
      <c r="CC664" s="33"/>
      <c r="CD664" s="33"/>
      <c r="CE664" s="33"/>
      <c r="CF664" s="33"/>
      <c r="CG664" s="33"/>
      <c r="CH664" s="33"/>
      <c r="CI664" s="33"/>
      <c r="CJ664" s="33"/>
      <c r="CK664" s="33"/>
      <c r="CL664" s="33"/>
      <c r="CM664" s="33"/>
      <c r="CN664" s="33"/>
      <c r="CO664" s="33"/>
      <c r="CP664" s="33"/>
      <c r="CQ664" s="33"/>
      <c r="CR664" s="33"/>
      <c r="CS664" s="33"/>
    </row>
    <row r="665" spans="1:97" ht="12.95" customHeight="1">
      <c r="A665" s="3"/>
      <c r="T665" s="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c r="CA665" s="33"/>
      <c r="CB665" s="33"/>
      <c r="CC665" s="33"/>
      <c r="CD665" s="33"/>
      <c r="CE665" s="33"/>
      <c r="CF665" s="33"/>
      <c r="CG665" s="33"/>
      <c r="CH665" s="33"/>
      <c r="CI665" s="33"/>
      <c r="CJ665" s="33"/>
      <c r="CK665" s="33"/>
      <c r="CL665" s="33"/>
      <c r="CM665" s="33"/>
      <c r="CN665" s="33"/>
      <c r="CO665" s="33"/>
      <c r="CP665" s="33"/>
      <c r="CQ665" s="33"/>
      <c r="CR665" s="33"/>
      <c r="CS665" s="33"/>
    </row>
    <row r="666" spans="1:97" ht="12.95" customHeight="1">
      <c r="A666" s="43" t="s">
        <v>1390</v>
      </c>
      <c r="B666" t="s">
        <v>1397</v>
      </c>
      <c r="G666" s="1076" t="str">
        <f>C626</f>
        <v>No Place Like Home</v>
      </c>
      <c r="H666" s="1076"/>
      <c r="I666" s="1076"/>
      <c r="J666" s="1076"/>
      <c r="K666" s="1076"/>
      <c r="L666" s="1076"/>
      <c r="M666" s="1076"/>
      <c r="N666" s="1076"/>
      <c r="O666" s="1076"/>
      <c r="P666" s="1076"/>
      <c r="Q666" s="1076"/>
      <c r="R666" s="1076"/>
      <c r="T666" s="43" t="s">
        <v>1392</v>
      </c>
      <c r="U666" t="s">
        <v>1397</v>
      </c>
      <c r="Z666" s="1076" t="str">
        <f>C627</f>
        <v>GP Equity</v>
      </c>
      <c r="AA666" s="1076"/>
      <c r="AB666" s="1076"/>
      <c r="AC666" s="1076"/>
      <c r="AD666" s="1076"/>
      <c r="AE666" s="1076"/>
      <c r="AF666" s="1076"/>
      <c r="AG666" s="1076"/>
      <c r="AH666" s="1076"/>
      <c r="AI666" s="1076"/>
      <c r="AJ666" s="1076"/>
      <c r="AK666" s="1076"/>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row>
    <row r="667" spans="1:97" ht="12.95" customHeight="1">
      <c r="A667" s="3"/>
      <c r="B667" t="s">
        <v>1048</v>
      </c>
      <c r="G667" s="1184" t="s">
        <v>1460</v>
      </c>
      <c r="H667" s="1181"/>
      <c r="I667" s="1181"/>
      <c r="J667" s="1181"/>
      <c r="K667" s="1181"/>
      <c r="L667" s="1181"/>
      <c r="M667" s="1181"/>
      <c r="N667" s="1181"/>
      <c r="O667" s="1181"/>
      <c r="P667" s="1181"/>
      <c r="Q667" s="1181"/>
      <c r="R667" s="1181"/>
      <c r="T667" s="3"/>
      <c r="U667" t="s">
        <v>1048</v>
      </c>
      <c r="Z667" s="1184" t="s">
        <v>1072</v>
      </c>
      <c r="AA667" s="1181"/>
      <c r="AB667" s="1181"/>
      <c r="AC667" s="1181"/>
      <c r="AD667" s="1181"/>
      <c r="AE667" s="1181"/>
      <c r="AF667" s="1181"/>
      <c r="AG667" s="1181"/>
      <c r="AH667" s="1181"/>
      <c r="AI667" s="1181"/>
      <c r="AJ667" s="1181"/>
      <c r="AK667" s="1181"/>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c r="CA667" s="33"/>
      <c r="CB667" s="33"/>
      <c r="CC667" s="33"/>
      <c r="CD667" s="33"/>
      <c r="CE667" s="33"/>
      <c r="CF667" s="33"/>
      <c r="CG667" s="33"/>
      <c r="CH667" s="33"/>
      <c r="CI667" s="33"/>
      <c r="CJ667" s="33"/>
      <c r="CK667" s="33"/>
      <c r="CL667" s="33"/>
      <c r="CM667" s="33"/>
      <c r="CN667" s="33"/>
      <c r="CO667" s="33"/>
      <c r="CP667" s="33"/>
      <c r="CQ667" s="33"/>
      <c r="CR667" s="33"/>
      <c r="CS667" s="33"/>
    </row>
    <row r="668" spans="1:97" ht="12.95" customHeight="1">
      <c r="A668" s="3"/>
      <c r="B668" t="s">
        <v>908</v>
      </c>
      <c r="G668" s="1184" t="s">
        <v>1461</v>
      </c>
      <c r="H668" s="1181"/>
      <c r="I668" s="1181"/>
      <c r="J668" s="1181"/>
      <c r="K668" s="1181"/>
      <c r="L668" s="1181"/>
      <c r="M668" s="1181"/>
      <c r="N668" s="1181"/>
      <c r="O668" s="1181"/>
      <c r="P668" s="1181"/>
      <c r="Q668" s="1181"/>
      <c r="R668" s="1181"/>
      <c r="T668" s="3"/>
      <c r="U668" t="s">
        <v>908</v>
      </c>
      <c r="Z668" s="1179" t="s">
        <v>1433</v>
      </c>
      <c r="AA668" s="1183"/>
      <c r="AB668" s="1183"/>
      <c r="AC668" s="1183"/>
      <c r="AD668" s="1183"/>
      <c r="AE668" s="1183"/>
      <c r="AF668" s="1183"/>
      <c r="AG668" s="1183"/>
      <c r="AH668" s="1183"/>
      <c r="AI668" s="1183"/>
      <c r="AJ668" s="1183"/>
      <c r="AK668" s="1183"/>
      <c r="AM668" s="33"/>
      <c r="BA668" s="33"/>
      <c r="BB668" s="33"/>
      <c r="BC668" s="33"/>
      <c r="BD668" s="33"/>
      <c r="BE668" s="33"/>
      <c r="BF668" s="33"/>
      <c r="BG668" s="33"/>
      <c r="BH668" s="33"/>
      <c r="BI668" s="33"/>
      <c r="BJ668" s="33"/>
      <c r="BK668" s="33"/>
      <c r="BL668" s="33"/>
      <c r="BM668" s="33"/>
      <c r="BN668" s="33"/>
      <c r="BO668" s="33"/>
      <c r="BP668" s="33"/>
      <c r="BQ668" s="33"/>
      <c r="BR668" s="33"/>
      <c r="BS668" s="33"/>
      <c r="BT668" s="33"/>
      <c r="BU668" s="33"/>
      <c r="BV668" s="33"/>
      <c r="BW668" s="33"/>
      <c r="BX668" s="33"/>
      <c r="BY668" s="33"/>
      <c r="BZ668" s="33"/>
      <c r="CA668" s="33"/>
      <c r="CB668" s="33"/>
      <c r="CC668" s="33"/>
      <c r="CD668" s="33"/>
      <c r="CE668" s="33"/>
      <c r="CF668" s="33"/>
      <c r="CG668" s="33"/>
      <c r="CH668" s="33"/>
      <c r="CI668" s="33"/>
      <c r="CJ668" s="33"/>
      <c r="CK668" s="33"/>
      <c r="CL668" s="33"/>
      <c r="CM668" s="33"/>
      <c r="CN668" s="33"/>
      <c r="CO668" s="33"/>
      <c r="CP668" s="33"/>
      <c r="CQ668" s="33"/>
      <c r="CR668" s="33"/>
      <c r="CS668" s="33"/>
    </row>
    <row r="669" spans="1:97" ht="12.95" customHeight="1">
      <c r="A669" s="3"/>
      <c r="B669" t="s">
        <v>1402</v>
      </c>
      <c r="G669" s="1184" t="s">
        <v>1462</v>
      </c>
      <c r="H669" s="1181"/>
      <c r="I669" s="1181"/>
      <c r="J669" s="1181"/>
      <c r="K669" s="1181"/>
      <c r="L669" s="1181"/>
      <c r="M669" s="1181"/>
      <c r="N669" s="1181"/>
      <c r="O669" s="1181"/>
      <c r="P669" s="1181"/>
      <c r="Q669" s="1181"/>
      <c r="R669" s="1181"/>
      <c r="T669" s="3"/>
      <c r="U669" t="s">
        <v>1402</v>
      </c>
      <c r="Z669" s="1179" t="s">
        <v>797</v>
      </c>
      <c r="AA669" s="1183"/>
      <c r="AB669" s="1183"/>
      <c r="AC669" s="1183"/>
      <c r="AD669" s="1183"/>
      <c r="AE669" s="1183"/>
      <c r="AF669" s="1183"/>
      <c r="AG669" s="1183"/>
      <c r="AH669" s="1183"/>
      <c r="AI669" s="1183"/>
      <c r="AJ669" s="1183"/>
      <c r="AK669" s="1183"/>
      <c r="AM669" s="33"/>
      <c r="BA669" s="33"/>
      <c r="BB669" s="33"/>
      <c r="BC669" s="33"/>
      <c r="BD669" s="33"/>
      <c r="BE669" s="33"/>
      <c r="BF669" s="33"/>
      <c r="BG669" s="33"/>
      <c r="BH669" s="33"/>
      <c r="BI669" s="33"/>
      <c r="BJ669" s="33"/>
      <c r="BK669" s="33"/>
      <c r="BL669" s="33"/>
      <c r="BM669" s="33"/>
      <c r="BN669" s="33"/>
      <c r="BO669" s="33"/>
      <c r="BP669" s="33"/>
      <c r="BQ669" s="33"/>
      <c r="BR669" s="33"/>
      <c r="BS669" s="33"/>
      <c r="BT669" s="33"/>
      <c r="BU669" s="33"/>
      <c r="BV669" s="33"/>
      <c r="BW669" s="33"/>
      <c r="BX669" s="33"/>
      <c r="BY669" s="33"/>
      <c r="BZ669" s="33"/>
      <c r="CA669" s="33"/>
      <c r="CB669" s="33"/>
      <c r="CC669" s="33"/>
      <c r="CD669" s="33"/>
      <c r="CE669" s="33"/>
      <c r="CF669" s="33"/>
      <c r="CG669" s="33"/>
      <c r="CH669" s="33"/>
      <c r="CI669" s="33"/>
      <c r="CJ669" s="33"/>
      <c r="CK669" s="33"/>
      <c r="CL669" s="33"/>
      <c r="CM669" s="33"/>
      <c r="CN669" s="33"/>
      <c r="CO669" s="33"/>
      <c r="CP669" s="33"/>
      <c r="CQ669" s="33"/>
      <c r="CR669" s="33"/>
      <c r="CS669" s="33"/>
    </row>
    <row r="670" spans="1:97" ht="12.95" customHeight="1">
      <c r="A670" s="3"/>
      <c r="B670" t="s">
        <v>824</v>
      </c>
      <c r="G670" s="1182" t="s">
        <v>1463</v>
      </c>
      <c r="H670" s="1182"/>
      <c r="I670" s="1182"/>
      <c r="J670" s="1182"/>
      <c r="K670" s="1182"/>
      <c r="L670" s="1182"/>
      <c r="O670" s="722" t="s">
        <v>1058</v>
      </c>
      <c r="P670" s="1179"/>
      <c r="Q670" s="1179"/>
      <c r="R670" s="1179"/>
      <c r="T670" s="3"/>
      <c r="U670" t="s">
        <v>824</v>
      </c>
      <c r="Z670" s="1182" t="s">
        <v>1434</v>
      </c>
      <c r="AA670" s="1182"/>
      <c r="AB670" s="1182"/>
      <c r="AC670" s="1182"/>
      <c r="AD670" s="1182"/>
      <c r="AE670" s="1182"/>
      <c r="AH670" s="722" t="s">
        <v>1058</v>
      </c>
      <c r="AI670" s="1179"/>
      <c r="AJ670" s="1179"/>
      <c r="AK670" s="1179"/>
      <c r="AM670" s="33"/>
      <c r="BA670" s="33"/>
      <c r="BB670" s="33"/>
      <c r="BC670" s="33"/>
      <c r="BD670" s="33"/>
      <c r="BE670" s="33"/>
      <c r="BF670" s="33"/>
      <c r="BG670" s="33"/>
      <c r="BH670" s="33"/>
      <c r="BI670" s="33"/>
      <c r="BJ670" s="33"/>
      <c r="BK670" s="33"/>
      <c r="BL670" s="33"/>
      <c r="BM670" s="33"/>
      <c r="BN670" s="33"/>
      <c r="BO670" s="33"/>
      <c r="BP670" s="33"/>
      <c r="BQ670" s="33"/>
      <c r="BR670" s="33"/>
      <c r="BS670" s="33"/>
      <c r="BT670" s="33"/>
      <c r="BU670" s="33"/>
      <c r="BV670" s="33"/>
      <c r="BW670" s="33"/>
      <c r="BX670" s="33"/>
      <c r="BY670" s="33"/>
      <c r="BZ670" s="33"/>
      <c r="CA670" s="33"/>
      <c r="CB670" s="33"/>
      <c r="CC670" s="33"/>
      <c r="CD670" s="33"/>
      <c r="CE670" s="33"/>
      <c r="CF670" s="33"/>
      <c r="CG670" s="33"/>
      <c r="CH670" s="33"/>
      <c r="CI670" s="33"/>
      <c r="CJ670" s="33"/>
      <c r="CK670" s="33"/>
      <c r="CL670" s="33"/>
      <c r="CM670" s="33"/>
      <c r="CN670" s="33"/>
      <c r="CO670" s="33"/>
      <c r="CP670" s="33"/>
      <c r="CQ670" s="33"/>
      <c r="CR670" s="33"/>
      <c r="CS670" s="33"/>
    </row>
    <row r="671" spans="1:97" ht="12.95" customHeight="1">
      <c r="A671" s="3"/>
      <c r="B671" t="s">
        <v>1407</v>
      </c>
      <c r="H671" s="1181" t="s">
        <v>1415</v>
      </c>
      <c r="I671" s="1181"/>
      <c r="J671" s="1181"/>
      <c r="K671" s="1181"/>
      <c r="L671" s="1181"/>
      <c r="M671" s="1181"/>
      <c r="N671" s="1181"/>
      <c r="O671" s="1181"/>
      <c r="P671" s="1181"/>
      <c r="Q671" s="1181"/>
      <c r="R671" s="1181"/>
      <c r="T671" s="3"/>
      <c r="U671" t="s">
        <v>1407</v>
      </c>
      <c r="AA671" s="1181" t="s">
        <v>1391</v>
      </c>
      <c r="AB671" s="1181"/>
      <c r="AC671" s="1181"/>
      <c r="AD671" s="1181"/>
      <c r="AE671" s="1181"/>
      <c r="AF671" s="1181"/>
      <c r="AG671" s="1181"/>
      <c r="AH671" s="1181"/>
      <c r="AI671" s="1181"/>
      <c r="AJ671" s="1181"/>
      <c r="AK671" s="1181"/>
      <c r="AM671" s="33"/>
      <c r="BA671" s="33"/>
      <c r="BB671" s="33"/>
      <c r="BC671" s="33"/>
      <c r="BD671" s="33"/>
      <c r="BE671" s="33"/>
      <c r="BF671" s="33"/>
      <c r="BG671" s="33"/>
      <c r="BH671" s="33"/>
      <c r="BI671" s="33"/>
      <c r="BJ671" s="33"/>
      <c r="BK671" s="33"/>
      <c r="BL671" s="33"/>
      <c r="BM671" s="33"/>
      <c r="BN671" s="33"/>
      <c r="BO671" s="33"/>
      <c r="BP671" s="331" t="s">
        <v>1464</v>
      </c>
      <c r="BQ671" s="232"/>
      <c r="BR671" s="232"/>
      <c r="BS671" s="232"/>
      <c r="BT671" s="232"/>
      <c r="BU671" s="232"/>
      <c r="BV671" s="232"/>
      <c r="BW671" s="232"/>
      <c r="BX671" s="33"/>
      <c r="BY671" s="33"/>
      <c r="BZ671" s="33"/>
      <c r="CA671" s="33"/>
      <c r="CB671" s="33"/>
      <c r="CC671" s="33"/>
      <c r="CD671" s="33"/>
      <c r="CE671" s="33"/>
      <c r="CF671" s="33"/>
      <c r="CG671" s="33"/>
      <c r="CH671" s="33"/>
      <c r="CI671" s="33"/>
      <c r="CJ671" s="33"/>
      <c r="CK671" s="33"/>
      <c r="CL671" s="33"/>
      <c r="CM671" s="33"/>
      <c r="CN671" s="33"/>
      <c r="CO671" s="33"/>
      <c r="CP671" s="33"/>
      <c r="CQ671" s="33"/>
      <c r="CR671" s="33"/>
      <c r="CS671" s="33"/>
    </row>
    <row r="672" spans="1:97" ht="12.95" customHeight="1">
      <c r="B672" t="s">
        <v>1410</v>
      </c>
      <c r="N672" s="1180" t="s">
        <v>712</v>
      </c>
      <c r="O672" s="1180"/>
      <c r="T672" s="3"/>
      <c r="U672" t="s">
        <v>1410</v>
      </c>
      <c r="AG672" s="1180" t="s">
        <v>712</v>
      </c>
      <c r="AH672" s="1180"/>
      <c r="AM672" s="33"/>
      <c r="BA672" s="33"/>
      <c r="BB672" s="33"/>
      <c r="BC672" s="33"/>
      <c r="BD672" s="33"/>
      <c r="BE672" s="33"/>
      <c r="BF672" s="33"/>
      <c r="BG672" s="33"/>
      <c r="BH672" s="33"/>
      <c r="BI672" s="33"/>
      <c r="BJ672" s="33"/>
      <c r="BK672" s="33"/>
      <c r="BL672" s="33"/>
      <c r="BM672" s="33"/>
      <c r="BN672" s="33"/>
      <c r="BO672" s="33"/>
      <c r="BP672" s="332" t="s">
        <v>307</v>
      </c>
      <c r="BQ672" s="232"/>
      <c r="BR672" s="232"/>
      <c r="BS672" s="232"/>
      <c r="BT672" s="232"/>
      <c r="BU672" s="232"/>
      <c r="BV672" s="232"/>
      <c r="BW672" s="232"/>
      <c r="BX672" s="33"/>
      <c r="BY672" s="33"/>
      <c r="BZ672" s="33"/>
      <c r="CA672" s="33"/>
      <c r="CB672" s="33"/>
      <c r="CC672" s="33"/>
      <c r="CD672" s="33"/>
      <c r="CE672" s="33"/>
      <c r="CF672" s="33"/>
      <c r="CG672" s="33"/>
      <c r="CH672" s="33"/>
      <c r="CI672" s="33"/>
      <c r="CJ672" s="33"/>
      <c r="CK672" s="33"/>
      <c r="CL672" s="33"/>
      <c r="CM672" s="33"/>
      <c r="CN672" s="33"/>
      <c r="CO672" s="33"/>
      <c r="CP672" s="33"/>
      <c r="CQ672" s="33"/>
    </row>
    <row r="673" spans="1:95" ht="12.95" customHeight="1">
      <c r="T673" s="3"/>
      <c r="AM673" s="33"/>
      <c r="BA673" s="33"/>
      <c r="BB673" s="33"/>
      <c r="BC673" s="33"/>
      <c r="BD673" s="33"/>
      <c r="BE673" s="33"/>
      <c r="BF673" s="33"/>
      <c r="BG673" s="33"/>
      <c r="BH673" s="33"/>
      <c r="BI673" s="33"/>
      <c r="BJ673" s="33"/>
      <c r="BK673" s="33"/>
      <c r="BL673" s="33"/>
      <c r="BM673" s="33"/>
      <c r="BN673" s="33"/>
      <c r="BO673" s="33"/>
      <c r="BP673" s="874"/>
      <c r="BQ673" s="875"/>
      <c r="BR673" s="876"/>
      <c r="BS673" s="876"/>
      <c r="BT673" s="876"/>
      <c r="BU673" s="876"/>
      <c r="BV673" s="876"/>
      <c r="BW673" s="876"/>
      <c r="BX673" s="33"/>
      <c r="BY673" s="33"/>
      <c r="BZ673" s="33"/>
      <c r="CA673" s="33"/>
      <c r="CB673" s="33"/>
      <c r="CC673" s="33"/>
      <c r="CD673" s="33"/>
      <c r="CE673" s="33"/>
      <c r="CF673" s="33"/>
      <c r="CG673" s="33"/>
      <c r="CH673" s="33"/>
      <c r="CI673" s="33"/>
      <c r="CJ673" s="33"/>
      <c r="CK673" s="33"/>
      <c r="CL673" s="33"/>
      <c r="CM673" s="33"/>
      <c r="CN673" s="33"/>
      <c r="CO673" s="33"/>
      <c r="CP673" s="33"/>
      <c r="CQ673" s="33"/>
    </row>
    <row r="674" spans="1:95" ht="12.95" customHeight="1">
      <c r="A674" s="43" t="s">
        <v>1394</v>
      </c>
      <c r="B674" t="s">
        <v>1397</v>
      </c>
      <c r="G674" s="1076">
        <f>C628</f>
        <v>0</v>
      </c>
      <c r="H674" s="1076"/>
      <c r="I674" s="1076"/>
      <c r="J674" s="1076"/>
      <c r="K674" s="1076"/>
      <c r="L674" s="1076"/>
      <c r="M674" s="1076"/>
      <c r="N674" s="1076"/>
      <c r="O674" s="1076"/>
      <c r="P674" s="1076"/>
      <c r="Q674" s="1076"/>
      <c r="R674" s="1076"/>
      <c r="T674" s="43" t="s">
        <v>1395</v>
      </c>
      <c r="U674" t="s">
        <v>1397</v>
      </c>
      <c r="Z674" s="1076">
        <f>C629</f>
        <v>0</v>
      </c>
      <c r="AA674" s="1076"/>
      <c r="AB674" s="1076"/>
      <c r="AC674" s="1076"/>
      <c r="AD674" s="1076"/>
      <c r="AE674" s="1076"/>
      <c r="AF674" s="1076"/>
      <c r="AG674" s="1076"/>
      <c r="AH674" s="1076"/>
      <c r="AI674" s="1076"/>
      <c r="AJ674" s="1076"/>
      <c r="AK674" s="1076"/>
      <c r="AM674" s="33"/>
      <c r="BA674" s="200" t="s">
        <v>1465</v>
      </c>
      <c r="BB674" s="33"/>
      <c r="BC674" s="33"/>
      <c r="BD674" s="33"/>
      <c r="BE674" s="33"/>
      <c r="BF674" s="33"/>
      <c r="BG674" s="2" t="s">
        <v>1466</v>
      </c>
      <c r="BH674" s="33"/>
      <c r="BI674" s="33"/>
      <c r="BJ674" s="33"/>
      <c r="BK674" s="33"/>
      <c r="BL674" s="33"/>
      <c r="BM674" s="33"/>
      <c r="BN674" s="33"/>
      <c r="BO674" s="33"/>
      <c r="BP674" s="431" t="s">
        <v>1467</v>
      </c>
      <c r="BQ674" s="432" t="s">
        <v>1428</v>
      </c>
      <c r="BR674" s="432" t="s">
        <v>1421</v>
      </c>
      <c r="BS674" s="432" t="s">
        <v>1422</v>
      </c>
      <c r="BT674" s="432" t="s">
        <v>1423</v>
      </c>
      <c r="BU674" s="432" t="s">
        <v>1431</v>
      </c>
      <c r="BV674" s="432" t="s">
        <v>1425</v>
      </c>
      <c r="BX674" s="33"/>
      <c r="BY674" s="33"/>
      <c r="BZ674" s="33"/>
      <c r="CA674" s="33"/>
      <c r="CB674" s="33"/>
      <c r="CC674" s="33"/>
      <c r="CD674" s="33"/>
      <c r="CE674" s="33"/>
      <c r="CF674" s="33"/>
      <c r="CG674" s="33"/>
      <c r="CH674" s="33"/>
      <c r="CI674" s="33"/>
      <c r="CJ674" s="33"/>
      <c r="CK674" s="33"/>
      <c r="CL674" s="33"/>
      <c r="CM674" s="33"/>
      <c r="CN674" s="33"/>
      <c r="CO674" s="33"/>
      <c r="CP674" s="33"/>
      <c r="CQ674" s="33"/>
    </row>
    <row r="675" spans="1:95" ht="12.95" customHeight="1">
      <c r="B675" t="s">
        <v>1048</v>
      </c>
      <c r="G675" s="1181"/>
      <c r="H675" s="1181"/>
      <c r="I675" s="1181"/>
      <c r="J675" s="1181"/>
      <c r="K675" s="1181"/>
      <c r="L675" s="1181"/>
      <c r="M675" s="1181"/>
      <c r="N675" s="1181"/>
      <c r="O675" s="1181"/>
      <c r="P675" s="1181"/>
      <c r="Q675" s="1181"/>
      <c r="R675" s="1181"/>
      <c r="T675" s="3"/>
      <c r="U675" t="s">
        <v>1048</v>
      </c>
      <c r="Z675" s="1181"/>
      <c r="AA675" s="1181"/>
      <c r="AB675" s="1181"/>
      <c r="AC675" s="1181"/>
      <c r="AD675" s="1181"/>
      <c r="AE675" s="1181"/>
      <c r="AF675" s="1181"/>
      <c r="AG675" s="1181"/>
      <c r="AH675" s="1181"/>
      <c r="AI675" s="1181"/>
      <c r="AJ675" s="1181"/>
      <c r="AK675" s="1181"/>
      <c r="AM675" s="33"/>
      <c r="BA675" s="33">
        <f>IF($G692=0,"N/A",VLOOKUP($T$189,TC_Rent,(MATCH($B692,bedrooms,FALSE))))</f>
        <v>2774</v>
      </c>
      <c r="BB675" s="33"/>
      <c r="BC675" s="33"/>
      <c r="BD675" s="33"/>
      <c r="BE675" s="33"/>
      <c r="BF675" s="33"/>
      <c r="BG675" s="326" t="s">
        <v>1468</v>
      </c>
      <c r="BH675" s="335" t="s">
        <v>1469</v>
      </c>
      <c r="BI675" s="334" t="s">
        <v>1470</v>
      </c>
      <c r="BJ675" s="327"/>
      <c r="BK675" s="33"/>
      <c r="BL675" s="33"/>
      <c r="BM675" s="33"/>
      <c r="BN675" s="33"/>
      <c r="BO675" s="33"/>
      <c r="BP675" s="433" t="s">
        <v>807</v>
      </c>
      <c r="BQ675" s="434">
        <v>2590</v>
      </c>
      <c r="BR675" s="434">
        <v>2774</v>
      </c>
      <c r="BS675" s="434">
        <v>3330</v>
      </c>
      <c r="BT675" s="434">
        <v>3846</v>
      </c>
      <c r="BU675" s="434">
        <v>4290</v>
      </c>
      <c r="BV675" s="434">
        <v>4732</v>
      </c>
      <c r="BX675" s="33"/>
      <c r="BY675" s="33"/>
      <c r="BZ675" s="33"/>
      <c r="CA675" s="33"/>
      <c r="CB675" s="33"/>
      <c r="CC675" s="33"/>
      <c r="CD675" s="33"/>
      <c r="CE675" s="33"/>
      <c r="CF675" s="33"/>
      <c r="CG675" s="33"/>
      <c r="CH675" s="33"/>
      <c r="CI675" s="33"/>
      <c r="CJ675" s="33"/>
      <c r="CK675" s="33"/>
      <c r="CL675" s="33"/>
      <c r="CM675" s="33"/>
      <c r="CN675" s="33"/>
      <c r="CO675" s="33"/>
      <c r="CP675" s="33"/>
      <c r="CQ675" s="33"/>
    </row>
    <row r="676" spans="1:95" ht="12.95" customHeight="1">
      <c r="B676" t="s">
        <v>908</v>
      </c>
      <c r="G676" s="1181"/>
      <c r="H676" s="1181"/>
      <c r="I676" s="1181"/>
      <c r="J676" s="1181"/>
      <c r="K676" s="1181"/>
      <c r="L676" s="1181"/>
      <c r="M676" s="1181"/>
      <c r="N676" s="1181"/>
      <c r="O676" s="1181"/>
      <c r="P676" s="1181"/>
      <c r="Q676" s="1181"/>
      <c r="R676" s="1181"/>
      <c r="U676" t="s">
        <v>908</v>
      </c>
      <c r="Z676" s="1183"/>
      <c r="AA676" s="1183"/>
      <c r="AB676" s="1183"/>
      <c r="AC676" s="1183"/>
      <c r="AD676" s="1183"/>
      <c r="AE676" s="1183"/>
      <c r="AF676" s="1183"/>
      <c r="AG676" s="1183"/>
      <c r="AH676" s="1183"/>
      <c r="AI676" s="1183"/>
      <c r="AJ676" s="1183"/>
      <c r="AK676" s="1183"/>
      <c r="AM676" s="33"/>
      <c r="BA676" s="33">
        <f t="shared" ref="BA676:BA699" si="26">IF($G693=0,"N/A",VLOOKUP($T$189,TC_Rent,(MATCH($B693,bedrooms,FALSE))))</f>
        <v>2774</v>
      </c>
      <c r="BB676" s="33"/>
      <c r="BC676" s="33"/>
      <c r="BD676" s="33"/>
      <c r="BE676" s="33"/>
      <c r="BF676" s="33"/>
      <c r="BG676" s="877">
        <f>G692</f>
        <v>13</v>
      </c>
      <c r="BH676" s="878">
        <f>BG676/$BG$701</f>
        <v>0.30952380952380953</v>
      </c>
      <c r="BI676" s="879">
        <f>IF(BH676=0," ",BH676*AH692)</f>
        <v>9.285714285714286E-2</v>
      </c>
      <c r="BJ676" s="33"/>
      <c r="BK676" s="33"/>
      <c r="BL676" s="33"/>
      <c r="BM676" s="33"/>
      <c r="BN676" s="33"/>
      <c r="BO676" s="33"/>
      <c r="BP676" s="435" t="s">
        <v>811</v>
      </c>
      <c r="BQ676" s="434">
        <v>1682</v>
      </c>
      <c r="BR676" s="434">
        <v>1802</v>
      </c>
      <c r="BS676" s="434">
        <v>2162</v>
      </c>
      <c r="BT676" s="434">
        <v>2498</v>
      </c>
      <c r="BU676" s="434">
        <v>2786</v>
      </c>
      <c r="BV676" s="434">
        <v>3076</v>
      </c>
      <c r="BX676" s="33"/>
      <c r="BY676" s="33"/>
      <c r="BZ676" s="33"/>
      <c r="CA676" s="33"/>
      <c r="CB676" s="33"/>
      <c r="CC676" s="33"/>
      <c r="CD676" s="33"/>
      <c r="CE676" s="33"/>
      <c r="CF676" s="33"/>
      <c r="CG676" s="33"/>
      <c r="CH676" s="33"/>
      <c r="CI676" s="33"/>
      <c r="CJ676" s="33"/>
      <c r="CK676" s="33"/>
      <c r="CL676" s="33"/>
      <c r="CM676" s="33"/>
      <c r="CN676" s="33"/>
      <c r="CO676" s="33"/>
      <c r="CP676" s="33"/>
      <c r="CQ676" s="33"/>
    </row>
    <row r="677" spans="1:95" ht="12.95" customHeight="1">
      <c r="B677" t="s">
        <v>1402</v>
      </c>
      <c r="G677" s="1181"/>
      <c r="H677" s="1181"/>
      <c r="I677" s="1181"/>
      <c r="J677" s="1181"/>
      <c r="K677" s="1181"/>
      <c r="L677" s="1181"/>
      <c r="M677" s="1181"/>
      <c r="N677" s="1181"/>
      <c r="O677" s="1181"/>
      <c r="P677" s="1181"/>
      <c r="Q677" s="1181"/>
      <c r="R677" s="1181"/>
      <c r="U677" t="s">
        <v>1402</v>
      </c>
      <c r="Z677" s="1183"/>
      <c r="AA677" s="1183"/>
      <c r="AB677" s="1183"/>
      <c r="AC677" s="1183"/>
      <c r="AD677" s="1183"/>
      <c r="AE677" s="1183"/>
      <c r="AF677" s="1183"/>
      <c r="AG677" s="1183"/>
      <c r="AH677" s="1183"/>
      <c r="AI677" s="1183"/>
      <c r="AJ677" s="1183"/>
      <c r="AK677" s="1183"/>
      <c r="AM677" s="33"/>
      <c r="BA677" s="33">
        <f t="shared" si="26"/>
        <v>3330</v>
      </c>
      <c r="BB677" s="33"/>
      <c r="BC677" s="33"/>
      <c r="BD677" s="33"/>
      <c r="BE677" s="33"/>
      <c r="BF677" s="33"/>
      <c r="BG677" s="880">
        <f t="shared" ref="BG677:BG700" si="27">G693</f>
        <v>8</v>
      </c>
      <c r="BH677" s="878">
        <f t="shared" ref="BH677:BH700" si="28">BG677/$BG$701</f>
        <v>0.19047619047619047</v>
      </c>
      <c r="BI677" s="879">
        <f t="shared" ref="BI677:BI700" si="29">IF(BH677=0," ",BH677*AH693)</f>
        <v>9.5238095238095233E-2</v>
      </c>
      <c r="BJ677" s="33"/>
      <c r="BK677" s="33"/>
      <c r="BL677" s="33"/>
      <c r="BM677" s="33"/>
      <c r="BN677" s="33"/>
      <c r="BO677" s="33"/>
      <c r="BP677" s="435" t="s">
        <v>815</v>
      </c>
      <c r="BQ677" s="434">
        <v>1604</v>
      </c>
      <c r="BR677" s="434">
        <v>1720</v>
      </c>
      <c r="BS677" s="434">
        <v>2064</v>
      </c>
      <c r="BT677" s="434">
        <v>2384</v>
      </c>
      <c r="BU677" s="434">
        <v>2660</v>
      </c>
      <c r="BV677" s="434">
        <v>2936</v>
      </c>
      <c r="BX677" s="33"/>
      <c r="BY677" s="33"/>
      <c r="BZ677" s="33"/>
      <c r="CA677" s="33"/>
      <c r="CB677" s="33"/>
      <c r="CC677" s="33"/>
      <c r="CD677" s="33"/>
      <c r="CE677" s="33"/>
      <c r="CF677" s="33"/>
      <c r="CG677" s="33"/>
      <c r="CH677" s="33"/>
      <c r="CI677" s="33"/>
      <c r="CJ677" s="33"/>
      <c r="CK677" s="33"/>
      <c r="CL677" s="33"/>
      <c r="CM677" s="33"/>
      <c r="CN677" s="33"/>
      <c r="CO677" s="33"/>
      <c r="CP677" s="33"/>
      <c r="CQ677" s="33"/>
    </row>
    <row r="678" spans="1:95" ht="12.95" customHeight="1">
      <c r="B678" t="s">
        <v>824</v>
      </c>
      <c r="G678" s="1182"/>
      <c r="H678" s="1182"/>
      <c r="I678" s="1182"/>
      <c r="J678" s="1182"/>
      <c r="K678" s="1182"/>
      <c r="L678" s="1182"/>
      <c r="O678" s="722" t="s">
        <v>1058</v>
      </c>
      <c r="P678" s="1179"/>
      <c r="Q678" s="1179"/>
      <c r="R678" s="1179"/>
      <c r="U678" t="s">
        <v>824</v>
      </c>
      <c r="Z678" s="1182"/>
      <c r="AA678" s="1182"/>
      <c r="AB678" s="1182"/>
      <c r="AC678" s="1182"/>
      <c r="AD678" s="1182"/>
      <c r="AE678" s="1182"/>
      <c r="AH678" s="722" t="s">
        <v>1058</v>
      </c>
      <c r="AI678" s="1179"/>
      <c r="AJ678" s="1179"/>
      <c r="AK678" s="1179"/>
      <c r="AM678" s="33"/>
      <c r="BA678" s="33">
        <f t="shared" si="26"/>
        <v>3330</v>
      </c>
      <c r="BB678" s="33"/>
      <c r="BC678" s="33"/>
      <c r="BD678" s="33"/>
      <c r="BE678" s="33"/>
      <c r="BF678" s="33"/>
      <c r="BG678" s="880">
        <f t="shared" si="27"/>
        <v>1</v>
      </c>
      <c r="BH678" s="878">
        <f t="shared" si="28"/>
        <v>2.3809523809523808E-2</v>
      </c>
      <c r="BI678" s="879">
        <f t="shared" si="29"/>
        <v>7.1428571428571418E-3</v>
      </c>
      <c r="BJ678" s="33"/>
      <c r="BK678" s="33"/>
      <c r="BL678" s="33"/>
      <c r="BM678" s="33"/>
      <c r="BN678" s="33"/>
      <c r="BO678" s="33"/>
      <c r="BP678" s="435" t="s">
        <v>819</v>
      </c>
      <c r="BQ678" s="434">
        <v>1444</v>
      </c>
      <c r="BR678" s="434">
        <v>1546</v>
      </c>
      <c r="BS678" s="434">
        <v>1856</v>
      </c>
      <c r="BT678" s="434">
        <v>2144</v>
      </c>
      <c r="BU678" s="434">
        <v>2392</v>
      </c>
      <c r="BV678" s="434">
        <v>2640</v>
      </c>
      <c r="BX678" s="33"/>
      <c r="BY678" s="33"/>
      <c r="BZ678" s="33"/>
      <c r="CA678" s="33"/>
      <c r="CB678" s="33"/>
      <c r="CC678" s="33"/>
      <c r="CD678" s="33"/>
      <c r="CE678" s="33"/>
      <c r="CF678" s="33"/>
      <c r="CG678" s="33"/>
      <c r="CH678" s="33"/>
      <c r="CI678" s="33"/>
      <c r="CJ678" s="33"/>
      <c r="CK678" s="33"/>
      <c r="CL678" s="33"/>
      <c r="CM678" s="33"/>
      <c r="CN678" s="33"/>
      <c r="CO678" s="33"/>
      <c r="CP678" s="33"/>
      <c r="CQ678" s="33"/>
    </row>
    <row r="679" spans="1:95" ht="12.95" customHeight="1">
      <c r="B679" t="s">
        <v>1407</v>
      </c>
      <c r="H679" s="1181"/>
      <c r="I679" s="1181"/>
      <c r="J679" s="1181"/>
      <c r="K679" s="1181"/>
      <c r="L679" s="1181"/>
      <c r="M679" s="1181"/>
      <c r="N679" s="1181"/>
      <c r="O679" s="1181"/>
      <c r="P679" s="1181"/>
      <c r="Q679" s="1181"/>
      <c r="R679" s="1181"/>
      <c r="U679" t="s">
        <v>1407</v>
      </c>
      <c r="AA679" s="1181"/>
      <c r="AB679" s="1181"/>
      <c r="AC679" s="1181"/>
      <c r="AD679" s="1181"/>
      <c r="AE679" s="1181"/>
      <c r="AF679" s="1181"/>
      <c r="AG679" s="1181"/>
      <c r="AH679" s="1181"/>
      <c r="AI679" s="1181"/>
      <c r="AJ679" s="1181"/>
      <c r="AK679" s="1181"/>
      <c r="AM679" s="33"/>
      <c r="BA679" s="33">
        <f t="shared" si="26"/>
        <v>3846</v>
      </c>
      <c r="BB679" s="33"/>
      <c r="BC679" s="33"/>
      <c r="BD679" s="33"/>
      <c r="BE679" s="33"/>
      <c r="BF679" s="33"/>
      <c r="BG679" s="880">
        <f t="shared" si="27"/>
        <v>8</v>
      </c>
      <c r="BH679" s="878">
        <f t="shared" si="28"/>
        <v>0.19047619047619047</v>
      </c>
      <c r="BI679" s="879">
        <f t="shared" si="29"/>
        <v>0.11428571428571427</v>
      </c>
      <c r="BJ679" s="33"/>
      <c r="BK679" s="33"/>
      <c r="BL679" s="33"/>
      <c r="BM679" s="33"/>
      <c r="BN679" s="33"/>
      <c r="BO679" s="33"/>
      <c r="BP679" s="435" t="s">
        <v>823</v>
      </c>
      <c r="BQ679" s="434">
        <v>1670</v>
      </c>
      <c r="BR679" s="434">
        <v>1788</v>
      </c>
      <c r="BS679" s="434">
        <v>2144</v>
      </c>
      <c r="BT679" s="434">
        <v>2478</v>
      </c>
      <c r="BU679" s="434">
        <v>2764</v>
      </c>
      <c r="BV679" s="434">
        <v>3050</v>
      </c>
      <c r="BX679" s="33"/>
      <c r="BY679" s="33"/>
      <c r="BZ679" s="33"/>
      <c r="CA679" s="33"/>
      <c r="CB679" s="33"/>
      <c r="CC679" s="33"/>
      <c r="CD679" s="33"/>
      <c r="CE679" s="33"/>
      <c r="CF679" s="33"/>
      <c r="CG679" s="33"/>
      <c r="CH679" s="33"/>
      <c r="CI679" s="33"/>
      <c r="CJ679" s="33"/>
      <c r="CK679" s="33"/>
      <c r="CL679" s="33"/>
      <c r="CM679" s="33"/>
      <c r="CN679" s="33"/>
      <c r="CO679" s="33"/>
      <c r="CP679" s="33"/>
      <c r="CQ679" s="33"/>
    </row>
    <row r="680" spans="1:95" ht="12.95" customHeight="1">
      <c r="B680" t="s">
        <v>1410</v>
      </c>
      <c r="N680" s="1180" t="s">
        <v>821</v>
      </c>
      <c r="O680" s="1180"/>
      <c r="U680" t="s">
        <v>1410</v>
      </c>
      <c r="AG680" s="1180" t="s">
        <v>821</v>
      </c>
      <c r="AH680" s="1180"/>
      <c r="AM680" s="33"/>
      <c r="BA680" s="33">
        <f t="shared" si="26"/>
        <v>3846</v>
      </c>
      <c r="BB680" s="33"/>
      <c r="BC680" s="33"/>
      <c r="BD680" s="33"/>
      <c r="BE680" s="33"/>
      <c r="BF680" s="33"/>
      <c r="BG680" s="880">
        <f t="shared" si="27"/>
        <v>3</v>
      </c>
      <c r="BH680" s="878">
        <f t="shared" si="28"/>
        <v>7.1428571428571425E-2</v>
      </c>
      <c r="BI680" s="879">
        <f t="shared" si="29"/>
        <v>2.1428571428571425E-2</v>
      </c>
      <c r="BJ680" s="33"/>
      <c r="BK680" s="33"/>
      <c r="BL680" s="33"/>
      <c r="BM680" s="33"/>
      <c r="BN680" s="33"/>
      <c r="BO680" s="33"/>
      <c r="BP680" s="435" t="s">
        <v>828</v>
      </c>
      <c r="BQ680" s="434">
        <v>1444</v>
      </c>
      <c r="BR680" s="434">
        <v>1546</v>
      </c>
      <c r="BS680" s="434">
        <v>1856</v>
      </c>
      <c r="BT680" s="434">
        <v>2144</v>
      </c>
      <c r="BU680" s="434">
        <v>2392</v>
      </c>
      <c r="BV680" s="434">
        <v>2640</v>
      </c>
      <c r="BX680" s="33"/>
      <c r="BY680" s="33"/>
      <c r="BZ680" s="33"/>
      <c r="CA680" s="33"/>
      <c r="CB680" s="33"/>
      <c r="CC680" s="33"/>
      <c r="CD680" s="33"/>
      <c r="CE680" s="33"/>
      <c r="CF680" s="33"/>
      <c r="CG680" s="33"/>
      <c r="CH680" s="33"/>
      <c r="CI680" s="33"/>
      <c r="CJ680" s="33"/>
      <c r="CK680" s="33"/>
      <c r="CL680" s="33"/>
      <c r="CM680" s="33"/>
      <c r="CN680" s="33"/>
      <c r="CO680" s="33"/>
      <c r="CP680" s="33"/>
      <c r="CQ680" s="33"/>
    </row>
    <row r="681" spans="1:95" ht="12.95" customHeight="1">
      <c r="N681" s="781"/>
      <c r="O681" s="781"/>
      <c r="AG681" s="781"/>
      <c r="AH681" s="781"/>
      <c r="AM681" s="33"/>
      <c r="BA681" s="33">
        <f t="shared" si="26"/>
        <v>3846</v>
      </c>
      <c r="BB681" s="33"/>
      <c r="BC681" s="33"/>
      <c r="BD681" s="33"/>
      <c r="BE681" s="33"/>
      <c r="BF681" s="33"/>
      <c r="BG681" s="880">
        <f t="shared" si="27"/>
        <v>1</v>
      </c>
      <c r="BH681" s="878">
        <f t="shared" si="28"/>
        <v>2.3809523809523808E-2</v>
      </c>
      <c r="BI681" s="879">
        <f t="shared" si="29"/>
        <v>1.1904761904761904E-2</v>
      </c>
      <c r="BJ681" s="33"/>
      <c r="BK681" s="33"/>
      <c r="BL681" s="33"/>
      <c r="BM681" s="33"/>
      <c r="BN681" s="33"/>
      <c r="BO681" s="33"/>
      <c r="BP681" s="435" t="s">
        <v>832</v>
      </c>
      <c r="BQ681" s="434">
        <v>2590</v>
      </c>
      <c r="BR681" s="434">
        <v>2774</v>
      </c>
      <c r="BS681" s="434">
        <v>3330</v>
      </c>
      <c r="BT681" s="434">
        <v>3846</v>
      </c>
      <c r="BU681" s="434">
        <v>4290</v>
      </c>
      <c r="BV681" s="434">
        <v>4732</v>
      </c>
      <c r="BX681" s="33"/>
      <c r="BY681" s="33"/>
      <c r="BZ681" s="33"/>
      <c r="CA681" s="33"/>
      <c r="CB681" s="33"/>
      <c r="CC681" s="33"/>
      <c r="CD681" s="33"/>
      <c r="CE681" s="33"/>
      <c r="CF681" s="33"/>
      <c r="CG681" s="33"/>
      <c r="CH681" s="33"/>
      <c r="CI681" s="33"/>
      <c r="CJ681" s="33"/>
      <c r="CK681" s="33"/>
      <c r="CL681" s="33"/>
      <c r="CM681" s="33"/>
      <c r="CN681" s="33"/>
      <c r="CO681" s="33"/>
      <c r="CP681" s="33"/>
      <c r="CQ681" s="33"/>
    </row>
    <row r="682" spans="1:95" ht="12.95" customHeight="1">
      <c r="AM682" s="33"/>
      <c r="BA682" s="33" t="str">
        <f t="shared" si="26"/>
        <v>N/A</v>
      </c>
      <c r="BB682" s="33"/>
      <c r="BC682" s="33"/>
      <c r="BD682" s="33"/>
      <c r="BE682" s="33"/>
      <c r="BF682" s="33"/>
      <c r="BG682" s="880">
        <f t="shared" si="27"/>
        <v>8</v>
      </c>
      <c r="BH682" s="878">
        <f t="shared" si="28"/>
        <v>0.19047619047619047</v>
      </c>
      <c r="BI682" s="879">
        <f t="shared" si="29"/>
        <v>0.11428571428571427</v>
      </c>
      <c r="BJ682" s="33"/>
      <c r="BK682" s="33"/>
      <c r="BL682" s="33"/>
      <c r="BM682" s="33"/>
      <c r="BN682" s="33"/>
      <c r="BO682" s="33"/>
      <c r="BP682" s="435" t="s">
        <v>836</v>
      </c>
      <c r="BQ682" s="434">
        <v>1444</v>
      </c>
      <c r="BR682" s="434">
        <v>1546</v>
      </c>
      <c r="BS682" s="434">
        <v>1856</v>
      </c>
      <c r="BT682" s="434">
        <v>2144</v>
      </c>
      <c r="BU682" s="434">
        <v>2392</v>
      </c>
      <c r="BV682" s="434">
        <v>2640</v>
      </c>
      <c r="BX682" s="33"/>
      <c r="BY682" s="33"/>
      <c r="BZ682" s="33"/>
      <c r="CA682" s="33"/>
      <c r="CB682" s="33"/>
      <c r="CC682" s="33"/>
      <c r="CD682" s="33"/>
      <c r="CE682" s="33"/>
      <c r="CF682" s="33"/>
      <c r="CG682" s="33"/>
      <c r="CH682" s="33"/>
      <c r="CI682" s="33"/>
      <c r="CJ682" s="33"/>
      <c r="CK682" s="33"/>
      <c r="CL682" s="33"/>
      <c r="CM682" s="33"/>
      <c r="CN682" s="33"/>
      <c r="CO682" s="33"/>
      <c r="CP682" s="33"/>
      <c r="CQ682" s="33"/>
    </row>
    <row r="683" spans="1:95" ht="12.95" customHeight="1">
      <c r="A683" s="1054" t="s">
        <v>1471</v>
      </c>
      <c r="B683" s="1054"/>
      <c r="C683" s="1054"/>
      <c r="D683" s="1054"/>
      <c r="E683" s="1054"/>
      <c r="F683" s="1054"/>
      <c r="G683" s="1054"/>
      <c r="H683" s="1054"/>
      <c r="I683" s="1054"/>
      <c r="J683" s="1054"/>
      <c r="K683" s="1054"/>
      <c r="L683" s="1054"/>
      <c r="M683" s="1054"/>
      <c r="N683" s="1054"/>
      <c r="O683" s="1054"/>
      <c r="P683" s="1054"/>
      <c r="Q683" s="1054"/>
      <c r="R683" s="1054"/>
      <c r="S683" s="1054"/>
      <c r="T683" s="1054"/>
      <c r="U683" s="1054"/>
      <c r="V683" s="1054"/>
      <c r="W683" s="1054"/>
      <c r="X683" s="1054"/>
      <c r="Y683" s="1054"/>
      <c r="Z683" s="1054"/>
      <c r="AA683" s="1054"/>
      <c r="AB683" s="1054"/>
      <c r="AC683" s="1054"/>
      <c r="AD683" s="1054"/>
      <c r="AE683" s="1054"/>
      <c r="AF683" s="1054"/>
      <c r="AG683" s="1054"/>
      <c r="AH683" s="1054"/>
      <c r="AI683" s="1054"/>
      <c r="AJ683" s="1054"/>
      <c r="AK683" s="1054"/>
      <c r="AL683" s="1054"/>
      <c r="AM683" s="1054"/>
      <c r="AN683" s="1054"/>
      <c r="AO683" s="1054"/>
      <c r="AP683" s="1054"/>
      <c r="AQ683" s="1054"/>
      <c r="AR683" s="1054"/>
      <c r="AS683" s="1054"/>
      <c r="BA683" s="33" t="str">
        <f t="shared" si="26"/>
        <v>N/A</v>
      </c>
      <c r="BB683" s="33"/>
      <c r="BC683" s="33"/>
      <c r="BD683" s="33"/>
      <c r="BE683" s="33"/>
      <c r="BF683" s="33"/>
      <c r="BG683" s="880">
        <f t="shared" si="27"/>
        <v>0</v>
      </c>
      <c r="BH683" s="878">
        <f t="shared" si="28"/>
        <v>0</v>
      </c>
      <c r="BI683" s="879" t="str">
        <f t="shared" si="29"/>
        <v xml:space="preserve"> </v>
      </c>
      <c r="BJ683" s="33"/>
      <c r="BK683" s="33"/>
      <c r="BL683" s="33"/>
      <c r="BM683" s="33"/>
      <c r="BN683" s="33"/>
      <c r="BO683" s="33"/>
      <c r="BP683" s="435" t="s">
        <v>838</v>
      </c>
      <c r="BQ683" s="434">
        <v>1876</v>
      </c>
      <c r="BR683" s="434">
        <v>2010</v>
      </c>
      <c r="BS683" s="434">
        <v>2412</v>
      </c>
      <c r="BT683" s="434">
        <v>2786</v>
      </c>
      <c r="BU683" s="434">
        <v>3110</v>
      </c>
      <c r="BV683" s="434">
        <v>3432</v>
      </c>
      <c r="BX683" s="33"/>
      <c r="BY683" s="33"/>
      <c r="BZ683" s="33"/>
      <c r="CA683" s="33"/>
      <c r="CB683" s="33"/>
      <c r="CC683" s="33"/>
      <c r="CD683" s="33"/>
      <c r="CE683" s="33"/>
      <c r="CF683" s="33"/>
      <c r="CG683" s="33"/>
      <c r="CH683" s="33"/>
      <c r="CI683" s="33"/>
      <c r="CJ683" s="33"/>
      <c r="CK683" s="33"/>
      <c r="CL683" s="33"/>
      <c r="CM683" s="33"/>
      <c r="CN683" s="33"/>
      <c r="CO683" s="33"/>
      <c r="CP683" s="33"/>
      <c r="CQ683" s="33"/>
    </row>
    <row r="684" spans="1:95" ht="12.95" customHeight="1">
      <c r="A684" s="1054"/>
      <c r="B684" s="1054"/>
      <c r="C684" s="1054"/>
      <c r="D684" s="1054"/>
      <c r="E684" s="1054"/>
      <c r="F684" s="1054"/>
      <c r="G684" s="1054"/>
      <c r="H684" s="1054"/>
      <c r="I684" s="1054"/>
      <c r="J684" s="1054"/>
      <c r="K684" s="1054"/>
      <c r="L684" s="1054"/>
      <c r="M684" s="1054"/>
      <c r="N684" s="1054"/>
      <c r="O684" s="1054"/>
      <c r="P684" s="1054"/>
      <c r="Q684" s="1054"/>
      <c r="R684" s="1054"/>
      <c r="S684" s="1054"/>
      <c r="T684" s="1054"/>
      <c r="U684" s="1054"/>
      <c r="V684" s="1054"/>
      <c r="W684" s="1054"/>
      <c r="X684" s="1054"/>
      <c r="Y684" s="1054"/>
      <c r="Z684" s="1054"/>
      <c r="AA684" s="1054"/>
      <c r="AB684" s="1054"/>
      <c r="AC684" s="1054"/>
      <c r="AD684" s="1054"/>
      <c r="AE684" s="1054"/>
      <c r="AF684" s="1054"/>
      <c r="AG684" s="1054"/>
      <c r="AH684" s="1054"/>
      <c r="AI684" s="1054"/>
      <c r="AJ684" s="1054"/>
      <c r="AK684" s="1054"/>
      <c r="AL684" s="1054"/>
      <c r="AM684" s="1054"/>
      <c r="AN684" s="1054"/>
      <c r="AO684" s="1054"/>
      <c r="AP684" s="1054"/>
      <c r="AQ684" s="1054"/>
      <c r="AR684" s="1054"/>
      <c r="AS684" s="1054"/>
      <c r="BA684" s="33" t="str">
        <f t="shared" si="26"/>
        <v>N/A</v>
      </c>
      <c r="BE684" s="33"/>
      <c r="BF684" s="33"/>
      <c r="BG684" s="880">
        <f t="shared" si="27"/>
        <v>0</v>
      </c>
      <c r="BH684" s="878">
        <f t="shared" si="28"/>
        <v>0</v>
      </c>
      <c r="BI684" s="879" t="str">
        <f t="shared" si="29"/>
        <v xml:space="preserve"> </v>
      </c>
      <c r="BJ684" s="33"/>
      <c r="BK684" s="33"/>
      <c r="BL684" s="33"/>
      <c r="BM684" s="33"/>
      <c r="BN684" s="33"/>
      <c r="BO684" s="33"/>
      <c r="BP684" s="435" t="s">
        <v>841</v>
      </c>
      <c r="BQ684" s="434">
        <v>1444</v>
      </c>
      <c r="BR684" s="434">
        <v>1546</v>
      </c>
      <c r="BS684" s="434">
        <v>1856</v>
      </c>
      <c r="BT684" s="434">
        <v>2144</v>
      </c>
      <c r="BU684" s="434">
        <v>2392</v>
      </c>
      <c r="BV684" s="434">
        <v>2640</v>
      </c>
      <c r="BX684" s="33"/>
      <c r="BY684" s="33"/>
      <c r="BZ684" s="33"/>
      <c r="CA684" s="33"/>
      <c r="CB684" s="33"/>
      <c r="CC684" s="33"/>
      <c r="CD684" s="33"/>
      <c r="CE684" s="33"/>
      <c r="CF684" s="33"/>
      <c r="CG684" s="33"/>
      <c r="CH684" s="33"/>
      <c r="CI684" s="33"/>
      <c r="CJ684" s="33"/>
      <c r="CK684" s="33"/>
      <c r="CL684" s="33"/>
      <c r="CM684" s="33"/>
      <c r="CN684" s="33"/>
      <c r="CO684" s="33"/>
      <c r="CP684" s="33"/>
      <c r="CQ684" s="33"/>
    </row>
    <row r="685" spans="1:95" ht="12.95" customHeight="1">
      <c r="A685" s="1054"/>
      <c r="B685" s="1054"/>
      <c r="C685" s="1054"/>
      <c r="D685" s="1054"/>
      <c r="E685" s="1054"/>
      <c r="F685" s="1054"/>
      <c r="G685" s="1054"/>
      <c r="H685" s="1054"/>
      <c r="I685" s="1054"/>
      <c r="J685" s="1054"/>
      <c r="K685" s="1054"/>
      <c r="L685" s="1054"/>
      <c r="M685" s="1054"/>
      <c r="N685" s="1054"/>
      <c r="O685" s="1054"/>
      <c r="P685" s="1054"/>
      <c r="Q685" s="1054"/>
      <c r="R685" s="1054"/>
      <c r="S685" s="1054"/>
      <c r="T685" s="1054"/>
      <c r="U685" s="1054"/>
      <c r="V685" s="1054"/>
      <c r="W685" s="1054"/>
      <c r="X685" s="1054"/>
      <c r="Y685" s="1054"/>
      <c r="Z685" s="1054"/>
      <c r="AA685" s="1054"/>
      <c r="AB685" s="1054"/>
      <c r="AC685" s="1054"/>
      <c r="AD685" s="1054"/>
      <c r="AE685" s="1054"/>
      <c r="AF685" s="1054"/>
      <c r="AG685" s="1054"/>
      <c r="AH685" s="1054"/>
      <c r="AI685" s="1054"/>
      <c r="AJ685" s="1054"/>
      <c r="AK685" s="1054"/>
      <c r="AL685" s="1054"/>
      <c r="AM685" s="1054"/>
      <c r="AN685" s="1054"/>
      <c r="AO685" s="1054"/>
      <c r="AP685" s="1054"/>
      <c r="AQ685" s="1054"/>
      <c r="AR685" s="1054"/>
      <c r="AS685" s="1054"/>
      <c r="BA685" s="33" t="str">
        <f t="shared" si="26"/>
        <v>N/A</v>
      </c>
      <c r="BE685" s="33"/>
      <c r="BF685" s="33"/>
      <c r="BG685" s="880">
        <f t="shared" si="27"/>
        <v>0</v>
      </c>
      <c r="BH685" s="878">
        <f t="shared" si="28"/>
        <v>0</v>
      </c>
      <c r="BI685" s="879" t="str">
        <f t="shared" si="29"/>
        <v xml:space="preserve"> </v>
      </c>
      <c r="BJ685" s="33"/>
      <c r="BK685" s="33"/>
      <c r="BL685" s="33"/>
      <c r="BM685" s="33"/>
      <c r="BN685" s="33"/>
      <c r="BO685" s="33"/>
      <c r="BP685" s="435" t="s">
        <v>844</v>
      </c>
      <c r="BQ685" s="434">
        <v>1444</v>
      </c>
      <c r="BR685" s="434">
        <v>1546</v>
      </c>
      <c r="BS685" s="434">
        <v>1856</v>
      </c>
      <c r="BT685" s="434">
        <v>2144</v>
      </c>
      <c r="BU685" s="434">
        <v>2392</v>
      </c>
      <c r="BV685" s="434">
        <v>2640</v>
      </c>
      <c r="BX685" s="33"/>
      <c r="BY685" s="33"/>
      <c r="BZ685" s="33"/>
      <c r="CA685" s="33"/>
      <c r="CB685" s="33"/>
      <c r="CC685" s="33"/>
      <c r="CD685" s="33"/>
      <c r="CE685" s="33"/>
      <c r="CF685" s="33"/>
      <c r="CG685" s="33"/>
      <c r="CH685" s="33"/>
      <c r="CI685" s="33"/>
      <c r="CJ685" s="33"/>
      <c r="CK685" s="33"/>
      <c r="CL685" s="33"/>
      <c r="CM685" s="33"/>
      <c r="CN685" s="33"/>
      <c r="CO685" s="33"/>
      <c r="CP685" s="33"/>
      <c r="CQ685" s="33"/>
    </row>
    <row r="686" spans="1:95" ht="12.95" customHeight="1">
      <c r="A686" s="2" t="s">
        <v>854</v>
      </c>
      <c r="B686" s="2"/>
      <c r="C686" s="2" t="s">
        <v>1472</v>
      </c>
      <c r="BA686" s="33" t="str">
        <f t="shared" si="26"/>
        <v>N/A</v>
      </c>
      <c r="BE686" s="33"/>
      <c r="BF686" s="33"/>
      <c r="BG686" s="880">
        <f t="shared" si="27"/>
        <v>0</v>
      </c>
      <c r="BH686" s="878">
        <f t="shared" si="28"/>
        <v>0</v>
      </c>
      <c r="BI686" s="879" t="str">
        <f t="shared" si="29"/>
        <v xml:space="preserve"> </v>
      </c>
      <c r="BJ686" s="33"/>
      <c r="BK686" s="33"/>
      <c r="BL686" s="33"/>
      <c r="BM686" s="33"/>
      <c r="BN686" s="33"/>
      <c r="BO686" s="33"/>
      <c r="BP686" s="435" t="s">
        <v>846</v>
      </c>
      <c r="BQ686" s="434">
        <v>1444</v>
      </c>
      <c r="BR686" s="434">
        <v>1546</v>
      </c>
      <c r="BS686" s="434">
        <v>1856</v>
      </c>
      <c r="BT686" s="434">
        <v>2144</v>
      </c>
      <c r="BU686" s="434">
        <v>2392</v>
      </c>
      <c r="BV686" s="434">
        <v>2640</v>
      </c>
      <c r="BX686" s="33"/>
      <c r="BY686" s="33"/>
      <c r="BZ686" s="33"/>
      <c r="CA686" s="33"/>
      <c r="CB686" s="33"/>
      <c r="CC686" s="33"/>
      <c r="CD686" s="33"/>
      <c r="CE686" s="33"/>
      <c r="CF686" s="33"/>
      <c r="CG686" s="33"/>
      <c r="CH686" s="33"/>
      <c r="CI686" s="33"/>
      <c r="CJ686" s="33"/>
      <c r="CK686" s="33"/>
      <c r="CL686" s="33"/>
      <c r="CM686" s="33"/>
      <c r="CN686" s="33"/>
      <c r="CO686" s="33"/>
      <c r="CP686" s="33"/>
      <c r="CQ686" s="33"/>
    </row>
    <row r="687" spans="1:95" ht="12.95" customHeight="1">
      <c r="A687" s="2"/>
      <c r="B687" s="647"/>
      <c r="C687" s="2"/>
      <c r="BA687" s="33" t="str">
        <f t="shared" si="26"/>
        <v>N/A</v>
      </c>
      <c r="BE687" s="33"/>
      <c r="BF687" s="33"/>
      <c r="BG687" s="880">
        <f t="shared" si="27"/>
        <v>0</v>
      </c>
      <c r="BH687" s="878">
        <f t="shared" si="28"/>
        <v>0</v>
      </c>
      <c r="BI687" s="879" t="str">
        <f t="shared" si="29"/>
        <v xml:space="preserve"> </v>
      </c>
      <c r="BJ687" s="33"/>
      <c r="BK687" s="33"/>
      <c r="BL687" s="33"/>
      <c r="BM687" s="33"/>
      <c r="BN687" s="33"/>
      <c r="BO687" s="33"/>
      <c r="BP687" s="435" t="s">
        <v>849</v>
      </c>
      <c r="BQ687" s="434">
        <v>1444</v>
      </c>
      <c r="BR687" s="434">
        <v>1546</v>
      </c>
      <c r="BS687" s="434">
        <v>1856</v>
      </c>
      <c r="BT687" s="434">
        <v>2144</v>
      </c>
      <c r="BU687" s="434">
        <v>2392</v>
      </c>
      <c r="BV687" s="434">
        <v>2640</v>
      </c>
      <c r="BX687" s="33"/>
      <c r="BY687" s="33"/>
      <c r="BZ687" s="33"/>
      <c r="CA687" s="33"/>
      <c r="CB687" s="33"/>
      <c r="CC687" s="33"/>
      <c r="CD687" s="33"/>
      <c r="CE687" s="33"/>
      <c r="CF687" s="33"/>
      <c r="CG687" s="33"/>
      <c r="CH687" s="33"/>
      <c r="CI687" s="33"/>
      <c r="CJ687" s="33"/>
      <c r="CK687" s="33"/>
      <c r="CL687" s="33"/>
      <c r="CM687" s="33"/>
      <c r="CN687" s="33"/>
      <c r="CO687" s="33"/>
      <c r="CP687" s="33"/>
      <c r="CQ687" s="33"/>
    </row>
    <row r="688" spans="1:95" ht="12.95" customHeight="1">
      <c r="B688" s="1149" t="s">
        <v>1473</v>
      </c>
      <c r="C688" s="1150"/>
      <c r="D688" s="1150"/>
      <c r="E688" s="1150"/>
      <c r="F688" s="1151"/>
      <c r="G688" s="1149" t="s">
        <v>1474</v>
      </c>
      <c r="H688" s="1150"/>
      <c r="I688" s="1150"/>
      <c r="J688" s="1151"/>
      <c r="K688" s="1140" t="s">
        <v>1475</v>
      </c>
      <c r="L688" s="1141"/>
      <c r="M688" s="1141"/>
      <c r="N688" s="1142"/>
      <c r="O688" s="1149" t="s">
        <v>1476</v>
      </c>
      <c r="P688" s="1150"/>
      <c r="Q688" s="1150"/>
      <c r="R688" s="1150"/>
      <c r="S688" s="1151"/>
      <c r="T688" s="1149" t="s">
        <v>1477</v>
      </c>
      <c r="U688" s="1150"/>
      <c r="V688" s="1150"/>
      <c r="W688" s="1150"/>
      <c r="X688" s="1151"/>
      <c r="Y688" s="1149" t="s">
        <v>1478</v>
      </c>
      <c r="Z688" s="1150"/>
      <c r="AA688" s="1150"/>
      <c r="AB688" s="1151"/>
      <c r="AC688" s="1149" t="s">
        <v>1479</v>
      </c>
      <c r="AD688" s="1150"/>
      <c r="AE688" s="1150"/>
      <c r="AF688" s="1150"/>
      <c r="AG688" s="1151"/>
      <c r="AH688" s="1149" t="s">
        <v>1480</v>
      </c>
      <c r="AI688" s="1150"/>
      <c r="AJ688" s="1150"/>
      <c r="AK688" s="1150"/>
      <c r="AL688" s="1151"/>
      <c r="AM688" s="1149" t="s">
        <v>1481</v>
      </c>
      <c r="AN688" s="1150"/>
      <c r="AO688" s="1151"/>
      <c r="BA688" s="33" t="str">
        <f t="shared" si="26"/>
        <v>N/A</v>
      </c>
      <c r="BB688" s="33"/>
      <c r="BC688" s="33"/>
      <c r="BD688" s="33"/>
      <c r="BE688" s="33"/>
      <c r="BF688" s="33"/>
      <c r="BG688" s="880">
        <f t="shared" si="27"/>
        <v>0</v>
      </c>
      <c r="BH688" s="878">
        <f t="shared" si="28"/>
        <v>0</v>
      </c>
      <c r="BI688" s="879" t="str">
        <f t="shared" si="29"/>
        <v xml:space="preserve"> </v>
      </c>
      <c r="BJ688" s="33"/>
      <c r="BK688" s="33"/>
      <c r="BL688" s="33"/>
      <c r="BM688" s="33"/>
      <c r="BN688" s="33"/>
      <c r="BO688" s="33"/>
      <c r="BP688" s="435" t="s">
        <v>851</v>
      </c>
      <c r="BQ688" s="434">
        <v>1494</v>
      </c>
      <c r="BR688" s="434">
        <v>1602</v>
      </c>
      <c r="BS688" s="434">
        <v>1922</v>
      </c>
      <c r="BT688" s="434">
        <v>2220</v>
      </c>
      <c r="BU688" s="434">
        <v>2476</v>
      </c>
      <c r="BV688" s="434">
        <v>2732</v>
      </c>
      <c r="BX688" s="33"/>
      <c r="BY688" s="33"/>
      <c r="BZ688" s="33"/>
      <c r="CA688" s="33"/>
      <c r="CB688" s="33"/>
      <c r="CC688" s="33"/>
      <c r="CD688" s="33"/>
      <c r="CE688" s="33"/>
      <c r="CF688" s="33"/>
      <c r="CG688" s="33"/>
      <c r="CH688" s="33"/>
      <c r="CI688" s="33"/>
      <c r="CJ688" s="33"/>
      <c r="CK688" s="33"/>
      <c r="CL688" s="33"/>
      <c r="CM688" s="33"/>
      <c r="CN688" s="33"/>
      <c r="CO688" s="33"/>
      <c r="CP688" s="33"/>
      <c r="CQ688" s="33"/>
    </row>
    <row r="689" spans="1:96" ht="12.95" customHeight="1">
      <c r="B689" s="1152"/>
      <c r="C689" s="1153"/>
      <c r="D689" s="1153"/>
      <c r="E689" s="1153"/>
      <c r="F689" s="1154"/>
      <c r="G689" s="1152"/>
      <c r="H689" s="1153"/>
      <c r="I689" s="1153"/>
      <c r="J689" s="1154"/>
      <c r="K689" s="1143"/>
      <c r="L689" s="1144"/>
      <c r="M689" s="1144"/>
      <c r="N689" s="1145"/>
      <c r="O689" s="1152"/>
      <c r="P689" s="1153"/>
      <c r="Q689" s="1153"/>
      <c r="R689" s="1153"/>
      <c r="S689" s="1154"/>
      <c r="T689" s="1152"/>
      <c r="U689" s="1153"/>
      <c r="V689" s="1153"/>
      <c r="W689" s="1153"/>
      <c r="X689" s="1154"/>
      <c r="Y689" s="1152"/>
      <c r="Z689" s="1153"/>
      <c r="AA689" s="1153"/>
      <c r="AB689" s="1154"/>
      <c r="AC689" s="1152"/>
      <c r="AD689" s="1153"/>
      <c r="AE689" s="1153"/>
      <c r="AF689" s="1153"/>
      <c r="AG689" s="1154"/>
      <c r="AH689" s="1152"/>
      <c r="AI689" s="1153"/>
      <c r="AJ689" s="1153"/>
      <c r="AK689" s="1153"/>
      <c r="AL689" s="1154"/>
      <c r="AM689" s="1152"/>
      <c r="AN689" s="1153"/>
      <c r="AO689" s="1154"/>
      <c r="BA689" s="33" t="str">
        <f t="shared" si="26"/>
        <v>N/A</v>
      </c>
      <c r="BB689" s="33"/>
      <c r="BC689" s="33"/>
      <c r="BD689" s="33"/>
      <c r="BE689" s="33"/>
      <c r="BF689" s="33"/>
      <c r="BG689" s="880">
        <f t="shared" si="27"/>
        <v>0</v>
      </c>
      <c r="BH689" s="878">
        <f t="shared" si="28"/>
        <v>0</v>
      </c>
      <c r="BI689" s="879" t="str">
        <f t="shared" si="29"/>
        <v xml:space="preserve"> </v>
      </c>
      <c r="BJ689" s="33"/>
      <c r="BK689" s="33"/>
      <c r="BL689" s="33"/>
      <c r="BM689" s="33"/>
      <c r="BN689" s="33"/>
      <c r="BO689" s="33"/>
      <c r="BP689" s="435" t="s">
        <v>853</v>
      </c>
      <c r="BQ689" s="434">
        <v>1444</v>
      </c>
      <c r="BR689" s="434">
        <v>1546</v>
      </c>
      <c r="BS689" s="434">
        <v>1856</v>
      </c>
      <c r="BT689" s="434">
        <v>2144</v>
      </c>
      <c r="BU689" s="434">
        <v>2392</v>
      </c>
      <c r="BV689" s="434">
        <v>2640</v>
      </c>
      <c r="BX689" s="33"/>
      <c r="BY689" s="33"/>
      <c r="BZ689" s="33"/>
      <c r="CA689" s="33"/>
      <c r="CB689" s="33"/>
      <c r="CC689" s="33"/>
      <c r="CD689" s="33"/>
      <c r="CE689" s="33"/>
      <c r="CF689" s="33"/>
      <c r="CG689" s="33"/>
      <c r="CH689" s="33"/>
      <c r="CI689" s="33"/>
      <c r="CJ689" s="33"/>
      <c r="CK689" s="33"/>
      <c r="CL689" s="33"/>
      <c r="CM689" s="33"/>
      <c r="CN689" s="33"/>
      <c r="CO689" s="33"/>
      <c r="CP689" s="33"/>
      <c r="CQ689" s="33"/>
    </row>
    <row r="690" spans="1:96" ht="12.95" customHeight="1">
      <c r="A690" s="33"/>
      <c r="B690" s="1152"/>
      <c r="C690" s="1153"/>
      <c r="D690" s="1153"/>
      <c r="E690" s="1153"/>
      <c r="F690" s="1154"/>
      <c r="G690" s="1152"/>
      <c r="H690" s="1153"/>
      <c r="I690" s="1153"/>
      <c r="J690" s="1154"/>
      <c r="K690" s="1143"/>
      <c r="L690" s="1144"/>
      <c r="M690" s="1144"/>
      <c r="N690" s="1145"/>
      <c r="O690" s="1152"/>
      <c r="P690" s="1153"/>
      <c r="Q690" s="1153"/>
      <c r="R690" s="1153"/>
      <c r="S690" s="1154"/>
      <c r="T690" s="1152"/>
      <c r="U690" s="1153"/>
      <c r="V690" s="1153"/>
      <c r="W690" s="1153"/>
      <c r="X690" s="1154"/>
      <c r="Y690" s="1152"/>
      <c r="Z690" s="1153"/>
      <c r="AA690" s="1153"/>
      <c r="AB690" s="1154"/>
      <c r="AC690" s="1152"/>
      <c r="AD690" s="1153"/>
      <c r="AE690" s="1153"/>
      <c r="AF690" s="1153"/>
      <c r="AG690" s="1154"/>
      <c r="AH690" s="1152"/>
      <c r="AI690" s="1153"/>
      <c r="AJ690" s="1153"/>
      <c r="AK690" s="1153"/>
      <c r="AL690" s="1154"/>
      <c r="AM690" s="1152"/>
      <c r="AN690" s="1153"/>
      <c r="AO690" s="1154"/>
      <c r="BA690" s="33" t="str">
        <f t="shared" si="26"/>
        <v>N/A</v>
      </c>
      <c r="BB690" s="33"/>
      <c r="BC690" s="33"/>
      <c r="BD690" s="33"/>
      <c r="BE690" s="33"/>
      <c r="BF690" s="33"/>
      <c r="BG690" s="880">
        <f t="shared" si="27"/>
        <v>0</v>
      </c>
      <c r="BH690" s="878">
        <f t="shared" si="28"/>
        <v>0</v>
      </c>
      <c r="BI690" s="879" t="str">
        <f t="shared" si="29"/>
        <v xml:space="preserve"> </v>
      </c>
      <c r="BJ690" s="33"/>
      <c r="BK690" s="33"/>
      <c r="BL690" s="33"/>
      <c r="BM690" s="33"/>
      <c r="BN690" s="33"/>
      <c r="BO690" s="33"/>
      <c r="BP690" s="435" t="s">
        <v>856</v>
      </c>
      <c r="BQ690" s="434">
        <v>1444</v>
      </c>
      <c r="BR690" s="434">
        <v>1546</v>
      </c>
      <c r="BS690" s="434">
        <v>1856</v>
      </c>
      <c r="BT690" s="434">
        <v>2144</v>
      </c>
      <c r="BU690" s="434">
        <v>2392</v>
      </c>
      <c r="BV690" s="434">
        <v>2640</v>
      </c>
      <c r="BX690" s="33"/>
      <c r="BY690" s="33"/>
      <c r="BZ690" s="33"/>
      <c r="CA690" s="33"/>
      <c r="CB690" s="33"/>
      <c r="CC690" s="33"/>
      <c r="CD690" s="33"/>
      <c r="CE690" s="33"/>
      <c r="CF690" s="33"/>
      <c r="CG690" s="33"/>
      <c r="CH690" s="33"/>
      <c r="CI690" s="33"/>
      <c r="CJ690" s="33"/>
      <c r="CK690" s="33"/>
      <c r="CL690" s="33"/>
      <c r="CM690" s="33"/>
      <c r="CN690" s="33"/>
      <c r="CO690" s="33"/>
      <c r="CP690" s="33"/>
      <c r="CQ690" s="33"/>
    </row>
    <row r="691" spans="1:96" ht="12.95" customHeight="1">
      <c r="A691" s="33"/>
      <c r="B691" s="1155"/>
      <c r="C691" s="1156"/>
      <c r="D691" s="1156"/>
      <c r="E691" s="1156"/>
      <c r="F691" s="1157"/>
      <c r="G691" s="1155"/>
      <c r="H691" s="1156"/>
      <c r="I691" s="1156"/>
      <c r="J691" s="1157"/>
      <c r="K691" s="1143"/>
      <c r="L691" s="1144"/>
      <c r="M691" s="1144"/>
      <c r="N691" s="1145"/>
      <c r="O691" s="1155"/>
      <c r="P691" s="1156"/>
      <c r="Q691" s="1156"/>
      <c r="R691" s="1156"/>
      <c r="S691" s="1157"/>
      <c r="T691" s="1155"/>
      <c r="U691" s="1156"/>
      <c r="V691" s="1156"/>
      <c r="W691" s="1156"/>
      <c r="X691" s="1157"/>
      <c r="Y691" s="1155"/>
      <c r="Z691" s="1156"/>
      <c r="AA691" s="1156"/>
      <c r="AB691" s="1157"/>
      <c r="AC691" s="1155"/>
      <c r="AD691" s="1156"/>
      <c r="AE691" s="1156"/>
      <c r="AF691" s="1156"/>
      <c r="AG691" s="1157"/>
      <c r="AH691" s="1155"/>
      <c r="AI691" s="1156"/>
      <c r="AJ691" s="1156"/>
      <c r="AK691" s="1156"/>
      <c r="AL691" s="1157"/>
      <c r="AM691" s="1155"/>
      <c r="AN691" s="1156"/>
      <c r="AO691" s="1157"/>
      <c r="BA691" s="33" t="str">
        <f t="shared" si="26"/>
        <v>N/A</v>
      </c>
      <c r="BB691" s="33"/>
      <c r="BC691" s="33"/>
      <c r="BD691" s="33"/>
      <c r="BE691" s="33"/>
      <c r="BF691" s="33"/>
      <c r="BG691" s="880">
        <f t="shared" si="27"/>
        <v>0</v>
      </c>
      <c r="BH691" s="878">
        <f t="shared" si="28"/>
        <v>0</v>
      </c>
      <c r="BI691" s="879" t="str">
        <f t="shared" si="29"/>
        <v xml:space="preserve"> </v>
      </c>
      <c r="BJ691" s="33"/>
      <c r="BK691" s="33"/>
      <c r="BL691" s="33"/>
      <c r="BM691" s="33"/>
      <c r="BN691" s="33"/>
      <c r="BO691" s="33"/>
      <c r="BP691" s="435" t="s">
        <v>860</v>
      </c>
      <c r="BQ691" s="434">
        <v>1444</v>
      </c>
      <c r="BR691" s="434">
        <v>1546</v>
      </c>
      <c r="BS691" s="434">
        <v>1856</v>
      </c>
      <c r="BT691" s="434">
        <v>2144</v>
      </c>
      <c r="BU691" s="434">
        <v>2392</v>
      </c>
      <c r="BV691" s="434">
        <v>2640</v>
      </c>
      <c r="BX691" s="33"/>
      <c r="BY691" s="33"/>
      <c r="BZ691" s="33"/>
      <c r="CA691" s="33"/>
      <c r="CB691" s="33"/>
      <c r="CC691" s="33"/>
      <c r="CD691" s="33"/>
      <c r="CE691" s="33"/>
      <c r="CF691" s="33"/>
      <c r="CG691" s="33"/>
      <c r="CH691" s="33"/>
      <c r="CI691" s="33"/>
      <c r="CJ691" s="33"/>
      <c r="CK691" s="33"/>
      <c r="CL691" s="33"/>
      <c r="CM691" s="33"/>
      <c r="CN691" s="33"/>
      <c r="CO691" s="33"/>
      <c r="CP691" s="33"/>
      <c r="CQ691" s="33"/>
    </row>
    <row r="692" spans="1:96" ht="12.95" customHeight="1">
      <c r="A692" s="33"/>
      <c r="B692" s="1205" t="s">
        <v>1421</v>
      </c>
      <c r="C692" s="1206"/>
      <c r="D692" s="1206"/>
      <c r="E692" s="1206"/>
      <c r="F692" s="1207"/>
      <c r="G692" s="1176">
        <v>13</v>
      </c>
      <c r="H692" s="1177"/>
      <c r="I692" s="1177"/>
      <c r="J692" s="1178"/>
      <c r="K692" s="1170">
        <v>650</v>
      </c>
      <c r="L692" s="1171"/>
      <c r="M692" s="1171"/>
      <c r="N692" s="1172"/>
      <c r="O692" s="1161">
        <f>[1]EVERYTHING!$Q$9</f>
        <v>765</v>
      </c>
      <c r="P692" s="1162"/>
      <c r="Q692" s="1162"/>
      <c r="R692" s="1162"/>
      <c r="S692" s="1163"/>
      <c r="T692" s="1134">
        <f t="shared" ref="T692:T716" si="30">G692*O692</f>
        <v>9945</v>
      </c>
      <c r="U692" s="1135"/>
      <c r="V692" s="1135"/>
      <c r="W692" s="1135"/>
      <c r="X692" s="1136"/>
      <c r="Y692" s="1173">
        <v>67</v>
      </c>
      <c r="Z692" s="1174"/>
      <c r="AA692" s="1174"/>
      <c r="AB692" s="1175"/>
      <c r="AC692" s="1134">
        <f t="shared" ref="AC692:AC716" si="31">O692+Y692</f>
        <v>832</v>
      </c>
      <c r="AD692" s="1135"/>
      <c r="AE692" s="1135"/>
      <c r="AF692" s="1135"/>
      <c r="AG692" s="1136"/>
      <c r="AH692" s="1392">
        <v>0.3</v>
      </c>
      <c r="AI692" s="1393"/>
      <c r="AJ692" s="1393"/>
      <c r="AK692" s="1393"/>
      <c r="AL692" s="1394"/>
      <c r="AM692" s="1131">
        <f>IF($AH692&gt;0,($AC692/$BA675)," ")</f>
        <v>0.29992790194664742</v>
      </c>
      <c r="AN692" s="1132"/>
      <c r="AO692" s="1133"/>
      <c r="BA692" s="33" t="str">
        <f t="shared" si="26"/>
        <v>N/A</v>
      </c>
      <c r="BB692" s="33"/>
      <c r="BC692" s="33"/>
      <c r="BD692" s="33"/>
      <c r="BE692" s="33"/>
      <c r="BF692" s="33"/>
      <c r="BG692" s="880">
        <f t="shared" si="27"/>
        <v>0</v>
      </c>
      <c r="BH692" s="878">
        <f t="shared" si="28"/>
        <v>0</v>
      </c>
      <c r="BI692" s="879" t="str">
        <f t="shared" si="29"/>
        <v xml:space="preserve"> </v>
      </c>
      <c r="BJ692" s="33"/>
      <c r="BK692" s="33"/>
      <c r="BL692" s="33"/>
      <c r="BM692" s="33"/>
      <c r="BN692" s="33"/>
      <c r="BO692" s="33"/>
      <c r="BP692" s="435" t="s">
        <v>863</v>
      </c>
      <c r="BQ692" s="434">
        <v>1466</v>
      </c>
      <c r="BR692" s="434">
        <v>1572</v>
      </c>
      <c r="BS692" s="434">
        <v>1886</v>
      </c>
      <c r="BT692" s="434">
        <v>2180</v>
      </c>
      <c r="BU692" s="434">
        <v>2432</v>
      </c>
      <c r="BV692" s="434">
        <v>2682</v>
      </c>
      <c r="BX692" s="33"/>
      <c r="BY692" s="33"/>
      <c r="BZ692" s="33"/>
      <c r="CA692" s="33"/>
      <c r="CB692" s="33"/>
      <c r="CC692" s="33"/>
      <c r="CD692" s="33"/>
      <c r="CE692" s="33"/>
      <c r="CF692" s="33"/>
      <c r="CG692" s="33"/>
      <c r="CH692" s="33"/>
      <c r="CI692" s="33"/>
      <c r="CJ692" s="33"/>
      <c r="CK692" s="33"/>
      <c r="CL692" s="33"/>
      <c r="CM692" s="33"/>
      <c r="CN692" s="33"/>
      <c r="CO692" s="33"/>
      <c r="CP692" s="33"/>
      <c r="CQ692" s="33"/>
    </row>
    <row r="693" spans="1:96" ht="12.95" customHeight="1">
      <c r="A693" s="33"/>
      <c r="B693" s="1205" t="s">
        <v>1421</v>
      </c>
      <c r="C693" s="1206"/>
      <c r="D693" s="1206"/>
      <c r="E693" s="1206"/>
      <c r="F693" s="1207"/>
      <c r="G693" s="1176">
        <v>8</v>
      </c>
      <c r="H693" s="1177"/>
      <c r="I693" s="1177"/>
      <c r="J693" s="1178"/>
      <c r="K693" s="1170">
        <v>650</v>
      </c>
      <c r="L693" s="1171"/>
      <c r="M693" s="1171"/>
      <c r="N693" s="1172"/>
      <c r="O693" s="1161">
        <f>[1]EVERYTHING!$Q$11</f>
        <v>1320</v>
      </c>
      <c r="P693" s="1162"/>
      <c r="Q693" s="1162"/>
      <c r="R693" s="1162"/>
      <c r="S693" s="1163"/>
      <c r="T693" s="1134">
        <f t="shared" si="30"/>
        <v>10560</v>
      </c>
      <c r="U693" s="1135"/>
      <c r="V693" s="1135"/>
      <c r="W693" s="1135"/>
      <c r="X693" s="1136"/>
      <c r="Y693" s="1173">
        <v>67</v>
      </c>
      <c r="Z693" s="1174"/>
      <c r="AA693" s="1174"/>
      <c r="AB693" s="1175"/>
      <c r="AC693" s="1134">
        <f t="shared" si="31"/>
        <v>1387</v>
      </c>
      <c r="AD693" s="1135"/>
      <c r="AE693" s="1135"/>
      <c r="AF693" s="1135"/>
      <c r="AG693" s="1136"/>
      <c r="AH693" s="1164">
        <v>0.5</v>
      </c>
      <c r="AI693" s="1165"/>
      <c r="AJ693" s="1165"/>
      <c r="AK693" s="1165"/>
      <c r="AL693" s="1166"/>
      <c r="AM693" s="1131">
        <f t="shared" ref="AM693:AM716" si="32">IF($AH693&gt;0,($AC693/$BA676), " ")</f>
        <v>0.5</v>
      </c>
      <c r="AN693" s="1132"/>
      <c r="AO693" s="1133"/>
      <c r="BA693" s="33" t="str">
        <f t="shared" si="26"/>
        <v>N/A</v>
      </c>
      <c r="BB693" s="33"/>
      <c r="BC693" s="33"/>
      <c r="BD693" s="33"/>
      <c r="BE693" s="33"/>
      <c r="BF693" s="33"/>
      <c r="BG693" s="880">
        <f t="shared" si="27"/>
        <v>0</v>
      </c>
      <c r="BH693" s="878">
        <f t="shared" si="28"/>
        <v>0</v>
      </c>
      <c r="BI693" s="879" t="str">
        <f t="shared" si="29"/>
        <v xml:space="preserve"> </v>
      </c>
      <c r="BJ693" s="33"/>
      <c r="BK693" s="33"/>
      <c r="BL693" s="33"/>
      <c r="BM693" s="33"/>
      <c r="BN693" s="33"/>
      <c r="BO693" s="33"/>
      <c r="BP693" s="435" t="s">
        <v>869</v>
      </c>
      <c r="BQ693" s="434">
        <v>2206</v>
      </c>
      <c r="BR693" s="434">
        <v>2364</v>
      </c>
      <c r="BS693" s="434">
        <v>2836</v>
      </c>
      <c r="BT693" s="434">
        <v>3278</v>
      </c>
      <c r="BU693" s="434">
        <v>3656</v>
      </c>
      <c r="BV693" s="434">
        <v>4036</v>
      </c>
      <c r="BX693" s="33"/>
      <c r="BY693" s="33"/>
      <c r="BZ693" s="33"/>
      <c r="CA693" s="33"/>
      <c r="CB693" s="33"/>
      <c r="CC693" s="33"/>
      <c r="CD693" s="33"/>
      <c r="CE693" s="33"/>
      <c r="CF693" s="33"/>
      <c r="CG693" s="33"/>
      <c r="CH693" s="33"/>
      <c r="CI693" s="33"/>
      <c r="CJ693" s="33"/>
      <c r="CK693" s="33"/>
      <c r="CL693" s="33"/>
      <c r="CM693" s="33"/>
      <c r="CN693" s="33"/>
      <c r="CO693" s="33"/>
      <c r="CP693" s="33"/>
      <c r="CQ693" s="33"/>
    </row>
    <row r="694" spans="1:96" ht="12.95" customHeight="1">
      <c r="A694" s="33"/>
      <c r="B694" s="1205" t="s">
        <v>1422</v>
      </c>
      <c r="C694" s="1206"/>
      <c r="D694" s="1206"/>
      <c r="E694" s="1206"/>
      <c r="F694" s="1207"/>
      <c r="G694" s="1176">
        <v>1</v>
      </c>
      <c r="H694" s="1177"/>
      <c r="I694" s="1177"/>
      <c r="J694" s="1178"/>
      <c r="K694" s="1170">
        <v>767</v>
      </c>
      <c r="L694" s="1171"/>
      <c r="M694" s="1171"/>
      <c r="N694" s="1172"/>
      <c r="O694" s="1161">
        <f>[1]EVERYTHING!$Q$15</f>
        <v>908</v>
      </c>
      <c r="P694" s="1162"/>
      <c r="Q694" s="1162"/>
      <c r="R694" s="1162"/>
      <c r="S694" s="1163"/>
      <c r="T694" s="1134">
        <f t="shared" si="30"/>
        <v>908</v>
      </c>
      <c r="U694" s="1135"/>
      <c r="V694" s="1135"/>
      <c r="W694" s="1135"/>
      <c r="X694" s="1136"/>
      <c r="Y694" s="1173">
        <v>91</v>
      </c>
      <c r="Z694" s="1174"/>
      <c r="AA694" s="1174"/>
      <c r="AB694" s="1175"/>
      <c r="AC694" s="1134">
        <f t="shared" si="31"/>
        <v>999</v>
      </c>
      <c r="AD694" s="1135"/>
      <c r="AE694" s="1135"/>
      <c r="AF694" s="1135"/>
      <c r="AG694" s="1136"/>
      <c r="AH694" s="1164">
        <v>0.3</v>
      </c>
      <c r="AI694" s="1165"/>
      <c r="AJ694" s="1165"/>
      <c r="AK694" s="1165"/>
      <c r="AL694" s="1166"/>
      <c r="AM694" s="1131">
        <f t="shared" si="32"/>
        <v>0.3</v>
      </c>
      <c r="AN694" s="1132"/>
      <c r="AO694" s="1133"/>
      <c r="BA694" s="33" t="str">
        <f t="shared" si="26"/>
        <v>N/A</v>
      </c>
      <c r="BB694" s="33"/>
      <c r="BC694" s="33"/>
      <c r="BD694" s="33"/>
      <c r="BE694" s="33"/>
      <c r="BF694" s="33"/>
      <c r="BG694" s="880">
        <f t="shared" si="27"/>
        <v>0</v>
      </c>
      <c r="BH694" s="878">
        <f t="shared" si="28"/>
        <v>0</v>
      </c>
      <c r="BI694" s="879" t="str">
        <f t="shared" si="29"/>
        <v xml:space="preserve"> </v>
      </c>
      <c r="BJ694" s="33"/>
      <c r="BK694" s="33"/>
      <c r="BL694" s="33"/>
      <c r="BM694" s="33"/>
      <c r="BN694" s="33"/>
      <c r="BO694" s="33"/>
      <c r="BP694" s="435" t="s">
        <v>872</v>
      </c>
      <c r="BQ694" s="434">
        <v>1444</v>
      </c>
      <c r="BR694" s="434">
        <v>1546</v>
      </c>
      <c r="BS694" s="434">
        <v>1856</v>
      </c>
      <c r="BT694" s="434">
        <v>2144</v>
      </c>
      <c r="BU694" s="434">
        <v>2392</v>
      </c>
      <c r="BV694" s="434">
        <v>2640</v>
      </c>
      <c r="BX694" s="33"/>
      <c r="BY694" s="33"/>
      <c r="BZ694" s="33"/>
      <c r="CA694" s="33"/>
      <c r="CB694" s="33"/>
      <c r="CC694" s="33"/>
      <c r="CD694" s="33"/>
      <c r="CE694" s="33"/>
      <c r="CF694" s="33"/>
      <c r="CG694" s="33"/>
      <c r="CH694" s="33"/>
      <c r="CI694" s="33"/>
      <c r="CJ694" s="33"/>
      <c r="CK694" s="33"/>
      <c r="CL694" s="33"/>
      <c r="CM694" s="33"/>
      <c r="CN694" s="33"/>
      <c r="CO694" s="33"/>
      <c r="CP694" s="33"/>
      <c r="CQ694" s="33"/>
    </row>
    <row r="695" spans="1:96" ht="12.95" customHeight="1">
      <c r="B695" s="1205" t="s">
        <v>1422</v>
      </c>
      <c r="C695" s="1206"/>
      <c r="D695" s="1206"/>
      <c r="E695" s="1206"/>
      <c r="F695" s="1207"/>
      <c r="G695" s="1176">
        <v>8</v>
      </c>
      <c r="H695" s="1177"/>
      <c r="I695" s="1177"/>
      <c r="J695" s="1178"/>
      <c r="K695" s="1170">
        <v>1135</v>
      </c>
      <c r="L695" s="1171"/>
      <c r="M695" s="1171"/>
      <c r="N695" s="1172"/>
      <c r="O695" s="1161">
        <f>[1]EVERYTHING!$Q$18</f>
        <v>1885</v>
      </c>
      <c r="P695" s="1162"/>
      <c r="Q695" s="1162"/>
      <c r="R695" s="1162"/>
      <c r="S695" s="1163"/>
      <c r="T695" s="1134">
        <f t="shared" si="30"/>
        <v>15080</v>
      </c>
      <c r="U695" s="1135"/>
      <c r="V695" s="1135"/>
      <c r="W695" s="1135"/>
      <c r="X695" s="1136"/>
      <c r="Y695" s="1173">
        <v>113</v>
      </c>
      <c r="Z695" s="1174"/>
      <c r="AA695" s="1174"/>
      <c r="AB695" s="1175"/>
      <c r="AC695" s="1134">
        <f t="shared" si="31"/>
        <v>1998</v>
      </c>
      <c r="AD695" s="1135"/>
      <c r="AE695" s="1135"/>
      <c r="AF695" s="1135"/>
      <c r="AG695" s="1136"/>
      <c r="AH695" s="1164">
        <v>0.6</v>
      </c>
      <c r="AI695" s="1165"/>
      <c r="AJ695" s="1165"/>
      <c r="AK695" s="1165"/>
      <c r="AL695" s="1166"/>
      <c r="AM695" s="1131">
        <f t="shared" si="32"/>
        <v>0.6</v>
      </c>
      <c r="AN695" s="1132"/>
      <c r="AO695" s="1133"/>
      <c r="BA695" s="33" t="str">
        <f t="shared" si="26"/>
        <v>N/A</v>
      </c>
      <c r="BB695" s="33"/>
      <c r="BC695" s="33"/>
      <c r="BD695" s="33"/>
      <c r="BE695" s="33"/>
      <c r="BF695" s="33"/>
      <c r="BG695" s="880">
        <f t="shared" si="27"/>
        <v>0</v>
      </c>
      <c r="BH695" s="878">
        <f t="shared" si="28"/>
        <v>0</v>
      </c>
      <c r="BI695" s="879" t="str">
        <f t="shared" si="29"/>
        <v xml:space="preserve"> </v>
      </c>
      <c r="BJ695" s="33"/>
      <c r="BK695" s="33"/>
      <c r="BL695" s="33"/>
      <c r="BM695" s="33"/>
      <c r="BN695" s="33"/>
      <c r="BO695" s="33"/>
      <c r="BP695" s="435" t="s">
        <v>875</v>
      </c>
      <c r="BQ695" s="434">
        <v>3252</v>
      </c>
      <c r="BR695" s="434">
        <v>3484</v>
      </c>
      <c r="BS695" s="434">
        <v>4182</v>
      </c>
      <c r="BT695" s="434">
        <v>4830</v>
      </c>
      <c r="BU695" s="434">
        <v>5390</v>
      </c>
      <c r="BV695" s="434">
        <v>5946</v>
      </c>
      <c r="BX695" s="33"/>
      <c r="BY695" s="33"/>
      <c r="BZ695" s="33"/>
      <c r="CA695" s="33"/>
      <c r="CB695" s="33"/>
      <c r="CC695" s="33"/>
      <c r="CD695" s="33"/>
      <c r="CE695" s="33"/>
      <c r="CF695" s="33"/>
      <c r="CG695" s="33"/>
      <c r="CH695" s="33"/>
      <c r="CI695" s="33"/>
      <c r="CJ695" s="33"/>
      <c r="CK695" s="33"/>
      <c r="CL695" s="33"/>
      <c r="CM695" s="33"/>
      <c r="CN695" s="33"/>
      <c r="CO695" s="33"/>
      <c r="CP695" s="33"/>
      <c r="CQ695" s="33"/>
    </row>
    <row r="696" spans="1:96" ht="12.95" customHeight="1">
      <c r="B696" s="1205" t="s">
        <v>1423</v>
      </c>
      <c r="C696" s="1206"/>
      <c r="D696" s="1206"/>
      <c r="E696" s="1206"/>
      <c r="F696" s="1207"/>
      <c r="G696" s="1176">
        <v>3</v>
      </c>
      <c r="H696" s="1177"/>
      <c r="I696" s="1177"/>
      <c r="J696" s="1178"/>
      <c r="K696" s="1170">
        <v>1328</v>
      </c>
      <c r="L696" s="1171"/>
      <c r="M696" s="1171"/>
      <c r="N696" s="1172"/>
      <c r="O696" s="1161">
        <f>[1]EVERYTHING!$Q$20</f>
        <v>1004</v>
      </c>
      <c r="P696" s="1162"/>
      <c r="Q696" s="1162"/>
      <c r="R696" s="1162"/>
      <c r="S696" s="1163"/>
      <c r="T696" s="1134">
        <f t="shared" si="30"/>
        <v>3012</v>
      </c>
      <c r="U696" s="1135"/>
      <c r="V696" s="1135"/>
      <c r="W696" s="1135"/>
      <c r="X696" s="1136"/>
      <c r="Y696" s="1173">
        <v>149</v>
      </c>
      <c r="Z696" s="1174"/>
      <c r="AA696" s="1174"/>
      <c r="AB696" s="1175"/>
      <c r="AC696" s="1134">
        <f t="shared" si="31"/>
        <v>1153</v>
      </c>
      <c r="AD696" s="1135"/>
      <c r="AE696" s="1135"/>
      <c r="AF696" s="1135"/>
      <c r="AG696" s="1136"/>
      <c r="AH696" s="1164">
        <v>0.3</v>
      </c>
      <c r="AI696" s="1165"/>
      <c r="AJ696" s="1165"/>
      <c r="AK696" s="1165"/>
      <c r="AL696" s="1166"/>
      <c r="AM696" s="1131">
        <f t="shared" si="32"/>
        <v>0.29979199167966719</v>
      </c>
      <c r="AN696" s="1132"/>
      <c r="AO696" s="1133"/>
      <c r="BA696" s="33" t="str">
        <f t="shared" si="26"/>
        <v>N/A</v>
      </c>
      <c r="BB696" s="33"/>
      <c r="BC696" s="33"/>
      <c r="BD696" s="33"/>
      <c r="BE696" s="33"/>
      <c r="BF696" s="33"/>
      <c r="BG696" s="880">
        <f t="shared" si="27"/>
        <v>0</v>
      </c>
      <c r="BH696" s="878">
        <f t="shared" si="28"/>
        <v>0</v>
      </c>
      <c r="BI696" s="879" t="str">
        <f t="shared" si="29"/>
        <v xml:space="preserve"> </v>
      </c>
      <c r="BJ696" s="33"/>
      <c r="BK696" s="33"/>
      <c r="BL696" s="33"/>
      <c r="BM696" s="33"/>
      <c r="BN696" s="33"/>
      <c r="BO696" s="33"/>
      <c r="BP696" s="435" t="s">
        <v>878</v>
      </c>
      <c r="BQ696" s="434">
        <v>1444</v>
      </c>
      <c r="BR696" s="434">
        <v>1546</v>
      </c>
      <c r="BS696" s="434">
        <v>1856</v>
      </c>
      <c r="BT696" s="434">
        <v>2144</v>
      </c>
      <c r="BU696" s="434">
        <v>2392</v>
      </c>
      <c r="BV696" s="434">
        <v>2640</v>
      </c>
      <c r="BX696" s="33"/>
      <c r="BY696" s="33"/>
      <c r="BZ696" s="33"/>
      <c r="CA696" s="33"/>
      <c r="CB696" s="33"/>
      <c r="CC696" s="33"/>
      <c r="CD696" s="33"/>
      <c r="CE696" s="33"/>
      <c r="CF696" s="33"/>
      <c r="CG696" s="33"/>
      <c r="CH696" s="33"/>
      <c r="CI696" s="33"/>
      <c r="CJ696" s="33"/>
      <c r="CK696" s="33"/>
      <c r="CL696" s="33"/>
      <c r="CM696" s="33"/>
      <c r="CN696" s="33"/>
      <c r="CO696" s="33"/>
      <c r="CP696" s="33"/>
      <c r="CQ696" s="33"/>
    </row>
    <row r="697" spans="1:96" ht="12.95" customHeight="1">
      <c r="B697" s="1205" t="s">
        <v>1423</v>
      </c>
      <c r="C697" s="1206"/>
      <c r="D697" s="1206"/>
      <c r="E697" s="1206"/>
      <c r="F697" s="1207"/>
      <c r="G697" s="1176">
        <v>1</v>
      </c>
      <c r="H697" s="1177"/>
      <c r="I697" s="1177"/>
      <c r="J697" s="1178"/>
      <c r="K697" s="1170">
        <v>1328</v>
      </c>
      <c r="L697" s="1171"/>
      <c r="M697" s="1171"/>
      <c r="N697" s="1172"/>
      <c r="O697" s="1161">
        <f>[1]EVERYTHING!$Q$21</f>
        <v>1774</v>
      </c>
      <c r="P697" s="1162"/>
      <c r="Q697" s="1162"/>
      <c r="R697" s="1162"/>
      <c r="S697" s="1163"/>
      <c r="T697" s="1134">
        <f t="shared" si="30"/>
        <v>1774</v>
      </c>
      <c r="U697" s="1135"/>
      <c r="V697" s="1135"/>
      <c r="W697" s="1135"/>
      <c r="X697" s="1136"/>
      <c r="Y697" s="1173">
        <v>149</v>
      </c>
      <c r="Z697" s="1174"/>
      <c r="AA697" s="1174"/>
      <c r="AB697" s="1175"/>
      <c r="AC697" s="1134">
        <f t="shared" si="31"/>
        <v>1923</v>
      </c>
      <c r="AD697" s="1135"/>
      <c r="AE697" s="1135"/>
      <c r="AF697" s="1135"/>
      <c r="AG697" s="1136"/>
      <c r="AH697" s="1164">
        <v>0.5</v>
      </c>
      <c r="AI697" s="1165"/>
      <c r="AJ697" s="1165"/>
      <c r="AK697" s="1165"/>
      <c r="AL697" s="1166"/>
      <c r="AM697" s="1131">
        <f t="shared" si="32"/>
        <v>0.5</v>
      </c>
      <c r="AN697" s="1132"/>
      <c r="AO697" s="1133"/>
      <c r="BA697" s="33" t="str">
        <f t="shared" si="26"/>
        <v>N/A</v>
      </c>
      <c r="BB697" s="33"/>
      <c r="BC697" s="33"/>
      <c r="BD697" s="33"/>
      <c r="BE697" s="33"/>
      <c r="BF697" s="33"/>
      <c r="BG697" s="880">
        <f t="shared" si="27"/>
        <v>0</v>
      </c>
      <c r="BH697" s="878">
        <f t="shared" si="28"/>
        <v>0</v>
      </c>
      <c r="BI697" s="879" t="str">
        <f t="shared" si="29"/>
        <v xml:space="preserve"> </v>
      </c>
      <c r="BJ697" s="33"/>
      <c r="BK697" s="33"/>
      <c r="BL697" s="33"/>
      <c r="BM697" s="33"/>
      <c r="BN697" s="33"/>
      <c r="BO697" s="33"/>
      <c r="BP697" s="435" t="s">
        <v>880</v>
      </c>
      <c r="BQ697" s="434">
        <v>1486</v>
      </c>
      <c r="BR697" s="434">
        <v>1592</v>
      </c>
      <c r="BS697" s="434">
        <v>1912</v>
      </c>
      <c r="BT697" s="434">
        <v>2210</v>
      </c>
      <c r="BU697" s="434">
        <v>2464</v>
      </c>
      <c r="BV697" s="434">
        <v>2720</v>
      </c>
      <c r="BX697" s="33"/>
      <c r="BY697" s="33"/>
      <c r="BZ697" s="33"/>
      <c r="CA697" s="33"/>
      <c r="CB697" s="33"/>
      <c r="CC697" s="33"/>
      <c r="CD697" s="33"/>
      <c r="CE697" s="33"/>
      <c r="CF697" s="33"/>
      <c r="CG697" s="33"/>
      <c r="CH697" s="33"/>
      <c r="CI697" s="33"/>
      <c r="CJ697" s="33"/>
      <c r="CK697" s="33"/>
      <c r="CL697" s="33"/>
      <c r="CM697" s="33"/>
      <c r="CN697" s="33"/>
      <c r="CO697" s="33"/>
      <c r="CP697" s="33"/>
      <c r="CQ697" s="33"/>
    </row>
    <row r="698" spans="1:96" ht="12.95" customHeight="1">
      <c r="B698" s="1205" t="s">
        <v>1423</v>
      </c>
      <c r="C698" s="1206"/>
      <c r="D698" s="1206"/>
      <c r="E698" s="1206"/>
      <c r="F698" s="1207"/>
      <c r="G698" s="1176">
        <v>8</v>
      </c>
      <c r="H698" s="1177"/>
      <c r="I698" s="1177"/>
      <c r="J698" s="1178"/>
      <c r="K698" s="1170">
        <v>1328</v>
      </c>
      <c r="L698" s="1171"/>
      <c r="M698" s="1171"/>
      <c r="N698" s="1172"/>
      <c r="O698" s="1161">
        <f>[1]EVERYTHING!$Q$22</f>
        <v>2158</v>
      </c>
      <c r="P698" s="1162"/>
      <c r="Q698" s="1162"/>
      <c r="R698" s="1162"/>
      <c r="S698" s="1163"/>
      <c r="T698" s="1134">
        <f t="shared" si="30"/>
        <v>17264</v>
      </c>
      <c r="U698" s="1135"/>
      <c r="V698" s="1135"/>
      <c r="W698" s="1135"/>
      <c r="X698" s="1136"/>
      <c r="Y698" s="1173">
        <v>149</v>
      </c>
      <c r="Z698" s="1174"/>
      <c r="AA698" s="1174"/>
      <c r="AB698" s="1175"/>
      <c r="AC698" s="1134">
        <f t="shared" si="31"/>
        <v>2307</v>
      </c>
      <c r="AD698" s="1135"/>
      <c r="AE698" s="1135"/>
      <c r="AF698" s="1135"/>
      <c r="AG698" s="1136"/>
      <c r="AH698" s="1164">
        <v>0.6</v>
      </c>
      <c r="AI698" s="1165"/>
      <c r="AJ698" s="1165"/>
      <c r="AK698" s="1165"/>
      <c r="AL698" s="1166"/>
      <c r="AM698" s="1131">
        <f t="shared" si="32"/>
        <v>0.59984399375975039</v>
      </c>
      <c r="AN698" s="1132"/>
      <c r="AO698" s="1133"/>
      <c r="BA698" s="33" t="str">
        <f t="shared" si="26"/>
        <v>N/A</v>
      </c>
      <c r="BB698" s="33"/>
      <c r="BC698" s="33"/>
      <c r="BD698" s="33"/>
      <c r="BE698" s="33"/>
      <c r="BF698" s="33"/>
      <c r="BG698" s="880">
        <f t="shared" si="27"/>
        <v>0</v>
      </c>
      <c r="BH698" s="878">
        <f t="shared" si="28"/>
        <v>0</v>
      </c>
      <c r="BI698" s="879" t="str">
        <f t="shared" si="29"/>
        <v xml:space="preserve"> </v>
      </c>
      <c r="BJ698" s="33"/>
      <c r="BK698" s="33"/>
      <c r="BL698" s="33"/>
      <c r="BM698" s="33"/>
      <c r="BN698" s="33"/>
      <c r="BO698" s="33"/>
      <c r="BP698" s="435" t="s">
        <v>883</v>
      </c>
      <c r="BQ698" s="434">
        <v>1444</v>
      </c>
      <c r="BR698" s="434">
        <v>1546</v>
      </c>
      <c r="BS698" s="434">
        <v>1856</v>
      </c>
      <c r="BT698" s="434">
        <v>2144</v>
      </c>
      <c r="BU698" s="434">
        <v>2392</v>
      </c>
      <c r="BV698" s="434">
        <v>2640</v>
      </c>
      <c r="BX698" s="33"/>
      <c r="BY698" s="33"/>
      <c r="BZ698" s="33"/>
      <c r="CA698" s="33"/>
      <c r="CB698" s="33"/>
      <c r="CC698" s="33"/>
      <c r="CD698" s="33"/>
      <c r="CE698" s="33"/>
      <c r="CF698" s="33"/>
      <c r="CG698" s="33"/>
      <c r="CH698" s="33"/>
      <c r="CI698" s="33"/>
      <c r="CJ698" s="33"/>
      <c r="CK698" s="33"/>
      <c r="CL698" s="33"/>
      <c r="CM698" s="33"/>
      <c r="CN698" s="33"/>
      <c r="CO698" s="33"/>
      <c r="CP698" s="33"/>
    </row>
    <row r="699" spans="1:96" ht="12.95" customHeight="1">
      <c r="B699" s="1205"/>
      <c r="C699" s="1206"/>
      <c r="D699" s="1206"/>
      <c r="E699" s="1206"/>
      <c r="F699" s="1207"/>
      <c r="G699" s="1176"/>
      <c r="H699" s="1177"/>
      <c r="I699" s="1177"/>
      <c r="J699" s="1178"/>
      <c r="K699" s="1158"/>
      <c r="L699" s="1159"/>
      <c r="M699" s="1159"/>
      <c r="N699" s="1160"/>
      <c r="O699" s="1161"/>
      <c r="P699" s="1162"/>
      <c r="Q699" s="1162"/>
      <c r="R699" s="1162"/>
      <c r="S699" s="1163"/>
      <c r="T699" s="1134">
        <f t="shared" si="30"/>
        <v>0</v>
      </c>
      <c r="U699" s="1135"/>
      <c r="V699" s="1135"/>
      <c r="W699" s="1135"/>
      <c r="X699" s="1136"/>
      <c r="Y699" s="1161"/>
      <c r="Z699" s="1162"/>
      <c r="AA699" s="1162"/>
      <c r="AB699" s="1163"/>
      <c r="AC699" s="1134">
        <f t="shared" si="31"/>
        <v>0</v>
      </c>
      <c r="AD699" s="1135"/>
      <c r="AE699" s="1135"/>
      <c r="AF699" s="1135"/>
      <c r="AG699" s="1136"/>
      <c r="AH699" s="1164"/>
      <c r="AI699" s="1165"/>
      <c r="AJ699" s="1165"/>
      <c r="AK699" s="1165"/>
      <c r="AL699" s="1166"/>
      <c r="AM699" s="1131" t="str">
        <f t="shared" si="32"/>
        <v xml:space="preserve"> </v>
      </c>
      <c r="AN699" s="1132"/>
      <c r="AO699" s="1133"/>
      <c r="BA699" s="33" t="str">
        <f t="shared" si="26"/>
        <v>N/A</v>
      </c>
      <c r="BB699" s="33"/>
      <c r="BC699" s="33"/>
      <c r="BD699" s="33"/>
      <c r="BE699" s="33"/>
      <c r="BF699" s="33"/>
      <c r="BG699" s="880">
        <f t="shared" si="27"/>
        <v>0</v>
      </c>
      <c r="BH699" s="878">
        <f t="shared" si="28"/>
        <v>0</v>
      </c>
      <c r="BI699" s="879" t="str">
        <f t="shared" si="29"/>
        <v xml:space="preserve"> </v>
      </c>
      <c r="BJ699" s="33"/>
      <c r="BK699" s="33"/>
      <c r="BL699" s="33"/>
      <c r="BM699" s="33"/>
      <c r="BN699" s="33"/>
      <c r="BO699" s="33"/>
      <c r="BP699" s="435" t="s">
        <v>886</v>
      </c>
      <c r="BQ699" s="434">
        <v>1444</v>
      </c>
      <c r="BR699" s="434">
        <v>1546</v>
      </c>
      <c r="BS699" s="434">
        <v>1856</v>
      </c>
      <c r="BT699" s="434">
        <v>2144</v>
      </c>
      <c r="BU699" s="434">
        <v>2392</v>
      </c>
      <c r="BV699" s="434">
        <v>2640</v>
      </c>
      <c r="BX699" s="33"/>
      <c r="BY699" s="33"/>
      <c r="BZ699" s="33"/>
      <c r="CA699" s="33"/>
      <c r="CB699" s="33"/>
      <c r="CC699" s="33"/>
      <c r="CD699" s="33"/>
      <c r="CE699" s="33"/>
      <c r="CF699" s="33"/>
      <c r="CG699" s="33"/>
      <c r="CH699" s="33"/>
      <c r="CI699" s="33"/>
      <c r="CJ699" s="33"/>
      <c r="CK699" s="33"/>
      <c r="CL699" s="33"/>
      <c r="CM699" s="33"/>
      <c r="CN699" s="33"/>
      <c r="CO699" s="33"/>
      <c r="CP699" s="33"/>
    </row>
    <row r="700" spans="1:96" ht="12.95" customHeight="1">
      <c r="B700" s="1205"/>
      <c r="C700" s="1206"/>
      <c r="D700" s="1206"/>
      <c r="E700" s="1206"/>
      <c r="F700" s="1207"/>
      <c r="G700" s="1176"/>
      <c r="H700" s="1177"/>
      <c r="I700" s="1177"/>
      <c r="J700" s="1178"/>
      <c r="K700" s="1158"/>
      <c r="L700" s="1159"/>
      <c r="M700" s="1159"/>
      <c r="N700" s="1160"/>
      <c r="O700" s="1161"/>
      <c r="P700" s="1162"/>
      <c r="Q700" s="1162"/>
      <c r="R700" s="1162"/>
      <c r="S700" s="1163"/>
      <c r="T700" s="1134">
        <f t="shared" si="30"/>
        <v>0</v>
      </c>
      <c r="U700" s="1135"/>
      <c r="V700" s="1135"/>
      <c r="W700" s="1135"/>
      <c r="X700" s="1136"/>
      <c r="Y700" s="1161"/>
      <c r="Z700" s="1162"/>
      <c r="AA700" s="1162"/>
      <c r="AB700" s="1163"/>
      <c r="AC700" s="1134">
        <f t="shared" si="31"/>
        <v>0</v>
      </c>
      <c r="AD700" s="1135"/>
      <c r="AE700" s="1135"/>
      <c r="AF700" s="1135"/>
      <c r="AG700" s="1136"/>
      <c r="AH700" s="1164"/>
      <c r="AI700" s="1165"/>
      <c r="AJ700" s="1165"/>
      <c r="AK700" s="1165"/>
      <c r="AL700" s="1166"/>
      <c r="AM700" s="1131" t="str">
        <f t="shared" si="32"/>
        <v xml:space="preserve"> </v>
      </c>
      <c r="AN700" s="1132"/>
      <c r="AO700" s="1133"/>
      <c r="BA700" s="33"/>
      <c r="BB700" s="33"/>
      <c r="BC700" s="33"/>
      <c r="BD700" s="33"/>
      <c r="BE700" s="33"/>
      <c r="BF700" s="33"/>
      <c r="BG700" s="881">
        <f t="shared" si="27"/>
        <v>0</v>
      </c>
      <c r="BH700" s="882">
        <f t="shared" si="28"/>
        <v>0</v>
      </c>
      <c r="BI700" s="879" t="str">
        <f t="shared" si="29"/>
        <v xml:space="preserve"> </v>
      </c>
      <c r="BJ700" s="33"/>
      <c r="BK700" s="33"/>
      <c r="BL700" s="33"/>
      <c r="BM700" s="33"/>
      <c r="BN700" s="33"/>
      <c r="BO700" s="33"/>
      <c r="BP700" s="435" t="s">
        <v>888</v>
      </c>
      <c r="BQ700" s="434">
        <v>1486</v>
      </c>
      <c r="BR700" s="434">
        <v>1592</v>
      </c>
      <c r="BS700" s="434">
        <v>1912</v>
      </c>
      <c r="BT700" s="434">
        <v>2210</v>
      </c>
      <c r="BU700" s="434">
        <v>2464</v>
      </c>
      <c r="BV700" s="434">
        <v>2720</v>
      </c>
      <c r="BX700" s="33"/>
      <c r="BY700" s="33"/>
      <c r="BZ700" s="33"/>
      <c r="CA700" s="33"/>
      <c r="CB700" s="33"/>
      <c r="CC700" s="33"/>
      <c r="CD700" s="33"/>
      <c r="CE700" s="33"/>
      <c r="CF700" s="33"/>
      <c r="CG700" s="33"/>
      <c r="CH700" s="33"/>
      <c r="CI700" s="33"/>
      <c r="CJ700" s="33"/>
      <c r="CK700" s="33"/>
      <c r="CL700" s="33"/>
      <c r="CM700" s="33"/>
      <c r="CN700" s="33"/>
      <c r="CO700" s="33"/>
      <c r="CP700" s="33"/>
    </row>
    <row r="701" spans="1:96" ht="12.95" customHeight="1">
      <c r="A701" s="33"/>
      <c r="B701" s="1205"/>
      <c r="C701" s="1206"/>
      <c r="D701" s="1206"/>
      <c r="E701" s="1206"/>
      <c r="F701" s="1207"/>
      <c r="G701" s="1176"/>
      <c r="H701" s="1177"/>
      <c r="I701" s="1177"/>
      <c r="J701" s="1178"/>
      <c r="K701" s="1158"/>
      <c r="L701" s="1159"/>
      <c r="M701" s="1159"/>
      <c r="N701" s="1160"/>
      <c r="O701" s="1161"/>
      <c r="P701" s="1162"/>
      <c r="Q701" s="1162"/>
      <c r="R701" s="1162"/>
      <c r="S701" s="1163"/>
      <c r="T701" s="1134">
        <f t="shared" si="30"/>
        <v>0</v>
      </c>
      <c r="U701" s="1135"/>
      <c r="V701" s="1135"/>
      <c r="W701" s="1135"/>
      <c r="X701" s="1136"/>
      <c r="Y701" s="1161"/>
      <c r="Z701" s="1162"/>
      <c r="AA701" s="1162"/>
      <c r="AB701" s="1163"/>
      <c r="AC701" s="1134">
        <f t="shared" si="31"/>
        <v>0</v>
      </c>
      <c r="AD701" s="1135"/>
      <c r="AE701" s="1135"/>
      <c r="AF701" s="1135"/>
      <c r="AG701" s="1136"/>
      <c r="AH701" s="1164"/>
      <c r="AI701" s="1165"/>
      <c r="AJ701" s="1165"/>
      <c r="AK701" s="1165"/>
      <c r="AL701" s="1166"/>
      <c r="AM701" s="1131" t="str">
        <f t="shared" si="32"/>
        <v xml:space="preserve"> </v>
      </c>
      <c r="AN701" s="1132"/>
      <c r="AO701" s="1133"/>
      <c r="BA701" s="33"/>
      <c r="BB701" s="33"/>
      <c r="BC701" s="33"/>
      <c r="BD701" s="33"/>
      <c r="BE701" s="722"/>
      <c r="BF701" s="836" t="s">
        <v>1482</v>
      </c>
      <c r="BG701" s="328">
        <f>SUM(BG676:BG700)</f>
        <v>42</v>
      </c>
      <c r="BH701" s="329">
        <f>SUM(BH676:BH700)</f>
        <v>1</v>
      </c>
      <c r="BI701" s="329">
        <f>SUM(BI676:BI700)</f>
        <v>0.45714285714285713</v>
      </c>
      <c r="BJ701" s="33"/>
      <c r="BK701" s="33"/>
      <c r="BL701" s="33"/>
      <c r="BM701" s="33"/>
      <c r="BN701" s="33"/>
      <c r="BO701" s="33"/>
      <c r="BP701" s="435" t="s">
        <v>891</v>
      </c>
      <c r="BQ701" s="434">
        <v>2106</v>
      </c>
      <c r="BR701" s="434">
        <v>2258</v>
      </c>
      <c r="BS701" s="434">
        <v>2710</v>
      </c>
      <c r="BT701" s="434">
        <v>3130</v>
      </c>
      <c r="BU701" s="434">
        <v>3492</v>
      </c>
      <c r="BV701" s="434">
        <v>3852</v>
      </c>
      <c r="BX701" s="33"/>
      <c r="BY701" s="33"/>
      <c r="BZ701" s="33"/>
      <c r="CA701" s="33"/>
      <c r="CB701" s="33"/>
      <c r="CC701" s="33"/>
      <c r="CD701" s="33"/>
      <c r="CE701" s="33"/>
      <c r="CF701" s="33"/>
      <c r="CG701" s="33"/>
      <c r="CH701" s="33"/>
      <c r="CI701" s="33"/>
      <c r="CJ701" s="33"/>
      <c r="CK701" s="33"/>
      <c r="CL701" s="33"/>
      <c r="CM701" s="33"/>
      <c r="CN701" s="33"/>
      <c r="CO701" s="33"/>
      <c r="CP701" s="33"/>
      <c r="CQ701" s="33"/>
      <c r="CR701" s="33"/>
    </row>
    <row r="702" spans="1:96" ht="12.95" customHeight="1">
      <c r="A702" s="33"/>
      <c r="B702" s="1205"/>
      <c r="C702" s="1206"/>
      <c r="D702" s="1206"/>
      <c r="E702" s="1206"/>
      <c r="F702" s="1207"/>
      <c r="G702" s="1176"/>
      <c r="H702" s="1177"/>
      <c r="I702" s="1177"/>
      <c r="J702" s="1178"/>
      <c r="K702" s="1158"/>
      <c r="L702" s="1159"/>
      <c r="M702" s="1159"/>
      <c r="N702" s="1160"/>
      <c r="O702" s="1161"/>
      <c r="P702" s="1162"/>
      <c r="Q702" s="1162"/>
      <c r="R702" s="1162"/>
      <c r="S702" s="1163"/>
      <c r="T702" s="1134">
        <f t="shared" si="30"/>
        <v>0</v>
      </c>
      <c r="U702" s="1135"/>
      <c r="V702" s="1135"/>
      <c r="W702" s="1135"/>
      <c r="X702" s="1136"/>
      <c r="Y702" s="1161"/>
      <c r="Z702" s="1162"/>
      <c r="AA702" s="1162"/>
      <c r="AB702" s="1163"/>
      <c r="AC702" s="1134">
        <f t="shared" si="31"/>
        <v>0</v>
      </c>
      <c r="AD702" s="1135"/>
      <c r="AE702" s="1135"/>
      <c r="AF702" s="1135"/>
      <c r="AG702" s="1136"/>
      <c r="AH702" s="1164"/>
      <c r="AI702" s="1165"/>
      <c r="AJ702" s="1165"/>
      <c r="AK702" s="1165"/>
      <c r="AL702" s="1166"/>
      <c r="AM702" s="1131" t="str">
        <f t="shared" si="32"/>
        <v xml:space="preserve"> </v>
      </c>
      <c r="AN702" s="1132"/>
      <c r="AO702" s="1133"/>
      <c r="BA702" s="33"/>
      <c r="BB702" s="33"/>
      <c r="BC702" s="33"/>
      <c r="BD702" s="33"/>
      <c r="BE702" s="33"/>
      <c r="BF702" s="33"/>
      <c r="BG702" s="33"/>
      <c r="BH702" s="33"/>
      <c r="BI702" s="33"/>
      <c r="BJ702" s="33"/>
      <c r="BK702" s="33"/>
      <c r="BL702" s="33"/>
      <c r="BM702" s="33"/>
      <c r="BN702" s="33"/>
      <c r="BO702" s="33"/>
      <c r="BP702" s="435" t="s">
        <v>895</v>
      </c>
      <c r="BQ702" s="434">
        <v>2336</v>
      </c>
      <c r="BR702" s="434">
        <v>2502</v>
      </c>
      <c r="BS702" s="434">
        <v>3004</v>
      </c>
      <c r="BT702" s="434">
        <v>3470</v>
      </c>
      <c r="BU702" s="434">
        <v>3872</v>
      </c>
      <c r="BV702" s="434">
        <v>4272</v>
      </c>
      <c r="BX702" s="33"/>
      <c r="BY702" s="33"/>
      <c r="BZ702" s="33"/>
      <c r="CA702" s="33"/>
      <c r="CB702" s="33"/>
      <c r="CC702" s="33"/>
      <c r="CD702" s="33"/>
      <c r="CE702" s="33"/>
      <c r="CF702" s="33"/>
      <c r="CG702" s="33"/>
      <c r="CH702" s="33"/>
      <c r="CI702" s="33"/>
      <c r="CJ702" s="33"/>
      <c r="CK702" s="33"/>
      <c r="CL702" s="33"/>
      <c r="CM702" s="33"/>
      <c r="CN702" s="33"/>
      <c r="CO702" s="33"/>
      <c r="CP702" s="33"/>
      <c r="CQ702" s="33"/>
      <c r="CR702" s="33"/>
    </row>
    <row r="703" spans="1:96" ht="12.95" customHeight="1">
      <c r="A703" s="33"/>
      <c r="B703" s="1205"/>
      <c r="C703" s="1206"/>
      <c r="D703" s="1206"/>
      <c r="E703" s="1206"/>
      <c r="F703" s="1207"/>
      <c r="G703" s="1176"/>
      <c r="H703" s="1177"/>
      <c r="I703" s="1177"/>
      <c r="J703" s="1178"/>
      <c r="K703" s="1158"/>
      <c r="L703" s="1159"/>
      <c r="M703" s="1159"/>
      <c r="N703" s="1160"/>
      <c r="O703" s="1161"/>
      <c r="P703" s="1162"/>
      <c r="Q703" s="1162"/>
      <c r="R703" s="1162"/>
      <c r="S703" s="1163"/>
      <c r="T703" s="1134">
        <f t="shared" si="30"/>
        <v>0</v>
      </c>
      <c r="U703" s="1135"/>
      <c r="V703" s="1135"/>
      <c r="W703" s="1135"/>
      <c r="X703" s="1136"/>
      <c r="Y703" s="1161"/>
      <c r="Z703" s="1162"/>
      <c r="AA703" s="1162"/>
      <c r="AB703" s="1163"/>
      <c r="AC703" s="1134">
        <f t="shared" si="31"/>
        <v>0</v>
      </c>
      <c r="AD703" s="1135"/>
      <c r="AE703" s="1135"/>
      <c r="AF703" s="1135"/>
      <c r="AG703" s="1136"/>
      <c r="AH703" s="1164"/>
      <c r="AI703" s="1165"/>
      <c r="AJ703" s="1165"/>
      <c r="AK703" s="1165"/>
      <c r="AL703" s="1166"/>
      <c r="AM703" s="1131" t="str">
        <f t="shared" si="32"/>
        <v xml:space="preserve"> </v>
      </c>
      <c r="AN703" s="1132"/>
      <c r="AO703" s="1133"/>
      <c r="BA703" s="33"/>
      <c r="BB703" s="33"/>
      <c r="BC703" s="33"/>
      <c r="BD703" s="33"/>
      <c r="BE703" s="33"/>
      <c r="BF703" s="33"/>
      <c r="BG703" s="33"/>
      <c r="BH703" s="33"/>
      <c r="BI703" s="33"/>
      <c r="BJ703" s="33"/>
      <c r="BK703" s="33"/>
      <c r="BL703" s="33"/>
      <c r="BM703" s="33"/>
      <c r="BN703" s="33"/>
      <c r="BO703" s="33"/>
      <c r="BP703" s="435" t="s">
        <v>900</v>
      </c>
      <c r="BQ703" s="434">
        <v>1824</v>
      </c>
      <c r="BR703" s="434">
        <v>1954</v>
      </c>
      <c r="BS703" s="434">
        <v>2344</v>
      </c>
      <c r="BT703" s="434">
        <v>2710</v>
      </c>
      <c r="BU703" s="434">
        <v>3022</v>
      </c>
      <c r="BV703" s="434">
        <v>3336</v>
      </c>
      <c r="BX703" s="33"/>
      <c r="BY703" s="33"/>
      <c r="BZ703" s="33"/>
      <c r="CA703" s="33"/>
      <c r="CB703" s="33"/>
      <c r="CC703" s="33"/>
      <c r="CD703" s="33"/>
      <c r="CE703" s="33"/>
      <c r="CF703" s="33"/>
      <c r="CG703" s="33"/>
      <c r="CH703" s="33"/>
      <c r="CI703" s="33"/>
      <c r="CJ703" s="33"/>
      <c r="CK703" s="33"/>
      <c r="CL703" s="33"/>
      <c r="CM703" s="33"/>
      <c r="CN703" s="33"/>
      <c r="CO703" s="33"/>
      <c r="CP703" s="33"/>
      <c r="CQ703" s="33"/>
      <c r="CR703" s="33"/>
    </row>
    <row r="704" spans="1:96" ht="12.95" customHeight="1">
      <c r="B704" s="1205"/>
      <c r="C704" s="1206"/>
      <c r="D704" s="1206"/>
      <c r="E704" s="1206"/>
      <c r="F704" s="1207"/>
      <c r="G704" s="1176"/>
      <c r="H704" s="1177"/>
      <c r="I704" s="1177"/>
      <c r="J704" s="1178"/>
      <c r="K704" s="1158"/>
      <c r="L704" s="1159"/>
      <c r="M704" s="1159"/>
      <c r="N704" s="1160"/>
      <c r="O704" s="1161"/>
      <c r="P704" s="1162"/>
      <c r="Q704" s="1162"/>
      <c r="R704" s="1162"/>
      <c r="S704" s="1163"/>
      <c r="T704" s="1134">
        <f t="shared" si="30"/>
        <v>0</v>
      </c>
      <c r="U704" s="1135"/>
      <c r="V704" s="1135"/>
      <c r="W704" s="1135"/>
      <c r="X704" s="1136"/>
      <c r="Y704" s="1161"/>
      <c r="Z704" s="1162"/>
      <c r="AA704" s="1162"/>
      <c r="AB704" s="1163"/>
      <c r="AC704" s="1134">
        <f t="shared" si="31"/>
        <v>0</v>
      </c>
      <c r="AD704" s="1135"/>
      <c r="AE704" s="1135"/>
      <c r="AF704" s="1135"/>
      <c r="AG704" s="1136"/>
      <c r="AH704" s="1164"/>
      <c r="AI704" s="1165"/>
      <c r="AJ704" s="1165"/>
      <c r="AK704" s="1165"/>
      <c r="AL704" s="1166"/>
      <c r="AM704" s="1131" t="str">
        <f t="shared" si="32"/>
        <v xml:space="preserve"> </v>
      </c>
      <c r="AN704" s="1132"/>
      <c r="AO704" s="1133"/>
      <c r="BA704" s="33"/>
      <c r="BB704" s="33"/>
      <c r="BC704" s="33"/>
      <c r="BD704" s="33"/>
      <c r="BE704" s="33"/>
      <c r="BF704" s="33"/>
      <c r="BG704" s="33"/>
      <c r="BH704" s="33"/>
      <c r="BI704" s="33"/>
      <c r="BJ704" s="33"/>
      <c r="BK704" s="33"/>
      <c r="BL704" s="33"/>
      <c r="BM704" s="33"/>
      <c r="BN704" s="33"/>
      <c r="BO704" s="33"/>
      <c r="BP704" s="435" t="s">
        <v>903</v>
      </c>
      <c r="BQ704" s="434">
        <v>2512</v>
      </c>
      <c r="BR704" s="434">
        <v>2690</v>
      </c>
      <c r="BS704" s="434">
        <v>3230</v>
      </c>
      <c r="BT704" s="434">
        <v>3730</v>
      </c>
      <c r="BU704" s="434">
        <v>4162</v>
      </c>
      <c r="BV704" s="434">
        <v>4592</v>
      </c>
      <c r="BX704" s="33"/>
      <c r="BY704" s="33"/>
      <c r="BZ704" s="33"/>
      <c r="CA704" s="33"/>
      <c r="CB704" s="33"/>
      <c r="CC704" s="33"/>
      <c r="CD704" s="33"/>
      <c r="CE704" s="33"/>
      <c r="CF704" s="33"/>
      <c r="CG704" s="33"/>
      <c r="CH704" s="33"/>
      <c r="CI704" s="33"/>
      <c r="CJ704" s="33"/>
      <c r="CK704" s="33"/>
      <c r="CL704" s="33"/>
      <c r="CM704" s="33"/>
      <c r="CN704" s="33"/>
      <c r="CO704" s="33"/>
      <c r="CP704" s="33"/>
      <c r="CQ704" s="33"/>
      <c r="CR704" s="33"/>
    </row>
    <row r="705" spans="2:97" ht="12.95" customHeight="1">
      <c r="B705" s="1205"/>
      <c r="C705" s="1206"/>
      <c r="D705" s="1206"/>
      <c r="E705" s="1206"/>
      <c r="F705" s="1207"/>
      <c r="G705" s="1176"/>
      <c r="H705" s="1177"/>
      <c r="I705" s="1177"/>
      <c r="J705" s="1178"/>
      <c r="K705" s="1158"/>
      <c r="L705" s="1159"/>
      <c r="M705" s="1159"/>
      <c r="N705" s="1160"/>
      <c r="O705" s="1161"/>
      <c r="P705" s="1162"/>
      <c r="Q705" s="1162"/>
      <c r="R705" s="1162"/>
      <c r="S705" s="1163"/>
      <c r="T705" s="1134">
        <f t="shared" si="30"/>
        <v>0</v>
      </c>
      <c r="U705" s="1135"/>
      <c r="V705" s="1135"/>
      <c r="W705" s="1135"/>
      <c r="X705" s="1136"/>
      <c r="Y705" s="1161"/>
      <c r="Z705" s="1162"/>
      <c r="AA705" s="1162"/>
      <c r="AB705" s="1163"/>
      <c r="AC705" s="1134">
        <f t="shared" si="31"/>
        <v>0</v>
      </c>
      <c r="AD705" s="1135"/>
      <c r="AE705" s="1135"/>
      <c r="AF705" s="1135"/>
      <c r="AG705" s="1136"/>
      <c r="AH705" s="1164"/>
      <c r="AI705" s="1165"/>
      <c r="AJ705" s="1165"/>
      <c r="AK705" s="1165"/>
      <c r="AL705" s="1166"/>
      <c r="AM705" s="1131" t="str">
        <f t="shared" si="32"/>
        <v xml:space="preserve"> </v>
      </c>
      <c r="AN705" s="1132"/>
      <c r="AO705" s="1133"/>
      <c r="BA705" s="33"/>
      <c r="BB705" s="33"/>
      <c r="BC705" s="33"/>
      <c r="BD705" s="33"/>
      <c r="BE705" s="33"/>
      <c r="BF705" s="33"/>
      <c r="BG705" s="653" t="s">
        <v>1483</v>
      </c>
      <c r="BH705" s="654"/>
      <c r="BI705" s="654"/>
      <c r="BJ705" s="33"/>
      <c r="BK705" s="33"/>
      <c r="BL705" s="33"/>
      <c r="BM705" s="33"/>
      <c r="BN705" s="33"/>
      <c r="BO705" s="33"/>
      <c r="BP705" s="435" t="s">
        <v>905</v>
      </c>
      <c r="BQ705" s="434">
        <v>1876</v>
      </c>
      <c r="BR705" s="434">
        <v>2010</v>
      </c>
      <c r="BS705" s="434">
        <v>2412</v>
      </c>
      <c r="BT705" s="434">
        <v>2786</v>
      </c>
      <c r="BU705" s="434">
        <v>3110</v>
      </c>
      <c r="BV705" s="434">
        <v>3432</v>
      </c>
      <c r="BX705" s="33"/>
      <c r="BY705" s="33"/>
      <c r="BZ705" s="33"/>
      <c r="CA705" s="33"/>
      <c r="CB705" s="33"/>
      <c r="CC705" s="33"/>
      <c r="CD705" s="33"/>
      <c r="CE705" s="33"/>
      <c r="CF705" s="33"/>
      <c r="CG705" s="33"/>
      <c r="CH705" s="33"/>
      <c r="CI705" s="33"/>
      <c r="CJ705" s="33"/>
      <c r="CK705" s="33"/>
      <c r="CL705" s="33"/>
      <c r="CM705" s="33"/>
      <c r="CN705" s="33"/>
      <c r="CO705" s="33"/>
      <c r="CP705" s="33"/>
      <c r="CQ705" s="33"/>
      <c r="CR705" s="33"/>
    </row>
    <row r="706" spans="2:97" ht="12.95" customHeight="1">
      <c r="B706" s="1205"/>
      <c r="C706" s="1206"/>
      <c r="D706" s="1206"/>
      <c r="E706" s="1206"/>
      <c r="F706" s="1207"/>
      <c r="G706" s="1176"/>
      <c r="H706" s="1177"/>
      <c r="I706" s="1177"/>
      <c r="J706" s="1178"/>
      <c r="K706" s="1158"/>
      <c r="L706" s="1159"/>
      <c r="M706" s="1159"/>
      <c r="N706" s="1160"/>
      <c r="O706" s="1161"/>
      <c r="P706" s="1162"/>
      <c r="Q706" s="1162"/>
      <c r="R706" s="1162"/>
      <c r="S706" s="1163"/>
      <c r="T706" s="1134">
        <f t="shared" si="30"/>
        <v>0</v>
      </c>
      <c r="U706" s="1135"/>
      <c r="V706" s="1135"/>
      <c r="W706" s="1135"/>
      <c r="X706" s="1136"/>
      <c r="Y706" s="1161"/>
      <c r="Z706" s="1162"/>
      <c r="AA706" s="1162"/>
      <c r="AB706" s="1163"/>
      <c r="AC706" s="1134">
        <f t="shared" si="31"/>
        <v>0</v>
      </c>
      <c r="AD706" s="1135"/>
      <c r="AE706" s="1135"/>
      <c r="AF706" s="1135"/>
      <c r="AG706" s="1136"/>
      <c r="AH706" s="1164"/>
      <c r="AI706" s="1165"/>
      <c r="AJ706" s="1165"/>
      <c r="AK706" s="1165"/>
      <c r="AL706" s="1166"/>
      <c r="AM706" s="1131" t="str">
        <f t="shared" si="32"/>
        <v xml:space="preserve"> </v>
      </c>
      <c r="AN706" s="1132"/>
      <c r="AO706" s="1133"/>
      <c r="BA706" s="33"/>
      <c r="BB706" s="33"/>
      <c r="BC706" s="33"/>
      <c r="BD706" s="33"/>
      <c r="BE706" s="33"/>
      <c r="BF706" s="33"/>
      <c r="BG706" s="655" t="s">
        <v>1468</v>
      </c>
      <c r="BH706" s="656" t="s">
        <v>1469</v>
      </c>
      <c r="BI706" s="657" t="s">
        <v>1470</v>
      </c>
      <c r="BJ706" s="33"/>
      <c r="BK706" s="33"/>
      <c r="BL706" s="33"/>
      <c r="BM706" s="33"/>
      <c r="BN706" s="33"/>
      <c r="BO706" s="33"/>
      <c r="BP706" s="435" t="s">
        <v>907</v>
      </c>
      <c r="BQ706" s="434">
        <v>1466</v>
      </c>
      <c r="BR706" s="434">
        <v>1572</v>
      </c>
      <c r="BS706" s="434">
        <v>1886</v>
      </c>
      <c r="BT706" s="434">
        <v>2180</v>
      </c>
      <c r="BU706" s="434">
        <v>2432</v>
      </c>
      <c r="BV706" s="434">
        <v>2682</v>
      </c>
      <c r="BX706" s="33"/>
      <c r="BY706" s="33"/>
      <c r="BZ706" s="33"/>
      <c r="CA706" s="33"/>
      <c r="CB706" s="33"/>
      <c r="CC706" s="33"/>
      <c r="CD706" s="33"/>
      <c r="CE706" s="33"/>
      <c r="CF706" s="33"/>
      <c r="CG706" s="33"/>
      <c r="CH706" s="33"/>
      <c r="CI706" s="33"/>
      <c r="CJ706" s="33"/>
      <c r="CK706" s="33"/>
      <c r="CL706" s="33"/>
      <c r="CM706" s="33"/>
      <c r="CN706" s="33"/>
      <c r="CO706" s="33"/>
      <c r="CP706" s="33"/>
      <c r="CQ706" s="33"/>
      <c r="CR706" s="33"/>
    </row>
    <row r="707" spans="2:97" ht="12.95" customHeight="1">
      <c r="B707" s="1205"/>
      <c r="C707" s="1206"/>
      <c r="D707" s="1206"/>
      <c r="E707" s="1206"/>
      <c r="F707" s="1207"/>
      <c r="G707" s="1176"/>
      <c r="H707" s="1177"/>
      <c r="I707" s="1177"/>
      <c r="J707" s="1178"/>
      <c r="K707" s="1158"/>
      <c r="L707" s="1159"/>
      <c r="M707" s="1159"/>
      <c r="N707" s="1160"/>
      <c r="O707" s="1161"/>
      <c r="P707" s="1162"/>
      <c r="Q707" s="1162"/>
      <c r="R707" s="1162"/>
      <c r="S707" s="1163"/>
      <c r="T707" s="1134">
        <f t="shared" si="30"/>
        <v>0</v>
      </c>
      <c r="U707" s="1135"/>
      <c r="V707" s="1135"/>
      <c r="W707" s="1135"/>
      <c r="X707" s="1136"/>
      <c r="Y707" s="1161"/>
      <c r="Z707" s="1162"/>
      <c r="AA707" s="1162"/>
      <c r="AB707" s="1163"/>
      <c r="AC707" s="1134">
        <f t="shared" si="31"/>
        <v>0</v>
      </c>
      <c r="AD707" s="1135"/>
      <c r="AE707" s="1135"/>
      <c r="AF707" s="1135"/>
      <c r="AG707" s="1136"/>
      <c r="AH707" s="1164"/>
      <c r="AI707" s="1165"/>
      <c r="AJ707" s="1165"/>
      <c r="AK707" s="1165"/>
      <c r="AL707" s="1166"/>
      <c r="AM707" s="1131" t="str">
        <f t="shared" si="32"/>
        <v xml:space="preserve"> </v>
      </c>
      <c r="AN707" s="1132"/>
      <c r="AO707" s="1133"/>
      <c r="BA707" s="33"/>
      <c r="BB707" s="33"/>
      <c r="BC707" s="33"/>
      <c r="BD707" s="33"/>
      <c r="BE707" s="33"/>
      <c r="BF707" s="33"/>
      <c r="BG707" s="658">
        <f>G692</f>
        <v>13</v>
      </c>
      <c r="BH707" s="662">
        <f>BG707/$BG$732</f>
        <v>0.30952380952380953</v>
      </c>
      <c r="BI707" s="663">
        <f>IF(BH707=0," ",BH707*AM692)</f>
        <v>9.2834826793009917E-2</v>
      </c>
      <c r="BJ707" s="33"/>
      <c r="BK707" s="33"/>
      <c r="BL707" s="33"/>
      <c r="BM707" s="33"/>
      <c r="BN707" s="33"/>
      <c r="BO707" s="33"/>
      <c r="BP707" s="435" t="s">
        <v>912</v>
      </c>
      <c r="BQ707" s="434">
        <v>1632</v>
      </c>
      <c r="BR707" s="434">
        <v>1748</v>
      </c>
      <c r="BS707" s="434">
        <v>2096</v>
      </c>
      <c r="BT707" s="434">
        <v>2422</v>
      </c>
      <c r="BU707" s="434">
        <v>2704</v>
      </c>
      <c r="BV707" s="434">
        <v>2982</v>
      </c>
      <c r="BX707" s="33"/>
      <c r="BY707" s="33"/>
      <c r="BZ707" s="33"/>
      <c r="CA707" s="33"/>
      <c r="CB707" s="33"/>
      <c r="CC707" s="33"/>
      <c r="CD707" s="33"/>
      <c r="CE707" s="33"/>
      <c r="CF707" s="33"/>
      <c r="CG707" s="33"/>
      <c r="CH707" s="33"/>
      <c r="CI707" s="33"/>
      <c r="CJ707" s="33"/>
      <c r="CK707" s="33"/>
      <c r="CL707" s="33"/>
      <c r="CM707" s="33"/>
      <c r="CN707" s="33"/>
      <c r="CO707" s="33"/>
      <c r="CP707" s="33"/>
      <c r="CQ707" s="33"/>
      <c r="CR707" s="33"/>
      <c r="CS707" s="33"/>
    </row>
    <row r="708" spans="2:97" ht="12.95" customHeight="1">
      <c r="B708" s="1205"/>
      <c r="C708" s="1206"/>
      <c r="D708" s="1206"/>
      <c r="E708" s="1206"/>
      <c r="F708" s="1207"/>
      <c r="G708" s="1176"/>
      <c r="H708" s="1177"/>
      <c r="I708" s="1177"/>
      <c r="J708" s="1178"/>
      <c r="K708" s="1158"/>
      <c r="L708" s="1159"/>
      <c r="M708" s="1159"/>
      <c r="N708" s="1160"/>
      <c r="O708" s="1161"/>
      <c r="P708" s="1162"/>
      <c r="Q708" s="1162"/>
      <c r="R708" s="1162"/>
      <c r="S708" s="1163"/>
      <c r="T708" s="1134">
        <f t="shared" si="30"/>
        <v>0</v>
      </c>
      <c r="U708" s="1135"/>
      <c r="V708" s="1135"/>
      <c r="W708" s="1135"/>
      <c r="X708" s="1136"/>
      <c r="Y708" s="1161"/>
      <c r="Z708" s="1162"/>
      <c r="AA708" s="1162"/>
      <c r="AB708" s="1163"/>
      <c r="AC708" s="1134">
        <f t="shared" si="31"/>
        <v>0</v>
      </c>
      <c r="AD708" s="1135"/>
      <c r="AE708" s="1135"/>
      <c r="AF708" s="1135"/>
      <c r="AG708" s="1136"/>
      <c r="AH708" s="1164"/>
      <c r="AI708" s="1165"/>
      <c r="AJ708" s="1165"/>
      <c r="AK708" s="1165"/>
      <c r="AL708" s="1166"/>
      <c r="AM708" s="1131" t="str">
        <f t="shared" si="32"/>
        <v xml:space="preserve"> </v>
      </c>
      <c r="AN708" s="1132"/>
      <c r="AO708" s="1133"/>
      <c r="BA708" s="33"/>
      <c r="BB708" s="33"/>
      <c r="BC708" s="33"/>
      <c r="BD708" s="33"/>
      <c r="BE708" s="33"/>
      <c r="BF708" s="33"/>
      <c r="BG708" s="658">
        <f t="shared" ref="BG708:BG731" si="33">G693</f>
        <v>8</v>
      </c>
      <c r="BH708" s="662">
        <f t="shared" ref="BH708:BH731" si="34">BG708/$BG$732</f>
        <v>0.19047619047619047</v>
      </c>
      <c r="BI708" s="663">
        <f t="shared" ref="BI708:BI731" si="35">IF(BH708=0," ",BH708*AM693)</f>
        <v>9.5238095238095233E-2</v>
      </c>
      <c r="BJ708" s="33"/>
      <c r="BK708" s="33"/>
      <c r="BL708" s="33"/>
      <c r="BM708" s="33"/>
      <c r="BN708" s="33"/>
      <c r="BO708" s="33"/>
      <c r="BP708" s="435" t="s">
        <v>918</v>
      </c>
      <c r="BQ708" s="434">
        <v>1876</v>
      </c>
      <c r="BR708" s="434">
        <v>2010</v>
      </c>
      <c r="BS708" s="434">
        <v>2412</v>
      </c>
      <c r="BT708" s="434">
        <v>2786</v>
      </c>
      <c r="BU708" s="434">
        <v>3110</v>
      </c>
      <c r="BV708" s="434">
        <v>3432</v>
      </c>
      <c r="BX708" s="33"/>
      <c r="BY708" s="33"/>
      <c r="BZ708" s="33"/>
      <c r="CA708" s="33"/>
      <c r="CB708" s="33"/>
      <c r="CC708" s="33"/>
      <c r="CD708" s="33"/>
      <c r="CE708" s="33"/>
      <c r="CF708" s="33"/>
      <c r="CG708" s="33"/>
      <c r="CH708" s="33"/>
      <c r="CI708" s="33"/>
      <c r="CJ708" s="33"/>
      <c r="CK708" s="33"/>
      <c r="CL708" s="33"/>
      <c r="CM708" s="33"/>
      <c r="CN708" s="33"/>
      <c r="CO708" s="33"/>
      <c r="CP708" s="33"/>
      <c r="CQ708" s="33"/>
      <c r="CR708" s="33"/>
      <c r="CS708" s="33"/>
    </row>
    <row r="709" spans="2:97" ht="12.95" customHeight="1">
      <c r="B709" s="1205"/>
      <c r="C709" s="1206"/>
      <c r="D709" s="1206"/>
      <c r="E709" s="1206"/>
      <c r="F709" s="1207"/>
      <c r="G709" s="1176"/>
      <c r="H709" s="1177"/>
      <c r="I709" s="1177"/>
      <c r="J709" s="1178"/>
      <c r="K709" s="1158"/>
      <c r="L709" s="1159"/>
      <c r="M709" s="1159"/>
      <c r="N709" s="1160"/>
      <c r="O709" s="1161"/>
      <c r="P709" s="1162"/>
      <c r="Q709" s="1162"/>
      <c r="R709" s="1162"/>
      <c r="S709" s="1163"/>
      <c r="T709" s="1134">
        <f t="shared" si="30"/>
        <v>0</v>
      </c>
      <c r="U709" s="1135"/>
      <c r="V709" s="1135"/>
      <c r="W709" s="1135"/>
      <c r="X709" s="1136"/>
      <c r="Y709" s="1161"/>
      <c r="Z709" s="1162"/>
      <c r="AA709" s="1162"/>
      <c r="AB709" s="1163"/>
      <c r="AC709" s="1134">
        <f t="shared" si="31"/>
        <v>0</v>
      </c>
      <c r="AD709" s="1135"/>
      <c r="AE709" s="1135"/>
      <c r="AF709" s="1135"/>
      <c r="AG709" s="1136"/>
      <c r="AH709" s="1164"/>
      <c r="AI709" s="1165"/>
      <c r="AJ709" s="1165"/>
      <c r="AK709" s="1165"/>
      <c r="AL709" s="1166"/>
      <c r="AM709" s="1131" t="str">
        <f t="shared" si="32"/>
        <v xml:space="preserve"> </v>
      </c>
      <c r="AN709" s="1132"/>
      <c r="AO709" s="1133"/>
      <c r="BA709" s="33"/>
      <c r="BB709" s="33"/>
      <c r="BC709" s="33"/>
      <c r="BD709" s="33"/>
      <c r="BE709" s="33"/>
      <c r="BF709" s="33"/>
      <c r="BG709" s="658">
        <f t="shared" si="33"/>
        <v>1</v>
      </c>
      <c r="BH709" s="662">
        <f t="shared" si="34"/>
        <v>2.3809523809523808E-2</v>
      </c>
      <c r="BI709" s="663">
        <f t="shared" si="35"/>
        <v>7.1428571428571418E-3</v>
      </c>
      <c r="BJ709" s="33"/>
      <c r="BK709" s="33"/>
      <c r="BL709" s="33"/>
      <c r="BM709" s="33"/>
      <c r="BN709" s="33"/>
      <c r="BO709" s="33"/>
      <c r="BP709" s="435" t="s">
        <v>923</v>
      </c>
      <c r="BQ709" s="434">
        <v>1950</v>
      </c>
      <c r="BR709" s="434">
        <v>2088</v>
      </c>
      <c r="BS709" s="434">
        <v>2504</v>
      </c>
      <c r="BT709" s="434">
        <v>2894</v>
      </c>
      <c r="BU709" s="434">
        <v>3230</v>
      </c>
      <c r="BV709" s="434">
        <v>3562</v>
      </c>
      <c r="BX709" s="33"/>
      <c r="BY709" s="33"/>
      <c r="BZ709" s="33"/>
      <c r="CA709" s="33"/>
      <c r="CB709" s="33"/>
      <c r="CC709" s="33"/>
      <c r="CD709" s="33"/>
      <c r="CE709" s="33"/>
      <c r="CF709" s="33"/>
      <c r="CG709" s="33"/>
      <c r="CH709" s="33"/>
      <c r="CI709" s="33"/>
      <c r="CJ709" s="33"/>
      <c r="CK709" s="33"/>
      <c r="CL709" s="33"/>
      <c r="CM709" s="33"/>
      <c r="CN709" s="33"/>
      <c r="CO709" s="33"/>
      <c r="CP709" s="33"/>
      <c r="CQ709" s="33"/>
      <c r="CR709" s="33"/>
      <c r="CS709" s="33"/>
    </row>
    <row r="710" spans="2:97" ht="12.95" customHeight="1">
      <c r="B710" s="1205"/>
      <c r="C710" s="1206"/>
      <c r="D710" s="1206"/>
      <c r="E710" s="1206"/>
      <c r="F710" s="1207"/>
      <c r="G710" s="1176"/>
      <c r="H710" s="1177"/>
      <c r="I710" s="1177"/>
      <c r="J710" s="1178"/>
      <c r="K710" s="1158"/>
      <c r="L710" s="1159"/>
      <c r="M710" s="1159"/>
      <c r="N710" s="1160"/>
      <c r="O710" s="1161"/>
      <c r="P710" s="1162"/>
      <c r="Q710" s="1162"/>
      <c r="R710" s="1162"/>
      <c r="S710" s="1163"/>
      <c r="T710" s="1134">
        <f t="shared" si="30"/>
        <v>0</v>
      </c>
      <c r="U710" s="1135"/>
      <c r="V710" s="1135"/>
      <c r="W710" s="1135"/>
      <c r="X710" s="1136"/>
      <c r="Y710" s="1161"/>
      <c r="Z710" s="1162"/>
      <c r="AA710" s="1162"/>
      <c r="AB710" s="1163"/>
      <c r="AC710" s="1134">
        <f t="shared" si="31"/>
        <v>0</v>
      </c>
      <c r="AD710" s="1135"/>
      <c r="AE710" s="1135"/>
      <c r="AF710" s="1135"/>
      <c r="AG710" s="1136"/>
      <c r="AH710" s="1164"/>
      <c r="AI710" s="1165"/>
      <c r="AJ710" s="1165"/>
      <c r="AK710" s="1165"/>
      <c r="AL710" s="1166"/>
      <c r="AM710" s="1131" t="str">
        <f t="shared" si="32"/>
        <v xml:space="preserve"> </v>
      </c>
      <c r="AN710" s="1132"/>
      <c r="AO710" s="1133"/>
      <c r="BA710" s="33"/>
      <c r="BB710" s="33"/>
      <c r="BC710" s="33"/>
      <c r="BD710" s="33"/>
      <c r="BE710" s="33"/>
      <c r="BF710" s="33"/>
      <c r="BG710" s="658">
        <f t="shared" si="33"/>
        <v>8</v>
      </c>
      <c r="BH710" s="662">
        <f t="shared" si="34"/>
        <v>0.19047619047619047</v>
      </c>
      <c r="BI710" s="663">
        <f t="shared" si="35"/>
        <v>0.11428571428571427</v>
      </c>
      <c r="BJ710" s="33"/>
      <c r="BK710" s="33"/>
      <c r="BL710" s="33"/>
      <c r="BM710" s="33"/>
      <c r="BN710" s="33"/>
      <c r="BO710" s="33"/>
      <c r="BP710" s="435" t="s">
        <v>927</v>
      </c>
      <c r="BQ710" s="434">
        <v>1632</v>
      </c>
      <c r="BR710" s="434">
        <v>1748</v>
      </c>
      <c r="BS710" s="434">
        <v>2096</v>
      </c>
      <c r="BT710" s="434">
        <v>2422</v>
      </c>
      <c r="BU710" s="434">
        <v>2704</v>
      </c>
      <c r="BV710" s="434">
        <v>2982</v>
      </c>
      <c r="BX710" s="33"/>
      <c r="BY710" s="33"/>
      <c r="BZ710" s="33"/>
      <c r="CA710" s="33"/>
      <c r="CB710" s="33"/>
      <c r="CC710" s="33"/>
      <c r="CD710" s="33"/>
      <c r="CE710" s="33"/>
      <c r="CF710" s="33"/>
      <c r="CG710" s="33"/>
      <c r="CH710" s="33"/>
      <c r="CI710" s="33"/>
      <c r="CJ710" s="33"/>
      <c r="CK710" s="33"/>
      <c r="CL710" s="33"/>
      <c r="CM710" s="33"/>
      <c r="CN710" s="33"/>
      <c r="CO710" s="33"/>
      <c r="CP710" s="33"/>
      <c r="CQ710" s="33"/>
      <c r="CR710" s="33"/>
      <c r="CS710" s="33"/>
    </row>
    <row r="711" spans="2:97" ht="12.95" customHeight="1">
      <c r="B711" s="1205"/>
      <c r="C711" s="1206"/>
      <c r="D711" s="1206"/>
      <c r="E711" s="1206"/>
      <c r="F711" s="1207"/>
      <c r="G711" s="1176"/>
      <c r="H711" s="1177"/>
      <c r="I711" s="1177"/>
      <c r="J711" s="1178"/>
      <c r="K711" s="1158"/>
      <c r="L711" s="1159"/>
      <c r="M711" s="1159"/>
      <c r="N711" s="1160"/>
      <c r="O711" s="1161"/>
      <c r="P711" s="1162"/>
      <c r="Q711" s="1162"/>
      <c r="R711" s="1162"/>
      <c r="S711" s="1163"/>
      <c r="T711" s="1134">
        <f t="shared" si="30"/>
        <v>0</v>
      </c>
      <c r="U711" s="1135"/>
      <c r="V711" s="1135"/>
      <c r="W711" s="1135"/>
      <c r="X711" s="1136"/>
      <c r="Y711" s="1161"/>
      <c r="Z711" s="1162"/>
      <c r="AA711" s="1162"/>
      <c r="AB711" s="1163"/>
      <c r="AC711" s="1134">
        <f t="shared" si="31"/>
        <v>0</v>
      </c>
      <c r="AD711" s="1135"/>
      <c r="AE711" s="1135"/>
      <c r="AF711" s="1135"/>
      <c r="AG711" s="1136"/>
      <c r="AH711" s="1164"/>
      <c r="AI711" s="1165"/>
      <c r="AJ711" s="1165"/>
      <c r="AK711" s="1165"/>
      <c r="AL711" s="1166"/>
      <c r="AM711" s="1131" t="str">
        <f t="shared" si="32"/>
        <v xml:space="preserve"> </v>
      </c>
      <c r="AN711" s="1132"/>
      <c r="AO711" s="1133"/>
      <c r="BA711" s="33"/>
      <c r="BB711" s="33"/>
      <c r="BC711" s="33"/>
      <c r="BD711" s="33"/>
      <c r="BE711" s="33"/>
      <c r="BF711" s="33"/>
      <c r="BG711" s="658">
        <f t="shared" si="33"/>
        <v>3</v>
      </c>
      <c r="BH711" s="662">
        <f t="shared" si="34"/>
        <v>7.1428571428571425E-2</v>
      </c>
      <c r="BI711" s="663">
        <f t="shared" si="35"/>
        <v>2.1413713691404799E-2</v>
      </c>
      <c r="BJ711" s="33"/>
      <c r="BK711" s="33"/>
      <c r="BL711" s="33"/>
      <c r="BM711" s="33"/>
      <c r="BN711" s="33"/>
      <c r="BO711" s="33"/>
      <c r="BP711" s="435" t="s">
        <v>933</v>
      </c>
      <c r="BQ711" s="434">
        <v>2412</v>
      </c>
      <c r="BR711" s="434">
        <v>2584</v>
      </c>
      <c r="BS711" s="434">
        <v>3102</v>
      </c>
      <c r="BT711" s="434">
        <v>3582</v>
      </c>
      <c r="BU711" s="434">
        <v>3996</v>
      </c>
      <c r="BV711" s="434">
        <v>4410</v>
      </c>
      <c r="BX711" s="33"/>
      <c r="BY711" s="33"/>
      <c r="BZ711" s="33"/>
      <c r="CA711" s="33"/>
      <c r="CB711" s="33"/>
      <c r="CC711" s="33"/>
      <c r="CD711" s="33"/>
      <c r="CE711" s="33"/>
      <c r="CF711" s="33"/>
      <c r="CG711" s="33"/>
      <c r="CH711" s="33"/>
      <c r="CI711" s="33"/>
      <c r="CJ711" s="33"/>
      <c r="CK711" s="33"/>
      <c r="CL711" s="33"/>
      <c r="CM711" s="33"/>
      <c r="CN711" s="33"/>
      <c r="CO711" s="33"/>
      <c r="CP711" s="33"/>
      <c r="CQ711" s="33"/>
      <c r="CR711" s="33"/>
      <c r="CS711" s="33"/>
    </row>
    <row r="712" spans="2:97" ht="12.95" customHeight="1">
      <c r="B712" s="1205"/>
      <c r="C712" s="1206"/>
      <c r="D712" s="1206"/>
      <c r="E712" s="1206"/>
      <c r="F712" s="1207"/>
      <c r="G712" s="1176"/>
      <c r="H712" s="1177"/>
      <c r="I712" s="1177"/>
      <c r="J712" s="1178"/>
      <c r="K712" s="1158"/>
      <c r="L712" s="1159"/>
      <c r="M712" s="1159"/>
      <c r="N712" s="1160"/>
      <c r="O712" s="1161"/>
      <c r="P712" s="1162"/>
      <c r="Q712" s="1162"/>
      <c r="R712" s="1162"/>
      <c r="S712" s="1163"/>
      <c r="T712" s="1134">
        <f t="shared" si="30"/>
        <v>0</v>
      </c>
      <c r="U712" s="1135"/>
      <c r="V712" s="1135"/>
      <c r="W712" s="1135"/>
      <c r="X712" s="1136"/>
      <c r="Y712" s="1161"/>
      <c r="Z712" s="1162"/>
      <c r="AA712" s="1162"/>
      <c r="AB712" s="1163"/>
      <c r="AC712" s="1134">
        <f t="shared" si="31"/>
        <v>0</v>
      </c>
      <c r="AD712" s="1135"/>
      <c r="AE712" s="1135"/>
      <c r="AF712" s="1135"/>
      <c r="AG712" s="1136"/>
      <c r="AH712" s="1164"/>
      <c r="AI712" s="1165"/>
      <c r="AJ712" s="1165"/>
      <c r="AK712" s="1165"/>
      <c r="AL712" s="1166"/>
      <c r="AM712" s="1131" t="str">
        <f t="shared" si="32"/>
        <v xml:space="preserve"> </v>
      </c>
      <c r="AN712" s="1132"/>
      <c r="AO712" s="1133"/>
      <c r="BA712" s="33"/>
      <c r="BB712" s="33"/>
      <c r="BC712" s="33"/>
      <c r="BD712" s="33"/>
      <c r="BE712" s="33"/>
      <c r="BF712" s="33"/>
      <c r="BG712" s="658">
        <f t="shared" si="33"/>
        <v>1</v>
      </c>
      <c r="BH712" s="662">
        <f t="shared" si="34"/>
        <v>2.3809523809523808E-2</v>
      </c>
      <c r="BI712" s="663">
        <f t="shared" si="35"/>
        <v>1.1904761904761904E-2</v>
      </c>
      <c r="BJ712" s="33"/>
      <c r="BK712" s="33"/>
      <c r="BL712" s="33"/>
      <c r="BM712" s="33"/>
      <c r="BN712" s="33"/>
      <c r="BO712" s="33"/>
      <c r="BP712" s="435" t="s">
        <v>938</v>
      </c>
      <c r="BQ712" s="434">
        <v>3252</v>
      </c>
      <c r="BR712" s="434">
        <v>3484</v>
      </c>
      <c r="BS712" s="434">
        <v>4182</v>
      </c>
      <c r="BT712" s="434">
        <v>4830</v>
      </c>
      <c r="BU712" s="434">
        <v>5390</v>
      </c>
      <c r="BV712" s="434">
        <v>5946</v>
      </c>
      <c r="BX712" s="33"/>
      <c r="BY712" s="33"/>
      <c r="BZ712" s="33"/>
      <c r="CA712" s="33"/>
      <c r="CB712" s="33"/>
      <c r="CC712" s="33"/>
      <c r="CD712" s="33"/>
      <c r="CE712" s="33"/>
      <c r="CF712" s="33"/>
      <c r="CG712" s="33"/>
      <c r="CH712" s="33"/>
      <c r="CI712" s="33"/>
      <c r="CJ712" s="33"/>
      <c r="CK712" s="33"/>
      <c r="CL712" s="33"/>
      <c r="CM712" s="33"/>
      <c r="CN712" s="33"/>
      <c r="CO712" s="33"/>
      <c r="CP712" s="33"/>
      <c r="CQ712" s="33"/>
      <c r="CR712" s="33"/>
      <c r="CS712" s="33"/>
    </row>
    <row r="713" spans="2:97" ht="12.95" customHeight="1">
      <c r="B713" s="1205"/>
      <c r="C713" s="1206"/>
      <c r="D713" s="1206"/>
      <c r="E713" s="1206"/>
      <c r="F713" s="1207"/>
      <c r="G713" s="1176"/>
      <c r="H713" s="1177"/>
      <c r="I713" s="1177"/>
      <c r="J713" s="1178"/>
      <c r="K713" s="1158"/>
      <c r="L713" s="1159"/>
      <c r="M713" s="1159"/>
      <c r="N713" s="1160"/>
      <c r="O713" s="1161"/>
      <c r="P713" s="1162"/>
      <c r="Q713" s="1162"/>
      <c r="R713" s="1162"/>
      <c r="S713" s="1163"/>
      <c r="T713" s="1134">
        <f t="shared" si="30"/>
        <v>0</v>
      </c>
      <c r="U713" s="1135"/>
      <c r="V713" s="1135"/>
      <c r="W713" s="1135"/>
      <c r="X713" s="1136"/>
      <c r="Y713" s="1161"/>
      <c r="Z713" s="1162"/>
      <c r="AA713" s="1162"/>
      <c r="AB713" s="1163"/>
      <c r="AC713" s="1134">
        <f t="shared" si="31"/>
        <v>0</v>
      </c>
      <c r="AD713" s="1135"/>
      <c r="AE713" s="1135"/>
      <c r="AF713" s="1135"/>
      <c r="AG713" s="1136"/>
      <c r="AH713" s="1164"/>
      <c r="AI713" s="1165"/>
      <c r="AJ713" s="1165"/>
      <c r="AK713" s="1165"/>
      <c r="AL713" s="1166"/>
      <c r="AM713" s="1131" t="str">
        <f t="shared" si="32"/>
        <v xml:space="preserve"> </v>
      </c>
      <c r="AN713" s="1132"/>
      <c r="AO713" s="1133"/>
      <c r="BA713" s="33"/>
      <c r="BB713" s="33"/>
      <c r="BC713" s="33"/>
      <c r="BD713" s="33"/>
      <c r="BE713" s="33"/>
      <c r="BF713" s="33"/>
      <c r="BG713" s="658">
        <f t="shared" si="33"/>
        <v>8</v>
      </c>
      <c r="BH713" s="662">
        <f t="shared" si="34"/>
        <v>0.19047619047619047</v>
      </c>
      <c r="BI713" s="663">
        <f t="shared" si="35"/>
        <v>0.11425599881138102</v>
      </c>
      <c r="BJ713" s="33"/>
      <c r="BK713" s="33"/>
      <c r="BL713" s="33"/>
      <c r="BM713" s="33"/>
      <c r="BN713" s="33"/>
      <c r="BO713" s="33"/>
      <c r="BP713" s="435" t="s">
        <v>943</v>
      </c>
      <c r="BQ713" s="434">
        <v>1534</v>
      </c>
      <c r="BR713" s="434">
        <v>1644</v>
      </c>
      <c r="BS713" s="434">
        <v>1974</v>
      </c>
      <c r="BT713" s="434">
        <v>2280</v>
      </c>
      <c r="BU713" s="434">
        <v>2544</v>
      </c>
      <c r="BV713" s="434">
        <v>2806</v>
      </c>
      <c r="BX713" s="33"/>
      <c r="BY713" s="33"/>
      <c r="BZ713" s="33"/>
      <c r="CA713" s="33"/>
      <c r="CB713" s="33"/>
      <c r="CC713" s="33"/>
      <c r="CD713" s="33"/>
      <c r="CE713" s="33"/>
      <c r="CF713" s="33"/>
      <c r="CG713" s="33"/>
      <c r="CH713" s="33"/>
      <c r="CI713" s="33"/>
      <c r="CJ713" s="33"/>
      <c r="CK713" s="33"/>
      <c r="CL713" s="33"/>
      <c r="CM713" s="33"/>
      <c r="CN713" s="33"/>
      <c r="CO713" s="33"/>
      <c r="CP713" s="33"/>
      <c r="CQ713" s="33"/>
      <c r="CR713" s="33"/>
      <c r="CS713" s="33"/>
    </row>
    <row r="714" spans="2:97" ht="12.95" customHeight="1">
      <c r="B714" s="1205"/>
      <c r="C714" s="1206"/>
      <c r="D714" s="1206"/>
      <c r="E714" s="1206"/>
      <c r="F714" s="1207"/>
      <c r="G714" s="1176"/>
      <c r="H714" s="1177"/>
      <c r="I714" s="1177"/>
      <c r="J714" s="1178"/>
      <c r="K714" s="1158"/>
      <c r="L714" s="1159"/>
      <c r="M714" s="1159"/>
      <c r="N714" s="1160"/>
      <c r="O714" s="1161"/>
      <c r="P714" s="1162"/>
      <c r="Q714" s="1162"/>
      <c r="R714" s="1162"/>
      <c r="S714" s="1163"/>
      <c r="T714" s="1134">
        <f t="shared" si="30"/>
        <v>0</v>
      </c>
      <c r="U714" s="1135"/>
      <c r="V714" s="1135"/>
      <c r="W714" s="1135"/>
      <c r="X714" s="1136"/>
      <c r="Y714" s="1161"/>
      <c r="Z714" s="1162"/>
      <c r="AA714" s="1162"/>
      <c r="AB714" s="1163"/>
      <c r="AC714" s="1134">
        <f t="shared" si="31"/>
        <v>0</v>
      </c>
      <c r="AD714" s="1135"/>
      <c r="AE714" s="1135"/>
      <c r="AF714" s="1135"/>
      <c r="AG714" s="1136"/>
      <c r="AH714" s="1164"/>
      <c r="AI714" s="1165"/>
      <c r="AJ714" s="1165"/>
      <c r="AK714" s="1165"/>
      <c r="AL714" s="1166"/>
      <c r="AM714" s="1131" t="str">
        <f t="shared" si="32"/>
        <v xml:space="preserve"> </v>
      </c>
      <c r="AN714" s="1132"/>
      <c r="AO714" s="1133"/>
      <c r="BA714" s="2"/>
      <c r="BB714" s="33"/>
      <c r="BC714" s="33"/>
      <c r="BD714" s="33"/>
      <c r="BE714" s="33"/>
      <c r="BF714" s="33"/>
      <c r="BG714" s="658">
        <f t="shared" si="33"/>
        <v>0</v>
      </c>
      <c r="BH714" s="662">
        <f t="shared" si="34"/>
        <v>0</v>
      </c>
      <c r="BI714" s="663" t="str">
        <f t="shared" si="35"/>
        <v xml:space="preserve"> </v>
      </c>
      <c r="BJ714" s="33"/>
      <c r="BK714" s="33"/>
      <c r="BL714" s="33"/>
      <c r="BM714" s="33"/>
      <c r="BN714" s="33"/>
      <c r="BO714" s="33"/>
      <c r="BP714" s="435" t="s">
        <v>947</v>
      </c>
      <c r="BQ714" s="434">
        <v>2026</v>
      </c>
      <c r="BR714" s="434">
        <v>2172</v>
      </c>
      <c r="BS714" s="434">
        <v>2606</v>
      </c>
      <c r="BT714" s="434">
        <v>3010</v>
      </c>
      <c r="BU714" s="434">
        <v>3360</v>
      </c>
      <c r="BV714" s="434">
        <v>3706</v>
      </c>
      <c r="BX714" s="33"/>
      <c r="BY714" s="33"/>
      <c r="BZ714" s="33"/>
      <c r="CA714" s="33"/>
      <c r="CB714" s="33"/>
      <c r="CC714" s="33"/>
      <c r="CD714" s="33"/>
      <c r="CE714" s="33"/>
      <c r="CF714" s="33"/>
      <c r="CG714" s="33"/>
      <c r="CH714" s="33"/>
      <c r="CI714" s="33"/>
      <c r="CJ714" s="33"/>
      <c r="CK714" s="33"/>
      <c r="CL714" s="33"/>
      <c r="CM714" s="33"/>
      <c r="CN714" s="33"/>
      <c r="CO714" s="33"/>
      <c r="CP714" s="33"/>
      <c r="CQ714" s="33"/>
      <c r="CR714" s="33"/>
      <c r="CS714" s="33"/>
    </row>
    <row r="715" spans="2:97" ht="12.95" customHeight="1">
      <c r="B715" s="1205"/>
      <c r="C715" s="1206"/>
      <c r="D715" s="1206"/>
      <c r="E715" s="1206"/>
      <c r="F715" s="1207"/>
      <c r="G715" s="1176"/>
      <c r="H715" s="1177"/>
      <c r="I715" s="1177"/>
      <c r="J715" s="1178"/>
      <c r="K715" s="1158"/>
      <c r="L715" s="1159"/>
      <c r="M715" s="1159"/>
      <c r="N715" s="1160"/>
      <c r="O715" s="1161"/>
      <c r="P715" s="1162"/>
      <c r="Q715" s="1162"/>
      <c r="R715" s="1162"/>
      <c r="S715" s="1163"/>
      <c r="T715" s="1134">
        <f t="shared" si="30"/>
        <v>0</v>
      </c>
      <c r="U715" s="1135"/>
      <c r="V715" s="1135"/>
      <c r="W715" s="1135"/>
      <c r="X715" s="1136"/>
      <c r="Y715" s="1161"/>
      <c r="Z715" s="1162"/>
      <c r="AA715" s="1162"/>
      <c r="AB715" s="1163"/>
      <c r="AC715" s="1134">
        <f t="shared" si="31"/>
        <v>0</v>
      </c>
      <c r="AD715" s="1135"/>
      <c r="AE715" s="1135"/>
      <c r="AF715" s="1135"/>
      <c r="AG715" s="1136"/>
      <c r="AH715" s="1164"/>
      <c r="AI715" s="1165"/>
      <c r="AJ715" s="1165"/>
      <c r="AK715" s="1165"/>
      <c r="AL715" s="1166"/>
      <c r="AM715" s="1131" t="str">
        <f t="shared" si="32"/>
        <v xml:space="preserve"> </v>
      </c>
      <c r="AN715" s="1132"/>
      <c r="AO715" s="1133"/>
      <c r="BA715" s="33"/>
      <c r="BB715" s="33"/>
      <c r="BC715" s="33"/>
      <c r="BD715" s="33"/>
      <c r="BE715" s="33"/>
      <c r="BF715" s="33"/>
      <c r="BG715" s="658">
        <f t="shared" si="33"/>
        <v>0</v>
      </c>
      <c r="BH715" s="662">
        <f t="shared" si="34"/>
        <v>0</v>
      </c>
      <c r="BI715" s="663" t="str">
        <f t="shared" si="35"/>
        <v xml:space="preserve"> </v>
      </c>
      <c r="BJ715" s="33"/>
      <c r="BK715" s="33"/>
      <c r="BL715" s="33"/>
      <c r="BM715" s="33"/>
      <c r="BN715" s="33"/>
      <c r="BO715" s="33"/>
      <c r="BP715" s="435" t="s">
        <v>951</v>
      </c>
      <c r="BQ715" s="434">
        <v>3252</v>
      </c>
      <c r="BR715" s="434">
        <v>3484</v>
      </c>
      <c r="BS715" s="434">
        <v>4182</v>
      </c>
      <c r="BT715" s="434">
        <v>4830</v>
      </c>
      <c r="BU715" s="434">
        <v>5390</v>
      </c>
      <c r="BV715" s="434">
        <v>5946</v>
      </c>
      <c r="BX715" s="33"/>
      <c r="BY715" s="33"/>
      <c r="BZ715" s="33"/>
      <c r="CA715" s="33"/>
      <c r="CB715" s="33"/>
      <c r="CC715" s="33"/>
      <c r="CD715" s="33"/>
      <c r="CE715" s="33"/>
      <c r="CF715" s="33"/>
      <c r="CG715" s="33"/>
      <c r="CH715" s="33"/>
      <c r="CI715" s="33"/>
      <c r="CJ715" s="33"/>
      <c r="CK715" s="33"/>
      <c r="CL715" s="33"/>
      <c r="CM715" s="33"/>
      <c r="CN715" s="33"/>
      <c r="CO715" s="33"/>
      <c r="CP715" s="33"/>
      <c r="CQ715" s="33"/>
      <c r="CR715" s="33"/>
      <c r="CS715" s="33"/>
    </row>
    <row r="716" spans="2:97" ht="12.95" customHeight="1">
      <c r="B716" s="1205"/>
      <c r="C716" s="1206"/>
      <c r="D716" s="1206"/>
      <c r="E716" s="1206"/>
      <c r="F716" s="1207"/>
      <c r="G716" s="1176"/>
      <c r="H716" s="1177"/>
      <c r="I716" s="1177"/>
      <c r="J716" s="1178"/>
      <c r="K716" s="1158"/>
      <c r="L716" s="1159"/>
      <c r="M716" s="1159"/>
      <c r="N716" s="1160"/>
      <c r="O716" s="1161"/>
      <c r="P716" s="1162"/>
      <c r="Q716" s="1162"/>
      <c r="R716" s="1162"/>
      <c r="S716" s="1163"/>
      <c r="T716" s="1134">
        <f t="shared" si="30"/>
        <v>0</v>
      </c>
      <c r="U716" s="1135"/>
      <c r="V716" s="1135"/>
      <c r="W716" s="1135"/>
      <c r="X716" s="1136"/>
      <c r="Y716" s="1161"/>
      <c r="Z716" s="1162"/>
      <c r="AA716" s="1162"/>
      <c r="AB716" s="1163"/>
      <c r="AC716" s="1134">
        <f t="shared" si="31"/>
        <v>0</v>
      </c>
      <c r="AD716" s="1135"/>
      <c r="AE716" s="1135"/>
      <c r="AF716" s="1135"/>
      <c r="AG716" s="1136"/>
      <c r="AH716" s="1164"/>
      <c r="AI716" s="1165"/>
      <c r="AJ716" s="1165"/>
      <c r="AK716" s="1165"/>
      <c r="AL716" s="1166"/>
      <c r="AM716" s="1131" t="str">
        <f t="shared" si="32"/>
        <v xml:space="preserve"> </v>
      </c>
      <c r="AN716" s="1132"/>
      <c r="AO716" s="1133"/>
      <c r="BA716" s="33"/>
      <c r="BB716" s="33"/>
      <c r="BC716" s="33"/>
      <c r="BD716" s="33"/>
      <c r="BE716" s="33"/>
      <c r="BF716" s="33"/>
      <c r="BG716" s="658">
        <f t="shared" si="33"/>
        <v>0</v>
      </c>
      <c r="BH716" s="662">
        <f t="shared" si="34"/>
        <v>0</v>
      </c>
      <c r="BI716" s="663" t="str">
        <f t="shared" si="35"/>
        <v xml:space="preserve"> </v>
      </c>
      <c r="BJ716" s="33"/>
      <c r="BK716" s="33"/>
      <c r="BL716" s="33"/>
      <c r="BM716" s="33"/>
      <c r="BN716" s="33"/>
      <c r="BO716" s="33"/>
      <c r="BP716" s="435" t="s">
        <v>956</v>
      </c>
      <c r="BQ716" s="434">
        <v>2590</v>
      </c>
      <c r="BR716" s="434">
        <v>2774</v>
      </c>
      <c r="BS716" s="434">
        <v>3330</v>
      </c>
      <c r="BT716" s="434">
        <v>3846</v>
      </c>
      <c r="BU716" s="434">
        <v>4290</v>
      </c>
      <c r="BV716" s="434">
        <v>4732</v>
      </c>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row>
    <row r="717" spans="2:97" ht="12.95" customHeight="1">
      <c r="B717" s="1094" t="s">
        <v>1484</v>
      </c>
      <c r="C717" s="1095"/>
      <c r="D717" s="1095"/>
      <c r="E717" s="1095"/>
      <c r="F717" s="1096"/>
      <c r="G717" s="1380">
        <f>SUM(G692:J716)</f>
        <v>42</v>
      </c>
      <c r="H717" s="1381"/>
      <c r="I717" s="1381"/>
      <c r="J717" s="1382"/>
      <c r="O717" s="310" t="s">
        <v>1485</v>
      </c>
      <c r="P717" s="833"/>
      <c r="Q717" s="833"/>
      <c r="R717" s="833"/>
      <c r="S717" s="834"/>
      <c r="T717" s="1134">
        <f>SUM(T692:X716)</f>
        <v>58543</v>
      </c>
      <c r="U717" s="1135"/>
      <c r="V717" s="1135"/>
      <c r="W717" s="1135"/>
      <c r="X717" s="1136"/>
      <c r="AC717" s="650" t="s">
        <v>1486</v>
      </c>
      <c r="AD717" s="651"/>
      <c r="AE717" s="651"/>
      <c r="AF717" s="651"/>
      <c r="AG717" s="652"/>
      <c r="AH717" s="1137">
        <f>BI701</f>
        <v>0.45714285714285713</v>
      </c>
      <c r="AI717" s="1138"/>
      <c r="AJ717" s="1138"/>
      <c r="AK717" s="1138"/>
      <c r="AL717" s="1139"/>
      <c r="AM717" s="1137">
        <f>BI732</f>
        <v>0.45707596786722438</v>
      </c>
      <c r="AN717" s="1138"/>
      <c r="AO717" s="1139"/>
      <c r="BA717" s="33"/>
      <c r="BB717" s="33"/>
      <c r="BC717" s="33"/>
      <c r="BD717" s="33"/>
      <c r="BE717" s="33"/>
      <c r="BF717" s="33"/>
      <c r="BG717" s="658">
        <f t="shared" si="33"/>
        <v>0</v>
      </c>
      <c r="BH717" s="662">
        <f t="shared" si="34"/>
        <v>0</v>
      </c>
      <c r="BI717" s="663" t="str">
        <f t="shared" si="35"/>
        <v xml:space="preserve"> </v>
      </c>
      <c r="BJ717" s="33"/>
      <c r="BK717" s="33"/>
      <c r="BL717" s="33"/>
      <c r="BM717" s="33"/>
      <c r="BN717" s="33"/>
      <c r="BO717" s="33"/>
      <c r="BP717" s="435" t="s">
        <v>962</v>
      </c>
      <c r="BQ717" s="434">
        <v>3122</v>
      </c>
      <c r="BR717" s="434">
        <v>3346</v>
      </c>
      <c r="BS717" s="434">
        <v>4014</v>
      </c>
      <c r="BT717" s="434">
        <v>4638</v>
      </c>
      <c r="BU717" s="434">
        <v>5174</v>
      </c>
      <c r="BV717" s="434">
        <v>5710</v>
      </c>
      <c r="BX717" s="33"/>
      <c r="BY717" s="33"/>
      <c r="BZ717" s="33"/>
      <c r="CA717" s="33"/>
      <c r="CB717" s="33"/>
      <c r="CC717" s="33"/>
      <c r="CD717" s="33"/>
      <c r="CE717" s="33"/>
      <c r="CF717" s="33"/>
      <c r="CG717" s="33"/>
      <c r="CH717" s="33"/>
      <c r="CI717" s="33"/>
      <c r="CJ717" s="33"/>
      <c r="CK717" s="33"/>
      <c r="CL717" s="33"/>
      <c r="CM717" s="33"/>
      <c r="CN717" s="33"/>
      <c r="CO717" s="33"/>
      <c r="CP717" s="33"/>
      <c r="CQ717" s="33"/>
      <c r="CR717" s="33"/>
      <c r="CS717" s="33"/>
    </row>
    <row r="718" spans="2:97" ht="12.95" customHeight="1">
      <c r="B718" s="836"/>
      <c r="C718" s="1383" t="s">
        <v>1487</v>
      </c>
      <c r="D718" s="1383"/>
      <c r="E718" s="1383"/>
      <c r="F718" s="1383"/>
      <c r="G718" s="1383"/>
      <c r="H718" s="1383"/>
      <c r="I718" s="1383"/>
      <c r="J718" s="1383"/>
      <c r="K718" s="1383"/>
      <c r="L718" s="1383"/>
      <c r="M718" s="1383"/>
      <c r="N718" s="1383"/>
      <c r="O718" s="1383"/>
      <c r="P718" s="1383"/>
      <c r="Q718" s="1383"/>
      <c r="R718" s="1383"/>
      <c r="S718" s="1383"/>
      <c r="T718" s="1383"/>
      <c r="U718" s="1383"/>
      <c r="V718" s="1383"/>
      <c r="W718" s="1383"/>
      <c r="X718" s="1383"/>
      <c r="Y718" s="1383"/>
      <c r="Z718" s="1383"/>
      <c r="AA718" s="1383"/>
      <c r="AB718" s="1383"/>
      <c r="AC718" s="1383"/>
      <c r="AD718" s="1383"/>
      <c r="AE718" s="1383"/>
      <c r="AF718" s="1383"/>
      <c r="AG718" s="1383"/>
      <c r="AH718" s="1383"/>
      <c r="AL718" s="33"/>
      <c r="AM718" s="33"/>
      <c r="BA718" s="33"/>
      <c r="BB718" s="33"/>
      <c r="BC718" s="33"/>
      <c r="BD718" s="33"/>
      <c r="BE718" s="33"/>
      <c r="BF718" s="33"/>
      <c r="BG718" s="658">
        <f t="shared" si="33"/>
        <v>0</v>
      </c>
      <c r="BH718" s="662">
        <f t="shared" si="34"/>
        <v>0</v>
      </c>
      <c r="BI718" s="663" t="str">
        <f t="shared" si="35"/>
        <v xml:space="preserve"> </v>
      </c>
      <c r="BJ718" s="33"/>
      <c r="BK718" s="33"/>
      <c r="BL718" s="33"/>
      <c r="BM718" s="33"/>
      <c r="BN718" s="33"/>
      <c r="BO718" s="33"/>
      <c r="BP718" s="435" t="s">
        <v>967</v>
      </c>
      <c r="BQ718" s="434">
        <v>2882</v>
      </c>
      <c r="BR718" s="434">
        <v>3088</v>
      </c>
      <c r="BS718" s="434">
        <v>3706</v>
      </c>
      <c r="BT718" s="434">
        <v>4282</v>
      </c>
      <c r="BU718" s="434">
        <v>4776</v>
      </c>
      <c r="BV718" s="434">
        <v>5272</v>
      </c>
      <c r="BX718" s="33"/>
      <c r="BY718" s="33"/>
      <c r="BZ718" s="33"/>
      <c r="CA718" s="33"/>
      <c r="CB718" s="33"/>
      <c r="CC718" s="33"/>
      <c r="CD718" s="33"/>
      <c r="CE718" s="33"/>
      <c r="CF718" s="33"/>
      <c r="CG718" s="33"/>
      <c r="CH718" s="33"/>
      <c r="CI718" s="33"/>
      <c r="CJ718" s="33"/>
      <c r="CK718" s="33"/>
      <c r="CL718" s="33"/>
      <c r="CM718" s="33"/>
      <c r="CN718" s="33"/>
      <c r="CO718" s="33"/>
      <c r="CP718" s="33"/>
      <c r="CQ718" s="33"/>
      <c r="CR718" s="33"/>
      <c r="CS718" s="33"/>
    </row>
    <row r="719" spans="2:97" ht="12.95" customHeight="1">
      <c r="C719" s="1383"/>
      <c r="D719" s="1383"/>
      <c r="E719" s="1383"/>
      <c r="F719" s="1383"/>
      <c r="G719" s="1383"/>
      <c r="H719" s="1383"/>
      <c r="I719" s="1383"/>
      <c r="J719" s="1383"/>
      <c r="K719" s="1383"/>
      <c r="L719" s="1383"/>
      <c r="M719" s="1383"/>
      <c r="N719" s="1383"/>
      <c r="O719" s="1383"/>
      <c r="P719" s="1383"/>
      <c r="Q719" s="1383"/>
      <c r="R719" s="1383"/>
      <c r="S719" s="1383"/>
      <c r="T719" s="1383"/>
      <c r="U719" s="1383"/>
      <c r="V719" s="1383"/>
      <c r="W719" s="1383"/>
      <c r="X719" s="1383"/>
      <c r="Y719" s="1383"/>
      <c r="Z719" s="1383"/>
      <c r="AA719" s="1383"/>
      <c r="AB719" s="1383"/>
      <c r="AC719" s="1383"/>
      <c r="AD719" s="1383"/>
      <c r="AE719" s="1383"/>
      <c r="AF719" s="1383"/>
      <c r="AG719" s="1383"/>
      <c r="AH719" s="1383"/>
      <c r="AL719" s="33"/>
      <c r="AM719" s="33"/>
      <c r="BA719" s="33"/>
      <c r="BB719" s="33"/>
      <c r="BC719" s="33"/>
      <c r="BD719" s="33"/>
      <c r="BE719" s="33"/>
      <c r="BF719" s="33"/>
      <c r="BG719" s="658">
        <f t="shared" si="33"/>
        <v>0</v>
      </c>
      <c r="BH719" s="662">
        <f t="shared" si="34"/>
        <v>0</v>
      </c>
      <c r="BI719" s="663" t="str">
        <f t="shared" si="35"/>
        <v xml:space="preserve"> </v>
      </c>
      <c r="BJ719" s="33"/>
      <c r="BK719" s="33"/>
      <c r="BL719" s="33"/>
      <c r="BM719" s="33"/>
      <c r="BN719" s="33"/>
      <c r="BO719" s="33"/>
      <c r="BP719" s="435" t="s">
        <v>972</v>
      </c>
      <c r="BQ719" s="434">
        <v>1470</v>
      </c>
      <c r="BR719" s="434">
        <v>1574</v>
      </c>
      <c r="BS719" s="434">
        <v>1890</v>
      </c>
      <c r="BT719" s="434">
        <v>2184</v>
      </c>
      <c r="BU719" s="434">
        <v>2436</v>
      </c>
      <c r="BV719" s="434">
        <v>2688</v>
      </c>
      <c r="BX719" s="33"/>
      <c r="BY719" s="33"/>
      <c r="BZ719" s="33"/>
      <c r="CA719" s="33"/>
      <c r="CB719" s="33"/>
      <c r="CC719" s="33"/>
      <c r="CD719" s="33"/>
      <c r="CE719" s="33"/>
      <c r="CF719" s="33"/>
      <c r="CG719" s="33"/>
      <c r="CH719" s="33"/>
      <c r="CI719" s="33"/>
      <c r="CJ719" s="33"/>
      <c r="CK719" s="33"/>
      <c r="CL719" s="33"/>
      <c r="CM719" s="33"/>
      <c r="CN719" s="33"/>
      <c r="CO719" s="33"/>
      <c r="CP719" s="33"/>
      <c r="CQ719" s="33"/>
      <c r="CR719" s="33"/>
      <c r="CS719" s="33"/>
    </row>
    <row r="720" spans="2:97" ht="12.95" customHeight="1">
      <c r="C720" s="760" t="s">
        <v>1488</v>
      </c>
      <c r="D720" s="722"/>
      <c r="E720" s="722"/>
      <c r="F720" s="722"/>
      <c r="G720" s="723"/>
      <c r="H720" s="723"/>
      <c r="I720" s="723"/>
      <c r="J720" s="723"/>
      <c r="K720" s="722"/>
      <c r="L720" s="722"/>
      <c r="M720" s="722"/>
      <c r="N720" s="722"/>
      <c r="O720" s="1395">
        <f>CQ615</f>
        <v>75</v>
      </c>
      <c r="P720" s="1395"/>
      <c r="Q720" s="1395"/>
      <c r="R720" s="1395"/>
      <c r="S720" s="724"/>
      <c r="T720" s="724"/>
      <c r="U720" s="760" t="s">
        <v>1489</v>
      </c>
      <c r="V720" s="722"/>
      <c r="W720" s="722"/>
      <c r="X720" s="722"/>
      <c r="Y720" s="723"/>
      <c r="Z720" s="723"/>
      <c r="AA720" s="723"/>
      <c r="AB720" s="723"/>
      <c r="AC720" s="722"/>
      <c r="AD720" s="722"/>
      <c r="AE720" s="722"/>
      <c r="AF720" s="722"/>
      <c r="AG720" s="1379"/>
      <c r="AH720" s="1379"/>
      <c r="AI720" s="1379"/>
      <c r="AJ720" s="1379"/>
      <c r="AK720" s="33"/>
      <c r="AL720" s="33"/>
      <c r="AM720" s="33"/>
      <c r="BA720" s="33"/>
      <c r="BB720" s="33"/>
      <c r="BC720" s="33"/>
      <c r="BD720" s="33"/>
      <c r="BE720" s="33"/>
      <c r="BF720" s="33"/>
      <c r="BG720" s="658">
        <f t="shared" si="33"/>
        <v>0</v>
      </c>
      <c r="BH720" s="662">
        <f t="shared" si="34"/>
        <v>0</v>
      </c>
      <c r="BI720" s="663" t="str">
        <f t="shared" si="35"/>
        <v xml:space="preserve"> </v>
      </c>
      <c r="BJ720" s="33"/>
      <c r="BK720" s="33"/>
      <c r="BL720" s="33"/>
      <c r="BM720" s="33"/>
      <c r="BN720" s="33"/>
      <c r="BO720" s="33"/>
      <c r="BP720" s="435" t="s">
        <v>977</v>
      </c>
      <c r="BQ720" s="434">
        <v>1496</v>
      </c>
      <c r="BR720" s="434">
        <v>1602</v>
      </c>
      <c r="BS720" s="434">
        <v>1924</v>
      </c>
      <c r="BT720" s="434">
        <v>2222</v>
      </c>
      <c r="BU720" s="434">
        <v>2480</v>
      </c>
      <c r="BV720" s="434">
        <v>2736</v>
      </c>
      <c r="BX720" s="33"/>
      <c r="BY720" s="33"/>
      <c r="BZ720" s="33"/>
      <c r="CA720" s="33"/>
      <c r="CB720" s="33"/>
      <c r="CC720" s="33"/>
      <c r="CD720" s="33"/>
      <c r="CE720" s="33"/>
      <c r="CF720" s="33"/>
      <c r="CG720" s="33"/>
      <c r="CH720" s="33"/>
      <c r="CI720" s="33"/>
      <c r="CJ720" s="33"/>
      <c r="CK720" s="33"/>
      <c r="CL720" s="33"/>
      <c r="CM720" s="33"/>
      <c r="CN720" s="33"/>
      <c r="CO720" s="33"/>
      <c r="CP720" s="33"/>
      <c r="CQ720" s="33"/>
      <c r="CR720" s="33"/>
      <c r="CS720" s="33"/>
    </row>
    <row r="721" spans="1:97" ht="12.95" customHeight="1">
      <c r="B721" s="363"/>
      <c r="C721" s="364"/>
      <c r="D721" s="364"/>
      <c r="E721" s="364"/>
      <c r="F721" s="364"/>
      <c r="G721" s="365"/>
      <c r="H721" s="365"/>
      <c r="I721" s="365"/>
      <c r="J721" s="365"/>
      <c r="K721" s="364"/>
      <c r="L721" s="364"/>
      <c r="M721" s="364"/>
      <c r="N721" s="364"/>
      <c r="O721" s="364"/>
      <c r="P721" s="291"/>
      <c r="Q721" s="291"/>
      <c r="R721" s="291"/>
      <c r="S721" s="291"/>
      <c r="T721" s="291"/>
      <c r="U721" s="780"/>
      <c r="V721" s="780"/>
      <c r="W721" s="780"/>
      <c r="X721" s="780"/>
      <c r="Y721" s="364"/>
      <c r="Z721" s="364"/>
      <c r="AA721" s="364"/>
      <c r="AB721" s="364"/>
      <c r="AC721" s="364"/>
      <c r="AD721" s="370"/>
      <c r="AE721" s="779"/>
      <c r="AF721" s="779"/>
      <c r="AG721" s="779"/>
      <c r="AH721" s="779"/>
      <c r="AL721" s="33"/>
      <c r="AM721" s="33"/>
      <c r="BA721" s="33"/>
      <c r="BB721" s="33"/>
      <c r="BC721" s="33"/>
      <c r="BD721" s="33"/>
      <c r="BE721" s="33"/>
      <c r="BF721" s="33"/>
      <c r="BG721" s="658">
        <f t="shared" si="33"/>
        <v>0</v>
      </c>
      <c r="BH721" s="662">
        <f t="shared" si="34"/>
        <v>0</v>
      </c>
      <c r="BI721" s="663" t="str">
        <f t="shared" si="35"/>
        <v xml:space="preserve"> </v>
      </c>
      <c r="BJ721" s="33"/>
      <c r="BK721" s="33"/>
      <c r="BL721" s="33"/>
      <c r="BM721" s="33"/>
      <c r="BN721" s="33"/>
      <c r="BO721" s="33"/>
      <c r="BP721" s="435" t="s">
        <v>980</v>
      </c>
      <c r="BQ721" s="434">
        <v>1444</v>
      </c>
      <c r="BR721" s="434">
        <v>1546</v>
      </c>
      <c r="BS721" s="434">
        <v>1856</v>
      </c>
      <c r="BT721" s="434">
        <v>2144</v>
      </c>
      <c r="BU721" s="434">
        <v>2392</v>
      </c>
      <c r="BV721" s="434">
        <v>2640</v>
      </c>
      <c r="BX721" s="33"/>
      <c r="BY721" s="33"/>
      <c r="BZ721" s="33"/>
      <c r="CA721" s="33"/>
      <c r="CB721" s="33"/>
      <c r="CC721" s="33"/>
      <c r="CD721" s="33"/>
      <c r="CE721" s="33"/>
      <c r="CF721" s="33"/>
      <c r="CG721" s="33"/>
      <c r="CH721" s="33"/>
      <c r="CI721" s="33"/>
      <c r="CJ721" s="33"/>
      <c r="CK721" s="33"/>
      <c r="CL721" s="33"/>
      <c r="CM721" s="33"/>
      <c r="CN721" s="33"/>
      <c r="CO721" s="33"/>
      <c r="CP721" s="33"/>
      <c r="CQ721" s="33"/>
      <c r="CR721" s="33"/>
      <c r="CS721" s="33"/>
    </row>
    <row r="722" spans="1:97" ht="12.95" customHeight="1">
      <c r="B722" s="725" t="s">
        <v>1490</v>
      </c>
      <c r="C722" s="364"/>
      <c r="D722" s="364"/>
      <c r="E722" s="364"/>
      <c r="F722" s="364"/>
      <c r="G722" s="365"/>
      <c r="H722" s="365"/>
      <c r="I722" s="365"/>
      <c r="J722" s="365"/>
      <c r="K722" s="364"/>
      <c r="L722" s="364"/>
      <c r="M722" s="364"/>
      <c r="N722" s="364"/>
      <c r="O722" s="364"/>
      <c r="P722" s="291"/>
      <c r="Q722" s="291"/>
      <c r="R722" s="291"/>
      <c r="S722" s="291"/>
      <c r="T722" s="291"/>
      <c r="U722" s="780"/>
      <c r="V722" s="780"/>
      <c r="W722" s="780"/>
      <c r="X722" s="780"/>
      <c r="Y722" s="364"/>
      <c r="Z722" s="1847" t="s">
        <v>325</v>
      </c>
      <c r="AA722" s="1847"/>
      <c r="AB722" s="1847"/>
      <c r="AF722" s="780"/>
      <c r="AG722" s="779"/>
      <c r="AH722" s="779"/>
      <c r="AL722" s="33"/>
      <c r="AM722" s="33"/>
      <c r="BA722" s="33"/>
      <c r="BB722" s="33"/>
      <c r="BC722" s="33"/>
      <c r="BD722" s="33"/>
      <c r="BE722" s="33"/>
      <c r="BF722" s="33"/>
      <c r="BG722" s="658">
        <f t="shared" si="33"/>
        <v>0</v>
      </c>
      <c r="BH722" s="662">
        <f t="shared" si="34"/>
        <v>0</v>
      </c>
      <c r="BI722" s="663" t="str">
        <f t="shared" si="35"/>
        <v xml:space="preserve"> </v>
      </c>
      <c r="BJ722" s="33"/>
      <c r="BK722" s="33"/>
      <c r="BL722" s="33"/>
      <c r="BM722" s="33"/>
      <c r="BN722" s="33"/>
      <c r="BO722" s="33"/>
      <c r="BP722" s="435" t="s">
        <v>986</v>
      </c>
      <c r="BQ722" s="434">
        <v>2002</v>
      </c>
      <c r="BR722" s="434">
        <v>2146</v>
      </c>
      <c r="BS722" s="434">
        <v>2574</v>
      </c>
      <c r="BT722" s="434">
        <v>2974</v>
      </c>
      <c r="BU722" s="434">
        <v>3320</v>
      </c>
      <c r="BV722" s="434">
        <v>3662</v>
      </c>
      <c r="BX722" s="33"/>
      <c r="BY722" s="33"/>
      <c r="BZ722" s="33"/>
      <c r="CA722" s="33"/>
      <c r="CB722" s="33"/>
      <c r="CC722" s="33"/>
      <c r="CD722" s="33"/>
      <c r="CE722" s="33"/>
      <c r="CF722" s="33"/>
      <c r="CG722" s="33"/>
      <c r="CH722" s="33"/>
      <c r="CI722" s="33"/>
      <c r="CJ722" s="33"/>
      <c r="CK722" s="33"/>
      <c r="CL722" s="33"/>
      <c r="CM722" s="33"/>
      <c r="CN722" s="33"/>
      <c r="CO722" s="33"/>
      <c r="CP722" s="33"/>
      <c r="CQ722" s="33"/>
      <c r="CR722" s="33"/>
      <c r="CS722" s="33"/>
    </row>
    <row r="723" spans="1:97" ht="12.95" customHeight="1">
      <c r="B723" s="940" t="s">
        <v>1491</v>
      </c>
      <c r="C723" s="940"/>
      <c r="D723" s="940"/>
      <c r="E723" s="940"/>
      <c r="F723" s="940"/>
      <c r="G723" s="940"/>
      <c r="H723" s="940"/>
      <c r="I723" s="940"/>
      <c r="J723" s="940"/>
      <c r="K723" s="940"/>
      <c r="L723" s="940"/>
      <c r="M723" s="940"/>
      <c r="N723" s="940"/>
      <c r="O723" s="940"/>
      <c r="P723" s="940"/>
      <c r="Q723" s="940"/>
      <c r="R723" s="940"/>
      <c r="S723" s="940"/>
      <c r="T723" s="940"/>
      <c r="U723" s="940"/>
      <c r="V723" s="940"/>
      <c r="W723" s="940"/>
      <c r="X723" s="940"/>
      <c r="Y723" s="940"/>
      <c r="Z723" s="940"/>
      <c r="AA723" s="940"/>
      <c r="AB723" s="940"/>
      <c r="AC723" s="940"/>
      <c r="AD723" s="940"/>
      <c r="AE723" s="940"/>
      <c r="AF723" s="940"/>
      <c r="AG723" s="940"/>
      <c r="AH723" s="940"/>
      <c r="AI723" s="940"/>
      <c r="AJ723" s="940"/>
      <c r="AK723" s="940"/>
      <c r="AL723" s="940"/>
      <c r="AM723" s="33"/>
      <c r="BA723" s="33"/>
      <c r="BB723" s="33"/>
      <c r="BC723" s="33"/>
      <c r="BD723" s="33"/>
      <c r="BE723" s="33"/>
      <c r="BF723" s="33"/>
      <c r="BG723" s="658">
        <f t="shared" si="33"/>
        <v>0</v>
      </c>
      <c r="BH723" s="662">
        <f t="shared" si="34"/>
        <v>0</v>
      </c>
      <c r="BI723" s="663" t="str">
        <f t="shared" si="35"/>
        <v xml:space="preserve"> </v>
      </c>
      <c r="BJ723" s="33"/>
      <c r="BK723" s="33"/>
      <c r="BL723" s="33"/>
      <c r="BM723" s="33"/>
      <c r="BN723" s="33"/>
      <c r="BO723" s="33"/>
      <c r="BP723" s="435" t="s">
        <v>990</v>
      </c>
      <c r="BQ723" s="434">
        <v>2202</v>
      </c>
      <c r="BR723" s="434">
        <v>2360</v>
      </c>
      <c r="BS723" s="434">
        <v>2832</v>
      </c>
      <c r="BT723" s="434">
        <v>3270</v>
      </c>
      <c r="BU723" s="434">
        <v>3650</v>
      </c>
      <c r="BV723" s="434">
        <v>4026</v>
      </c>
      <c r="BX723" s="33"/>
      <c r="BY723" s="33"/>
      <c r="BZ723" s="33"/>
      <c r="CA723" s="33"/>
      <c r="CB723" s="33"/>
      <c r="CC723" s="33"/>
      <c r="CD723" s="33"/>
      <c r="CE723" s="33"/>
      <c r="CF723" s="33"/>
      <c r="CG723" s="33"/>
      <c r="CH723" s="33"/>
      <c r="CI723" s="33"/>
      <c r="CJ723" s="33"/>
      <c r="CK723" s="33"/>
      <c r="CL723" s="33"/>
      <c r="CM723" s="33"/>
      <c r="CN723" s="33"/>
      <c r="CO723" s="33"/>
      <c r="CP723" s="33"/>
      <c r="CQ723" s="33"/>
      <c r="CR723" s="33"/>
      <c r="CS723" s="33"/>
    </row>
    <row r="724" spans="1:97" ht="20.25" customHeight="1">
      <c r="B724" s="940"/>
      <c r="C724" s="940"/>
      <c r="D724" s="940"/>
      <c r="E724" s="940"/>
      <c r="F724" s="940"/>
      <c r="G724" s="940"/>
      <c r="H724" s="940"/>
      <c r="I724" s="940"/>
      <c r="J724" s="940"/>
      <c r="K724" s="940"/>
      <c r="L724" s="940"/>
      <c r="M724" s="940"/>
      <c r="N724" s="940"/>
      <c r="O724" s="940"/>
      <c r="P724" s="940"/>
      <c r="Q724" s="940"/>
      <c r="R724" s="940"/>
      <c r="S724" s="940"/>
      <c r="T724" s="940"/>
      <c r="U724" s="940"/>
      <c r="V724" s="940"/>
      <c r="W724" s="940"/>
      <c r="X724" s="940"/>
      <c r="Y724" s="940"/>
      <c r="Z724" s="940"/>
      <c r="AA724" s="940"/>
      <c r="AB724" s="940"/>
      <c r="AC724" s="940"/>
      <c r="AD724" s="940"/>
      <c r="AE724" s="940"/>
      <c r="AF724" s="940"/>
      <c r="AG724" s="940"/>
      <c r="AH724" s="940"/>
      <c r="AI724" s="940"/>
      <c r="AJ724" s="940"/>
      <c r="AK724" s="940"/>
      <c r="AL724" s="940"/>
      <c r="AM724" s="33"/>
      <c r="BA724" s="33"/>
      <c r="BB724" s="33"/>
      <c r="BC724" s="33"/>
      <c r="BD724" s="33"/>
      <c r="BE724" s="33"/>
      <c r="BF724" s="33"/>
      <c r="BG724" s="658">
        <f t="shared" si="33"/>
        <v>0</v>
      </c>
      <c r="BH724" s="662">
        <f t="shared" si="34"/>
        <v>0</v>
      </c>
      <c r="BI724" s="663" t="str">
        <f t="shared" si="35"/>
        <v xml:space="preserve"> </v>
      </c>
      <c r="BJ724" s="33"/>
      <c r="BK724" s="33"/>
      <c r="BL724" s="33"/>
      <c r="BM724" s="33"/>
      <c r="BN724" s="33"/>
      <c r="BO724" s="33"/>
      <c r="BP724" s="435" t="s">
        <v>993</v>
      </c>
      <c r="BQ724" s="434">
        <v>1476</v>
      </c>
      <c r="BR724" s="434">
        <v>1582</v>
      </c>
      <c r="BS724" s="434">
        <v>1900</v>
      </c>
      <c r="BT724" s="434">
        <v>2194</v>
      </c>
      <c r="BU724" s="434">
        <v>2450</v>
      </c>
      <c r="BV724" s="434">
        <v>2702</v>
      </c>
      <c r="BX724" s="33"/>
      <c r="BY724" s="33"/>
      <c r="BZ724" s="33"/>
      <c r="CA724" s="33"/>
      <c r="CB724" s="33"/>
      <c r="CC724" s="33"/>
      <c r="CD724" s="33"/>
      <c r="CE724" s="33"/>
      <c r="CF724" s="33"/>
      <c r="CG724" s="33"/>
      <c r="CH724" s="33"/>
      <c r="CI724" s="33"/>
      <c r="CJ724" s="33"/>
      <c r="CK724" s="33"/>
      <c r="CL724" s="33"/>
      <c r="CM724" s="33"/>
      <c r="CN724" s="33"/>
      <c r="CO724" s="33"/>
      <c r="CP724" s="33"/>
      <c r="CQ724" s="33"/>
      <c r="CR724" s="33"/>
      <c r="CS724" s="33"/>
    </row>
    <row r="725" spans="1:97" ht="12.95" customHeight="1">
      <c r="A725" s="2" t="s">
        <v>889</v>
      </c>
      <c r="B725" s="836"/>
      <c r="C725" s="769" t="s">
        <v>1492</v>
      </c>
      <c r="D725" s="720"/>
      <c r="E725" s="720"/>
      <c r="F725" s="720"/>
      <c r="G725" s="720"/>
      <c r="H725" s="720"/>
      <c r="I725" s="720"/>
      <c r="J725" s="720"/>
      <c r="K725" s="720"/>
      <c r="L725" s="720"/>
      <c r="M725" s="720"/>
      <c r="N725" s="720"/>
      <c r="O725" s="720"/>
      <c r="P725" s="720"/>
      <c r="Q725" s="720"/>
      <c r="R725" s="720"/>
      <c r="S725" s="720"/>
      <c r="T725" s="720"/>
      <c r="U725" s="720"/>
      <c r="V725" s="720"/>
      <c r="W725" s="720"/>
      <c r="X725" s="720"/>
      <c r="Y725" s="720"/>
      <c r="Z725" s="720"/>
      <c r="AA725" s="720"/>
      <c r="AB725" s="720"/>
      <c r="AC725" s="720"/>
      <c r="AD725" s="720"/>
      <c r="AE725" s="720"/>
      <c r="AF725" s="720"/>
      <c r="AG725" s="720"/>
      <c r="AH725" s="720"/>
      <c r="AI725" s="720"/>
      <c r="AJ725" s="720"/>
      <c r="AK725" s="720"/>
      <c r="AM725" s="33"/>
      <c r="BA725" s="33"/>
      <c r="BB725" s="33"/>
      <c r="BC725" s="33"/>
      <c r="BD725" s="33"/>
      <c r="BE725" s="33"/>
      <c r="BF725" s="33"/>
      <c r="BG725" s="658">
        <f t="shared" si="33"/>
        <v>0</v>
      </c>
      <c r="BH725" s="662">
        <f t="shared" si="34"/>
        <v>0</v>
      </c>
      <c r="BI725" s="663" t="str">
        <f t="shared" si="35"/>
        <v xml:space="preserve"> </v>
      </c>
      <c r="BJ725" s="33"/>
      <c r="BK725" s="33"/>
      <c r="BL725" s="33"/>
      <c r="BM725" s="33"/>
      <c r="BN725" s="33"/>
      <c r="BO725" s="33"/>
      <c r="BP725" s="435" t="s">
        <v>999</v>
      </c>
      <c r="BQ725" s="434">
        <v>1444</v>
      </c>
      <c r="BR725" s="434">
        <v>1546</v>
      </c>
      <c r="BS725" s="434">
        <v>1856</v>
      </c>
      <c r="BT725" s="434">
        <v>2144</v>
      </c>
      <c r="BU725" s="434">
        <v>2392</v>
      </c>
      <c r="BV725" s="434">
        <v>2640</v>
      </c>
      <c r="BX725" s="33"/>
      <c r="BY725" s="33"/>
      <c r="BZ725" s="33"/>
      <c r="CA725" s="33"/>
      <c r="CB725" s="33"/>
      <c r="CC725" s="33"/>
      <c r="CD725" s="33"/>
      <c r="CE725" s="33"/>
      <c r="CF725" s="33"/>
      <c r="CG725" s="33"/>
      <c r="CH725" s="33"/>
      <c r="CI725" s="33"/>
      <c r="CJ725" s="33"/>
      <c r="CK725" s="33"/>
      <c r="CL725" s="33"/>
      <c r="CM725" s="33"/>
      <c r="CN725" s="33"/>
      <c r="CO725" s="33"/>
      <c r="CP725" s="33"/>
      <c r="CQ725" s="33"/>
      <c r="CR725" s="33"/>
      <c r="CS725" s="33"/>
    </row>
    <row r="726" spans="1:97" ht="12.95" customHeight="1">
      <c r="A726" s="2"/>
      <c r="B726" s="836"/>
      <c r="C726" s="940" t="s">
        <v>1493</v>
      </c>
      <c r="D726" s="940"/>
      <c r="E726" s="940"/>
      <c r="F726" s="940"/>
      <c r="G726" s="940"/>
      <c r="H726" s="940"/>
      <c r="I726" s="940"/>
      <c r="J726" s="940"/>
      <c r="K726" s="940"/>
      <c r="L726" s="940"/>
      <c r="M726" s="940"/>
      <c r="N726" s="940"/>
      <c r="O726" s="940"/>
      <c r="P726" s="940"/>
      <c r="Q726" s="940"/>
      <c r="R726" s="940"/>
      <c r="S726" s="940"/>
      <c r="T726" s="940"/>
      <c r="U726" s="940"/>
      <c r="V726" s="940"/>
      <c r="W726" s="940"/>
      <c r="X726" s="940"/>
      <c r="Y726" s="940"/>
      <c r="Z726" s="940"/>
      <c r="AA726" s="940"/>
      <c r="AB726" s="940"/>
      <c r="AC726" s="940"/>
      <c r="AD726" s="940"/>
      <c r="AE726" s="940"/>
      <c r="AF726" s="940"/>
      <c r="AG726" s="940"/>
      <c r="AH726" s="940"/>
      <c r="AI726" s="940"/>
      <c r="AJ726" s="940"/>
      <c r="AK726" s="940"/>
      <c r="AL726" s="940"/>
      <c r="AM726" s="940"/>
      <c r="BA726" s="33"/>
      <c r="BB726" s="33"/>
      <c r="BC726" s="33"/>
      <c r="BD726" s="33"/>
      <c r="BE726" s="33"/>
      <c r="BF726" s="33"/>
      <c r="BG726" s="658">
        <f t="shared" si="33"/>
        <v>0</v>
      </c>
      <c r="BH726" s="662">
        <f t="shared" si="34"/>
        <v>0</v>
      </c>
      <c r="BI726" s="663" t="str">
        <f t="shared" si="35"/>
        <v xml:space="preserve"> </v>
      </c>
      <c r="BJ726" s="33"/>
      <c r="BK726" s="33"/>
      <c r="BL726" s="33"/>
      <c r="BM726" s="33"/>
      <c r="BN726" s="33"/>
      <c r="BO726" s="33"/>
      <c r="BP726" s="435" t="s">
        <v>1004</v>
      </c>
      <c r="BQ726" s="434">
        <v>1444</v>
      </c>
      <c r="BR726" s="434">
        <v>1546</v>
      </c>
      <c r="BS726" s="434">
        <v>1856</v>
      </c>
      <c r="BT726" s="434">
        <v>2144</v>
      </c>
      <c r="BU726" s="434">
        <v>2392</v>
      </c>
      <c r="BV726" s="434">
        <v>2640</v>
      </c>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row>
    <row r="727" spans="1:97" ht="12.95" customHeight="1">
      <c r="A727" s="2"/>
      <c r="B727" s="836"/>
      <c r="C727" s="940"/>
      <c r="D727" s="940"/>
      <c r="E727" s="940"/>
      <c r="F727" s="940"/>
      <c r="G727" s="940"/>
      <c r="H727" s="940"/>
      <c r="I727" s="940"/>
      <c r="J727" s="940"/>
      <c r="K727" s="940"/>
      <c r="L727" s="940"/>
      <c r="M727" s="940"/>
      <c r="N727" s="940"/>
      <c r="O727" s="940"/>
      <c r="P727" s="940"/>
      <c r="Q727" s="940"/>
      <c r="R727" s="940"/>
      <c r="S727" s="940"/>
      <c r="T727" s="940"/>
      <c r="U727" s="940"/>
      <c r="V727" s="940"/>
      <c r="W727" s="940"/>
      <c r="X727" s="940"/>
      <c r="Y727" s="940"/>
      <c r="Z727" s="940"/>
      <c r="AA727" s="940"/>
      <c r="AB727" s="940"/>
      <c r="AC727" s="940"/>
      <c r="AD727" s="940"/>
      <c r="AE727" s="940"/>
      <c r="AF727" s="940"/>
      <c r="AG727" s="940"/>
      <c r="AH727" s="940"/>
      <c r="AI727" s="940"/>
      <c r="AJ727" s="940"/>
      <c r="AK727" s="940"/>
      <c r="AL727" s="940"/>
      <c r="AM727" s="940"/>
      <c r="BA727" s="33"/>
      <c r="BB727" s="33"/>
      <c r="BC727" s="33"/>
      <c r="BD727" s="33"/>
      <c r="BE727" s="33"/>
      <c r="BF727" s="33"/>
      <c r="BG727" s="658">
        <f t="shared" si="33"/>
        <v>0</v>
      </c>
      <c r="BH727" s="662">
        <f t="shared" si="34"/>
        <v>0</v>
      </c>
      <c r="BI727" s="663" t="str">
        <f t="shared" si="35"/>
        <v xml:space="preserve"> </v>
      </c>
      <c r="BJ727" s="33"/>
      <c r="BK727" s="33"/>
      <c r="BL727" s="33"/>
      <c r="BM727" s="33"/>
      <c r="BN727" s="33"/>
      <c r="BO727" s="33"/>
      <c r="BP727" s="435" t="s">
        <v>1008</v>
      </c>
      <c r="BQ727" s="434">
        <v>1444</v>
      </c>
      <c r="BR727" s="434">
        <v>1546</v>
      </c>
      <c r="BS727" s="434">
        <v>1856</v>
      </c>
      <c r="BT727" s="434">
        <v>2144</v>
      </c>
      <c r="BU727" s="434">
        <v>2392</v>
      </c>
      <c r="BV727" s="434">
        <v>2640</v>
      </c>
      <c r="BX727" s="33"/>
      <c r="BY727" s="33"/>
      <c r="BZ727" s="33"/>
      <c r="CA727" s="33"/>
      <c r="CB727" s="33"/>
      <c r="CC727" s="33"/>
      <c r="CD727" s="33"/>
      <c r="CE727" s="33"/>
      <c r="CF727" s="33"/>
      <c r="CG727" s="33"/>
      <c r="CH727" s="33"/>
      <c r="CI727" s="33"/>
      <c r="CJ727" s="33"/>
      <c r="CK727" s="33"/>
      <c r="CL727" s="33"/>
      <c r="CM727" s="33"/>
      <c r="CN727" s="33"/>
      <c r="CO727" s="33"/>
      <c r="CP727" s="33"/>
      <c r="CQ727" s="33"/>
      <c r="CR727" s="33"/>
      <c r="CS727" s="33"/>
    </row>
    <row r="728" spans="1:97" ht="12.95" customHeight="1">
      <c r="A728" s="2"/>
      <c r="B728" s="836"/>
      <c r="C728" s="940"/>
      <c r="D728" s="940"/>
      <c r="E728" s="940"/>
      <c r="F728" s="940"/>
      <c r="G728" s="940"/>
      <c r="H728" s="940"/>
      <c r="I728" s="940"/>
      <c r="J728" s="940"/>
      <c r="K728" s="940"/>
      <c r="L728" s="940"/>
      <c r="M728" s="940"/>
      <c r="N728" s="940"/>
      <c r="O728" s="940"/>
      <c r="P728" s="940"/>
      <c r="Q728" s="940"/>
      <c r="R728" s="940"/>
      <c r="S728" s="940"/>
      <c r="T728" s="940"/>
      <c r="U728" s="940"/>
      <c r="V728" s="940"/>
      <c r="W728" s="940"/>
      <c r="X728" s="940"/>
      <c r="Y728" s="940"/>
      <c r="Z728" s="940"/>
      <c r="AA728" s="940"/>
      <c r="AB728" s="940"/>
      <c r="AC728" s="940"/>
      <c r="AD728" s="940"/>
      <c r="AE728" s="940"/>
      <c r="AF728" s="940"/>
      <c r="AG728" s="940"/>
      <c r="AH728" s="940"/>
      <c r="AI728" s="940"/>
      <c r="AJ728" s="940"/>
      <c r="AK728" s="940"/>
      <c r="AL728" s="940"/>
      <c r="AM728" s="940"/>
      <c r="BA728" s="33"/>
      <c r="BB728" s="33"/>
      <c r="BC728" s="33"/>
      <c r="BD728" s="33"/>
      <c r="BE728" s="33"/>
      <c r="BF728" s="33"/>
      <c r="BG728" s="658">
        <f t="shared" si="33"/>
        <v>0</v>
      </c>
      <c r="BH728" s="662">
        <f t="shared" si="34"/>
        <v>0</v>
      </c>
      <c r="BI728" s="663" t="str">
        <f t="shared" si="35"/>
        <v xml:space="preserve"> </v>
      </c>
      <c r="BJ728" s="33"/>
      <c r="BK728" s="33"/>
      <c r="BL728" s="33"/>
      <c r="BM728" s="33"/>
      <c r="BN728" s="33"/>
      <c r="BO728" s="33"/>
      <c r="BP728" s="435" t="s">
        <v>1013</v>
      </c>
      <c r="BQ728" s="434">
        <v>1444</v>
      </c>
      <c r="BR728" s="434">
        <v>1546</v>
      </c>
      <c r="BS728" s="434">
        <v>1856</v>
      </c>
      <c r="BT728" s="434">
        <v>2144</v>
      </c>
      <c r="BU728" s="434">
        <v>2392</v>
      </c>
      <c r="BV728" s="434">
        <v>2640</v>
      </c>
      <c r="BX728" s="33"/>
      <c r="BY728" s="33"/>
      <c r="BZ728" s="33"/>
      <c r="CA728" s="33"/>
      <c r="CB728" s="33"/>
      <c r="CC728" s="33"/>
      <c r="CD728" s="33"/>
      <c r="CE728" s="33"/>
      <c r="CF728" s="33"/>
      <c r="CG728" s="33"/>
      <c r="CH728" s="33"/>
      <c r="CI728" s="33"/>
      <c r="CJ728" s="33"/>
      <c r="CK728" s="33"/>
      <c r="CL728" s="33"/>
      <c r="CM728" s="33"/>
      <c r="CN728" s="33"/>
      <c r="CO728" s="33"/>
      <c r="CP728" s="33"/>
      <c r="CQ728" s="33"/>
      <c r="CR728" s="33"/>
      <c r="CS728" s="33"/>
    </row>
    <row r="729" spans="1:97" ht="12.95" customHeight="1">
      <c r="A729" s="2"/>
      <c r="B729" s="836"/>
      <c r="C729" s="940"/>
      <c r="D729" s="940"/>
      <c r="E729" s="940"/>
      <c r="F729" s="940"/>
      <c r="G729" s="940"/>
      <c r="H729" s="940"/>
      <c r="I729" s="940"/>
      <c r="J729" s="940"/>
      <c r="K729" s="940"/>
      <c r="L729" s="940"/>
      <c r="M729" s="940"/>
      <c r="N729" s="940"/>
      <c r="O729" s="940"/>
      <c r="P729" s="940"/>
      <c r="Q729" s="940"/>
      <c r="R729" s="940"/>
      <c r="S729" s="940"/>
      <c r="T729" s="940"/>
      <c r="U729" s="940"/>
      <c r="V729" s="940"/>
      <c r="W729" s="940"/>
      <c r="X729" s="940"/>
      <c r="Y729" s="940"/>
      <c r="Z729" s="940"/>
      <c r="AA729" s="940"/>
      <c r="AB729" s="940"/>
      <c r="AC729" s="940"/>
      <c r="AD729" s="940"/>
      <c r="AE729" s="940"/>
      <c r="AF729" s="940"/>
      <c r="AG729" s="940"/>
      <c r="AH729" s="940"/>
      <c r="AI729" s="940"/>
      <c r="AJ729" s="940"/>
      <c r="AK729" s="940"/>
      <c r="AL729" s="940"/>
      <c r="AM729" s="940"/>
      <c r="BA729" s="33"/>
      <c r="BB729" s="33"/>
      <c r="BC729" s="33"/>
      <c r="BD729" s="33"/>
      <c r="BE729" s="33"/>
      <c r="BF729" s="33"/>
      <c r="BG729" s="658">
        <f t="shared" si="33"/>
        <v>0</v>
      </c>
      <c r="BH729" s="662">
        <f t="shared" si="34"/>
        <v>0</v>
      </c>
      <c r="BI729" s="663" t="str">
        <f t="shared" si="35"/>
        <v xml:space="preserve"> </v>
      </c>
      <c r="BJ729" s="33"/>
      <c r="BK729" s="33"/>
      <c r="BL729" s="33"/>
      <c r="BM729" s="33"/>
      <c r="BN729" s="33"/>
      <c r="BO729" s="33"/>
      <c r="BP729" s="435" t="s">
        <v>1015</v>
      </c>
      <c r="BQ729" s="434">
        <v>1542</v>
      </c>
      <c r="BR729" s="434">
        <v>1652</v>
      </c>
      <c r="BS729" s="434">
        <v>1982</v>
      </c>
      <c r="BT729" s="434">
        <v>2290</v>
      </c>
      <c r="BU729" s="434">
        <v>2554</v>
      </c>
      <c r="BV729" s="434">
        <v>2820</v>
      </c>
      <c r="BX729" s="33"/>
      <c r="BY729" s="33"/>
      <c r="BZ729" s="33"/>
      <c r="CA729" s="33"/>
      <c r="CB729" s="33"/>
      <c r="CC729" s="33"/>
      <c r="CD729" s="33"/>
      <c r="CE729" s="33"/>
      <c r="CF729" s="33"/>
      <c r="CG729" s="33"/>
      <c r="CH729" s="33"/>
      <c r="CI729" s="33"/>
      <c r="CJ729" s="33"/>
      <c r="CK729" s="33"/>
      <c r="CL729" s="33"/>
      <c r="CM729" s="33"/>
      <c r="CN729" s="33"/>
      <c r="CO729" s="33"/>
      <c r="CP729" s="33"/>
      <c r="CQ729" s="33"/>
      <c r="CR729" s="33"/>
      <c r="CS729" s="33"/>
    </row>
    <row r="730" spans="1:97" ht="12.95" customHeight="1">
      <c r="A730" s="2"/>
      <c r="B730" s="836"/>
      <c r="C730" s="940"/>
      <c r="D730" s="940"/>
      <c r="E730" s="940"/>
      <c r="F730" s="940"/>
      <c r="G730" s="940"/>
      <c r="H730" s="940"/>
      <c r="I730" s="940"/>
      <c r="J730" s="940"/>
      <c r="K730" s="940"/>
      <c r="L730" s="940"/>
      <c r="M730" s="940"/>
      <c r="N730" s="940"/>
      <c r="O730" s="940"/>
      <c r="P730" s="940"/>
      <c r="Q730" s="940"/>
      <c r="R730" s="940"/>
      <c r="S730" s="940"/>
      <c r="T730" s="940"/>
      <c r="U730" s="940"/>
      <c r="V730" s="940"/>
      <c r="W730" s="940"/>
      <c r="X730" s="940"/>
      <c r="Y730" s="940"/>
      <c r="Z730" s="940"/>
      <c r="AA730" s="940"/>
      <c r="AB730" s="940"/>
      <c r="AC730" s="940"/>
      <c r="AD730" s="940"/>
      <c r="AE730" s="940"/>
      <c r="AF730" s="940"/>
      <c r="AG730" s="940"/>
      <c r="AH730" s="940"/>
      <c r="AI730" s="940"/>
      <c r="AJ730" s="940"/>
      <c r="AK730" s="940"/>
      <c r="AL730" s="940"/>
      <c r="AM730" s="940"/>
      <c r="BA730" s="33"/>
      <c r="BB730" s="33"/>
      <c r="BC730" s="33"/>
      <c r="BD730" s="33"/>
      <c r="BE730" s="33"/>
      <c r="BF730" s="33"/>
      <c r="BG730" s="658">
        <f t="shared" si="33"/>
        <v>0</v>
      </c>
      <c r="BH730" s="662">
        <f t="shared" si="34"/>
        <v>0</v>
      </c>
      <c r="BI730" s="663" t="str">
        <f t="shared" si="35"/>
        <v xml:space="preserve"> </v>
      </c>
      <c r="BJ730" s="33"/>
      <c r="BK730" s="33"/>
      <c r="BL730" s="33"/>
      <c r="BM730" s="33"/>
      <c r="BN730" s="33"/>
      <c r="BO730" s="33"/>
      <c r="BP730" s="435" t="s">
        <v>1018</v>
      </c>
      <c r="BQ730" s="434">
        <v>2324</v>
      </c>
      <c r="BR730" s="434">
        <v>2490</v>
      </c>
      <c r="BS730" s="434">
        <v>2990</v>
      </c>
      <c r="BT730" s="434">
        <v>3452</v>
      </c>
      <c r="BU730" s="434">
        <v>3852</v>
      </c>
      <c r="BV730" s="434">
        <v>4250</v>
      </c>
      <c r="BX730" s="33"/>
      <c r="BY730" s="33"/>
      <c r="BZ730" s="33"/>
      <c r="CA730" s="33"/>
      <c r="CB730" s="33"/>
      <c r="CC730" s="33"/>
      <c r="CD730" s="33"/>
      <c r="CE730" s="33"/>
      <c r="CF730" s="33"/>
      <c r="CG730" s="33"/>
      <c r="CH730" s="33"/>
      <c r="CI730" s="33"/>
      <c r="CJ730" s="33"/>
      <c r="CK730" s="33"/>
      <c r="CL730" s="33"/>
      <c r="CM730" s="33"/>
      <c r="CN730" s="33"/>
      <c r="CO730" s="33"/>
      <c r="CP730" s="33"/>
      <c r="CQ730" s="33"/>
      <c r="CR730" s="33"/>
      <c r="CS730" s="33"/>
    </row>
    <row r="731" spans="1:97" ht="12.95" customHeight="1">
      <c r="B731" s="836"/>
      <c r="C731" s="940"/>
      <c r="D731" s="940"/>
      <c r="E731" s="940"/>
      <c r="F731" s="940"/>
      <c r="G731" s="940"/>
      <c r="H731" s="940"/>
      <c r="I731" s="940"/>
      <c r="J731" s="940"/>
      <c r="K731" s="940"/>
      <c r="L731" s="940"/>
      <c r="M731" s="940"/>
      <c r="N731" s="940"/>
      <c r="O731" s="940"/>
      <c r="P731" s="940"/>
      <c r="Q731" s="940"/>
      <c r="R731" s="940"/>
      <c r="S731" s="940"/>
      <c r="T731" s="940"/>
      <c r="U731" s="940"/>
      <c r="V731" s="940"/>
      <c r="W731" s="940"/>
      <c r="X731" s="940"/>
      <c r="Y731" s="940"/>
      <c r="Z731" s="940"/>
      <c r="AA731" s="940"/>
      <c r="AB731" s="940"/>
      <c r="AC731" s="940"/>
      <c r="AD731" s="940"/>
      <c r="AE731" s="940"/>
      <c r="AF731" s="940"/>
      <c r="AG731" s="940"/>
      <c r="AH731" s="940"/>
      <c r="AI731" s="940"/>
      <c r="AJ731" s="940"/>
      <c r="AK731" s="940"/>
      <c r="AL731" s="940"/>
      <c r="AM731" s="940"/>
      <c r="BA731" s="33"/>
      <c r="BB731" s="33"/>
      <c r="BC731" s="33"/>
      <c r="BD731" s="33"/>
      <c r="BE731" s="33"/>
      <c r="BF731" s="33"/>
      <c r="BG731" s="661">
        <f t="shared" si="33"/>
        <v>0</v>
      </c>
      <c r="BH731" s="662">
        <f t="shared" si="34"/>
        <v>0</v>
      </c>
      <c r="BI731" s="663" t="str">
        <f t="shared" si="35"/>
        <v xml:space="preserve"> </v>
      </c>
      <c r="BJ731" s="33"/>
      <c r="BK731" s="33"/>
      <c r="BL731" s="33"/>
      <c r="BM731" s="33"/>
      <c r="BN731" s="33"/>
      <c r="BO731" s="33"/>
      <c r="BP731" s="435" t="s">
        <v>1024</v>
      </c>
      <c r="BQ731" s="434">
        <v>1836</v>
      </c>
      <c r="BR731" s="434">
        <v>1968</v>
      </c>
      <c r="BS731" s="434">
        <v>2362</v>
      </c>
      <c r="BT731" s="434">
        <v>2726</v>
      </c>
      <c r="BU731" s="434">
        <v>3042</v>
      </c>
      <c r="BV731" s="434">
        <v>3356</v>
      </c>
      <c r="BX731" s="33"/>
      <c r="BY731" s="33"/>
      <c r="BZ731" s="33"/>
      <c r="CA731" s="33"/>
      <c r="CB731" s="33"/>
      <c r="CC731" s="33"/>
      <c r="CD731" s="33"/>
      <c r="CE731" s="33"/>
      <c r="CF731" s="33"/>
      <c r="CG731" s="33"/>
      <c r="CH731" s="33"/>
      <c r="CI731" s="33"/>
      <c r="CJ731" s="33"/>
      <c r="CK731" s="33"/>
      <c r="CL731" s="33"/>
      <c r="CM731" s="33"/>
      <c r="CN731" s="33"/>
      <c r="CO731" s="33"/>
      <c r="CP731" s="33"/>
      <c r="CQ731" s="33"/>
      <c r="CR731" s="33"/>
      <c r="CS731" s="33"/>
    </row>
    <row r="732" spans="1:97" ht="12.95" customHeight="1">
      <c r="B732" s="836"/>
      <c r="C732" s="940"/>
      <c r="D732" s="940"/>
      <c r="E732" s="940"/>
      <c r="F732" s="940"/>
      <c r="G732" s="940"/>
      <c r="H732" s="940"/>
      <c r="I732" s="940"/>
      <c r="J732" s="940"/>
      <c r="K732" s="940"/>
      <c r="L732" s="940"/>
      <c r="M732" s="940"/>
      <c r="N732" s="940"/>
      <c r="O732" s="940"/>
      <c r="P732" s="940"/>
      <c r="Q732" s="940"/>
      <c r="R732" s="940"/>
      <c r="S732" s="940"/>
      <c r="T732" s="940"/>
      <c r="U732" s="940"/>
      <c r="V732" s="940"/>
      <c r="W732" s="940"/>
      <c r="X732" s="940"/>
      <c r="Y732" s="940"/>
      <c r="Z732" s="940"/>
      <c r="AA732" s="940"/>
      <c r="AB732" s="940"/>
      <c r="AC732" s="940"/>
      <c r="AD732" s="940"/>
      <c r="AE732" s="940"/>
      <c r="AF732" s="940"/>
      <c r="AG732" s="940"/>
      <c r="AH732" s="940"/>
      <c r="AI732" s="940"/>
      <c r="AJ732" s="940"/>
      <c r="AK732" s="940"/>
      <c r="AL732" s="940"/>
      <c r="AM732" s="940"/>
      <c r="BA732" s="33"/>
      <c r="BB732" s="33"/>
      <c r="BC732" s="33"/>
      <c r="BD732" s="33"/>
      <c r="BE732" s="33"/>
      <c r="BF732" s="33"/>
      <c r="BG732" s="659">
        <f>SUM(BG707:BG731)</f>
        <v>42</v>
      </c>
      <c r="BH732" s="660">
        <f>SUM(BH707:BH731)</f>
        <v>1</v>
      </c>
      <c r="BI732" s="660">
        <f>SUM(BI707:BI731)</f>
        <v>0.45707596786722438</v>
      </c>
      <c r="BJ732" s="33"/>
      <c r="BK732" s="33"/>
      <c r="BL732" s="33"/>
      <c r="BM732" s="33"/>
      <c r="BN732" s="33"/>
      <c r="BO732" s="33"/>
      <c r="BP732" s="435" t="s">
        <v>1027</v>
      </c>
      <c r="BQ732" s="434">
        <v>1444</v>
      </c>
      <c r="BR732" s="434">
        <v>1546</v>
      </c>
      <c r="BS732" s="434">
        <v>1856</v>
      </c>
      <c r="BT732" s="434">
        <v>2144</v>
      </c>
      <c r="BU732" s="434">
        <v>2392</v>
      </c>
      <c r="BV732" s="434">
        <v>2640</v>
      </c>
      <c r="BX732" s="33"/>
      <c r="BY732" s="33"/>
      <c r="BZ732" s="33"/>
      <c r="CA732" s="33"/>
      <c r="CB732" s="33"/>
      <c r="CC732" s="33"/>
      <c r="CD732" s="33"/>
      <c r="CE732" s="33"/>
      <c r="CF732" s="33"/>
      <c r="CG732" s="33"/>
      <c r="CH732" s="33"/>
      <c r="CI732" s="33"/>
      <c r="CJ732" s="33"/>
      <c r="CK732" s="33"/>
      <c r="CL732" s="33"/>
      <c r="CM732" s="33"/>
      <c r="CN732" s="33"/>
      <c r="CO732" s="33"/>
      <c r="CP732" s="33"/>
      <c r="CQ732" s="33"/>
      <c r="CR732" s="33"/>
      <c r="CS732" s="33"/>
    </row>
    <row r="733" spans="1:97" ht="12.95" customHeight="1">
      <c r="B733" s="836"/>
      <c r="C733" s="940"/>
      <c r="D733" s="940"/>
      <c r="E733" s="940"/>
      <c r="F733" s="940"/>
      <c r="G733" s="940"/>
      <c r="H733" s="940"/>
      <c r="I733" s="940"/>
      <c r="J733" s="940"/>
      <c r="K733" s="940"/>
      <c r="L733" s="940"/>
      <c r="M733" s="940"/>
      <c r="N733" s="940"/>
      <c r="O733" s="940"/>
      <c r="P733" s="940"/>
      <c r="Q733" s="940"/>
      <c r="R733" s="940"/>
      <c r="S733" s="940"/>
      <c r="T733" s="940"/>
      <c r="U733" s="940"/>
      <c r="V733" s="940"/>
      <c r="W733" s="940"/>
      <c r="X733" s="940"/>
      <c r="Y733" s="940"/>
      <c r="Z733" s="940"/>
      <c r="AA733" s="940"/>
      <c r="AB733" s="940"/>
      <c r="AC733" s="940"/>
      <c r="AD733" s="940"/>
      <c r="AE733" s="940"/>
      <c r="AF733" s="940"/>
      <c r="AG733" s="940"/>
      <c r="AH733" s="940"/>
      <c r="AI733" s="940"/>
      <c r="AJ733" s="940"/>
      <c r="AK733" s="940"/>
      <c r="AL733" s="940"/>
      <c r="AM733" s="940"/>
      <c r="BA733" s="33"/>
      <c r="BB733" s="33"/>
      <c r="BC733" s="33"/>
      <c r="BD733" s="33"/>
      <c r="BE733" s="33"/>
      <c r="BF733" s="33"/>
      <c r="BG733" s="33"/>
      <c r="BH733" s="33"/>
      <c r="BI733" s="33"/>
      <c r="BJ733" s="33"/>
      <c r="BK733" s="33"/>
      <c r="BL733" s="33"/>
      <c r="BM733" s="33"/>
      <c r="BN733" s="33"/>
      <c r="BO733" s="33"/>
      <c r="BP733" s="333"/>
      <c r="BQ733" s="232"/>
      <c r="BR733" s="883"/>
      <c r="BS733" s="883"/>
      <c r="BT733" s="883"/>
      <c r="BU733" s="883"/>
      <c r="BV733" s="883"/>
      <c r="BW733" s="883"/>
      <c r="BX733" s="33"/>
      <c r="BY733" s="33"/>
      <c r="BZ733" s="33"/>
      <c r="CA733" s="33"/>
      <c r="CB733" s="33"/>
      <c r="CC733" s="33"/>
      <c r="CD733" s="33"/>
      <c r="CE733" s="33"/>
      <c r="CF733" s="33"/>
      <c r="CG733" s="33"/>
      <c r="CH733" s="33"/>
      <c r="CI733" s="33"/>
      <c r="CJ733" s="33"/>
      <c r="CK733" s="33"/>
      <c r="CL733" s="33"/>
      <c r="CM733" s="33"/>
      <c r="CN733" s="33"/>
      <c r="CO733" s="33"/>
      <c r="CP733" s="33"/>
      <c r="CQ733" s="33"/>
      <c r="CR733" s="33"/>
      <c r="CS733" s="33"/>
    </row>
    <row r="734" spans="1:97" ht="12.95" customHeight="1">
      <c r="J734" s="1149" t="s">
        <v>1473</v>
      </c>
      <c r="K734" s="1150"/>
      <c r="L734" s="1150"/>
      <c r="M734" s="1150"/>
      <c r="N734" s="1151"/>
      <c r="O734" s="1387" t="s">
        <v>1474</v>
      </c>
      <c r="P734" s="1387"/>
      <c r="Q734" s="1387"/>
      <c r="R734" s="1387"/>
      <c r="S734" s="1387"/>
      <c r="T734" s="1140" t="s">
        <v>1475</v>
      </c>
      <c r="U734" s="1141"/>
      <c r="V734" s="1141"/>
      <c r="W734" s="1142"/>
      <c r="X734" s="1149" t="s">
        <v>1476</v>
      </c>
      <c r="Y734" s="1150"/>
      <c r="Z734" s="1150"/>
      <c r="AA734" s="1150"/>
      <c r="AB734" s="1151"/>
      <c r="AC734" s="1149" t="s">
        <v>1477</v>
      </c>
      <c r="AD734" s="1150"/>
      <c r="AE734" s="1150"/>
      <c r="AF734" s="1150"/>
      <c r="AG734" s="1151"/>
      <c r="AM734" s="33"/>
      <c r="BN734" s="33"/>
      <c r="BO734" s="33"/>
      <c r="BP734" s="33"/>
      <c r="BQ734" s="33"/>
      <c r="BR734" s="33"/>
      <c r="BS734" s="33"/>
      <c r="BT734" s="33"/>
      <c r="BU734" s="33"/>
      <c r="BV734" s="33"/>
      <c r="BW734" s="33"/>
      <c r="BX734" s="33"/>
      <c r="BY734" s="33"/>
      <c r="BZ734" s="33"/>
      <c r="CA734" s="33"/>
      <c r="CB734" s="33"/>
      <c r="CC734" s="33"/>
      <c r="CD734" s="33"/>
      <c r="CE734" s="33"/>
      <c r="CF734" s="33"/>
      <c r="CG734" s="33"/>
      <c r="CH734" s="33"/>
      <c r="CI734" s="33"/>
      <c r="CJ734" s="33"/>
      <c r="CK734" s="33"/>
      <c r="CL734" s="33"/>
      <c r="CM734" s="33"/>
      <c r="CN734" s="33"/>
      <c r="CO734" s="33"/>
      <c r="CP734" s="33"/>
      <c r="CQ734" s="33"/>
      <c r="CR734" s="33"/>
      <c r="CS734" s="33"/>
    </row>
    <row r="735" spans="1:97" ht="12.95" customHeight="1">
      <c r="J735" s="1152"/>
      <c r="K735" s="1153"/>
      <c r="L735" s="1153"/>
      <c r="M735" s="1153"/>
      <c r="N735" s="1154"/>
      <c r="O735" s="1387"/>
      <c r="P735" s="1387"/>
      <c r="Q735" s="1387"/>
      <c r="R735" s="1387"/>
      <c r="S735" s="1387"/>
      <c r="T735" s="1143"/>
      <c r="U735" s="1144"/>
      <c r="V735" s="1144"/>
      <c r="W735" s="1145"/>
      <c r="X735" s="1152"/>
      <c r="Y735" s="1153"/>
      <c r="Z735" s="1153"/>
      <c r="AA735" s="1153"/>
      <c r="AB735" s="1154"/>
      <c r="AC735" s="1152"/>
      <c r="AD735" s="1153"/>
      <c r="AE735" s="1153"/>
      <c r="AF735" s="1153"/>
      <c r="AG735" s="1154"/>
      <c r="AM735" s="33"/>
      <c r="AN735" s="33"/>
      <c r="AO735" s="33"/>
      <c r="AP735" s="33"/>
      <c r="AQ735" s="33"/>
      <c r="AR735" s="33"/>
      <c r="AS735" s="33"/>
      <c r="AT735" s="33"/>
      <c r="AU735" s="33"/>
      <c r="AV735" s="33"/>
      <c r="AW735" s="33"/>
      <c r="AX735" s="33"/>
      <c r="AY735" s="33"/>
      <c r="AZ735" s="33"/>
      <c r="BA735" s="33"/>
      <c r="BB735" s="33"/>
      <c r="BC735" s="33"/>
      <c r="BD735" s="33"/>
      <c r="BE735" s="33"/>
      <c r="BF735" s="33"/>
      <c r="BG735" s="33"/>
      <c r="BH735" s="33"/>
      <c r="BI735" s="33"/>
      <c r="BJ735" s="33"/>
      <c r="BK735" s="33"/>
      <c r="BL735" s="33"/>
      <c r="BM735" s="33"/>
      <c r="BN735" s="33"/>
      <c r="BO735" s="33"/>
      <c r="BP735" s="33"/>
      <c r="BQ735" s="33"/>
      <c r="BR735" s="33"/>
      <c r="BS735" s="33"/>
      <c r="BT735" s="33"/>
      <c r="BU735" s="33"/>
      <c r="BV735" s="33"/>
      <c r="BW735" s="33"/>
      <c r="BX735" s="33"/>
      <c r="BY735" s="33"/>
      <c r="BZ735" s="33"/>
      <c r="CA735" s="33"/>
      <c r="CB735" s="33"/>
      <c r="CC735" s="33"/>
      <c r="CD735" s="33"/>
      <c r="CE735" s="33"/>
      <c r="CF735" s="33"/>
      <c r="CG735" s="33"/>
      <c r="CH735" s="33"/>
      <c r="CI735" s="33"/>
      <c r="CJ735" s="33"/>
      <c r="CK735" s="33"/>
      <c r="CL735" s="33"/>
      <c r="CM735" s="33"/>
      <c r="CN735" s="33"/>
      <c r="CO735" s="33"/>
      <c r="CP735" s="33"/>
      <c r="CQ735" s="33"/>
      <c r="CR735" s="33"/>
      <c r="CS735" s="33"/>
    </row>
    <row r="736" spans="1:97" ht="12.95" customHeight="1">
      <c r="J736" s="1152"/>
      <c r="K736" s="1153"/>
      <c r="L736" s="1153"/>
      <c r="M736" s="1153"/>
      <c r="N736" s="1154"/>
      <c r="O736" s="1387"/>
      <c r="P736" s="1387"/>
      <c r="Q736" s="1387"/>
      <c r="R736" s="1387"/>
      <c r="S736" s="1387"/>
      <c r="T736" s="1143"/>
      <c r="U736" s="1144"/>
      <c r="V736" s="1144"/>
      <c r="W736" s="1145"/>
      <c r="X736" s="1152"/>
      <c r="Y736" s="1153"/>
      <c r="Z736" s="1153"/>
      <c r="AA736" s="1153"/>
      <c r="AB736" s="1154"/>
      <c r="AC736" s="1152"/>
      <c r="AD736" s="1153"/>
      <c r="AE736" s="1153"/>
      <c r="AF736" s="1153"/>
      <c r="AG736" s="1154"/>
      <c r="AM736" s="33"/>
      <c r="AN736" s="33"/>
      <c r="AO736" s="33"/>
      <c r="AP736" s="33"/>
      <c r="AQ736" s="33"/>
      <c r="AR736" s="33"/>
      <c r="AS736" s="33"/>
      <c r="AT736" s="33"/>
      <c r="AU736" s="33"/>
      <c r="AV736" s="33"/>
      <c r="AW736" s="33"/>
      <c r="AX736" s="33"/>
      <c r="AY736" s="33"/>
      <c r="AZ736" s="33"/>
      <c r="BA736" s="33"/>
      <c r="BB736" s="33"/>
      <c r="BC736" s="33"/>
      <c r="BD736" s="33"/>
      <c r="BE736" s="721"/>
      <c r="BF736" s="721"/>
      <c r="BG736" s="721"/>
      <c r="BH736" s="721"/>
      <c r="BI736" s="721"/>
      <c r="BJ736" s="721"/>
      <c r="BK736" s="721"/>
      <c r="BL736" s="721"/>
      <c r="BM736" s="721"/>
      <c r="BN736" s="721"/>
      <c r="BO736" s="721"/>
      <c r="BP736" s="721"/>
      <c r="BQ736" s="721"/>
      <c r="BR736" s="721"/>
      <c r="BS736" s="721"/>
      <c r="BT736" s="721"/>
      <c r="BU736" s="721"/>
      <c r="BV736" s="721"/>
      <c r="BW736" s="721"/>
      <c r="BX736" s="721"/>
      <c r="BY736" s="721"/>
      <c r="BZ736" s="721"/>
      <c r="CA736" s="721"/>
      <c r="CB736" s="721"/>
      <c r="CC736" s="721"/>
      <c r="CD736" s="721"/>
      <c r="CE736" s="721"/>
      <c r="CF736" s="721"/>
      <c r="CG736" s="721"/>
      <c r="CH736" s="721"/>
      <c r="CI736" s="721"/>
      <c r="CJ736" s="721"/>
      <c r="CK736" s="721"/>
      <c r="CL736" s="33"/>
      <c r="CM736" s="33"/>
      <c r="CN736" s="33"/>
      <c r="CO736" s="33"/>
      <c r="CP736" s="33"/>
      <c r="CQ736" s="33"/>
      <c r="CR736" s="33"/>
      <c r="CS736" s="33"/>
    </row>
    <row r="737" spans="1:97" ht="12.95" customHeight="1">
      <c r="J737" s="1155"/>
      <c r="K737" s="1156"/>
      <c r="L737" s="1156"/>
      <c r="M737" s="1156"/>
      <c r="N737" s="1157"/>
      <c r="O737" s="1387"/>
      <c r="P737" s="1387"/>
      <c r="Q737" s="1387"/>
      <c r="R737" s="1387"/>
      <c r="S737" s="1387"/>
      <c r="T737" s="1146"/>
      <c r="U737" s="1147"/>
      <c r="V737" s="1147"/>
      <c r="W737" s="1148"/>
      <c r="X737" s="1155"/>
      <c r="Y737" s="1156"/>
      <c r="Z737" s="1156"/>
      <c r="AA737" s="1156"/>
      <c r="AB737" s="1157"/>
      <c r="AC737" s="1155"/>
      <c r="AD737" s="1156"/>
      <c r="AE737" s="1156"/>
      <c r="AF737" s="1156"/>
      <c r="AG737" s="1157"/>
      <c r="AM737" s="33"/>
      <c r="AN737" s="33"/>
      <c r="AO737" s="33"/>
      <c r="AP737" s="33"/>
      <c r="AQ737" s="33"/>
      <c r="AR737" s="33"/>
      <c r="AS737" s="33"/>
      <c r="AT737" s="33"/>
      <c r="AU737" s="33"/>
      <c r="AV737" s="33"/>
      <c r="AW737" s="33"/>
      <c r="AX737" s="33"/>
      <c r="AY737" s="33"/>
      <c r="AZ737" s="33"/>
      <c r="BA737" s="33"/>
      <c r="BB737" s="33"/>
      <c r="BC737" s="33"/>
      <c r="BD737" s="33"/>
      <c r="BE737" s="721"/>
      <c r="BF737" s="721"/>
      <c r="BG737" s="721"/>
      <c r="BH737" s="721"/>
      <c r="BI737" s="721"/>
      <c r="BJ737" s="721"/>
      <c r="BK737" s="721"/>
      <c r="BL737" s="721"/>
      <c r="BM737" s="721"/>
      <c r="BN737" s="721"/>
      <c r="BO737" s="721"/>
      <c r="BP737" s="721"/>
      <c r="BQ737" s="721"/>
      <c r="BR737" s="721"/>
      <c r="BS737" s="721"/>
      <c r="BT737" s="721"/>
      <c r="BU737" s="721"/>
      <c r="BV737" s="721"/>
      <c r="BW737" s="721"/>
      <c r="BX737" s="721"/>
      <c r="BY737" s="721"/>
      <c r="BZ737" s="721"/>
      <c r="CA737" s="721"/>
      <c r="CB737" s="721"/>
      <c r="CC737" s="721"/>
      <c r="CD737" s="721"/>
      <c r="CE737" s="721"/>
      <c r="CF737" s="721"/>
      <c r="CG737" s="721"/>
      <c r="CH737" s="721"/>
      <c r="CI737" s="721"/>
      <c r="CJ737" s="721"/>
      <c r="CK737" s="721"/>
      <c r="CL737" s="33"/>
      <c r="CM737" s="33"/>
      <c r="CN737" s="33"/>
      <c r="CO737" s="33"/>
      <c r="CP737" s="33"/>
      <c r="CQ737" s="33"/>
      <c r="CR737" s="33"/>
      <c r="CS737" s="33"/>
    </row>
    <row r="738" spans="1:97" ht="12.95" customHeight="1">
      <c r="J738" s="1205" t="s">
        <v>1422</v>
      </c>
      <c r="K738" s="1206"/>
      <c r="L738" s="1206"/>
      <c r="M738" s="1206"/>
      <c r="N738" s="1207"/>
      <c r="O738" s="1176">
        <v>1</v>
      </c>
      <c r="P738" s="1177"/>
      <c r="Q738" s="1177"/>
      <c r="R738" s="1177"/>
      <c r="S738" s="1178"/>
      <c r="T738" s="1158">
        <v>767</v>
      </c>
      <c r="U738" s="1159"/>
      <c r="V738" s="1159"/>
      <c r="W738" s="1160"/>
      <c r="X738" s="1161"/>
      <c r="Y738" s="1162"/>
      <c r="Z738" s="1162"/>
      <c r="AA738" s="1162"/>
      <c r="AB738" s="1163"/>
      <c r="AC738" s="1134">
        <f>X738*O738</f>
        <v>0</v>
      </c>
      <c r="AD738" s="1135"/>
      <c r="AE738" s="1135"/>
      <c r="AF738" s="1135"/>
      <c r="AG738" s="1136"/>
      <c r="AM738" s="33"/>
      <c r="AN738" s="33"/>
      <c r="AO738" s="33"/>
      <c r="AP738" s="33"/>
      <c r="AQ738" s="33"/>
      <c r="AR738" s="33"/>
      <c r="AS738" s="33"/>
      <c r="AT738" s="33"/>
      <c r="AU738" s="33"/>
      <c r="AV738" s="33"/>
      <c r="AW738" s="33"/>
      <c r="AX738" s="33"/>
      <c r="AY738" s="33"/>
      <c r="AZ738" s="33"/>
      <c r="BA738" s="33"/>
      <c r="BB738" s="33"/>
      <c r="BC738" s="33"/>
      <c r="BD738" s="33"/>
      <c r="BE738" s="33"/>
      <c r="BF738" s="33"/>
      <c r="BG738" s="33"/>
      <c r="BH738" s="33"/>
      <c r="BI738" s="33"/>
      <c r="BJ738" s="33"/>
      <c r="BK738" s="33"/>
      <c r="BL738" s="33"/>
      <c r="BM738" s="33"/>
      <c r="BN738" s="33"/>
      <c r="BO738" s="33"/>
      <c r="BP738" s="33"/>
      <c r="BQ738" s="33"/>
      <c r="BR738" s="33"/>
      <c r="BS738" s="33"/>
      <c r="BT738" s="33"/>
      <c r="BU738" s="33"/>
      <c r="BV738" s="33"/>
      <c r="BW738" s="33"/>
      <c r="BX738" s="33"/>
      <c r="BY738" s="33"/>
      <c r="BZ738" s="33"/>
      <c r="CA738" s="33"/>
      <c r="CB738" s="33"/>
      <c r="CC738" s="33"/>
      <c r="CD738" s="33"/>
      <c r="CE738" s="33"/>
      <c r="CF738" s="33"/>
      <c r="CG738" s="33"/>
      <c r="CH738" s="33"/>
      <c r="CI738" s="33"/>
      <c r="CJ738" s="33"/>
      <c r="CK738" s="33"/>
      <c r="CL738" s="33"/>
      <c r="CM738" s="33"/>
      <c r="CN738" s="33"/>
      <c r="CO738" s="33"/>
      <c r="CP738" s="33"/>
      <c r="CQ738" s="33"/>
      <c r="CR738" s="33"/>
      <c r="CS738" s="33"/>
    </row>
    <row r="739" spans="1:97" ht="12.95" customHeight="1">
      <c r="J739" s="1205"/>
      <c r="K739" s="1206"/>
      <c r="L739" s="1206"/>
      <c r="M739" s="1206"/>
      <c r="N739" s="1207"/>
      <c r="O739" s="1273"/>
      <c r="P739" s="1273"/>
      <c r="Q739" s="1273"/>
      <c r="R739" s="1273"/>
      <c r="S739" s="1273"/>
      <c r="T739" s="1158"/>
      <c r="U739" s="1159"/>
      <c r="V739" s="1159"/>
      <c r="W739" s="1160"/>
      <c r="X739" s="1161"/>
      <c r="Y739" s="1162"/>
      <c r="Z739" s="1162"/>
      <c r="AA739" s="1162"/>
      <c r="AB739" s="1163"/>
      <c r="AC739" s="1134">
        <f>X739*O739</f>
        <v>0</v>
      </c>
      <c r="AD739" s="1135"/>
      <c r="AE739" s="1135"/>
      <c r="AF739" s="1135"/>
      <c r="AG739" s="1136"/>
      <c r="AM739" s="33"/>
      <c r="AN739" s="33"/>
      <c r="AO739" s="33"/>
      <c r="AP739" s="33"/>
      <c r="AQ739" s="33"/>
      <c r="AR739" s="33"/>
      <c r="AS739" s="33"/>
      <c r="AT739" s="33"/>
      <c r="AU739" s="33"/>
      <c r="AV739" s="33"/>
      <c r="AW739" s="33"/>
      <c r="AX739" s="33"/>
      <c r="AY739" s="33"/>
      <c r="AZ739" s="33"/>
      <c r="BA739" s="33"/>
      <c r="BB739" s="33"/>
      <c r="BC739" s="33"/>
      <c r="BD739" s="33"/>
      <c r="BE739" s="33"/>
      <c r="BF739" s="33"/>
      <c r="BG739" s="33"/>
      <c r="BH739" s="33"/>
      <c r="BI739" s="33"/>
      <c r="BJ739" s="33"/>
      <c r="BK739" s="33"/>
      <c r="BL739" s="33"/>
      <c r="BM739" s="33"/>
      <c r="BN739" s="33"/>
      <c r="BO739" s="33"/>
      <c r="BP739" s="33"/>
      <c r="BQ739" s="33"/>
      <c r="BR739" s="33"/>
      <c r="BS739" s="33"/>
      <c r="BT739" s="33"/>
      <c r="BU739" s="33"/>
      <c r="BV739" s="33"/>
      <c r="BW739" s="33"/>
      <c r="BX739" s="33"/>
      <c r="BY739" s="33"/>
      <c r="BZ739" s="33"/>
      <c r="CA739" s="33"/>
      <c r="CB739" s="33"/>
      <c r="CC739" s="33"/>
      <c r="CD739" s="33"/>
      <c r="CE739" s="33"/>
      <c r="CF739" s="33"/>
      <c r="CG739" s="33"/>
      <c r="CH739" s="33"/>
      <c r="CI739" s="33"/>
      <c r="CJ739" s="33"/>
      <c r="CK739" s="33"/>
      <c r="CL739" s="33"/>
      <c r="CM739" s="33"/>
      <c r="CN739" s="33"/>
      <c r="CO739" s="33"/>
      <c r="CP739" s="33"/>
      <c r="CQ739" s="33"/>
      <c r="CR739" s="33"/>
      <c r="CS739" s="33"/>
    </row>
    <row r="740" spans="1:97" ht="12.95" customHeight="1">
      <c r="J740" s="1205"/>
      <c r="K740" s="1206"/>
      <c r="L740" s="1206"/>
      <c r="M740" s="1206"/>
      <c r="N740" s="1207"/>
      <c r="O740" s="1273"/>
      <c r="P740" s="1273"/>
      <c r="Q740" s="1273"/>
      <c r="R740" s="1273"/>
      <c r="S740" s="1273"/>
      <c r="T740" s="1158"/>
      <c r="U740" s="1159"/>
      <c r="V740" s="1159"/>
      <c r="W740" s="1160"/>
      <c r="X740" s="1161"/>
      <c r="Y740" s="1162"/>
      <c r="Z740" s="1162"/>
      <c r="AA740" s="1162"/>
      <c r="AB740" s="1163"/>
      <c r="AC740" s="1134">
        <f>X740*O740</f>
        <v>0</v>
      </c>
      <c r="AD740" s="1135"/>
      <c r="AE740" s="1135"/>
      <c r="AF740" s="1135"/>
      <c r="AG740" s="1136"/>
      <c r="AM740" s="33"/>
      <c r="AN740" s="33"/>
      <c r="AO740" s="33"/>
      <c r="AP740" s="33"/>
      <c r="AQ740" s="33"/>
      <c r="AR740" s="33"/>
      <c r="AS740" s="33"/>
      <c r="AT740" s="33"/>
      <c r="AU740" s="33"/>
      <c r="AV740" s="33"/>
      <c r="AW740" s="33"/>
      <c r="AX740" s="33"/>
      <c r="AY740" s="33"/>
      <c r="AZ740" s="33"/>
      <c r="BA740" s="33"/>
      <c r="BB740" s="33"/>
      <c r="BC740" s="33"/>
      <c r="BD740" s="33"/>
      <c r="BE740" s="33"/>
      <c r="BF740" s="33"/>
      <c r="BG740" s="33"/>
      <c r="BH740" s="33"/>
      <c r="BI740" s="33"/>
      <c r="BJ740" s="33"/>
      <c r="BK740" s="33"/>
      <c r="BL740" s="33"/>
      <c r="BM740" s="33"/>
      <c r="BN740" s="33"/>
      <c r="BO740" s="33"/>
      <c r="BP740" s="33"/>
      <c r="BQ740" s="33"/>
      <c r="BR740" s="33"/>
      <c r="BS740" s="33"/>
      <c r="BT740" s="33"/>
      <c r="BU740" s="33"/>
      <c r="BV740" s="33"/>
      <c r="BW740" s="33"/>
      <c r="BX740" s="33"/>
      <c r="BY740" s="33"/>
      <c r="BZ740" s="33"/>
      <c r="CA740" s="33"/>
      <c r="CB740" s="33"/>
      <c r="CC740" s="33"/>
      <c r="CD740" s="33"/>
      <c r="CE740" s="33"/>
      <c r="CF740" s="33"/>
      <c r="CG740" s="33"/>
      <c r="CH740" s="33"/>
      <c r="CI740" s="33"/>
      <c r="CJ740" s="33"/>
      <c r="CK740" s="33"/>
      <c r="CL740" s="33"/>
      <c r="CM740" s="33"/>
      <c r="CN740" s="33"/>
      <c r="CO740" s="33"/>
      <c r="CP740" s="33"/>
      <c r="CQ740" s="33"/>
      <c r="CR740" s="33"/>
      <c r="CS740" s="33"/>
    </row>
    <row r="741" spans="1:97" ht="12.95" customHeight="1">
      <c r="J741" s="1205"/>
      <c r="K741" s="1206"/>
      <c r="L741" s="1206"/>
      <c r="M741" s="1206"/>
      <c r="N741" s="1207"/>
      <c r="O741" s="1273"/>
      <c r="P741" s="1273"/>
      <c r="Q741" s="1273"/>
      <c r="R741" s="1273"/>
      <c r="S741" s="1273"/>
      <c r="T741" s="1158"/>
      <c r="U741" s="1159"/>
      <c r="V741" s="1159"/>
      <c r="W741" s="1160"/>
      <c r="X741" s="1161"/>
      <c r="Y741" s="1162"/>
      <c r="Z741" s="1162"/>
      <c r="AA741" s="1162"/>
      <c r="AB741" s="1163"/>
      <c r="AC741" s="1134">
        <f>X741*O741</f>
        <v>0</v>
      </c>
      <c r="AD741" s="1135"/>
      <c r="AE741" s="1135"/>
      <c r="AF741" s="1135"/>
      <c r="AG741" s="1136"/>
      <c r="AM741" s="33"/>
      <c r="AN741" s="33"/>
      <c r="AO741" s="33"/>
      <c r="AP741" s="33"/>
      <c r="AQ741" s="33"/>
      <c r="AR741" s="33"/>
      <c r="AS741" s="33"/>
      <c r="AT741" s="33"/>
      <c r="AU741" s="33"/>
      <c r="AV741" s="33"/>
      <c r="AW741" s="33"/>
      <c r="AX741" s="33"/>
      <c r="AY741" s="33"/>
      <c r="AZ741" s="33"/>
      <c r="BA741" s="33"/>
      <c r="BB741" s="33"/>
      <c r="BC741" s="33"/>
      <c r="BD741" s="33"/>
      <c r="BE741" s="33"/>
      <c r="BF741" s="33"/>
      <c r="BG741" s="33"/>
      <c r="BH741" s="33"/>
      <c r="BI741" s="33"/>
      <c r="BJ741" s="33"/>
      <c r="BK741" s="33"/>
      <c r="BL741" s="33"/>
      <c r="BM741" s="33"/>
      <c r="BN741" s="33"/>
      <c r="BO741" s="33"/>
      <c r="BP741" s="33"/>
      <c r="BQ741" s="33"/>
      <c r="BR741" s="33"/>
      <c r="BS741" s="33"/>
      <c r="BT741" s="33"/>
      <c r="BU741" s="33"/>
      <c r="BV741" s="33"/>
      <c r="BW741" s="33"/>
      <c r="BX741" s="33"/>
      <c r="BY741" s="33"/>
      <c r="BZ741" s="33"/>
      <c r="CA741" s="33"/>
      <c r="CB741" s="33"/>
      <c r="CC741" s="33"/>
      <c r="CD741" s="33"/>
      <c r="CE741" s="33"/>
      <c r="CF741" s="33"/>
      <c r="CG741" s="33"/>
      <c r="CH741" s="33"/>
      <c r="CI741" s="33"/>
      <c r="CJ741" s="33"/>
      <c r="CK741" s="33"/>
      <c r="CL741" s="33"/>
      <c r="CM741" s="33"/>
      <c r="CN741" s="33"/>
      <c r="CO741" s="33"/>
      <c r="CP741" s="33"/>
      <c r="CQ741" s="33"/>
      <c r="CR741" s="33"/>
      <c r="CS741" s="33"/>
    </row>
    <row r="742" spans="1:97" ht="12.95" customHeight="1">
      <c r="J742" s="1094" t="s">
        <v>1484</v>
      </c>
      <c r="K742" s="1095"/>
      <c r="L742" s="1095"/>
      <c r="M742" s="1095"/>
      <c r="N742" s="1096"/>
      <c r="O742" s="1194">
        <f>SUM(O738:S741)</f>
        <v>1</v>
      </c>
      <c r="P742" s="1195"/>
      <c r="Q742" s="1195"/>
      <c r="R742" s="1195"/>
      <c r="S742" s="1196"/>
      <c r="X742" s="1094" t="s">
        <v>1485</v>
      </c>
      <c r="Y742" s="1095"/>
      <c r="Z742" s="1095"/>
      <c r="AA742" s="1095"/>
      <c r="AB742" s="1096"/>
      <c r="AC742" s="1134">
        <f>SUM(AC738:AG741)</f>
        <v>0</v>
      </c>
      <c r="AD742" s="1135"/>
      <c r="AE742" s="1135"/>
      <c r="AF742" s="1135"/>
      <c r="AG742" s="1136"/>
      <c r="AM742" s="33"/>
      <c r="AN742" s="33"/>
      <c r="AO742" s="33"/>
      <c r="AP742" s="33"/>
      <c r="AQ742" s="33"/>
      <c r="AR742" s="33"/>
      <c r="AS742" s="33"/>
      <c r="AT742" s="33"/>
      <c r="AU742" s="33"/>
      <c r="AV742" s="33"/>
      <c r="AW742" s="33"/>
      <c r="AX742" s="33"/>
      <c r="AY742" s="33"/>
      <c r="AZ742" s="33"/>
      <c r="BA742" s="33"/>
      <c r="BB742" s="33"/>
      <c r="BC742" s="33"/>
      <c r="BD742" s="33"/>
      <c r="BE742" s="33"/>
      <c r="BF742" s="33"/>
      <c r="BG742" s="33"/>
      <c r="BH742" s="33"/>
      <c r="BI742" s="33"/>
      <c r="BJ742" s="33"/>
      <c r="BK742" s="33"/>
      <c r="BL742" s="33"/>
      <c r="BM742" s="33"/>
      <c r="BN742" s="33"/>
      <c r="BO742" s="33"/>
      <c r="BP742" s="33"/>
      <c r="BQ742" s="33"/>
      <c r="BR742" s="33"/>
      <c r="BS742" s="33"/>
      <c r="BT742" s="33"/>
      <c r="BU742" s="33"/>
      <c r="BV742" s="33"/>
      <c r="BW742" s="33"/>
      <c r="BX742" s="33"/>
      <c r="BY742" s="33"/>
      <c r="BZ742" s="33"/>
      <c r="CA742" s="33"/>
      <c r="CB742" s="33"/>
      <c r="CC742" s="33"/>
      <c r="CD742" s="33"/>
      <c r="CE742" s="33"/>
      <c r="CF742" s="33"/>
      <c r="CG742" s="33"/>
      <c r="CH742" s="33"/>
      <c r="CI742" s="33"/>
      <c r="CJ742" s="33"/>
      <c r="CK742" s="33"/>
      <c r="CL742" s="33"/>
      <c r="CM742" s="33"/>
      <c r="CN742" s="33"/>
      <c r="CO742" s="33"/>
      <c r="CP742" s="33"/>
      <c r="CQ742" s="33"/>
      <c r="CR742" s="33"/>
      <c r="CS742" s="33"/>
    </row>
    <row r="743" spans="1:97" ht="12.95" customHeight="1">
      <c r="J743" s="836"/>
      <c r="K743" s="836"/>
      <c r="L743" s="836"/>
      <c r="M743" s="836"/>
      <c r="N743" s="836"/>
      <c r="O743" s="801"/>
      <c r="P743" s="801"/>
      <c r="Q743" s="801"/>
      <c r="R743" s="801"/>
      <c r="S743" s="801"/>
      <c r="T743" s="836"/>
      <c r="U743" s="836"/>
      <c r="V743" s="836"/>
      <c r="W743" s="836"/>
      <c r="X743" s="836"/>
      <c r="Y743" s="724"/>
      <c r="Z743" s="781"/>
      <c r="AA743" s="781"/>
      <c r="AB743" s="781"/>
      <c r="AC743" s="781"/>
      <c r="AM743" s="33"/>
      <c r="AN743" s="33"/>
      <c r="AO743" s="33"/>
      <c r="AP743" s="33"/>
      <c r="AQ743" s="33"/>
      <c r="AR743" s="33"/>
      <c r="AS743" s="33"/>
      <c r="AT743" s="33"/>
      <c r="AU743" s="33"/>
      <c r="AV743" s="33"/>
      <c r="AW743" s="33"/>
      <c r="AX743" s="33"/>
      <c r="AY743" s="33"/>
      <c r="AZ743" s="33"/>
      <c r="BA743" s="33"/>
      <c r="BB743" s="33"/>
      <c r="BC743" s="33"/>
      <c r="BD743" s="33"/>
      <c r="BE743" s="33"/>
      <c r="BF743" s="33"/>
      <c r="BG743" s="33"/>
      <c r="BH743" s="33"/>
      <c r="BI743" s="33"/>
      <c r="BJ743" s="33"/>
      <c r="BK743" s="33"/>
      <c r="BL743" s="33"/>
      <c r="BM743" s="33"/>
      <c r="BN743" s="33"/>
      <c r="BO743" s="33"/>
      <c r="BP743" s="33"/>
      <c r="BQ743" s="33"/>
      <c r="BR743" s="33"/>
      <c r="BS743" s="33"/>
      <c r="BT743" s="33"/>
      <c r="BU743" s="33"/>
      <c r="BV743" s="33"/>
      <c r="BW743" s="33"/>
      <c r="BX743" s="33"/>
      <c r="BY743" s="33"/>
      <c r="BZ743" s="33"/>
      <c r="CA743" s="33"/>
      <c r="CB743" s="33"/>
      <c r="CC743" s="33"/>
      <c r="CD743" s="33"/>
      <c r="CE743" s="33"/>
      <c r="CF743" s="33"/>
      <c r="CG743" s="33"/>
      <c r="CH743" s="33"/>
      <c r="CI743" s="33"/>
      <c r="CJ743" s="33"/>
      <c r="CK743" s="33"/>
      <c r="CL743" s="33"/>
      <c r="CM743" s="33"/>
      <c r="CN743" s="33"/>
      <c r="CO743" s="33"/>
      <c r="CP743" s="33"/>
      <c r="CQ743" s="33"/>
      <c r="CR743" s="33"/>
      <c r="CS743" s="33"/>
    </row>
    <row r="744" spans="1:97" ht="12.95" customHeight="1">
      <c r="B744" s="836"/>
      <c r="C744" s="836"/>
      <c r="D744" s="836"/>
      <c r="E744" s="836"/>
      <c r="F744" s="836"/>
      <c r="G744" s="801"/>
      <c r="H744" s="801"/>
      <c r="I744" s="801"/>
      <c r="J744" s="1204" t="s">
        <v>821</v>
      </c>
      <c r="K744" s="1204"/>
      <c r="L744" s="836"/>
      <c r="M744" s="764" t="s">
        <v>1494</v>
      </c>
      <c r="N744" s="836"/>
      <c r="O744" s="836"/>
      <c r="P744" s="836"/>
      <c r="Q744" s="801"/>
      <c r="R744" s="801"/>
      <c r="S744" s="801"/>
      <c r="T744" s="801"/>
      <c r="U744" s="801"/>
      <c r="AM744" s="33"/>
      <c r="AN744" s="33"/>
      <c r="AO744" s="33"/>
      <c r="AP744" s="33"/>
      <c r="AQ744" s="33"/>
      <c r="AR744" s="33"/>
      <c r="AS744" s="33"/>
      <c r="AT744" s="33"/>
      <c r="AU744" s="33"/>
      <c r="AV744" s="33"/>
      <c r="AW744" s="33"/>
      <c r="AX744" s="33"/>
      <c r="AY744" s="33"/>
      <c r="AZ744" s="33"/>
      <c r="BA744" s="33"/>
      <c r="BB744" s="33"/>
      <c r="BC744" s="33"/>
      <c r="BD744" s="33"/>
      <c r="BE744" s="33"/>
      <c r="BF744" s="33"/>
      <c r="BG744" s="33"/>
      <c r="BH744" s="33"/>
      <c r="BI744" s="33"/>
      <c r="BJ744" s="33"/>
      <c r="BK744" s="33"/>
      <c r="BL744" s="33"/>
      <c r="BM744" s="33"/>
      <c r="BN744" s="33"/>
      <c r="BO744" s="33"/>
      <c r="BP744" s="33"/>
      <c r="BQ744" s="33"/>
      <c r="BR744" s="33"/>
      <c r="BS744" s="33"/>
      <c r="BT744" s="33"/>
      <c r="BU744" s="33"/>
      <c r="BV744" s="33"/>
      <c r="BW744" s="33"/>
      <c r="BX744" s="33"/>
      <c r="BY744" s="33"/>
      <c r="BZ744" s="33"/>
      <c r="CA744" s="33"/>
      <c r="CB744" s="33"/>
      <c r="CC744" s="33"/>
      <c r="CD744" s="33"/>
      <c r="CE744" s="33"/>
      <c r="CF744" s="33"/>
      <c r="CG744" s="33"/>
      <c r="CH744" s="33"/>
      <c r="CI744" s="33"/>
      <c r="CJ744" s="33"/>
      <c r="CK744" s="33"/>
      <c r="CL744" s="33"/>
      <c r="CM744" s="33"/>
      <c r="CN744" s="33"/>
      <c r="CO744" s="33"/>
      <c r="CP744" s="33"/>
      <c r="CQ744" s="33"/>
      <c r="CR744" s="33"/>
      <c r="CS744" s="33"/>
    </row>
    <row r="745" spans="1:97" ht="12.95" customHeight="1">
      <c r="B745" s="836"/>
      <c r="C745" s="836"/>
      <c r="D745" s="836"/>
      <c r="E745" s="836"/>
      <c r="F745" s="836"/>
      <c r="G745" s="801"/>
      <c r="H745" s="801"/>
      <c r="I745" s="801"/>
      <c r="J745" s="801"/>
      <c r="K745" s="801"/>
      <c r="L745" s="836"/>
      <c r="M745" s="764" t="s">
        <v>1495</v>
      </c>
      <c r="N745" s="836"/>
      <c r="O745" s="836"/>
      <c r="P745" s="836"/>
      <c r="Q745" s="801"/>
      <c r="R745" s="801"/>
      <c r="S745" s="801"/>
      <c r="T745" s="801"/>
      <c r="U745" s="801"/>
      <c r="AM745" s="33"/>
      <c r="AN745" s="33"/>
      <c r="AO745" s="33"/>
      <c r="AP745" s="33"/>
      <c r="AQ745" s="33"/>
      <c r="AR745" s="33"/>
      <c r="AS745" s="33"/>
      <c r="AT745" s="33"/>
      <c r="AU745" s="33"/>
      <c r="AV745" s="33"/>
      <c r="AW745" s="33"/>
      <c r="AX745" s="33"/>
      <c r="AY745" s="33"/>
      <c r="AZ745" s="33"/>
      <c r="BA745" s="33"/>
      <c r="BB745" s="33"/>
      <c r="BC745" s="33"/>
      <c r="BD745" s="33"/>
      <c r="BE745" s="33"/>
      <c r="BF745" s="33"/>
      <c r="BG745" s="33"/>
      <c r="BH745" s="33"/>
      <c r="BI745" s="33"/>
      <c r="BJ745" s="33"/>
      <c r="BK745" s="33"/>
      <c r="BL745" s="33"/>
      <c r="BM745" s="33"/>
      <c r="BN745" s="33"/>
      <c r="BO745" s="33"/>
      <c r="BP745" s="33"/>
      <c r="BQ745" s="33"/>
      <c r="BR745" s="33"/>
      <c r="BS745" s="33"/>
      <c r="BT745" s="33"/>
      <c r="BU745" s="33"/>
      <c r="BV745" s="33"/>
      <c r="BW745" s="33"/>
      <c r="BX745" s="33"/>
      <c r="BY745" s="33"/>
      <c r="BZ745" s="33"/>
      <c r="CA745" s="33"/>
      <c r="CB745" s="33"/>
      <c r="CC745" s="33"/>
      <c r="CD745" s="33"/>
      <c r="CE745" s="33"/>
      <c r="CF745" s="33"/>
      <c r="CG745" s="33"/>
      <c r="CH745" s="33"/>
      <c r="CI745" s="33"/>
      <c r="CJ745" s="33"/>
      <c r="CK745" s="33"/>
      <c r="CL745" s="33"/>
      <c r="CM745" s="33"/>
      <c r="CN745" s="33"/>
      <c r="CO745" s="33"/>
      <c r="CP745" s="33"/>
      <c r="CQ745" s="33"/>
      <c r="CR745" s="33"/>
      <c r="CS745" s="33"/>
    </row>
    <row r="746" spans="1:97" ht="12.95" customHeight="1">
      <c r="A746" s="2" t="s">
        <v>973</v>
      </c>
      <c r="B746" s="769"/>
      <c r="C746" s="769" t="s">
        <v>204</v>
      </c>
      <c r="D746" s="836"/>
      <c r="E746" s="836"/>
      <c r="F746" s="836"/>
      <c r="G746" s="801"/>
      <c r="H746" s="801"/>
      <c r="I746" s="801"/>
      <c r="J746" s="801"/>
      <c r="K746" s="801"/>
      <c r="L746" s="836"/>
      <c r="M746" s="836"/>
      <c r="N746" s="836"/>
      <c r="O746" s="836"/>
      <c r="P746" s="836"/>
      <c r="Q746" s="801"/>
      <c r="R746" s="801"/>
      <c r="S746" s="801"/>
      <c r="T746" s="801"/>
      <c r="U746" s="801"/>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row>
    <row r="747" spans="1:97" ht="12.95" customHeight="1">
      <c r="B747" s="836"/>
      <c r="C747" s="836"/>
      <c r="D747" s="836"/>
      <c r="E747" s="836"/>
      <c r="F747" s="836"/>
      <c r="G747" s="801"/>
      <c r="H747" s="801"/>
      <c r="I747" s="801"/>
      <c r="J747" s="801"/>
      <c r="K747" s="801"/>
      <c r="L747" s="836"/>
      <c r="M747" s="836"/>
      <c r="N747" s="836"/>
      <c r="O747" s="836"/>
      <c r="P747" s="836"/>
      <c r="Q747" s="801"/>
      <c r="R747" s="801"/>
      <c r="S747" s="801"/>
      <c r="T747" s="801"/>
      <c r="U747" s="801"/>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BM747" s="33"/>
      <c r="BN747" s="33"/>
      <c r="BO747" s="33"/>
      <c r="BP747" s="33"/>
      <c r="BQ747" s="33"/>
      <c r="BR747" s="33"/>
      <c r="BS747" s="33"/>
      <c r="BT747" s="33"/>
      <c r="BU747" s="33"/>
      <c r="BV747" s="33"/>
      <c r="BW747" s="33"/>
      <c r="BX747" s="33"/>
      <c r="BY747" s="33"/>
      <c r="BZ747" s="33"/>
      <c r="CA747" s="33"/>
      <c r="CB747" s="33"/>
      <c r="CC747" s="33"/>
      <c r="CD747" s="33"/>
      <c r="CE747" s="33"/>
      <c r="CF747" s="33"/>
      <c r="CG747" s="33"/>
      <c r="CH747" s="33"/>
      <c r="CI747" s="33"/>
      <c r="CJ747" s="33"/>
      <c r="CK747" s="33"/>
      <c r="CL747" s="33"/>
      <c r="CM747" s="33"/>
      <c r="CN747" s="33"/>
      <c r="CO747" s="33"/>
      <c r="CP747" s="33"/>
      <c r="CQ747" s="33"/>
      <c r="CR747" s="33"/>
      <c r="CS747" s="33"/>
    </row>
    <row r="748" spans="1:97" ht="12.95" customHeight="1">
      <c r="J748" s="1149" t="s">
        <v>1473</v>
      </c>
      <c r="K748" s="1150"/>
      <c r="L748" s="1150"/>
      <c r="M748" s="1150"/>
      <c r="N748" s="1151"/>
      <c r="O748" s="1387" t="s">
        <v>1474</v>
      </c>
      <c r="P748" s="1387"/>
      <c r="Q748" s="1387"/>
      <c r="R748" s="1387"/>
      <c r="S748" s="1387"/>
      <c r="T748" s="1140" t="s">
        <v>1475</v>
      </c>
      <c r="U748" s="1141"/>
      <c r="V748" s="1141"/>
      <c r="W748" s="1142"/>
      <c r="X748" s="1149" t="s">
        <v>1476</v>
      </c>
      <c r="Y748" s="1150"/>
      <c r="Z748" s="1150"/>
      <c r="AA748" s="1150"/>
      <c r="AB748" s="1151"/>
      <c r="AC748" s="1149" t="s">
        <v>1477</v>
      </c>
      <c r="AD748" s="1150"/>
      <c r="AE748" s="1150"/>
      <c r="AF748" s="1150"/>
      <c r="AG748" s="1151"/>
      <c r="AM748" s="33"/>
      <c r="AN748" s="33"/>
      <c r="AO748" s="33"/>
      <c r="AP748" s="33"/>
      <c r="AQ748" s="33"/>
      <c r="AR748" s="33"/>
      <c r="AS748" s="33"/>
      <c r="AT748" s="33"/>
      <c r="AU748" s="33"/>
      <c r="AV748" s="33"/>
      <c r="AW748" s="33"/>
      <c r="AX748" s="33"/>
      <c r="AY748" s="33"/>
      <c r="AZ748" s="33"/>
      <c r="BA748" s="33"/>
      <c r="BB748" s="33"/>
      <c r="BC748" s="33"/>
      <c r="BD748" s="33"/>
      <c r="BE748" s="33"/>
      <c r="BF748" s="33"/>
      <c r="BG748" s="33"/>
      <c r="BH748" s="33"/>
      <c r="BI748" s="33"/>
      <c r="BJ748" s="33"/>
      <c r="BK748" s="33"/>
      <c r="BL748" s="33"/>
      <c r="BM748" s="33"/>
      <c r="BN748" s="33"/>
      <c r="BO748" s="33"/>
      <c r="BP748" s="33"/>
      <c r="BQ748" s="33"/>
      <c r="BR748" s="33"/>
      <c r="BS748" s="33"/>
      <c r="BT748" s="33"/>
      <c r="BU748" s="33"/>
      <c r="BV748" s="33"/>
      <c r="BW748" s="33"/>
      <c r="BX748" s="33"/>
      <c r="BY748" s="33"/>
      <c r="BZ748" s="33"/>
      <c r="CA748" s="33"/>
      <c r="CB748" s="33"/>
      <c r="CC748" s="33"/>
      <c r="CD748" s="33"/>
      <c r="CE748" s="33"/>
      <c r="CF748" s="33"/>
      <c r="CG748" s="33"/>
      <c r="CH748" s="33"/>
      <c r="CI748" s="33"/>
      <c r="CJ748" s="33"/>
      <c r="CK748" s="33"/>
      <c r="CL748" s="33"/>
      <c r="CM748" s="33"/>
      <c r="CN748" s="33"/>
      <c r="CO748" s="33"/>
      <c r="CP748" s="33"/>
      <c r="CQ748" s="33"/>
      <c r="CR748" s="33"/>
      <c r="CS748" s="33"/>
    </row>
    <row r="749" spans="1:97" ht="12.95" customHeight="1">
      <c r="J749" s="1152"/>
      <c r="K749" s="1153"/>
      <c r="L749" s="1153"/>
      <c r="M749" s="1153"/>
      <c r="N749" s="1154"/>
      <c r="O749" s="1387"/>
      <c r="P749" s="1387"/>
      <c r="Q749" s="1387"/>
      <c r="R749" s="1387"/>
      <c r="S749" s="1387"/>
      <c r="T749" s="1143"/>
      <c r="U749" s="1144"/>
      <c r="V749" s="1144"/>
      <c r="W749" s="1145"/>
      <c r="X749" s="1152"/>
      <c r="Y749" s="1153"/>
      <c r="Z749" s="1153"/>
      <c r="AA749" s="1153"/>
      <c r="AB749" s="1154"/>
      <c r="AC749" s="1152"/>
      <c r="AD749" s="1153"/>
      <c r="AE749" s="1153"/>
      <c r="AF749" s="1153"/>
      <c r="AG749" s="1154"/>
      <c r="AM749" s="33"/>
      <c r="AN749" s="33"/>
      <c r="AO749" s="33"/>
      <c r="AP749" s="33"/>
      <c r="AQ749" s="33"/>
      <c r="AR749" s="33"/>
      <c r="AS749" s="33"/>
      <c r="AT749" s="33"/>
      <c r="AU749" s="33"/>
      <c r="AV749" s="33"/>
      <c r="AW749" s="33"/>
      <c r="AX749" s="33"/>
      <c r="AY749" s="33"/>
      <c r="AZ749" s="33"/>
      <c r="BA749" s="33"/>
      <c r="BB749" s="33"/>
      <c r="BC749" s="33"/>
      <c r="BD749" s="33"/>
      <c r="BE749" s="33"/>
      <c r="BF749" s="33"/>
      <c r="BG749" s="33"/>
      <c r="BH749" s="33"/>
      <c r="BI749" s="33"/>
      <c r="BJ749" s="33"/>
      <c r="BK749" s="33"/>
      <c r="BL749" s="33"/>
      <c r="BM749" s="33"/>
      <c r="BN749" s="33"/>
      <c r="BO749" s="33"/>
      <c r="BP749" s="33"/>
      <c r="BQ749" s="33"/>
      <c r="BR749" s="33"/>
      <c r="BS749" s="33"/>
      <c r="BT749" s="33"/>
      <c r="BU749" s="33"/>
      <c r="BV749" s="33"/>
      <c r="BW749" s="33"/>
      <c r="BX749" s="33"/>
      <c r="BY749" s="33"/>
      <c r="BZ749" s="33"/>
      <c r="CA749" s="33"/>
      <c r="CB749" s="33"/>
      <c r="CC749" s="33"/>
      <c r="CD749" s="33"/>
      <c r="CE749" s="33"/>
      <c r="CF749" s="33"/>
      <c r="CG749" s="33"/>
      <c r="CH749" s="33"/>
      <c r="CI749" s="33"/>
      <c r="CJ749" s="33"/>
      <c r="CK749" s="33"/>
      <c r="CL749" s="33"/>
      <c r="CM749" s="33"/>
      <c r="CN749" s="33"/>
      <c r="CO749" s="33"/>
      <c r="CP749" s="33"/>
      <c r="CQ749" s="33"/>
      <c r="CR749" s="33"/>
      <c r="CS749" s="33"/>
    </row>
    <row r="750" spans="1:97" ht="12.95" customHeight="1">
      <c r="J750" s="1152"/>
      <c r="K750" s="1153"/>
      <c r="L750" s="1153"/>
      <c r="M750" s="1153"/>
      <c r="N750" s="1154"/>
      <c r="O750" s="1387"/>
      <c r="P750" s="1387"/>
      <c r="Q750" s="1387"/>
      <c r="R750" s="1387"/>
      <c r="S750" s="1387"/>
      <c r="T750" s="1143"/>
      <c r="U750" s="1144"/>
      <c r="V750" s="1144"/>
      <c r="W750" s="1145"/>
      <c r="X750" s="1152"/>
      <c r="Y750" s="1153"/>
      <c r="Z750" s="1153"/>
      <c r="AA750" s="1153"/>
      <c r="AB750" s="1154"/>
      <c r="AC750" s="1152"/>
      <c r="AD750" s="1153"/>
      <c r="AE750" s="1153"/>
      <c r="AF750" s="1153"/>
      <c r="AG750" s="1154"/>
      <c r="AM750" s="33"/>
      <c r="AN750" s="33"/>
      <c r="AO750" s="33"/>
      <c r="AP750" s="33"/>
      <c r="AQ750" s="33"/>
      <c r="AR750" s="33"/>
      <c r="AS750" s="33"/>
      <c r="AT750" s="33"/>
      <c r="AU750" s="33"/>
      <c r="AV750" s="33"/>
      <c r="AW750" s="33"/>
      <c r="AX750" s="33"/>
      <c r="AY750" s="33"/>
      <c r="AZ750" s="33"/>
      <c r="BA750" s="33"/>
      <c r="BB750" s="33"/>
      <c r="BC750" s="33"/>
      <c r="BD750" s="33"/>
      <c r="BE750" s="33"/>
      <c r="BF750" s="33"/>
      <c r="BG750" s="33"/>
      <c r="BH750" s="33"/>
      <c r="BI750" s="33"/>
      <c r="BJ750" s="33"/>
      <c r="BK750" s="33"/>
      <c r="BL750" s="33"/>
      <c r="BM750" s="33"/>
      <c r="BN750" s="33"/>
      <c r="BO750" s="33"/>
      <c r="BP750" s="33"/>
      <c r="BQ750" s="33"/>
      <c r="BR750" s="33"/>
      <c r="BS750" s="33"/>
      <c r="BT750" s="33"/>
      <c r="BU750" s="33"/>
      <c r="BV750" s="33"/>
      <c r="BW750" s="33"/>
      <c r="BX750" s="33"/>
      <c r="BY750" s="33"/>
      <c r="BZ750" s="33"/>
      <c r="CA750" s="33"/>
      <c r="CB750" s="33"/>
      <c r="CC750" s="33"/>
      <c r="CD750" s="33"/>
      <c r="CE750" s="33"/>
      <c r="CF750" s="33"/>
      <c r="CG750" s="33"/>
      <c r="CH750" s="33"/>
      <c r="CI750" s="33"/>
      <c r="CJ750" s="33"/>
      <c r="CK750" s="33"/>
      <c r="CL750" s="33"/>
      <c r="CM750" s="33"/>
      <c r="CN750" s="33"/>
      <c r="CO750" s="33"/>
      <c r="CP750" s="33"/>
      <c r="CQ750" s="33"/>
      <c r="CR750" s="33"/>
      <c r="CS750" s="33"/>
    </row>
    <row r="751" spans="1:97" ht="12.95" customHeight="1">
      <c r="J751" s="1155"/>
      <c r="K751" s="1156"/>
      <c r="L751" s="1156"/>
      <c r="M751" s="1156"/>
      <c r="N751" s="1157"/>
      <c r="O751" s="1387"/>
      <c r="P751" s="1387"/>
      <c r="Q751" s="1387"/>
      <c r="R751" s="1387"/>
      <c r="S751" s="1387"/>
      <c r="T751" s="1146"/>
      <c r="U751" s="1147"/>
      <c r="V751" s="1147"/>
      <c r="W751" s="1148"/>
      <c r="X751" s="1155"/>
      <c r="Y751" s="1156"/>
      <c r="Z751" s="1156"/>
      <c r="AA751" s="1156"/>
      <c r="AB751" s="1157"/>
      <c r="AC751" s="1155"/>
      <c r="AD751" s="1156"/>
      <c r="AE751" s="1156"/>
      <c r="AF751" s="1156"/>
      <c r="AG751" s="1157"/>
      <c r="AM751" s="33"/>
      <c r="AN751" s="33"/>
      <c r="AO751" s="33"/>
      <c r="AP751" s="33"/>
      <c r="AQ751" s="33"/>
      <c r="AR751" s="33"/>
      <c r="AS751" s="33"/>
      <c r="AT751" s="33"/>
      <c r="AU751" s="33"/>
      <c r="AV751" s="33"/>
      <c r="AW751" s="33"/>
      <c r="AX751" s="33"/>
      <c r="AY751" s="33"/>
      <c r="AZ751" s="33"/>
      <c r="BA751" s="33"/>
      <c r="BB751" s="33"/>
      <c r="BC751" s="33"/>
      <c r="BD751" s="33"/>
      <c r="BE751" s="33"/>
      <c r="BF751" s="33"/>
      <c r="BG751" s="33"/>
      <c r="BH751" s="33"/>
      <c r="BI751" s="33"/>
      <c r="BJ751" s="33"/>
      <c r="BK751" s="33"/>
      <c r="BL751" s="33"/>
      <c r="BM751" s="33"/>
      <c r="BN751" s="33"/>
      <c r="BO751" s="33"/>
      <c r="BP751" s="33"/>
      <c r="BQ751" s="33"/>
      <c r="BR751" s="33"/>
      <c r="BS751" s="33"/>
      <c r="BT751" s="33"/>
      <c r="BU751" s="33"/>
      <c r="BV751" s="33"/>
      <c r="BW751" s="33"/>
      <c r="BX751" s="33"/>
      <c r="BY751" s="33"/>
      <c r="BZ751" s="33"/>
      <c r="CA751" s="33"/>
      <c r="CB751" s="33"/>
      <c r="CC751" s="33"/>
      <c r="CD751" s="33"/>
      <c r="CE751" s="33"/>
      <c r="CF751" s="33"/>
      <c r="CG751" s="33"/>
      <c r="CH751" s="33"/>
      <c r="CI751" s="33"/>
      <c r="CJ751" s="33"/>
      <c r="CK751" s="33"/>
      <c r="CL751" s="33"/>
      <c r="CM751" s="33"/>
      <c r="CN751" s="33"/>
      <c r="CO751" s="33"/>
      <c r="CP751" s="33"/>
      <c r="CQ751" s="33"/>
      <c r="CR751" s="33"/>
      <c r="CS751" s="33"/>
    </row>
    <row r="752" spans="1:97" ht="12.95" customHeight="1">
      <c r="J752" s="1205"/>
      <c r="K752" s="1206"/>
      <c r="L752" s="1206"/>
      <c r="M752" s="1206"/>
      <c r="N752" s="1207"/>
      <c r="O752" s="1273"/>
      <c r="P752" s="1273"/>
      <c r="Q752" s="1273"/>
      <c r="R752" s="1273"/>
      <c r="S752" s="1273"/>
      <c r="T752" s="1167"/>
      <c r="U752" s="1168"/>
      <c r="V752" s="1168"/>
      <c r="W752" s="1169"/>
      <c r="X752" s="1161"/>
      <c r="Y752" s="1162"/>
      <c r="Z752" s="1162"/>
      <c r="AA752" s="1162"/>
      <c r="AB752" s="1163"/>
      <c r="AC752" s="1134">
        <f t="shared" ref="AC752:AC761" si="36">X752*O752</f>
        <v>0</v>
      </c>
      <c r="AD752" s="1135"/>
      <c r="AE752" s="1135"/>
      <c r="AF752" s="1135"/>
      <c r="AG752" s="1136"/>
      <c r="AM752" s="33"/>
      <c r="AN752" s="33"/>
      <c r="AO752" s="33"/>
      <c r="AP752" s="33"/>
      <c r="AQ752" s="33"/>
      <c r="AR752" s="33"/>
      <c r="AS752" s="33"/>
      <c r="AT752" s="33"/>
      <c r="AU752" s="33"/>
      <c r="AV752" s="33"/>
      <c r="AW752" s="33"/>
      <c r="AX752" s="33"/>
      <c r="AY752" s="33"/>
      <c r="AZ752" s="33"/>
      <c r="BA752" s="33"/>
      <c r="BB752" s="33"/>
      <c r="BC752" s="33"/>
      <c r="BD752" s="33"/>
      <c r="BE752" s="33"/>
      <c r="BF752" s="33"/>
      <c r="BG752" s="33"/>
      <c r="BH752" s="33"/>
      <c r="BI752" s="33"/>
      <c r="BJ752" s="33"/>
      <c r="BK752" s="33"/>
      <c r="BL752" s="33"/>
      <c r="BM752" s="33"/>
      <c r="BN752" s="33"/>
      <c r="BO752" s="33"/>
      <c r="BP752" s="33"/>
      <c r="BQ752" s="33"/>
      <c r="BR752" s="33"/>
      <c r="BS752" s="33"/>
      <c r="BT752" s="33"/>
      <c r="BU752" s="33"/>
      <c r="BV752" s="33"/>
      <c r="BW752" s="33"/>
      <c r="BX752" s="33"/>
      <c r="BY752" s="33"/>
      <c r="BZ752" s="33"/>
      <c r="CA752" s="33"/>
      <c r="CB752" s="33"/>
      <c r="CC752" s="33"/>
      <c r="CD752" s="33"/>
      <c r="CE752" s="33"/>
      <c r="CF752" s="33"/>
      <c r="CG752" s="33"/>
      <c r="CH752" s="33"/>
      <c r="CI752" s="33"/>
      <c r="CJ752" s="33"/>
      <c r="CK752" s="33"/>
      <c r="CL752" s="33"/>
      <c r="CM752" s="33"/>
      <c r="CN752" s="33"/>
      <c r="CO752" s="33"/>
      <c r="CP752" s="33"/>
      <c r="CQ752" s="33"/>
      <c r="CR752" s="33"/>
      <c r="CS752" s="33"/>
    </row>
    <row r="753" spans="1:97" ht="12.95" customHeight="1">
      <c r="J753" s="1205"/>
      <c r="K753" s="1206"/>
      <c r="L753" s="1206"/>
      <c r="M753" s="1206"/>
      <c r="N753" s="1207"/>
      <c r="O753" s="1273"/>
      <c r="P753" s="1273"/>
      <c r="Q753" s="1273"/>
      <c r="R753" s="1273"/>
      <c r="S753" s="1273"/>
      <c r="T753" s="1167"/>
      <c r="U753" s="1168"/>
      <c r="V753" s="1168"/>
      <c r="W753" s="1169"/>
      <c r="X753" s="1161"/>
      <c r="Y753" s="1162"/>
      <c r="Z753" s="1162"/>
      <c r="AA753" s="1162"/>
      <c r="AB753" s="1163"/>
      <c r="AC753" s="1134">
        <f t="shared" si="36"/>
        <v>0</v>
      </c>
      <c r="AD753" s="1135"/>
      <c r="AE753" s="1135"/>
      <c r="AF753" s="1135"/>
      <c r="AG753" s="1136"/>
      <c r="AM753" s="33"/>
      <c r="AN753" s="33"/>
      <c r="AO753" s="33"/>
      <c r="AP753" s="33"/>
      <c r="AQ753" s="33"/>
      <c r="AR753" s="33"/>
      <c r="AS753" s="33"/>
      <c r="AT753" s="33"/>
      <c r="AU753" s="33"/>
      <c r="AV753" s="33"/>
      <c r="AW753" s="33"/>
      <c r="AX753" s="33"/>
      <c r="AY753" s="33"/>
      <c r="AZ753" s="33"/>
      <c r="BA753" s="33"/>
      <c r="BB753" s="33"/>
      <c r="BC753" s="33"/>
      <c r="BD753" s="33"/>
      <c r="BE753" s="33"/>
      <c r="BF753" s="33"/>
      <c r="BG753" s="33"/>
      <c r="BH753" s="33"/>
      <c r="BI753" s="33"/>
      <c r="BJ753" s="33"/>
      <c r="BK753" s="33"/>
      <c r="BL753" s="33"/>
      <c r="BM753" s="33"/>
      <c r="BN753" s="33"/>
      <c r="BO753" s="33"/>
      <c r="BP753" s="33"/>
      <c r="BQ753" s="33"/>
      <c r="BR753" s="33"/>
      <c r="BS753" s="33"/>
      <c r="BT753" s="33"/>
      <c r="BU753" s="33"/>
      <c r="BV753" s="33"/>
      <c r="BW753" s="33"/>
      <c r="BX753" s="33"/>
      <c r="BY753" s="33"/>
      <c r="BZ753" s="33"/>
      <c r="CA753" s="33"/>
      <c r="CB753" s="33"/>
      <c r="CC753" s="33"/>
      <c r="CD753" s="33"/>
      <c r="CE753" s="33"/>
      <c r="CF753" s="33"/>
      <c r="CG753" s="33"/>
      <c r="CH753" s="33"/>
      <c r="CI753" s="33"/>
      <c r="CJ753" s="33"/>
      <c r="CK753" s="33"/>
      <c r="CL753" s="33"/>
      <c r="CM753" s="33"/>
      <c r="CN753" s="33"/>
      <c r="CO753" s="33"/>
      <c r="CP753" s="33"/>
      <c r="CQ753" s="33"/>
      <c r="CR753" s="33"/>
      <c r="CS753" s="33"/>
    </row>
    <row r="754" spans="1:97" ht="12.95" customHeight="1">
      <c r="J754" s="1205"/>
      <c r="K754" s="1206"/>
      <c r="L754" s="1206"/>
      <c r="M754" s="1206"/>
      <c r="N754" s="1207"/>
      <c r="O754" s="1273"/>
      <c r="P754" s="1273"/>
      <c r="Q754" s="1273"/>
      <c r="R754" s="1273"/>
      <c r="S754" s="1273"/>
      <c r="T754" s="1167"/>
      <c r="U754" s="1168"/>
      <c r="V754" s="1168"/>
      <c r="W754" s="1169"/>
      <c r="X754" s="1161"/>
      <c r="Y754" s="1162"/>
      <c r="Z754" s="1162"/>
      <c r="AA754" s="1162"/>
      <c r="AB754" s="1163"/>
      <c r="AC754" s="1134">
        <f t="shared" si="36"/>
        <v>0</v>
      </c>
      <c r="AD754" s="1135"/>
      <c r="AE754" s="1135"/>
      <c r="AF754" s="1135"/>
      <c r="AG754" s="1136"/>
      <c r="AM754" s="33"/>
      <c r="AN754" s="33"/>
      <c r="AO754" s="33"/>
      <c r="AP754" s="33"/>
      <c r="AQ754" s="33"/>
      <c r="AR754" s="33"/>
      <c r="AS754" s="33"/>
      <c r="AT754" s="33"/>
      <c r="AU754" s="33"/>
      <c r="AV754" s="33"/>
      <c r="AW754" s="33"/>
      <c r="AX754" s="33"/>
      <c r="AY754" s="33"/>
      <c r="AZ754" s="33"/>
      <c r="BA754" s="33"/>
      <c r="BB754" s="33"/>
      <c r="BC754" s="33"/>
      <c r="BD754" s="33"/>
      <c r="BE754" s="33"/>
      <c r="BF754" s="33"/>
      <c r="BG754" s="33"/>
      <c r="BH754" s="33"/>
      <c r="BI754" s="33"/>
      <c r="BJ754" s="33"/>
      <c r="BK754" s="33"/>
      <c r="BL754" s="33"/>
      <c r="BM754" s="33"/>
      <c r="BN754" s="33"/>
      <c r="BO754" s="33"/>
      <c r="BP754" s="33"/>
      <c r="BQ754" s="33"/>
      <c r="BR754" s="33"/>
      <c r="BS754" s="33"/>
      <c r="BT754" s="33"/>
      <c r="BU754" s="33"/>
      <c r="BV754" s="33"/>
      <c r="BW754" s="33"/>
      <c r="BX754" s="33"/>
      <c r="BY754" s="33"/>
      <c r="BZ754" s="33"/>
      <c r="CA754" s="33"/>
      <c r="CB754" s="33"/>
      <c r="CC754" s="33"/>
      <c r="CD754" s="33"/>
      <c r="CE754" s="33"/>
      <c r="CF754" s="33"/>
      <c r="CG754" s="33"/>
      <c r="CH754" s="33"/>
      <c r="CI754" s="33"/>
      <c r="CJ754" s="33"/>
      <c r="CK754" s="33"/>
      <c r="CL754" s="33"/>
      <c r="CM754" s="33"/>
      <c r="CN754" s="33"/>
      <c r="CO754" s="33"/>
      <c r="CP754" s="33"/>
      <c r="CQ754" s="33"/>
      <c r="CR754" s="33"/>
      <c r="CS754" s="33"/>
    </row>
    <row r="755" spans="1:97" ht="12.95" customHeight="1">
      <c r="J755" s="1205"/>
      <c r="K755" s="1206"/>
      <c r="L755" s="1206"/>
      <c r="M755" s="1206"/>
      <c r="N755" s="1207"/>
      <c r="O755" s="1273"/>
      <c r="P755" s="1273"/>
      <c r="Q755" s="1273"/>
      <c r="R755" s="1273"/>
      <c r="S755" s="1273"/>
      <c r="T755" s="1167"/>
      <c r="U755" s="1168"/>
      <c r="V755" s="1168"/>
      <c r="W755" s="1169"/>
      <c r="X755" s="1161"/>
      <c r="Y755" s="1162"/>
      <c r="Z755" s="1162"/>
      <c r="AA755" s="1162"/>
      <c r="AB755" s="1163"/>
      <c r="AC755" s="1134">
        <f t="shared" si="36"/>
        <v>0</v>
      </c>
      <c r="AD755" s="1135"/>
      <c r="AE755" s="1135"/>
      <c r="AF755" s="1135"/>
      <c r="AG755" s="1136"/>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c r="CM755" s="33"/>
      <c r="CN755" s="33"/>
      <c r="CO755" s="33"/>
      <c r="CP755" s="33"/>
      <c r="CQ755" s="33"/>
      <c r="CR755" s="33"/>
      <c r="CS755" s="33"/>
    </row>
    <row r="756" spans="1:97" ht="12.95" customHeight="1">
      <c r="J756" s="1205"/>
      <c r="K756" s="1206"/>
      <c r="L756" s="1206"/>
      <c r="M756" s="1206"/>
      <c r="N756" s="1207"/>
      <c r="O756" s="1273"/>
      <c r="P756" s="1273"/>
      <c r="Q756" s="1273"/>
      <c r="R756" s="1273"/>
      <c r="S756" s="1273"/>
      <c r="T756" s="1167"/>
      <c r="U756" s="1168"/>
      <c r="V756" s="1168"/>
      <c r="W756" s="1169"/>
      <c r="X756" s="1161"/>
      <c r="Y756" s="1162"/>
      <c r="Z756" s="1162"/>
      <c r="AA756" s="1162"/>
      <c r="AB756" s="1163"/>
      <c r="AC756" s="1134">
        <f t="shared" si="36"/>
        <v>0</v>
      </c>
      <c r="AD756" s="1135"/>
      <c r="AE756" s="1135"/>
      <c r="AF756" s="1135"/>
      <c r="AG756" s="1136"/>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row>
    <row r="757" spans="1:97" ht="12.95" customHeight="1">
      <c r="J757" s="1205"/>
      <c r="K757" s="1206"/>
      <c r="L757" s="1206"/>
      <c r="M757" s="1206"/>
      <c r="N757" s="1207"/>
      <c r="O757" s="1273"/>
      <c r="P757" s="1273"/>
      <c r="Q757" s="1273"/>
      <c r="R757" s="1273"/>
      <c r="S757" s="1273"/>
      <c r="T757" s="1167"/>
      <c r="U757" s="1168"/>
      <c r="V757" s="1168"/>
      <c r="W757" s="1169"/>
      <c r="X757" s="1161"/>
      <c r="Y757" s="1162"/>
      <c r="Z757" s="1162"/>
      <c r="AA757" s="1162"/>
      <c r="AB757" s="1163"/>
      <c r="AC757" s="1134">
        <f t="shared" si="36"/>
        <v>0</v>
      </c>
      <c r="AD757" s="1135"/>
      <c r="AE757" s="1135"/>
      <c r="AF757" s="1135"/>
      <c r="AG757" s="1136"/>
      <c r="AL757" s="33"/>
      <c r="AM757" s="33"/>
      <c r="AN757" s="33"/>
      <c r="AO757" s="33"/>
      <c r="AP757" s="33"/>
      <c r="AQ757" s="33"/>
      <c r="AR757" s="33"/>
      <c r="AS757" s="33"/>
      <c r="AT757" s="33"/>
      <c r="AU757" s="33"/>
      <c r="AV757" s="33"/>
      <c r="AW757" s="33"/>
      <c r="AX757" s="33"/>
      <c r="AY757" s="33"/>
      <c r="AZ757" s="33"/>
      <c r="BA757" s="33"/>
      <c r="BB757" s="33"/>
      <c r="BC757" s="33"/>
      <c r="BD757" s="33"/>
      <c r="BE757" s="33"/>
      <c r="BF757" s="33"/>
      <c r="BG757" s="33"/>
      <c r="BH757" s="33"/>
      <c r="BI757" s="33"/>
      <c r="BJ757" s="33"/>
      <c r="BK757" s="33"/>
      <c r="BL757" s="33"/>
      <c r="BM757" s="33"/>
      <c r="BN757" s="33"/>
      <c r="BO757" s="33"/>
      <c r="BP757" s="33"/>
      <c r="BQ757" s="33"/>
      <c r="BR757" s="33"/>
      <c r="BS757" s="33"/>
      <c r="BT757" s="33"/>
      <c r="BU757" s="33"/>
      <c r="BV757" s="33"/>
      <c r="BW757" s="33"/>
      <c r="BX757" s="33"/>
      <c r="BY757" s="33"/>
      <c r="BZ757" s="33"/>
      <c r="CA757" s="33"/>
      <c r="CB757" s="33"/>
      <c r="CC757" s="33"/>
      <c r="CD757" s="33"/>
      <c r="CE757" s="33"/>
      <c r="CF757" s="33"/>
      <c r="CG757" s="33"/>
      <c r="CH757" s="33"/>
      <c r="CI757" s="33"/>
      <c r="CJ757" s="33"/>
      <c r="CK757" s="33"/>
      <c r="CL757" s="33"/>
      <c r="CM757" s="33"/>
      <c r="CN757" s="33"/>
      <c r="CO757" s="33"/>
      <c r="CP757" s="33"/>
      <c r="CQ757" s="33"/>
      <c r="CR757" s="33"/>
      <c r="CS757" s="33"/>
    </row>
    <row r="758" spans="1:97" ht="12.95" customHeight="1">
      <c r="J758" s="1205"/>
      <c r="K758" s="1206"/>
      <c r="L758" s="1206"/>
      <c r="M758" s="1206"/>
      <c r="N758" s="1207"/>
      <c r="O758" s="1273"/>
      <c r="P758" s="1273"/>
      <c r="Q758" s="1273"/>
      <c r="R758" s="1273"/>
      <c r="S758" s="1273"/>
      <c r="T758" s="1167"/>
      <c r="U758" s="1168"/>
      <c r="V758" s="1168"/>
      <c r="W758" s="1169"/>
      <c r="X758" s="1161"/>
      <c r="Y758" s="1162"/>
      <c r="Z758" s="1162"/>
      <c r="AA758" s="1162"/>
      <c r="AB758" s="1163"/>
      <c r="AC758" s="1134">
        <f t="shared" si="36"/>
        <v>0</v>
      </c>
      <c r="AD758" s="1135"/>
      <c r="AE758" s="1135"/>
      <c r="AF758" s="1135"/>
      <c r="AG758" s="1136"/>
      <c r="AL758" s="33"/>
      <c r="AM758" s="33"/>
      <c r="AN758" s="33"/>
      <c r="AO758" s="33"/>
      <c r="AP758" s="33"/>
      <c r="AQ758" s="33"/>
      <c r="AR758" s="33"/>
      <c r="AS758" s="33"/>
      <c r="AT758" s="33"/>
      <c r="AU758" s="33"/>
      <c r="AV758" s="33"/>
      <c r="AW758" s="33"/>
      <c r="AX758" s="33"/>
      <c r="AY758" s="33"/>
      <c r="AZ758" s="33"/>
      <c r="BA758" s="33"/>
      <c r="BB758" s="33"/>
      <c r="BC758" s="33"/>
      <c r="BD758" s="33"/>
      <c r="BE758" s="33"/>
      <c r="BF758" s="33"/>
      <c r="BG758" s="33"/>
      <c r="BH758" s="33"/>
      <c r="BI758" s="33"/>
      <c r="BJ758" s="33"/>
      <c r="BK758" s="33"/>
      <c r="BL758" s="33"/>
      <c r="BM758" s="33"/>
      <c r="BN758" s="33"/>
      <c r="BO758" s="33"/>
      <c r="BP758" s="33"/>
      <c r="BQ758" s="33"/>
      <c r="BR758" s="33"/>
      <c r="BS758" s="33"/>
      <c r="BT758" s="33"/>
      <c r="BU758" s="33"/>
      <c r="BV758" s="33"/>
      <c r="BW758" s="33"/>
      <c r="BX758" s="33"/>
      <c r="BY758" s="33"/>
      <c r="BZ758" s="33"/>
      <c r="CA758" s="33"/>
      <c r="CB758" s="33"/>
      <c r="CC758" s="33"/>
      <c r="CD758" s="33"/>
      <c r="CE758" s="33"/>
      <c r="CF758" s="33"/>
      <c r="CG758" s="33"/>
      <c r="CH758" s="33"/>
      <c r="CI758" s="33"/>
      <c r="CJ758" s="33"/>
      <c r="CK758" s="33"/>
      <c r="CL758" s="33"/>
      <c r="CM758" s="33"/>
      <c r="CN758" s="33"/>
      <c r="CO758" s="33"/>
      <c r="CP758" s="33"/>
      <c r="CQ758" s="33"/>
      <c r="CR758" s="33"/>
      <c r="CS758" s="33"/>
    </row>
    <row r="759" spans="1:97" ht="12.95" customHeight="1">
      <c r="J759" s="1205"/>
      <c r="K759" s="1206"/>
      <c r="L759" s="1206"/>
      <c r="M759" s="1206"/>
      <c r="N759" s="1207"/>
      <c r="O759" s="1273"/>
      <c r="P759" s="1273"/>
      <c r="Q759" s="1273"/>
      <c r="R759" s="1273"/>
      <c r="S759" s="1273"/>
      <c r="T759" s="1158"/>
      <c r="U759" s="1159"/>
      <c r="V759" s="1159"/>
      <c r="W759" s="1160"/>
      <c r="X759" s="1161"/>
      <c r="Y759" s="1162"/>
      <c r="Z759" s="1162"/>
      <c r="AA759" s="1162"/>
      <c r="AB759" s="1163"/>
      <c r="AC759" s="1134">
        <f t="shared" si="36"/>
        <v>0</v>
      </c>
      <c r="AD759" s="1135"/>
      <c r="AE759" s="1135"/>
      <c r="AF759" s="1135"/>
      <c r="AG759" s="1136"/>
      <c r="AL759" s="33"/>
      <c r="AM759" s="33"/>
      <c r="AN759" s="33"/>
      <c r="AO759" s="33"/>
      <c r="AP759" s="33"/>
      <c r="AQ759" s="33"/>
      <c r="AR759" s="33"/>
      <c r="AS759" s="33"/>
      <c r="AT759" s="33"/>
      <c r="AU759" s="33"/>
      <c r="AV759" s="33"/>
      <c r="AW759" s="33"/>
      <c r="AX759" s="33"/>
      <c r="AY759" s="33"/>
      <c r="AZ759" s="33"/>
      <c r="BA759" s="33"/>
      <c r="BB759" s="33"/>
      <c r="BC759" s="33"/>
      <c r="BD759" s="33"/>
      <c r="BE759" s="33"/>
      <c r="BF759" s="33"/>
      <c r="BG759" s="33"/>
      <c r="BH759" s="33"/>
      <c r="BI759" s="33"/>
      <c r="BJ759" s="33"/>
      <c r="BK759" s="33"/>
      <c r="BL759" s="33"/>
      <c r="BM759" s="33"/>
      <c r="BN759" s="33"/>
      <c r="BO759" s="33"/>
      <c r="BP759" s="33"/>
      <c r="BQ759" s="33"/>
      <c r="BR759" s="33"/>
      <c r="BS759" s="33"/>
      <c r="BT759" s="33"/>
      <c r="BU759" s="33"/>
      <c r="BV759" s="33"/>
      <c r="BW759" s="33"/>
      <c r="BX759" s="33"/>
      <c r="BY759" s="33"/>
      <c r="BZ759" s="33"/>
      <c r="CA759" s="33"/>
      <c r="CB759" s="33"/>
      <c r="CC759" s="33"/>
      <c r="CD759" s="33"/>
      <c r="CE759" s="33"/>
      <c r="CF759" s="33"/>
      <c r="CG759" s="33"/>
      <c r="CH759" s="33"/>
      <c r="CI759" s="33"/>
      <c r="CJ759" s="33"/>
      <c r="CK759" s="33"/>
      <c r="CL759" s="33"/>
      <c r="CM759" s="33"/>
      <c r="CN759" s="33"/>
      <c r="CO759" s="33"/>
      <c r="CP759" s="33"/>
      <c r="CQ759" s="33"/>
      <c r="CR759" s="33"/>
      <c r="CS759" s="33"/>
    </row>
    <row r="760" spans="1:97" ht="12.95" customHeight="1">
      <c r="J760" s="1205"/>
      <c r="K760" s="1206"/>
      <c r="L760" s="1206"/>
      <c r="M760" s="1206"/>
      <c r="N760" s="1207"/>
      <c r="O760" s="1273"/>
      <c r="P760" s="1273"/>
      <c r="Q760" s="1273"/>
      <c r="R760" s="1273"/>
      <c r="S760" s="1273"/>
      <c r="T760" s="1158"/>
      <c r="U760" s="1159"/>
      <c r="V760" s="1159"/>
      <c r="W760" s="1160"/>
      <c r="X760" s="1161"/>
      <c r="Y760" s="1162"/>
      <c r="Z760" s="1162"/>
      <c r="AA760" s="1162"/>
      <c r="AB760" s="1163"/>
      <c r="AC760" s="1134">
        <f t="shared" si="36"/>
        <v>0</v>
      </c>
      <c r="AD760" s="1135"/>
      <c r="AE760" s="1135"/>
      <c r="AF760" s="1135"/>
      <c r="AG760" s="1136"/>
      <c r="AL760" s="33"/>
      <c r="AM760" s="33"/>
      <c r="AN760" s="33"/>
      <c r="AO760" s="33"/>
      <c r="AP760" s="33"/>
      <c r="AQ760" s="33"/>
      <c r="AR760" s="33"/>
      <c r="AS760" s="33"/>
      <c r="AT760" s="33"/>
      <c r="AU760" s="33"/>
      <c r="AV760" s="33"/>
      <c r="AW760" s="33"/>
      <c r="AX760" s="33"/>
      <c r="AY760" s="33"/>
      <c r="AZ760" s="33"/>
      <c r="BA760" s="33"/>
      <c r="BB760" s="33"/>
      <c r="BC760" s="33"/>
      <c r="BD760" s="33"/>
      <c r="BE760" s="33"/>
      <c r="BF760" s="33"/>
      <c r="BG760" s="33"/>
      <c r="BH760" s="33"/>
      <c r="BI760" s="33"/>
      <c r="BJ760" s="33"/>
      <c r="BK760" s="33"/>
      <c r="BL760" s="33"/>
      <c r="BM760" s="33"/>
      <c r="BN760" s="33"/>
      <c r="BO760" s="33"/>
      <c r="BP760" s="33"/>
      <c r="BQ760" s="33"/>
      <c r="BR760" s="33"/>
      <c r="BS760" s="33"/>
      <c r="BT760" s="33"/>
      <c r="BU760" s="33"/>
      <c r="BV760" s="33"/>
      <c r="BW760" s="33"/>
      <c r="BX760" s="33"/>
      <c r="BY760" s="33"/>
      <c r="BZ760" s="33"/>
      <c r="CA760" s="33"/>
      <c r="CB760" s="33"/>
      <c r="CC760" s="33"/>
      <c r="CD760" s="33"/>
      <c r="CE760" s="33"/>
      <c r="CF760" s="33"/>
      <c r="CG760" s="33"/>
      <c r="CH760" s="33"/>
      <c r="CI760" s="33"/>
      <c r="CJ760" s="33"/>
      <c r="CK760" s="33"/>
      <c r="CL760" s="33"/>
      <c r="CM760" s="33"/>
      <c r="CN760" s="33"/>
      <c r="CO760" s="33"/>
      <c r="CP760" s="33"/>
      <c r="CQ760" s="33"/>
      <c r="CR760" s="33"/>
      <c r="CS760" s="33"/>
    </row>
    <row r="761" spans="1:97" ht="12.95" customHeight="1">
      <c r="J761" s="1205"/>
      <c r="K761" s="1206"/>
      <c r="L761" s="1206"/>
      <c r="M761" s="1206"/>
      <c r="N761" s="1207"/>
      <c r="O761" s="1273"/>
      <c r="P761" s="1273"/>
      <c r="Q761" s="1273"/>
      <c r="R761" s="1273"/>
      <c r="S761" s="1273"/>
      <c r="T761" s="1158"/>
      <c r="U761" s="1159"/>
      <c r="V761" s="1159"/>
      <c r="W761" s="1160"/>
      <c r="X761" s="1161"/>
      <c r="Y761" s="1162"/>
      <c r="Z761" s="1162"/>
      <c r="AA761" s="1162"/>
      <c r="AB761" s="1163"/>
      <c r="AC761" s="1134">
        <f t="shared" si="36"/>
        <v>0</v>
      </c>
      <c r="AD761" s="1135"/>
      <c r="AE761" s="1135"/>
      <c r="AF761" s="1135"/>
      <c r="AG761" s="1136"/>
      <c r="AL761" s="33"/>
      <c r="AM761" s="33"/>
      <c r="AN761" s="33"/>
      <c r="AO761" s="33"/>
      <c r="AP761" s="33"/>
      <c r="AQ761" s="33"/>
      <c r="AR761" s="33"/>
      <c r="AS761" s="33"/>
      <c r="AT761" s="33"/>
      <c r="AU761" s="33"/>
      <c r="AV761" s="33"/>
      <c r="AW761" s="33"/>
      <c r="AX761" s="33"/>
      <c r="AY761" s="33"/>
      <c r="AZ761" s="33"/>
      <c r="BA761" s="33"/>
      <c r="BB761" s="33"/>
      <c r="BC761" s="33"/>
      <c r="BD761" s="33"/>
      <c r="BE761" s="33"/>
      <c r="BF761" s="33"/>
      <c r="BG761" s="33"/>
      <c r="BH761" s="33"/>
      <c r="BI761" s="33"/>
      <c r="BJ761" s="33"/>
      <c r="BK761" s="33"/>
      <c r="BL761" s="33"/>
      <c r="BM761" s="33"/>
      <c r="BN761" s="33"/>
      <c r="BO761" s="33"/>
      <c r="BP761" s="33"/>
      <c r="BQ761" s="33"/>
      <c r="BR761" s="33"/>
      <c r="BS761" s="33"/>
      <c r="BT761" s="33"/>
      <c r="BU761" s="33"/>
      <c r="BV761" s="33"/>
      <c r="BW761" s="33"/>
      <c r="BX761" s="33"/>
      <c r="BY761" s="33"/>
      <c r="BZ761" s="33"/>
      <c r="CA761" s="33"/>
      <c r="CB761" s="33"/>
      <c r="CC761" s="33"/>
      <c r="CD761" s="33"/>
      <c r="CE761" s="33"/>
      <c r="CF761" s="33"/>
      <c r="CG761" s="33"/>
      <c r="CH761" s="33"/>
      <c r="CI761" s="33"/>
      <c r="CJ761" s="33"/>
      <c r="CK761" s="33"/>
      <c r="CL761" s="33"/>
      <c r="CM761" s="33"/>
      <c r="CN761" s="33"/>
      <c r="CO761" s="33"/>
      <c r="CP761" s="33"/>
      <c r="CQ761" s="33"/>
      <c r="CR761" s="33"/>
      <c r="CS761" s="33"/>
    </row>
    <row r="762" spans="1:97" ht="12.95" customHeight="1">
      <c r="J762" s="1094" t="s">
        <v>1484</v>
      </c>
      <c r="K762" s="1095"/>
      <c r="L762" s="1095"/>
      <c r="M762" s="1095"/>
      <c r="N762" s="1096"/>
      <c r="O762" s="1395">
        <f>SUM(O752:S761)</f>
        <v>0</v>
      </c>
      <c r="P762" s="1395"/>
      <c r="Q762" s="1395"/>
      <c r="R762" s="1395"/>
      <c r="S762" s="1395"/>
      <c r="X762" s="310" t="s">
        <v>1485</v>
      </c>
      <c r="Y762" s="833"/>
      <c r="Z762" s="833"/>
      <c r="AA762" s="833"/>
      <c r="AB762" s="834"/>
      <c r="AC762" s="1134">
        <f>SUM(AC752:AG761)</f>
        <v>0</v>
      </c>
      <c r="AD762" s="1135"/>
      <c r="AE762" s="1135"/>
      <c r="AF762" s="1135"/>
      <c r="AG762" s="1136"/>
      <c r="AL762" s="33"/>
      <c r="AM762" s="33"/>
      <c r="AN762" s="33"/>
      <c r="AO762" s="33"/>
      <c r="AP762" s="33"/>
      <c r="AQ762" s="33"/>
      <c r="AR762" s="33"/>
      <c r="AS762" s="33"/>
      <c r="AT762" s="33"/>
      <c r="AU762" s="33"/>
      <c r="AV762" s="33"/>
      <c r="AW762" s="33"/>
      <c r="AX762" s="33"/>
      <c r="AY762" s="33"/>
      <c r="AZ762" s="33"/>
      <c r="BA762" s="33"/>
      <c r="BB762" s="33"/>
      <c r="BC762" s="33"/>
      <c r="BD762" s="33"/>
      <c r="BE762" s="33"/>
      <c r="BF762" s="33"/>
      <c r="BG762" s="33"/>
      <c r="BH762" s="33"/>
      <c r="BI762" s="33"/>
      <c r="BJ762" s="33"/>
      <c r="BK762" s="33"/>
      <c r="BL762" s="33"/>
      <c r="BM762" s="33"/>
      <c r="BN762" s="33"/>
      <c r="BO762" s="33"/>
      <c r="BP762" s="33"/>
      <c r="BQ762" s="33"/>
      <c r="BR762" s="33"/>
      <c r="BS762" s="33"/>
      <c r="BT762" s="33"/>
      <c r="BU762" s="33"/>
      <c r="BV762" s="33"/>
      <c r="BW762" s="33"/>
      <c r="BX762" s="33"/>
      <c r="BY762" s="33"/>
      <c r="BZ762" s="33"/>
      <c r="CA762" s="33"/>
      <c r="CB762" s="33"/>
      <c r="CC762" s="33"/>
      <c r="CD762" s="33"/>
      <c r="CE762" s="33"/>
      <c r="CF762" s="33"/>
      <c r="CG762" s="33"/>
      <c r="CH762" s="33"/>
      <c r="CI762" s="33"/>
      <c r="CJ762" s="33"/>
      <c r="CK762" s="33"/>
      <c r="CL762" s="33"/>
      <c r="CM762" s="33"/>
      <c r="CN762" s="33"/>
      <c r="CO762" s="33"/>
      <c r="CP762" s="33"/>
      <c r="CQ762" s="33"/>
      <c r="CR762" s="33"/>
      <c r="CS762" s="33"/>
    </row>
    <row r="763" spans="1:97" ht="12.95" customHeight="1">
      <c r="AL763" s="33"/>
      <c r="AM763" s="33"/>
      <c r="AN763" s="33"/>
      <c r="AO763" s="33"/>
      <c r="AP763" s="33"/>
      <c r="AQ763" s="33"/>
      <c r="AR763" s="33"/>
      <c r="AS763" s="33"/>
      <c r="AT763" s="33"/>
      <c r="AU763" s="33"/>
      <c r="AV763" s="33"/>
      <c r="AW763" s="33"/>
      <c r="AX763" s="33"/>
      <c r="AY763" s="33"/>
      <c r="AZ763" s="33"/>
      <c r="BA763" s="33"/>
      <c r="BB763" s="33"/>
      <c r="BC763" s="33"/>
      <c r="BD763" s="33"/>
      <c r="BE763" s="33"/>
      <c r="BF763" s="33"/>
      <c r="BG763" s="33"/>
      <c r="BH763" s="33"/>
      <c r="BI763" s="33"/>
      <c r="BJ763" s="33"/>
      <c r="BK763" s="33"/>
      <c r="BL763" s="33"/>
      <c r="BM763" s="33"/>
      <c r="BN763" s="33"/>
      <c r="BO763" s="33"/>
      <c r="BP763" s="33"/>
      <c r="BQ763" s="33"/>
      <c r="BR763" s="33"/>
      <c r="BS763" s="33"/>
      <c r="BT763" s="33"/>
      <c r="BU763" s="33"/>
      <c r="BV763" s="33"/>
      <c r="BW763" s="33"/>
      <c r="BX763" s="33"/>
      <c r="BY763" s="33"/>
      <c r="BZ763" s="33"/>
      <c r="CA763" s="33"/>
      <c r="CB763" s="33"/>
      <c r="CC763" s="33"/>
      <c r="CD763" s="33"/>
      <c r="CE763" s="33"/>
      <c r="CF763" s="33"/>
      <c r="CG763" s="33"/>
      <c r="CH763" s="33"/>
      <c r="CI763" s="33"/>
      <c r="CJ763" s="33"/>
      <c r="CK763" s="33"/>
      <c r="CL763" s="33"/>
      <c r="CM763" s="33"/>
      <c r="CN763" s="33"/>
      <c r="CO763" s="33"/>
      <c r="CP763" s="33"/>
      <c r="CQ763" s="33"/>
      <c r="CR763" s="33"/>
      <c r="CS763" s="33"/>
    </row>
    <row r="764" spans="1:97" ht="12.95" customHeight="1">
      <c r="J764" s="7"/>
      <c r="K764" s="8"/>
      <c r="L764" s="8"/>
      <c r="M764" s="8"/>
      <c r="N764" s="8"/>
      <c r="O764" s="8"/>
      <c r="P764" s="8"/>
      <c r="Q764" s="8"/>
      <c r="R764" s="8"/>
      <c r="S764" s="8"/>
      <c r="T764" s="8"/>
      <c r="U764" s="8"/>
      <c r="V764" s="8"/>
      <c r="W764" s="8"/>
      <c r="X764" s="788" t="s">
        <v>1496</v>
      </c>
      <c r="Y764" s="1090">
        <f>T717+AC742+AC762</f>
        <v>58543</v>
      </c>
      <c r="Z764" s="1090"/>
      <c r="AA764" s="1090"/>
      <c r="AB764" s="1090"/>
      <c r="AC764" s="1090"/>
      <c r="AL764" s="33"/>
      <c r="AM764" s="33"/>
      <c r="AN764" s="33"/>
      <c r="AO764" s="33"/>
      <c r="AP764" s="33"/>
      <c r="AQ764" s="33"/>
      <c r="AR764" s="33"/>
      <c r="AS764" s="33"/>
      <c r="AT764" s="33"/>
      <c r="AU764" s="33"/>
      <c r="AV764" s="33"/>
      <c r="AW764" s="33"/>
      <c r="AX764" s="33"/>
      <c r="AY764" s="33"/>
      <c r="AZ764" s="33"/>
      <c r="BA764" s="33"/>
      <c r="BB764" s="33"/>
      <c r="BC764" s="33"/>
      <c r="BD764" s="33"/>
      <c r="BE764" s="33"/>
      <c r="BF764" s="33"/>
      <c r="BG764" s="33"/>
      <c r="BH764" s="33"/>
      <c r="BI764" s="33"/>
      <c r="BJ764" s="33"/>
      <c r="BK764" s="33"/>
      <c r="BL764" s="33"/>
      <c r="BM764" s="33"/>
      <c r="BN764" s="33"/>
      <c r="BO764" s="33"/>
      <c r="BP764" s="33"/>
      <c r="BQ764" s="33"/>
      <c r="BR764" s="33"/>
      <c r="BS764" s="33"/>
      <c r="BT764" s="33"/>
      <c r="BU764" s="33"/>
      <c r="BV764" s="33"/>
      <c r="BW764" s="33"/>
      <c r="BX764" s="33"/>
      <c r="BY764" s="33"/>
      <c r="BZ764" s="33"/>
      <c r="CA764" s="33"/>
      <c r="CB764" s="33"/>
      <c r="CC764" s="33"/>
      <c r="CD764" s="33"/>
      <c r="CE764" s="33"/>
      <c r="CF764" s="33"/>
      <c r="CG764" s="33"/>
      <c r="CH764" s="33"/>
      <c r="CI764" s="33"/>
      <c r="CJ764" s="33"/>
      <c r="CK764" s="33"/>
      <c r="CL764" s="33"/>
      <c r="CM764" s="33"/>
      <c r="CN764" s="33"/>
      <c r="CO764" s="33"/>
      <c r="CP764" s="33"/>
      <c r="CQ764" s="33"/>
      <c r="CR764" s="33"/>
      <c r="CS764" s="33"/>
    </row>
    <row r="765" spans="1:97" ht="12.95" customHeight="1">
      <c r="J765" s="38"/>
      <c r="K765" s="39"/>
      <c r="L765" s="39"/>
      <c r="M765" s="39"/>
      <c r="N765" s="39"/>
      <c r="O765" s="39"/>
      <c r="P765" s="39"/>
      <c r="Q765" s="39"/>
      <c r="R765" s="39"/>
      <c r="S765" s="39"/>
      <c r="T765" s="39"/>
      <c r="U765" s="39"/>
      <c r="V765" s="39"/>
      <c r="W765" s="39"/>
      <c r="X765" s="803" t="s">
        <v>1497</v>
      </c>
      <c r="Y765" s="1090">
        <f>(T717+AC742+AC762)*12</f>
        <v>702516</v>
      </c>
      <c r="Z765" s="1090"/>
      <c r="AA765" s="1090"/>
      <c r="AB765" s="1090"/>
      <c r="AC765" s="1090"/>
      <c r="AL765" s="33"/>
      <c r="AM765" s="33"/>
      <c r="AN765" s="33"/>
      <c r="AO765" s="33"/>
      <c r="AP765" s="33"/>
      <c r="AQ765" s="33"/>
      <c r="AR765" s="33"/>
      <c r="AS765" s="33"/>
      <c r="AT765" s="33"/>
      <c r="AU765" s="33"/>
      <c r="AV765" s="33"/>
      <c r="AW765" s="33"/>
      <c r="AX765" s="33"/>
      <c r="AY765" s="33"/>
      <c r="AZ765" s="33"/>
      <c r="BA765" s="33"/>
      <c r="BB765" s="33"/>
      <c r="BC765" s="33"/>
      <c r="BD765" s="33"/>
      <c r="BE765" s="33"/>
      <c r="BF765" s="33"/>
      <c r="BG765" s="33"/>
      <c r="BH765" s="33"/>
      <c r="BI765" s="33"/>
      <c r="BJ765" s="33"/>
      <c r="BK765" s="33"/>
      <c r="BL765" s="33"/>
      <c r="BM765" s="33"/>
      <c r="BN765" s="33"/>
      <c r="BO765" s="33"/>
      <c r="BP765" s="33"/>
      <c r="BQ765" s="33"/>
      <c r="BR765" s="33"/>
      <c r="BS765" s="33"/>
      <c r="BT765" s="33"/>
      <c r="BU765" s="33"/>
      <c r="BV765" s="33"/>
      <c r="BW765" s="33"/>
      <c r="BX765" s="33"/>
      <c r="BY765" s="33"/>
      <c r="BZ765" s="33"/>
      <c r="CA765" s="33"/>
      <c r="CB765" s="33"/>
      <c r="CC765" s="33"/>
      <c r="CD765" s="33"/>
      <c r="CE765" s="33"/>
      <c r="CF765" s="33"/>
      <c r="CG765" s="33"/>
      <c r="CH765" s="33"/>
      <c r="CI765" s="33"/>
      <c r="CJ765" s="33"/>
      <c r="CK765" s="33"/>
      <c r="CL765" s="33"/>
      <c r="CM765" s="33"/>
      <c r="CN765" s="33"/>
      <c r="CO765" s="33"/>
      <c r="CP765" s="33"/>
      <c r="CQ765" s="33"/>
      <c r="CR765" s="33"/>
      <c r="CS765" s="33"/>
    </row>
    <row r="766" spans="1:97" ht="12.95" customHeight="1">
      <c r="B766" s="2"/>
      <c r="X766" s="1"/>
      <c r="Y766" s="1"/>
      <c r="Z766" s="1"/>
      <c r="AA766" s="1"/>
      <c r="AB766" s="1"/>
      <c r="AC766" s="1"/>
      <c r="AD766" s="1"/>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row>
    <row r="767" spans="1:97" ht="12.95" customHeight="1">
      <c r="A767" s="2" t="s">
        <v>994</v>
      </c>
      <c r="B767" s="2"/>
      <c r="C767" s="2" t="s">
        <v>207</v>
      </c>
      <c r="X767" s="1"/>
      <c r="Y767" s="1"/>
      <c r="Z767" s="1"/>
      <c r="AA767" s="1"/>
      <c r="AB767" s="1"/>
      <c r="AC767" s="1"/>
      <c r="AD767" s="1"/>
      <c r="AM767" s="33"/>
      <c r="AN767" s="33"/>
      <c r="AO767" s="33"/>
      <c r="AP767" s="33"/>
      <c r="AQ767" s="33"/>
      <c r="AR767" s="33"/>
      <c r="AS767" s="33"/>
      <c r="AT767" s="33"/>
      <c r="AU767" s="33"/>
      <c r="AV767" s="33"/>
      <c r="AW767" s="33"/>
      <c r="AX767" s="33"/>
      <c r="AY767" s="33"/>
      <c r="AZ767" s="33"/>
      <c r="BA767" s="33"/>
      <c r="BB767" s="33"/>
      <c r="BC767" s="33"/>
      <c r="BD767" s="33"/>
      <c r="BE767" s="33"/>
      <c r="BF767" s="33"/>
      <c r="BG767" s="33"/>
      <c r="BH767" s="33"/>
      <c r="BI767" s="33"/>
      <c r="BJ767" s="33"/>
      <c r="BK767" s="33"/>
      <c r="BL767" s="33"/>
      <c r="BM767" s="33"/>
      <c r="BN767" s="33"/>
      <c r="BO767" s="33"/>
      <c r="BP767" s="33"/>
      <c r="BQ767" s="33"/>
      <c r="BR767" s="33"/>
      <c r="BS767" s="33"/>
      <c r="BT767" s="33"/>
      <c r="BU767" s="33"/>
      <c r="BV767" s="33"/>
      <c r="BW767" s="33"/>
      <c r="BX767" s="33"/>
      <c r="BY767" s="33"/>
      <c r="BZ767" s="33"/>
      <c r="CA767" s="33"/>
      <c r="CB767" s="33"/>
      <c r="CC767" s="33"/>
      <c r="CD767" s="33"/>
      <c r="CE767" s="33"/>
      <c r="CF767" s="33"/>
      <c r="CG767" s="33"/>
      <c r="CH767" s="33"/>
      <c r="CI767" s="33"/>
      <c r="CJ767" s="33"/>
      <c r="CK767" s="33"/>
      <c r="CL767" s="33"/>
      <c r="CM767" s="33"/>
      <c r="CN767" s="33"/>
      <c r="CO767" s="33"/>
      <c r="CP767" s="33"/>
      <c r="CQ767" s="33"/>
      <c r="CR767" s="33"/>
      <c r="CS767" s="33"/>
    </row>
    <row r="768" spans="1:97" ht="12.95" customHeight="1">
      <c r="A768" s="2"/>
      <c r="B768" s="2"/>
      <c r="C768" s="2" t="s">
        <v>1498</v>
      </c>
      <c r="X768" s="1"/>
      <c r="Y768" s="1"/>
      <c r="Z768" s="1"/>
      <c r="AA768" s="1"/>
      <c r="AB768" s="1"/>
      <c r="AC768" s="1"/>
      <c r="AD768" s="1"/>
      <c r="AM768" s="33"/>
      <c r="AN768" s="33"/>
      <c r="AO768" s="33"/>
      <c r="AP768" s="33"/>
      <c r="AQ768" s="33"/>
      <c r="AR768" s="33"/>
      <c r="AS768" s="33"/>
      <c r="AT768" s="33"/>
      <c r="AU768" s="33"/>
      <c r="AV768" s="33"/>
      <c r="AW768" s="33"/>
      <c r="AX768" s="33"/>
      <c r="AY768" s="33"/>
      <c r="AZ768" s="33"/>
      <c r="BA768" s="33"/>
      <c r="BB768" s="33"/>
      <c r="BC768" s="33"/>
      <c r="BD768" s="33"/>
      <c r="BE768" s="33"/>
      <c r="BF768" s="33"/>
      <c r="BG768" s="33"/>
      <c r="BH768" s="33"/>
      <c r="BI768" s="33"/>
      <c r="BJ768" s="33"/>
      <c r="BK768" s="33"/>
      <c r="BL768" s="33"/>
      <c r="BM768" s="33"/>
      <c r="BN768" s="33"/>
      <c r="BO768" s="33"/>
      <c r="BP768" s="33"/>
      <c r="BQ768" s="33"/>
      <c r="BR768" s="33"/>
      <c r="BS768" s="33"/>
      <c r="BT768" s="33"/>
      <c r="BU768" s="33"/>
      <c r="BV768" s="33"/>
      <c r="BW768" s="33"/>
      <c r="BX768" s="33"/>
      <c r="BY768" s="33"/>
      <c r="BZ768" s="33"/>
      <c r="CA768" s="33"/>
      <c r="CB768" s="33"/>
      <c r="CC768" s="33"/>
      <c r="CD768" s="33"/>
      <c r="CE768" s="33"/>
      <c r="CF768" s="33"/>
      <c r="CG768" s="33"/>
      <c r="CH768" s="33"/>
      <c r="CI768" s="33"/>
      <c r="CJ768" s="33"/>
      <c r="CK768" s="33"/>
      <c r="CL768" s="33"/>
      <c r="CM768" s="33"/>
      <c r="CN768" s="33"/>
      <c r="CO768" s="33"/>
      <c r="CP768" s="33"/>
      <c r="CQ768" s="33"/>
      <c r="CR768" s="33"/>
      <c r="CS768" s="33"/>
    </row>
    <row r="769" spans="1:97" ht="12.95" customHeight="1">
      <c r="B769" s="2"/>
      <c r="X769" s="1"/>
      <c r="Y769" s="1"/>
      <c r="Z769" s="1"/>
      <c r="AA769" s="1"/>
      <c r="AB769" s="1"/>
      <c r="AC769" s="1"/>
      <c r="AD769" s="1"/>
      <c r="AM769" s="33"/>
      <c r="AN769" s="33"/>
      <c r="AO769" s="33"/>
      <c r="AP769" s="33"/>
      <c r="AQ769" s="33"/>
      <c r="AR769" s="33"/>
      <c r="AS769" s="33"/>
      <c r="AT769" s="33"/>
      <c r="AU769" s="33"/>
      <c r="AV769" s="33"/>
      <c r="AW769" s="33"/>
      <c r="AX769" s="33"/>
      <c r="AY769" s="33"/>
      <c r="AZ769" s="33"/>
      <c r="BA769" s="33"/>
      <c r="BB769" s="33"/>
      <c r="BC769" s="33"/>
      <c r="BD769" s="33"/>
      <c r="BE769" s="33"/>
      <c r="BF769" s="33"/>
      <c r="BG769" s="33"/>
      <c r="BH769" s="33"/>
      <c r="BI769" s="33"/>
      <c r="BJ769" s="33"/>
      <c r="BK769" s="33"/>
      <c r="BL769" s="33"/>
      <c r="BM769" s="33"/>
      <c r="BN769" s="33"/>
      <c r="BO769" s="33"/>
      <c r="BP769" s="33"/>
      <c r="BQ769" s="33"/>
      <c r="BR769" s="33"/>
      <c r="BS769" s="33"/>
      <c r="BT769" s="33"/>
      <c r="BU769" s="33"/>
      <c r="BV769" s="33"/>
      <c r="BW769" s="33"/>
      <c r="BX769" s="33"/>
      <c r="BY769" s="33"/>
      <c r="BZ769" s="33"/>
      <c r="CA769" s="33"/>
      <c r="CB769" s="33"/>
      <c r="CC769" s="33"/>
      <c r="CD769" s="33"/>
      <c r="CE769" s="33"/>
      <c r="CF769" s="33"/>
      <c r="CG769" s="33"/>
      <c r="CH769" s="33"/>
      <c r="CI769" s="33"/>
      <c r="CJ769" s="33"/>
      <c r="CK769" s="33"/>
      <c r="CL769" s="33"/>
      <c r="CM769" s="33"/>
      <c r="CN769" s="33"/>
      <c r="CO769" s="33"/>
      <c r="CP769" s="33"/>
      <c r="CQ769" s="33"/>
      <c r="CR769" s="33"/>
      <c r="CS769" s="33"/>
    </row>
    <row r="770" spans="1:97" ht="12.95" customHeight="1">
      <c r="H770" s="7" t="s">
        <v>1499</v>
      </c>
      <c r="I770" s="8"/>
      <c r="J770" s="8"/>
      <c r="K770" s="8"/>
      <c r="L770" s="8"/>
      <c r="M770" s="8"/>
      <c r="N770" s="8"/>
      <c r="O770" s="8"/>
      <c r="P770" s="8"/>
      <c r="Q770" s="8"/>
      <c r="R770" s="8"/>
      <c r="S770" s="8"/>
      <c r="T770" s="8"/>
      <c r="U770" s="8"/>
      <c r="V770" s="8"/>
      <c r="W770" s="8"/>
      <c r="X770" s="8"/>
      <c r="Y770" s="8"/>
      <c r="Z770" s="1357">
        <v>25</v>
      </c>
      <c r="AA770" s="1278"/>
      <c r="AB770" s="1278"/>
      <c r="AC770" s="1278"/>
      <c r="AD770" s="1278"/>
      <c r="AE770" s="1279"/>
      <c r="AM770" s="33"/>
      <c r="AN770" s="33"/>
      <c r="AO770" s="33"/>
      <c r="AP770" s="33"/>
      <c r="AQ770" s="33"/>
      <c r="AR770" s="33"/>
      <c r="AS770" s="33"/>
      <c r="AT770" s="33"/>
      <c r="AU770" s="33"/>
      <c r="AV770" s="33"/>
      <c r="AW770" s="33"/>
      <c r="AX770" s="33"/>
      <c r="AY770" s="33"/>
      <c r="AZ770" s="33"/>
      <c r="BA770" s="33"/>
      <c r="BB770" s="33"/>
      <c r="BC770" s="33"/>
      <c r="BD770" s="33"/>
      <c r="BE770" s="33"/>
      <c r="BF770" s="33"/>
      <c r="BG770" s="33"/>
      <c r="BH770" s="33"/>
      <c r="BI770" s="33"/>
      <c r="BJ770" s="33"/>
      <c r="BK770" s="33"/>
      <c r="BL770" s="33"/>
      <c r="BM770" s="33"/>
      <c r="BN770" s="33"/>
      <c r="BO770" s="33"/>
      <c r="BP770" s="33"/>
      <c r="BQ770" s="33"/>
      <c r="BR770" s="33"/>
      <c r="BS770" s="33"/>
      <c r="BT770" s="33"/>
      <c r="BU770" s="33"/>
      <c r="BV770" s="33"/>
      <c r="BW770" s="33"/>
      <c r="BX770" s="33"/>
      <c r="BY770" s="33"/>
      <c r="BZ770" s="33"/>
      <c r="CA770" s="33"/>
      <c r="CB770" s="33"/>
      <c r="CC770" s="33"/>
      <c r="CD770" s="33"/>
      <c r="CE770" s="33"/>
      <c r="CF770" s="33"/>
      <c r="CG770" s="33"/>
      <c r="CH770" s="33"/>
      <c r="CI770" s="33"/>
      <c r="CJ770" s="33"/>
      <c r="CK770" s="33"/>
      <c r="CL770" s="33"/>
      <c r="CM770" s="33"/>
      <c r="CN770" s="33"/>
      <c r="CO770" s="33"/>
      <c r="CP770" s="33"/>
      <c r="CQ770" s="33"/>
      <c r="CR770" s="33"/>
      <c r="CS770" s="33"/>
    </row>
    <row r="771" spans="1:97" ht="12.95" customHeight="1">
      <c r="H771" s="7" t="s">
        <v>1500</v>
      </c>
      <c r="I771" s="8"/>
      <c r="J771" s="8"/>
      <c r="K771" s="8"/>
      <c r="L771" s="8"/>
      <c r="M771" s="8"/>
      <c r="N771" s="8"/>
      <c r="O771" s="8"/>
      <c r="P771" s="8"/>
      <c r="Q771" s="8"/>
      <c r="R771" s="8"/>
      <c r="S771" s="8"/>
      <c r="T771" s="8"/>
      <c r="U771" s="8"/>
      <c r="V771" s="8"/>
      <c r="W771" s="8"/>
      <c r="X771" s="8"/>
      <c r="Y771" s="8"/>
      <c r="Z771" s="1277">
        <v>20</v>
      </c>
      <c r="AA771" s="1278"/>
      <c r="AB771" s="1278"/>
      <c r="AC771" s="1278"/>
      <c r="AD771" s="1278"/>
      <c r="AE771" s="1279"/>
      <c r="AM771" s="33"/>
      <c r="AN771" s="33"/>
      <c r="AO771" s="33"/>
      <c r="AP771" s="33"/>
      <c r="AQ771" s="33"/>
      <c r="AR771" s="33"/>
      <c r="AS771" s="33"/>
      <c r="AT771" s="33"/>
      <c r="AU771" s="33"/>
      <c r="AV771" s="33"/>
      <c r="AW771" s="33"/>
      <c r="AX771" s="33"/>
      <c r="AY771" s="33"/>
      <c r="AZ771" s="33"/>
      <c r="BA771" s="33"/>
      <c r="BB771" s="33"/>
      <c r="BC771" s="33"/>
      <c r="BD771" s="33"/>
      <c r="BE771" s="33"/>
      <c r="BF771" s="33"/>
      <c r="BG771" s="33"/>
      <c r="BH771" s="33"/>
      <c r="BI771" s="33"/>
      <c r="BJ771" s="33"/>
      <c r="BK771" s="33"/>
      <c r="BL771" s="33"/>
      <c r="BM771" s="33"/>
      <c r="BN771" s="33"/>
      <c r="BO771" s="33"/>
      <c r="BP771" s="33"/>
      <c r="BQ771" s="33"/>
      <c r="BR771" s="33"/>
      <c r="BS771" s="33"/>
      <c r="BT771" s="33"/>
      <c r="BU771" s="33"/>
      <c r="BV771" s="33"/>
      <c r="BW771" s="33"/>
      <c r="BX771" s="33"/>
      <c r="BY771" s="33"/>
      <c r="BZ771" s="33"/>
      <c r="CA771" s="33"/>
      <c r="CB771" s="33"/>
      <c r="CC771" s="33"/>
      <c r="CD771" s="33"/>
      <c r="CE771" s="33"/>
      <c r="CF771" s="33"/>
      <c r="CG771" s="33"/>
      <c r="CH771" s="33"/>
      <c r="CI771" s="33"/>
      <c r="CJ771" s="33"/>
      <c r="CK771" s="33"/>
      <c r="CL771" s="33"/>
      <c r="CM771" s="33"/>
      <c r="CN771" s="33"/>
      <c r="CO771" s="33"/>
      <c r="CP771" s="33"/>
      <c r="CQ771" s="33"/>
      <c r="CR771" s="33"/>
      <c r="CS771" s="33"/>
    </row>
    <row r="772" spans="1:97" ht="12.95" customHeight="1">
      <c r="H772" s="7" t="s">
        <v>1501</v>
      </c>
      <c r="I772" s="8"/>
      <c r="J772" s="8"/>
      <c r="K772" s="8"/>
      <c r="L772" s="8"/>
      <c r="M772" s="8"/>
      <c r="N772" s="8"/>
      <c r="O772" s="8"/>
      <c r="P772" s="8"/>
      <c r="Q772" s="8"/>
      <c r="R772" s="8"/>
      <c r="S772" s="8"/>
      <c r="T772" s="8"/>
      <c r="U772" s="8"/>
      <c r="V772" s="8"/>
      <c r="W772" s="8"/>
      <c r="X772" s="8"/>
      <c r="Y772" s="8"/>
      <c r="Z772" s="1388" t="s">
        <v>1502</v>
      </c>
      <c r="AA772" s="1360"/>
      <c r="AB772" s="1360"/>
      <c r="AC772" s="1360"/>
      <c r="AD772" s="1360"/>
      <c r="AE772" s="1389"/>
      <c r="AM772" s="33"/>
      <c r="AN772" s="33"/>
      <c r="AO772" s="33"/>
      <c r="AP772" s="33"/>
      <c r="AQ772" s="33"/>
      <c r="AR772" s="33"/>
      <c r="AS772" s="33"/>
      <c r="AT772" s="33"/>
      <c r="AU772" s="33"/>
      <c r="AV772" s="33"/>
      <c r="AW772" s="33"/>
      <c r="AX772" s="33"/>
      <c r="AY772" s="33"/>
      <c r="AZ772" s="33"/>
      <c r="BA772" s="33"/>
      <c r="BB772" s="33"/>
      <c r="BC772" s="33"/>
      <c r="BD772" s="33"/>
      <c r="BE772" s="33"/>
      <c r="BF772" s="33"/>
      <c r="BG772" s="33"/>
      <c r="BH772" s="33"/>
      <c r="BI772" s="33"/>
      <c r="BJ772" s="33"/>
      <c r="BK772" s="33"/>
      <c r="BL772" s="33"/>
      <c r="BM772" s="33"/>
      <c r="BN772" s="33"/>
      <c r="BO772" s="33"/>
      <c r="BP772" s="33"/>
      <c r="BQ772" s="33"/>
      <c r="BR772" s="33"/>
      <c r="BS772" s="33"/>
      <c r="BT772" s="33"/>
      <c r="BU772" s="33"/>
      <c r="BV772" s="33"/>
      <c r="BW772" s="33"/>
      <c r="BX772" s="33"/>
      <c r="BY772" s="33"/>
      <c r="BZ772" s="33"/>
      <c r="CA772" s="33"/>
      <c r="CB772" s="33"/>
      <c r="CC772" s="33"/>
      <c r="CD772" s="33"/>
      <c r="CE772" s="33"/>
      <c r="CF772" s="33"/>
      <c r="CG772" s="33"/>
      <c r="CH772" s="33"/>
      <c r="CI772" s="33"/>
      <c r="CJ772" s="33"/>
      <c r="CK772" s="33"/>
      <c r="CL772" s="33"/>
      <c r="CM772" s="33"/>
      <c r="CN772" s="33"/>
      <c r="CO772" s="33"/>
      <c r="CP772" s="33"/>
      <c r="CQ772" s="33"/>
      <c r="CR772" s="33"/>
      <c r="CS772" s="33"/>
    </row>
    <row r="773" spans="1:97" ht="12.95" customHeight="1">
      <c r="H773" s="7"/>
      <c r="I773" s="8"/>
      <c r="J773" s="8"/>
      <c r="K773" s="8"/>
      <c r="L773" s="8"/>
      <c r="M773" s="8"/>
      <c r="N773" s="8"/>
      <c r="O773" s="8"/>
      <c r="P773" s="8"/>
      <c r="Q773" s="8"/>
      <c r="R773" s="8"/>
      <c r="S773" s="8"/>
      <c r="T773" s="8"/>
      <c r="U773" s="8"/>
      <c r="V773" s="8"/>
      <c r="W773" s="8"/>
      <c r="X773" s="8"/>
      <c r="Y773" s="787" t="s">
        <v>1503</v>
      </c>
      <c r="Z773" s="1430">
        <f>'Subsidy Contract Calculation'!I30</f>
        <v>374592</v>
      </c>
      <c r="AA773" s="1431"/>
      <c r="AB773" s="1431"/>
      <c r="AC773" s="1431"/>
      <c r="AD773" s="1431"/>
      <c r="AE773" s="1432"/>
      <c r="AM773" s="33"/>
      <c r="AN773" s="33"/>
      <c r="AO773" s="33"/>
      <c r="AP773" s="33"/>
      <c r="AQ773" s="33"/>
      <c r="AR773" s="33"/>
      <c r="AS773" s="33"/>
      <c r="AT773" s="33"/>
      <c r="AU773" s="33"/>
      <c r="AV773" s="33"/>
      <c r="AW773" s="33"/>
      <c r="AX773" s="33"/>
      <c r="AY773" s="33"/>
      <c r="AZ773" s="33"/>
      <c r="BA773" s="33"/>
      <c r="BB773" s="33"/>
      <c r="BC773" s="33"/>
      <c r="BD773" s="33"/>
      <c r="BE773" s="33"/>
      <c r="BF773" s="33"/>
      <c r="BG773" s="33"/>
      <c r="BH773" s="33"/>
      <c r="BI773" s="33"/>
      <c r="BJ773" s="33"/>
      <c r="BK773" s="33"/>
      <c r="BL773" s="33"/>
      <c r="BM773" s="33"/>
      <c r="BN773" s="33"/>
      <c r="BO773" s="33"/>
      <c r="BP773" s="33"/>
      <c r="BQ773" s="33"/>
      <c r="BR773" s="33"/>
      <c r="BS773" s="33"/>
      <c r="BT773" s="33"/>
      <c r="BU773" s="33"/>
      <c r="BV773" s="33"/>
      <c r="BW773" s="33"/>
      <c r="BX773" s="33"/>
      <c r="BY773" s="33"/>
      <c r="BZ773" s="33"/>
      <c r="CA773" s="33"/>
      <c r="CB773" s="33"/>
      <c r="CC773" s="33"/>
      <c r="CD773" s="33"/>
      <c r="CE773" s="33"/>
      <c r="CF773" s="33"/>
      <c r="CG773" s="33"/>
      <c r="CH773" s="33"/>
      <c r="CI773" s="33"/>
      <c r="CJ773" s="33"/>
      <c r="CK773" s="33"/>
      <c r="CL773" s="33"/>
      <c r="CM773" s="33"/>
      <c r="CN773" s="33"/>
      <c r="CO773" s="33"/>
      <c r="CP773" s="33"/>
      <c r="CQ773" s="33"/>
      <c r="CR773" s="33"/>
      <c r="CS773" s="33"/>
    </row>
    <row r="774" spans="1:97" ht="12.95" customHeight="1">
      <c r="X774" s="1"/>
      <c r="Y774" s="1"/>
      <c r="Z774" s="1"/>
      <c r="AA774" s="1"/>
      <c r="AB774" s="1"/>
      <c r="AC774" s="1"/>
      <c r="AD774" s="1"/>
      <c r="AM774" s="33"/>
      <c r="AN774" s="33"/>
      <c r="AO774" s="33"/>
      <c r="AP774" s="33"/>
      <c r="AQ774" s="33"/>
      <c r="AR774" s="33"/>
      <c r="AS774" s="33"/>
      <c r="AT774" s="33"/>
      <c r="AU774" s="33"/>
      <c r="AV774" s="33"/>
      <c r="AW774" s="33"/>
      <c r="AX774" s="33"/>
      <c r="AY774" s="33"/>
      <c r="AZ774" s="33"/>
      <c r="BA774" s="33"/>
      <c r="BB774" s="33"/>
      <c r="BC774" s="33"/>
      <c r="BD774" s="33"/>
      <c r="BE774" s="33"/>
      <c r="BF774" s="33"/>
      <c r="BG774" s="33"/>
      <c r="BH774" s="33"/>
      <c r="BI774" s="33"/>
      <c r="BJ774" s="33"/>
      <c r="BK774" s="33"/>
      <c r="BL774" s="33"/>
      <c r="BM774" s="33"/>
      <c r="BN774" s="33"/>
      <c r="BO774" s="33"/>
      <c r="BP774" s="33"/>
      <c r="BQ774" s="33"/>
      <c r="BR774" s="33"/>
      <c r="BS774" s="33"/>
      <c r="BT774" s="33"/>
      <c r="BU774" s="33"/>
      <c r="BV774" s="33"/>
      <c r="BW774" s="33"/>
      <c r="BX774" s="33"/>
      <c r="BY774" s="33"/>
      <c r="BZ774" s="33"/>
      <c r="CA774" s="33"/>
      <c r="CB774" s="33"/>
      <c r="CC774" s="33"/>
      <c r="CD774" s="33"/>
      <c r="CE774" s="33"/>
      <c r="CF774" s="33"/>
      <c r="CG774" s="33"/>
      <c r="CH774" s="33"/>
      <c r="CI774" s="33"/>
      <c r="CJ774" s="33"/>
      <c r="CK774" s="33"/>
      <c r="CL774" s="33"/>
      <c r="CM774" s="33"/>
      <c r="CN774" s="33"/>
      <c r="CO774" s="33"/>
      <c r="CP774" s="33"/>
      <c r="CQ774" s="33"/>
      <c r="CR774" s="33"/>
      <c r="CS774" s="33"/>
    </row>
    <row r="775" spans="1:97" ht="12.95" customHeight="1">
      <c r="A775" s="2" t="s">
        <v>1009</v>
      </c>
      <c r="B775" s="2"/>
      <c r="C775" s="2" t="s">
        <v>210</v>
      </c>
      <c r="X775" s="1"/>
      <c r="Y775" s="1"/>
      <c r="Z775" s="1"/>
      <c r="AA775" s="1"/>
      <c r="AB775" s="1"/>
      <c r="AC775" s="1"/>
      <c r="AD775" s="1"/>
      <c r="AM775" s="33"/>
      <c r="AN775" s="33"/>
      <c r="AO775" s="33"/>
      <c r="AP775" s="33"/>
      <c r="AQ775" s="33"/>
      <c r="AR775" s="33"/>
      <c r="AS775" s="33"/>
      <c r="AT775" s="33"/>
      <c r="AU775" s="33"/>
      <c r="AV775" s="33"/>
      <c r="AW775" s="33"/>
      <c r="AX775" s="33"/>
      <c r="AY775" s="33"/>
      <c r="AZ775" s="33"/>
      <c r="BA775" s="33"/>
      <c r="BB775" s="33"/>
      <c r="BC775" s="33"/>
      <c r="BD775" s="33"/>
      <c r="BE775" s="33"/>
      <c r="BF775" s="33"/>
      <c r="BG775" s="33"/>
      <c r="BH775" s="33"/>
      <c r="BI775" s="33"/>
      <c r="BJ775" s="33"/>
      <c r="BK775" s="33"/>
      <c r="BL775" s="33"/>
      <c r="BM775" s="33"/>
      <c r="BN775" s="33"/>
      <c r="BO775" s="33"/>
      <c r="BP775" s="33"/>
      <c r="BQ775" s="33"/>
      <c r="BR775" s="33"/>
      <c r="BS775" s="33"/>
      <c r="BT775" s="33"/>
      <c r="BU775" s="33"/>
      <c r="BV775" s="33"/>
      <c r="BW775" s="33"/>
      <c r="BX775" s="33"/>
      <c r="BY775" s="33"/>
      <c r="BZ775" s="33"/>
      <c r="CA775" s="33"/>
      <c r="CB775" s="33"/>
      <c r="CC775" s="33"/>
      <c r="CD775" s="33"/>
      <c r="CE775" s="33"/>
      <c r="CF775" s="33"/>
      <c r="CG775" s="33"/>
      <c r="CH775" s="33"/>
      <c r="CI775" s="33"/>
      <c r="CJ775" s="33"/>
      <c r="CK775" s="33"/>
      <c r="CL775" s="33"/>
      <c r="CM775" s="33"/>
      <c r="CN775" s="33"/>
      <c r="CO775" s="33"/>
      <c r="CP775" s="33"/>
      <c r="CQ775" s="33"/>
      <c r="CR775" s="33"/>
      <c r="CS775" s="33"/>
    </row>
    <row r="776" spans="1:97" ht="12.95" customHeight="1">
      <c r="X776" s="1"/>
      <c r="Y776" s="1"/>
      <c r="Z776" s="1"/>
      <c r="AA776" s="1"/>
      <c r="AB776" s="1"/>
      <c r="AC776" s="1"/>
      <c r="AD776" s="1"/>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row>
    <row r="777" spans="1:97" ht="12.95" customHeight="1">
      <c r="H777" s="7" t="s">
        <v>1504</v>
      </c>
      <c r="I777" s="8"/>
      <c r="J777" s="8"/>
      <c r="K777" s="8"/>
      <c r="L777" s="8"/>
      <c r="M777" s="8"/>
      <c r="N777" s="8"/>
      <c r="O777" s="8"/>
      <c r="P777" s="8"/>
      <c r="Q777" s="8"/>
      <c r="R777" s="8"/>
      <c r="S777" s="8"/>
      <c r="T777" s="8"/>
      <c r="U777" s="8"/>
      <c r="V777" s="8"/>
      <c r="W777" s="8"/>
      <c r="X777" s="8"/>
      <c r="Y777" s="8"/>
      <c r="Z777" s="1384">
        <v>5031</v>
      </c>
      <c r="AA777" s="1385"/>
      <c r="AB777" s="1385"/>
      <c r="AC777" s="1385"/>
      <c r="AD777" s="1385"/>
      <c r="AE777" s="1386"/>
      <c r="AM777" s="33"/>
      <c r="AN777" s="33"/>
      <c r="AO777" s="33"/>
      <c r="AP777" s="33"/>
      <c r="AQ777" s="33"/>
      <c r="AR777" s="33"/>
      <c r="AS777" s="33"/>
      <c r="AT777" s="33"/>
      <c r="AU777" s="33"/>
      <c r="AV777" s="33"/>
      <c r="AW777" s="33"/>
      <c r="AX777" s="33"/>
      <c r="AY777" s="33"/>
      <c r="AZ777" s="33"/>
      <c r="BA777" s="33"/>
      <c r="BB777" s="33"/>
      <c r="BC777" s="33"/>
      <c r="BD777" s="33"/>
      <c r="BE777" s="33"/>
      <c r="BF777" s="33"/>
      <c r="BG777" s="33"/>
      <c r="BH777" s="33"/>
      <c r="BI777" s="33"/>
      <c r="BJ777" s="33"/>
      <c r="BK777" s="33"/>
      <c r="BL777" s="33"/>
      <c r="BM777" s="33"/>
      <c r="BN777" s="33"/>
      <c r="BO777" s="33"/>
      <c r="BP777" s="33"/>
      <c r="BQ777" s="33"/>
      <c r="BR777" s="33"/>
      <c r="BS777" s="33"/>
      <c r="BT777" s="33"/>
      <c r="BU777" s="33"/>
      <c r="BV777" s="33"/>
      <c r="BW777" s="33"/>
      <c r="BX777" s="33"/>
      <c r="BY777" s="33"/>
      <c r="BZ777" s="33"/>
      <c r="CA777" s="33"/>
      <c r="CB777" s="33"/>
      <c r="CC777" s="33"/>
      <c r="CD777" s="33"/>
      <c r="CE777" s="33"/>
      <c r="CF777" s="33"/>
      <c r="CG777" s="33"/>
      <c r="CH777" s="33"/>
      <c r="CI777" s="33"/>
      <c r="CJ777" s="33"/>
      <c r="CK777" s="33"/>
      <c r="CL777" s="33"/>
      <c r="CM777" s="33"/>
      <c r="CN777" s="33"/>
      <c r="CO777" s="33"/>
      <c r="CP777" s="33"/>
      <c r="CQ777" s="33"/>
      <c r="CR777" s="33"/>
      <c r="CS777" s="33"/>
    </row>
    <row r="778" spans="1:97" ht="12.95" customHeight="1">
      <c r="H778" s="7" t="s">
        <v>1505</v>
      </c>
      <c r="I778" s="8"/>
      <c r="J778" s="8"/>
      <c r="K778" s="8"/>
      <c r="L778" s="8"/>
      <c r="M778" s="8"/>
      <c r="N778" s="8"/>
      <c r="O778" s="8"/>
      <c r="P778" s="8"/>
      <c r="Q778" s="8"/>
      <c r="R778" s="8"/>
      <c r="S778" s="8"/>
      <c r="T778" s="8"/>
      <c r="U778" s="8"/>
      <c r="V778" s="8"/>
      <c r="W778" s="8"/>
      <c r="X778" s="8"/>
      <c r="Y778" s="8"/>
      <c r="Z778" s="1047"/>
      <c r="AA778" s="1048"/>
      <c r="AB778" s="1048"/>
      <c r="AC778" s="1048"/>
      <c r="AD778" s="1048"/>
      <c r="AE778" s="1049"/>
      <c r="AM778" s="33"/>
      <c r="AN778" s="33"/>
      <c r="AO778" s="33"/>
      <c r="AP778" s="33"/>
      <c r="AQ778" s="33"/>
      <c r="AR778" s="33"/>
      <c r="AS778" s="33"/>
      <c r="AT778" s="33"/>
      <c r="AU778" s="33"/>
      <c r="AV778" s="33"/>
      <c r="AW778" s="33"/>
      <c r="AX778" s="33"/>
      <c r="AY778" s="33"/>
      <c r="AZ778" s="33"/>
      <c r="BA778" s="33"/>
      <c r="BB778" s="33"/>
      <c r="BC778" s="33"/>
      <c r="BD778" s="33"/>
      <c r="BE778" s="33"/>
      <c r="BF778" s="33"/>
      <c r="BG778" s="33"/>
      <c r="BH778" s="33"/>
      <c r="BI778" s="33"/>
      <c r="BJ778" s="33"/>
      <c r="BK778" s="33"/>
      <c r="BL778" s="33"/>
      <c r="BM778" s="33"/>
      <c r="BN778" s="33"/>
      <c r="BO778" s="33"/>
      <c r="BP778" s="33"/>
      <c r="BQ778" s="33"/>
      <c r="BR778" s="33"/>
      <c r="BS778" s="33"/>
      <c r="BT778" s="33"/>
      <c r="BU778" s="33"/>
      <c r="BV778" s="33"/>
      <c r="BW778" s="33"/>
      <c r="BX778" s="33"/>
      <c r="BY778" s="33"/>
      <c r="BZ778" s="33"/>
      <c r="CA778" s="33"/>
      <c r="CB778" s="33"/>
      <c r="CC778" s="33"/>
      <c r="CD778" s="33"/>
      <c r="CE778" s="33"/>
      <c r="CF778" s="33"/>
      <c r="CG778" s="33"/>
      <c r="CH778" s="33"/>
      <c r="CI778" s="33"/>
      <c r="CJ778" s="33"/>
      <c r="CK778" s="33"/>
      <c r="CL778" s="33"/>
      <c r="CM778" s="33"/>
      <c r="CN778" s="33"/>
      <c r="CO778" s="33"/>
      <c r="CP778" s="33"/>
      <c r="CQ778" s="33"/>
      <c r="CR778" s="33"/>
      <c r="CS778" s="33"/>
    </row>
    <row r="779" spans="1:97" ht="12.95" customHeight="1">
      <c r="H779" s="7" t="s">
        <v>1506</v>
      </c>
      <c r="I779" s="8"/>
      <c r="J779" s="8"/>
      <c r="K779" s="8"/>
      <c r="L779" s="8"/>
      <c r="M779" s="8"/>
      <c r="N779" s="8"/>
      <c r="O779" s="8"/>
      <c r="P779" s="8"/>
      <c r="Q779" s="8"/>
      <c r="R779" s="8"/>
      <c r="S779" s="8"/>
      <c r="T779" s="8"/>
      <c r="U779" s="8"/>
      <c r="V779" s="8"/>
      <c r="W779" s="8"/>
      <c r="X779" s="8"/>
      <c r="Y779" s="8"/>
      <c r="Z779" s="1047"/>
      <c r="AA779" s="1048"/>
      <c r="AB779" s="1048"/>
      <c r="AC779" s="1048"/>
      <c r="AD779" s="1048"/>
      <c r="AE779" s="1049"/>
      <c r="AM779" s="33"/>
      <c r="AN779" s="33"/>
      <c r="AO779" s="33"/>
      <c r="AP779" s="33"/>
      <c r="AQ779" s="33"/>
      <c r="AR779" s="33"/>
      <c r="AS779" s="33"/>
      <c r="AT779" s="33"/>
      <c r="AU779" s="33"/>
      <c r="AV779" s="33"/>
      <c r="AW779" s="33"/>
      <c r="AX779" s="33"/>
      <c r="AY779" s="33"/>
      <c r="AZ779" s="33"/>
      <c r="BA779" s="33"/>
      <c r="BB779" s="33"/>
      <c r="BC779" s="33"/>
      <c r="BD779" s="33"/>
      <c r="BE779" s="33"/>
      <c r="BF779" s="33"/>
      <c r="BG779" s="33"/>
      <c r="BH779" s="33"/>
      <c r="BI779" s="33"/>
      <c r="BJ779" s="33"/>
      <c r="BK779" s="33"/>
      <c r="BL779" s="33"/>
      <c r="BM779" s="33"/>
      <c r="BN779" s="33"/>
      <c r="BO779" s="33"/>
      <c r="BP779" s="33"/>
      <c r="BQ779" s="33"/>
      <c r="BR779" s="33"/>
      <c r="BS779" s="33"/>
      <c r="BT779" s="33"/>
      <c r="BU779" s="33"/>
      <c r="BV779" s="33"/>
      <c r="BW779" s="33"/>
      <c r="BX779" s="33"/>
      <c r="BY779" s="33"/>
      <c r="BZ779" s="33"/>
      <c r="CA779" s="33"/>
      <c r="CB779" s="33"/>
      <c r="CC779" s="33"/>
      <c r="CD779" s="33"/>
      <c r="CE779" s="33"/>
      <c r="CF779" s="33"/>
      <c r="CG779" s="33"/>
      <c r="CH779" s="33"/>
      <c r="CI779" s="33"/>
      <c r="CJ779" s="33"/>
      <c r="CK779" s="33"/>
      <c r="CL779" s="33"/>
      <c r="CM779" s="33"/>
      <c r="CN779" s="33"/>
      <c r="CO779" s="33"/>
      <c r="CP779" s="33"/>
      <c r="CQ779" s="33"/>
      <c r="CR779" s="33"/>
      <c r="CS779" s="33"/>
    </row>
    <row r="780" spans="1:97" ht="12.95" customHeight="1">
      <c r="H780" s="7" t="s">
        <v>1507</v>
      </c>
      <c r="I780" s="8"/>
      <c r="J780" s="8"/>
      <c r="K780" s="8"/>
      <c r="L780" s="8"/>
      <c r="M780" s="8"/>
      <c r="N780" s="8"/>
      <c r="O780" s="8"/>
      <c r="P780" s="1055" t="s">
        <v>1317</v>
      </c>
      <c r="Q780" s="1056"/>
      <c r="R780" s="1056"/>
      <c r="S780" s="1056"/>
      <c r="T780" s="1056"/>
      <c r="U780" s="1056"/>
      <c r="V780" s="1056"/>
      <c r="W780" s="1056"/>
      <c r="X780" s="1056"/>
      <c r="Y780" s="1057"/>
      <c r="Z780" s="1047"/>
      <c r="AA780" s="1048"/>
      <c r="AB780" s="1048"/>
      <c r="AC780" s="1048"/>
      <c r="AD780" s="1048"/>
      <c r="AE780" s="1049"/>
      <c r="AM780" s="33"/>
      <c r="AN780" s="33"/>
      <c r="AO780" s="33"/>
      <c r="AP780" s="33"/>
      <c r="AQ780" s="33"/>
      <c r="AR780" s="33"/>
      <c r="AS780" s="33"/>
      <c r="AT780" s="33"/>
      <c r="AU780" s="33"/>
      <c r="AV780" s="33"/>
      <c r="AW780" s="33"/>
      <c r="AX780" s="33"/>
      <c r="AY780" s="33"/>
      <c r="AZ780" s="33"/>
      <c r="BA780" s="33"/>
      <c r="BB780" s="33"/>
      <c r="BC780" s="33"/>
      <c r="BD780" s="33"/>
      <c r="BE780" s="33"/>
      <c r="BF780" s="33"/>
      <c r="BG780" s="33"/>
      <c r="BH780" s="33"/>
      <c r="BI780" s="33"/>
      <c r="BJ780" s="33"/>
      <c r="BK780" s="33"/>
      <c r="BL780" s="33"/>
      <c r="BM780" s="33"/>
      <c r="BN780" s="33"/>
      <c r="BO780" s="33"/>
      <c r="BP780" s="33"/>
      <c r="BQ780" s="33"/>
      <c r="BR780" s="33"/>
      <c r="BS780" s="33"/>
      <c r="BT780" s="33"/>
      <c r="BU780" s="33"/>
      <c r="BV780" s="33"/>
      <c r="BW780" s="33"/>
      <c r="BX780" s="33"/>
      <c r="BY780" s="33"/>
      <c r="BZ780" s="33"/>
      <c r="CA780" s="33"/>
      <c r="CB780" s="33"/>
      <c r="CC780" s="33"/>
      <c r="CD780" s="33"/>
      <c r="CE780" s="33"/>
      <c r="CF780" s="33"/>
      <c r="CG780" s="33"/>
      <c r="CH780" s="33"/>
      <c r="CI780" s="33"/>
      <c r="CJ780" s="33"/>
      <c r="CK780" s="33"/>
      <c r="CL780" s="33"/>
      <c r="CM780" s="33"/>
      <c r="CN780" s="33"/>
      <c r="CO780" s="33"/>
      <c r="CP780" s="33"/>
      <c r="CQ780" s="33"/>
      <c r="CR780" s="33"/>
      <c r="CS780" s="33"/>
    </row>
    <row r="781" spans="1:97" ht="12.95" customHeight="1">
      <c r="H781" s="7"/>
      <c r="I781" s="8"/>
      <c r="J781" s="8"/>
      <c r="K781" s="8"/>
      <c r="L781" s="8"/>
      <c r="M781" s="8"/>
      <c r="N781" s="8"/>
      <c r="O781" s="8"/>
      <c r="P781" s="8"/>
      <c r="Q781" s="8"/>
      <c r="R781" s="8"/>
      <c r="S781" s="8"/>
      <c r="T781" s="8"/>
      <c r="U781" s="8"/>
      <c r="V781" s="8"/>
      <c r="W781" s="8"/>
      <c r="X781" s="8"/>
      <c r="Y781" s="787" t="s">
        <v>1508</v>
      </c>
      <c r="Z781" s="1111">
        <f>SUM(Z777:AE780)</f>
        <v>5031</v>
      </c>
      <c r="AA781" s="1112"/>
      <c r="AB781" s="1112"/>
      <c r="AC781" s="1112"/>
      <c r="AD781" s="1112"/>
      <c r="AE781" s="1113"/>
      <c r="AM781" s="33"/>
      <c r="AN781" s="33"/>
      <c r="AO781" s="33"/>
      <c r="AP781" s="33"/>
      <c r="AQ781" s="33"/>
      <c r="AR781" s="33"/>
      <c r="AS781" s="33"/>
      <c r="AT781" s="33"/>
      <c r="AU781" s="33"/>
      <c r="AV781" s="33"/>
      <c r="AW781" s="33"/>
      <c r="AX781" s="33"/>
      <c r="AY781" s="33"/>
      <c r="AZ781" s="33"/>
      <c r="BA781" s="33"/>
      <c r="BB781" s="33"/>
      <c r="BC781" s="33"/>
      <c r="BD781" s="33"/>
      <c r="BE781" s="33"/>
      <c r="BF781" s="33"/>
      <c r="BG781" s="33"/>
      <c r="BH781" s="33"/>
      <c r="BI781" s="33"/>
      <c r="BJ781" s="33"/>
      <c r="BK781" s="33"/>
      <c r="BL781" s="33"/>
      <c r="BM781" s="33"/>
      <c r="BN781" s="33"/>
      <c r="BO781" s="33"/>
      <c r="BP781" s="33"/>
      <c r="BQ781" s="33"/>
      <c r="BR781" s="33"/>
      <c r="BS781" s="33"/>
      <c r="BT781" s="33"/>
      <c r="BU781" s="33"/>
      <c r="BV781" s="33"/>
      <c r="BW781" s="33"/>
      <c r="BX781" s="33"/>
      <c r="BY781" s="33"/>
      <c r="BZ781" s="33"/>
      <c r="CA781" s="33"/>
      <c r="CB781" s="33"/>
      <c r="CC781" s="33"/>
      <c r="CD781" s="33"/>
      <c r="CE781" s="33"/>
      <c r="CF781" s="33"/>
      <c r="CG781" s="33"/>
      <c r="CH781" s="33"/>
      <c r="CI781" s="33"/>
      <c r="CJ781" s="33"/>
      <c r="CK781" s="33"/>
      <c r="CL781" s="33"/>
      <c r="CM781" s="33"/>
      <c r="CN781" s="33"/>
      <c r="CO781" s="33"/>
      <c r="CP781" s="33"/>
      <c r="CQ781" s="33"/>
      <c r="CR781" s="33"/>
      <c r="CS781" s="33"/>
    </row>
    <row r="782" spans="1:97" ht="12.95" customHeight="1">
      <c r="H782" s="7"/>
      <c r="I782" s="8"/>
      <c r="J782" s="8"/>
      <c r="K782" s="8"/>
      <c r="L782" s="8"/>
      <c r="M782" s="8"/>
      <c r="N782" s="8"/>
      <c r="O782" s="8"/>
      <c r="P782" s="8"/>
      <c r="Q782" s="8"/>
      <c r="R782" s="8"/>
      <c r="S782" s="8"/>
      <c r="T782" s="8"/>
      <c r="U782" s="8"/>
      <c r="V782" s="8"/>
      <c r="W782" s="8"/>
      <c r="X782" s="8"/>
      <c r="Y782" s="787" t="s">
        <v>1509</v>
      </c>
      <c r="Z782" s="1111">
        <f>Z781+Y765+Z773</f>
        <v>1082139</v>
      </c>
      <c r="AA782" s="1112"/>
      <c r="AB782" s="1112"/>
      <c r="AC782" s="1112"/>
      <c r="AD782" s="1112"/>
      <c r="AE782" s="1113"/>
      <c r="AM782" s="33"/>
      <c r="AN782" s="33"/>
      <c r="AO782" s="33"/>
      <c r="AP782" s="33"/>
      <c r="AQ782" s="33"/>
      <c r="AR782" s="33"/>
      <c r="AS782" s="33"/>
      <c r="AT782" s="33"/>
      <c r="AU782" s="33"/>
      <c r="AV782" s="33"/>
      <c r="AW782" s="33"/>
      <c r="AX782" s="33"/>
      <c r="AY782" s="33"/>
      <c r="AZ782" s="33"/>
      <c r="BA782" s="33"/>
      <c r="BB782" s="33"/>
      <c r="BC782" s="33"/>
      <c r="BD782" s="33"/>
      <c r="BE782" s="33"/>
      <c r="BF782" s="33"/>
      <c r="BG782" s="33"/>
      <c r="BH782" s="33"/>
      <c r="BI782" s="33"/>
      <c r="BJ782" s="33"/>
      <c r="BK782" s="33"/>
      <c r="BL782" s="33"/>
      <c r="BM782" s="33"/>
      <c r="BN782" s="33"/>
      <c r="BO782" s="33"/>
      <c r="BP782" s="33"/>
      <c r="BQ782" s="33"/>
      <c r="BR782" s="33"/>
      <c r="BS782" s="33"/>
      <c r="BT782" s="33"/>
      <c r="BU782" s="33"/>
      <c r="BV782" s="33"/>
      <c r="BW782" s="33"/>
      <c r="BX782" s="33"/>
      <c r="BY782" s="33"/>
      <c r="BZ782" s="33"/>
      <c r="CA782" s="33"/>
      <c r="CB782" s="33"/>
      <c r="CC782" s="33"/>
      <c r="CD782" s="33"/>
      <c r="CE782" s="33"/>
      <c r="CF782" s="33"/>
      <c r="CG782" s="33"/>
      <c r="CH782" s="33"/>
      <c r="CI782" s="33"/>
      <c r="CJ782" s="33"/>
      <c r="CK782" s="33"/>
      <c r="CL782" s="33"/>
      <c r="CM782" s="33"/>
      <c r="CN782" s="33"/>
      <c r="CO782" s="33"/>
      <c r="CP782" s="33"/>
      <c r="CQ782" s="33"/>
      <c r="CR782" s="33"/>
      <c r="CS782" s="33"/>
    </row>
    <row r="783" spans="1:97" ht="12.95" customHeight="1">
      <c r="X783" s="1"/>
      <c r="Y783" s="1"/>
      <c r="Z783" s="1"/>
      <c r="AA783" s="1"/>
      <c r="AB783" s="1"/>
      <c r="AC783" s="1"/>
      <c r="AD783" s="1"/>
      <c r="AM783" s="33"/>
      <c r="AN783" s="33"/>
      <c r="AO783" s="33"/>
      <c r="AP783" s="33"/>
      <c r="AQ783" s="33"/>
      <c r="AR783" s="33"/>
      <c r="AS783" s="33"/>
      <c r="AT783" s="33"/>
      <c r="AU783" s="33"/>
      <c r="AV783" s="33"/>
      <c r="AW783" s="33"/>
      <c r="AX783" s="33"/>
      <c r="AY783" s="33"/>
      <c r="AZ783" s="33"/>
      <c r="BA783" s="33"/>
      <c r="BB783" s="33"/>
      <c r="BC783" s="33"/>
      <c r="BD783" s="33"/>
      <c r="BE783" s="33"/>
      <c r="BF783" s="33"/>
      <c r="BG783" s="33"/>
      <c r="BH783" s="33"/>
      <c r="BI783" s="33"/>
      <c r="BJ783" s="33"/>
      <c r="BK783" s="33"/>
      <c r="BL783" s="33"/>
      <c r="BM783" s="33"/>
      <c r="BN783" s="33"/>
      <c r="BO783" s="33"/>
      <c r="BP783" s="33"/>
      <c r="BQ783" s="33"/>
      <c r="BR783" s="33"/>
      <c r="BS783" s="33"/>
      <c r="BT783" s="33"/>
      <c r="BU783" s="33"/>
      <c r="BV783" s="33"/>
      <c r="BW783" s="33"/>
      <c r="BX783" s="33"/>
      <c r="BY783" s="33"/>
      <c r="BZ783" s="33"/>
      <c r="CA783" s="33"/>
      <c r="CB783" s="33"/>
      <c r="CC783" s="33"/>
      <c r="CD783" s="33"/>
      <c r="CE783" s="33"/>
      <c r="CF783" s="33"/>
      <c r="CG783" s="33"/>
      <c r="CH783" s="33"/>
      <c r="CI783" s="33"/>
      <c r="CJ783" s="33"/>
      <c r="CK783" s="33"/>
      <c r="CL783" s="33"/>
      <c r="CM783" s="33"/>
      <c r="CN783" s="33"/>
      <c r="CO783" s="33"/>
      <c r="CP783" s="33"/>
      <c r="CQ783" s="33"/>
      <c r="CR783" s="33"/>
      <c r="CS783" s="33"/>
    </row>
    <row r="784" spans="1:97" ht="12.95" customHeight="1">
      <c r="A784" s="2" t="s">
        <v>1019</v>
      </c>
      <c r="B784" s="2"/>
      <c r="C784" s="2" t="s">
        <v>213</v>
      </c>
      <c r="W784" s="836"/>
      <c r="AM784" s="33"/>
      <c r="AN784" s="33"/>
      <c r="AO784" s="33"/>
      <c r="AP784" s="33"/>
      <c r="AQ784" s="33"/>
      <c r="AR784" s="33"/>
      <c r="AS784" s="33"/>
      <c r="AT784" s="33"/>
      <c r="AU784" s="33"/>
      <c r="AV784" s="33"/>
      <c r="AW784" s="33"/>
      <c r="AX784" s="33"/>
      <c r="AY784" s="33"/>
      <c r="AZ784" s="33"/>
      <c r="BA784" s="33"/>
      <c r="BB784" s="33"/>
      <c r="BC784" s="33"/>
      <c r="BD784" s="33"/>
      <c r="BE784" s="33"/>
      <c r="BF784" s="33"/>
      <c r="BG784" s="33"/>
      <c r="BH784" s="33"/>
      <c r="BI784" s="33"/>
      <c r="BJ784" s="33"/>
      <c r="BK784" s="33"/>
      <c r="BL784" s="33"/>
      <c r="BM784" s="33"/>
      <c r="BN784" s="33"/>
      <c r="BO784" s="33"/>
      <c r="BP784" s="33"/>
      <c r="BQ784" s="33"/>
      <c r="BR784" s="33"/>
      <c r="BS784" s="33"/>
      <c r="BT784" s="33"/>
      <c r="BU784" s="33"/>
      <c r="BV784" s="33"/>
      <c r="BW784" s="33"/>
      <c r="BX784" s="33"/>
      <c r="BY784" s="33"/>
      <c r="BZ784" s="33"/>
      <c r="CA784" s="33"/>
      <c r="CB784" s="33"/>
      <c r="CC784" s="33"/>
      <c r="CD784" s="33"/>
      <c r="CE784" s="33"/>
      <c r="CF784" s="33"/>
      <c r="CG784" s="33"/>
      <c r="CH784" s="33"/>
      <c r="CI784" s="33"/>
      <c r="CJ784" s="33"/>
      <c r="CK784" s="33"/>
      <c r="CL784" s="33"/>
      <c r="CM784" s="33"/>
      <c r="CN784" s="33"/>
      <c r="CO784" s="33"/>
      <c r="CP784" s="33"/>
      <c r="CQ784" s="33"/>
      <c r="CR784" s="33"/>
      <c r="CS784" s="33"/>
    </row>
    <row r="785" spans="3:97" ht="12.95" customHeight="1">
      <c r="C785" s="3" t="s">
        <v>1510</v>
      </c>
      <c r="W785" s="836"/>
      <c r="AM785" s="33"/>
      <c r="AN785" s="33"/>
      <c r="AO785" s="33"/>
      <c r="AP785" s="33"/>
      <c r="AQ785" s="33"/>
      <c r="AR785" s="33"/>
      <c r="AS785" s="33"/>
      <c r="AT785" s="33"/>
      <c r="AU785" s="33"/>
      <c r="AV785" s="33"/>
      <c r="AW785" s="33"/>
      <c r="AX785" s="33"/>
      <c r="AY785" s="33"/>
      <c r="AZ785" s="33"/>
      <c r="BA785" s="33"/>
      <c r="BB785" s="33"/>
      <c r="BC785" s="33"/>
      <c r="BD785" s="33"/>
      <c r="BE785" s="33"/>
      <c r="BF785" s="33"/>
      <c r="BG785" s="33"/>
      <c r="BH785" s="33"/>
      <c r="BI785" s="33"/>
      <c r="BJ785" s="33"/>
      <c r="BK785" s="33"/>
      <c r="BL785" s="33"/>
      <c r="BM785" s="33"/>
      <c r="BN785" s="33"/>
      <c r="BO785" s="33"/>
      <c r="BP785" s="33"/>
      <c r="BQ785" s="33"/>
      <c r="BR785" s="33"/>
      <c r="BS785" s="33"/>
      <c r="BT785" s="33"/>
      <c r="BU785" s="33"/>
      <c r="BV785" s="33"/>
      <c r="BW785" s="33"/>
      <c r="BX785" s="33"/>
      <c r="BY785" s="33"/>
      <c r="BZ785" s="33"/>
      <c r="CA785" s="33"/>
      <c r="CB785" s="33"/>
      <c r="CC785" s="33"/>
      <c r="CD785" s="33"/>
      <c r="CE785" s="33"/>
      <c r="CF785" s="33"/>
      <c r="CG785" s="33"/>
      <c r="CH785" s="33"/>
      <c r="CI785" s="33"/>
      <c r="CJ785" s="33"/>
      <c r="CK785" s="33"/>
      <c r="CL785" s="33"/>
      <c r="CM785" s="33"/>
      <c r="CN785" s="33"/>
      <c r="CO785" s="33"/>
      <c r="CP785" s="33"/>
      <c r="CQ785" s="33"/>
      <c r="CR785" s="33"/>
      <c r="CS785" s="33"/>
    </row>
    <row r="786" spans="3:97" ht="12.95" customHeight="1">
      <c r="C786" s="3"/>
      <c r="W786" s="836"/>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row>
    <row r="787" spans="3:97" ht="12.95" customHeight="1">
      <c r="C787" s="5"/>
      <c r="D787" s="6"/>
      <c r="E787" s="6"/>
      <c r="F787" s="6"/>
      <c r="G787" s="6"/>
      <c r="H787" s="6"/>
      <c r="I787" s="6"/>
      <c r="J787" s="6"/>
      <c r="K787" s="6"/>
      <c r="L787" s="44"/>
      <c r="M787" s="1128" t="s">
        <v>1511</v>
      </c>
      <c r="N787" s="1128"/>
      <c r="O787" s="1128"/>
      <c r="P787" s="1129"/>
      <c r="Q787" s="1130" t="s">
        <v>1512</v>
      </c>
      <c r="R787" s="1130"/>
      <c r="S787" s="1130"/>
      <c r="T787" s="1130"/>
      <c r="U787" s="1130" t="s">
        <v>1513</v>
      </c>
      <c r="V787" s="1130"/>
      <c r="W787" s="1130"/>
      <c r="X787" s="1130"/>
      <c r="Y787" s="1130" t="s">
        <v>1514</v>
      </c>
      <c r="Z787" s="1130"/>
      <c r="AA787" s="1130"/>
      <c r="AB787" s="1130"/>
      <c r="AC787" s="1130" t="s">
        <v>1515</v>
      </c>
      <c r="AD787" s="1130"/>
      <c r="AE787" s="1130"/>
      <c r="AF787" s="1130"/>
      <c r="AG787" s="1390" t="s">
        <v>1516</v>
      </c>
      <c r="AH787" s="1390"/>
      <c r="AI787" s="1390"/>
      <c r="AJ787" s="1390"/>
      <c r="AM787" s="33"/>
      <c r="AN787" s="33"/>
      <c r="AO787" s="33"/>
      <c r="AP787" s="33"/>
      <c r="AQ787" s="33"/>
      <c r="AR787" s="33"/>
      <c r="AS787" s="33"/>
      <c r="AT787" s="33"/>
      <c r="AU787" s="33"/>
      <c r="AV787" s="33"/>
      <c r="AW787" s="33"/>
      <c r="AX787" s="33"/>
      <c r="AY787" s="33"/>
      <c r="AZ787" s="33"/>
      <c r="BA787" s="33"/>
      <c r="BB787" s="33"/>
      <c r="BC787" s="33"/>
      <c r="BD787" s="33"/>
      <c r="BE787" s="33"/>
      <c r="BF787" s="33"/>
      <c r="BG787" s="33"/>
      <c r="BH787" s="33"/>
      <c r="BI787" s="33"/>
      <c r="BJ787" s="33"/>
      <c r="BK787" s="33"/>
      <c r="BL787" s="33"/>
      <c r="BM787" s="33"/>
      <c r="BN787" s="33"/>
      <c r="BO787" s="33"/>
      <c r="BP787" s="33"/>
      <c r="BQ787" s="33"/>
      <c r="BR787" s="33"/>
      <c r="BS787" s="33"/>
      <c r="BT787" s="33"/>
      <c r="BU787" s="33"/>
      <c r="BV787" s="33"/>
      <c r="BW787" s="33"/>
      <c r="BX787" s="33"/>
      <c r="BY787" s="33"/>
      <c r="BZ787" s="33"/>
      <c r="CA787" s="33"/>
      <c r="CB787" s="33"/>
      <c r="CC787" s="33"/>
      <c r="CD787" s="33"/>
      <c r="CE787" s="33"/>
      <c r="CF787" s="33"/>
      <c r="CG787" s="33"/>
      <c r="CH787" s="33"/>
      <c r="CI787" s="33"/>
      <c r="CJ787" s="33"/>
      <c r="CK787" s="33"/>
      <c r="CL787" s="33"/>
      <c r="CM787" s="33"/>
      <c r="CN787" s="33"/>
      <c r="CO787" s="33"/>
      <c r="CP787" s="33"/>
      <c r="CQ787" s="33"/>
      <c r="CR787" s="33"/>
      <c r="CS787" s="33"/>
    </row>
    <row r="788" spans="3:97" ht="12.95" customHeight="1">
      <c r="C788" s="38"/>
      <c r="D788" s="39"/>
      <c r="E788" s="39"/>
      <c r="F788" s="39"/>
      <c r="G788" s="39"/>
      <c r="H788" s="39"/>
      <c r="I788" s="39"/>
      <c r="J788" s="39"/>
      <c r="K788" s="39"/>
      <c r="L788" s="40"/>
      <c r="M788" s="1121"/>
      <c r="N788" s="1121"/>
      <c r="O788" s="1121"/>
      <c r="P788" s="1122"/>
      <c r="Q788" s="1130"/>
      <c r="R788" s="1130"/>
      <c r="S788" s="1130"/>
      <c r="T788" s="1130"/>
      <c r="U788" s="1130"/>
      <c r="V788" s="1130"/>
      <c r="W788" s="1130"/>
      <c r="X788" s="1130"/>
      <c r="Y788" s="1130"/>
      <c r="Z788" s="1130"/>
      <c r="AA788" s="1130"/>
      <c r="AB788" s="1130"/>
      <c r="AC788" s="1130"/>
      <c r="AD788" s="1130"/>
      <c r="AE788" s="1130"/>
      <c r="AF788" s="1130"/>
      <c r="AG788" s="1390"/>
      <c r="AH788" s="1390"/>
      <c r="AI788" s="1390"/>
      <c r="AJ788" s="1390"/>
      <c r="AM788" s="33"/>
      <c r="AN788" s="33"/>
      <c r="AO788" s="33"/>
      <c r="AP788" s="33"/>
      <c r="AQ788" s="33"/>
      <c r="AR788" s="33"/>
      <c r="AS788" s="33"/>
      <c r="AT788" s="33"/>
      <c r="AU788" s="33"/>
      <c r="AV788" s="33"/>
      <c r="AW788" s="33"/>
      <c r="AX788" s="33"/>
      <c r="AY788" s="33"/>
      <c r="AZ788" s="33"/>
      <c r="BA788" s="33"/>
      <c r="BB788" s="33"/>
      <c r="BC788" s="33"/>
      <c r="BD788" s="33"/>
      <c r="BE788" s="33"/>
      <c r="BF788" s="33"/>
      <c r="BG788" s="33"/>
      <c r="BH788" s="33"/>
      <c r="BI788" s="33"/>
      <c r="BJ788" s="33"/>
      <c r="BK788" s="33"/>
      <c r="BL788" s="33"/>
      <c r="BM788" s="33"/>
      <c r="BN788" s="33"/>
      <c r="BO788" s="33"/>
      <c r="BP788" s="33"/>
      <c r="BQ788" s="33"/>
      <c r="BR788" s="33"/>
      <c r="BS788" s="33"/>
      <c r="BT788" s="33"/>
      <c r="BU788" s="33"/>
      <c r="BV788" s="33"/>
      <c r="BW788" s="33"/>
      <c r="BX788" s="33"/>
      <c r="BY788" s="33"/>
      <c r="BZ788" s="33"/>
      <c r="CA788" s="33"/>
      <c r="CB788" s="33"/>
      <c r="CC788" s="33"/>
      <c r="CD788" s="33"/>
      <c r="CE788" s="33"/>
      <c r="CF788" s="33"/>
      <c r="CG788" s="33"/>
      <c r="CH788" s="33"/>
      <c r="CI788" s="33"/>
      <c r="CJ788" s="33"/>
      <c r="CK788" s="33"/>
      <c r="CL788" s="33"/>
      <c r="CM788" s="33"/>
      <c r="CN788" s="33"/>
      <c r="CO788" s="33"/>
      <c r="CP788" s="33"/>
      <c r="CQ788" s="33"/>
      <c r="CR788" s="33"/>
      <c r="CS788" s="33"/>
    </row>
    <row r="789" spans="3:97" ht="12.95" customHeight="1">
      <c r="C789" s="1075" t="s">
        <v>1517</v>
      </c>
      <c r="D789" s="1076"/>
      <c r="E789" s="1076"/>
      <c r="F789" s="1076"/>
      <c r="G789" s="1076"/>
      <c r="H789" s="1076"/>
      <c r="I789" s="39"/>
      <c r="J789" s="39"/>
      <c r="K789" s="39"/>
      <c r="L789" s="40"/>
      <c r="M789" s="1079"/>
      <c r="N789" s="1079"/>
      <c r="O789" s="1079"/>
      <c r="P789" s="1079"/>
      <c r="Q789" s="1079">
        <v>20</v>
      </c>
      <c r="R789" s="1079"/>
      <c r="S789" s="1079"/>
      <c r="T789" s="1079"/>
      <c r="U789" s="1079">
        <v>29</v>
      </c>
      <c r="V789" s="1079"/>
      <c r="W789" s="1079"/>
      <c r="X789" s="1079"/>
      <c r="Y789" s="1079">
        <v>33</v>
      </c>
      <c r="Z789" s="1079"/>
      <c r="AA789" s="1079"/>
      <c r="AB789" s="1079"/>
      <c r="AC789" s="1058"/>
      <c r="AD789" s="1059"/>
      <c r="AE789" s="1059"/>
      <c r="AF789" s="1060"/>
      <c r="AG789" s="1058"/>
      <c r="AH789" s="1059"/>
      <c r="AI789" s="1059"/>
      <c r="AJ789" s="1060"/>
      <c r="AM789" s="33"/>
      <c r="AN789" s="33"/>
      <c r="AO789" s="33"/>
      <c r="AP789" s="33"/>
      <c r="AQ789" s="33"/>
      <c r="AR789" s="33"/>
      <c r="AS789" s="33"/>
      <c r="AT789" s="33"/>
      <c r="AU789" s="33"/>
      <c r="AV789" s="33"/>
      <c r="AW789" s="33"/>
      <c r="AX789" s="33"/>
      <c r="AY789" s="33"/>
      <c r="AZ789" s="33"/>
      <c r="BA789" s="33"/>
      <c r="BB789" s="33"/>
      <c r="BC789" s="33"/>
      <c r="BD789" s="33"/>
      <c r="BE789" s="33"/>
      <c r="BF789" s="33"/>
      <c r="BG789" s="33"/>
      <c r="BH789" s="33"/>
      <c r="BI789" s="33"/>
      <c r="BJ789" s="33"/>
      <c r="BK789" s="33"/>
      <c r="BL789" s="33"/>
      <c r="BM789" s="33"/>
      <c r="BN789" s="33"/>
      <c r="BO789" s="33"/>
      <c r="BP789" s="33"/>
      <c r="BQ789" s="33"/>
      <c r="BR789" s="33"/>
      <c r="BS789" s="33"/>
      <c r="BT789" s="33"/>
      <c r="BU789" s="33"/>
      <c r="BV789" s="33"/>
      <c r="BW789" s="33"/>
      <c r="BX789" s="33"/>
      <c r="BY789" s="33"/>
      <c r="BZ789" s="33"/>
      <c r="CA789" s="33"/>
      <c r="CB789" s="33"/>
      <c r="CC789" s="33"/>
      <c r="CD789" s="33"/>
      <c r="CE789" s="33"/>
      <c r="CF789" s="33"/>
      <c r="CG789" s="33"/>
      <c r="CH789" s="33"/>
      <c r="CI789" s="33"/>
      <c r="CJ789" s="33"/>
      <c r="CK789" s="33"/>
      <c r="CL789" s="33"/>
      <c r="CM789" s="33"/>
      <c r="CN789" s="33"/>
      <c r="CO789" s="33"/>
      <c r="CP789" s="33"/>
      <c r="CQ789" s="33"/>
      <c r="CR789" s="33"/>
      <c r="CS789" s="33"/>
    </row>
    <row r="790" spans="3:97" ht="12.95" customHeight="1">
      <c r="C790" s="1077" t="s">
        <v>1518</v>
      </c>
      <c r="D790" s="1078"/>
      <c r="E790" s="1078"/>
      <c r="F790" s="1078"/>
      <c r="G790" s="1078"/>
      <c r="H790" s="1078"/>
      <c r="I790" s="8"/>
      <c r="J790" s="8"/>
      <c r="K790" s="8"/>
      <c r="L790" s="37"/>
      <c r="M790" s="1079"/>
      <c r="N790" s="1079"/>
      <c r="O790" s="1079"/>
      <c r="P790" s="1079"/>
      <c r="Q790" s="1079"/>
      <c r="R790" s="1079"/>
      <c r="S790" s="1079"/>
      <c r="T790" s="1079"/>
      <c r="U790" s="1079"/>
      <c r="V790" s="1079"/>
      <c r="W790" s="1079"/>
      <c r="X790" s="1079"/>
      <c r="Y790" s="1079"/>
      <c r="Z790" s="1079"/>
      <c r="AA790" s="1079"/>
      <c r="AB790" s="1079"/>
      <c r="AC790" s="1058"/>
      <c r="AD790" s="1059"/>
      <c r="AE790" s="1059"/>
      <c r="AF790" s="1060"/>
      <c r="AG790" s="1058"/>
      <c r="AH790" s="1059"/>
      <c r="AI790" s="1059"/>
      <c r="AJ790" s="1060"/>
      <c r="AM790" s="33"/>
      <c r="AN790" s="33"/>
      <c r="AO790" s="33"/>
      <c r="AP790" s="33"/>
      <c r="AQ790" s="33"/>
      <c r="AR790" s="33"/>
      <c r="AS790" s="33"/>
      <c r="AT790" s="33"/>
      <c r="AU790" s="33"/>
      <c r="AV790" s="33"/>
      <c r="AW790" s="33"/>
      <c r="AX790" s="33"/>
      <c r="AY790" s="33"/>
      <c r="AZ790" s="33"/>
      <c r="BA790" s="33"/>
      <c r="BB790" s="33"/>
      <c r="BC790" s="33"/>
      <c r="BD790" s="33"/>
      <c r="BE790" s="33"/>
      <c r="BF790" s="33"/>
      <c r="BG790" s="33"/>
      <c r="BH790" s="33"/>
      <c r="BI790" s="33"/>
      <c r="BJ790" s="33"/>
      <c r="BK790" s="33"/>
      <c r="BL790" s="33"/>
      <c r="BM790" s="33"/>
      <c r="BN790" s="33"/>
      <c r="BO790" s="33"/>
      <c r="BP790" s="33"/>
      <c r="BQ790" s="33"/>
      <c r="BR790" s="33"/>
      <c r="BS790" s="33"/>
      <c r="BT790" s="33"/>
      <c r="BU790" s="33"/>
      <c r="BV790" s="33"/>
      <c r="BW790" s="33"/>
      <c r="BX790" s="33"/>
      <c r="BY790" s="33"/>
      <c r="BZ790" s="33"/>
      <c r="CA790" s="33"/>
      <c r="CB790" s="33"/>
      <c r="CC790" s="33"/>
      <c r="CD790" s="33"/>
      <c r="CE790" s="33"/>
      <c r="CF790" s="33"/>
      <c r="CG790" s="33"/>
      <c r="CH790" s="33"/>
      <c r="CI790" s="33"/>
      <c r="CJ790" s="33"/>
      <c r="CK790" s="33"/>
      <c r="CL790" s="33"/>
      <c r="CM790" s="33"/>
      <c r="CN790" s="33"/>
      <c r="CO790" s="33"/>
      <c r="CP790" s="33"/>
      <c r="CQ790" s="33"/>
      <c r="CR790" s="33"/>
      <c r="CS790" s="33"/>
    </row>
    <row r="791" spans="3:97" ht="12.95" customHeight="1">
      <c r="C791" s="1077" t="s">
        <v>1519</v>
      </c>
      <c r="D791" s="1078"/>
      <c r="E791" s="1078"/>
      <c r="F791" s="1078"/>
      <c r="G791" s="1078"/>
      <c r="H791" s="1078"/>
      <c r="I791" s="791"/>
      <c r="J791" s="791"/>
      <c r="K791" s="791"/>
      <c r="L791" s="798"/>
      <c r="M791" s="1079"/>
      <c r="N791" s="1079"/>
      <c r="O791" s="1079"/>
      <c r="P791" s="1079"/>
      <c r="Q791" s="1079">
        <v>10</v>
      </c>
      <c r="R791" s="1079"/>
      <c r="S791" s="1079"/>
      <c r="T791" s="1079"/>
      <c r="U791" s="1079">
        <v>14</v>
      </c>
      <c r="V791" s="1079"/>
      <c r="W791" s="1079"/>
      <c r="X791" s="1079"/>
      <c r="Y791" s="1079">
        <v>19</v>
      </c>
      <c r="Z791" s="1079"/>
      <c r="AA791" s="1079"/>
      <c r="AB791" s="1079"/>
      <c r="AC791" s="1058"/>
      <c r="AD791" s="1059"/>
      <c r="AE791" s="1059"/>
      <c r="AF791" s="1060"/>
      <c r="AG791" s="1058"/>
      <c r="AH791" s="1059"/>
      <c r="AI791" s="1059"/>
      <c r="AJ791" s="1060"/>
      <c r="AM791" s="33"/>
      <c r="AN791" s="33"/>
      <c r="AO791" s="33"/>
      <c r="AP791" s="33"/>
      <c r="AQ791" s="33"/>
      <c r="AR791" s="33"/>
      <c r="AS791" s="33"/>
      <c r="AT791" s="33"/>
      <c r="AU791" s="33"/>
      <c r="AV791" s="33"/>
      <c r="AW791" s="33"/>
      <c r="AX791" s="33"/>
      <c r="AY791" s="33"/>
      <c r="AZ791" s="33"/>
      <c r="BA791" s="33"/>
      <c r="BB791" s="33"/>
      <c r="BC791" s="33"/>
      <c r="BD791" s="33"/>
      <c r="BE791" s="33"/>
      <c r="BF791" s="33"/>
      <c r="BG791" s="33"/>
      <c r="BH791" s="33"/>
      <c r="BI791" s="33"/>
      <c r="BJ791" s="33"/>
      <c r="BK791" s="33"/>
      <c r="BL791" s="33"/>
      <c r="BM791" s="33"/>
      <c r="BN791" s="33"/>
      <c r="BO791" s="33"/>
      <c r="BP791" s="33"/>
      <c r="BQ791" s="33"/>
      <c r="BR791" s="33"/>
      <c r="BS791" s="33"/>
      <c r="BT791" s="33"/>
      <c r="BU791" s="33"/>
      <c r="BV791" s="33"/>
      <c r="BW791" s="33"/>
      <c r="BX791" s="33"/>
      <c r="BY791" s="33"/>
      <c r="BZ791" s="33"/>
      <c r="CA791" s="33"/>
      <c r="CB791" s="33"/>
      <c r="CC791" s="33"/>
      <c r="CD791" s="33"/>
      <c r="CE791" s="33"/>
      <c r="CF791" s="33"/>
      <c r="CG791" s="33"/>
      <c r="CH791" s="33"/>
      <c r="CI791" s="33"/>
      <c r="CJ791" s="33"/>
      <c r="CK791" s="33"/>
      <c r="CL791" s="33"/>
      <c r="CM791" s="33"/>
      <c r="CN791" s="33"/>
      <c r="CO791" s="33"/>
      <c r="CP791" s="33"/>
      <c r="CQ791" s="33"/>
      <c r="CR791" s="33"/>
      <c r="CS791" s="33"/>
    </row>
    <row r="792" spans="3:97" ht="12.95" customHeight="1">
      <c r="C792" s="1077" t="s">
        <v>1520</v>
      </c>
      <c r="D792" s="1078"/>
      <c r="E792" s="1078"/>
      <c r="F792" s="1078"/>
      <c r="G792" s="1078"/>
      <c r="H792" s="1078"/>
      <c r="I792" s="791"/>
      <c r="J792" s="791"/>
      <c r="K792" s="791"/>
      <c r="L792" s="798"/>
      <c r="M792" s="1079"/>
      <c r="N792" s="1079"/>
      <c r="O792" s="1079"/>
      <c r="P792" s="1079"/>
      <c r="Q792" s="1079"/>
      <c r="R792" s="1079"/>
      <c r="S792" s="1079"/>
      <c r="T792" s="1079"/>
      <c r="U792" s="1079"/>
      <c r="V792" s="1079"/>
      <c r="W792" s="1079"/>
      <c r="X792" s="1079"/>
      <c r="Y792" s="1079"/>
      <c r="Z792" s="1079"/>
      <c r="AA792" s="1079"/>
      <c r="AB792" s="1079"/>
      <c r="AC792" s="1058"/>
      <c r="AD792" s="1059"/>
      <c r="AE792" s="1059"/>
      <c r="AF792" s="1060"/>
      <c r="AG792" s="1058"/>
      <c r="AH792" s="1059"/>
      <c r="AI792" s="1059"/>
      <c r="AJ792" s="1060"/>
      <c r="AM792" s="33"/>
      <c r="AN792" s="33"/>
      <c r="AO792" s="33"/>
      <c r="AP792" s="33"/>
      <c r="AQ792" s="33"/>
      <c r="AR792" s="33"/>
      <c r="AS792" s="33"/>
      <c r="AT792" s="33"/>
      <c r="AU792" s="33"/>
      <c r="AV792" s="33"/>
      <c r="AW792" s="33"/>
      <c r="AX792" s="33"/>
      <c r="AY792" s="33"/>
      <c r="AZ792" s="33"/>
      <c r="BA792" s="33"/>
      <c r="BB792" s="33"/>
      <c r="BC792" s="33"/>
      <c r="BD792" s="33"/>
      <c r="BE792" s="33"/>
      <c r="BF792" s="33"/>
      <c r="BG792" s="33"/>
      <c r="BH792" s="33"/>
      <c r="BI792" s="33"/>
      <c r="BJ792" s="33"/>
      <c r="BK792" s="33"/>
      <c r="BL792" s="33"/>
      <c r="BM792" s="33"/>
      <c r="BN792" s="33"/>
      <c r="BO792" s="33"/>
      <c r="BP792" s="33"/>
      <c r="BQ792" s="33"/>
      <c r="BR792" s="33"/>
      <c r="BS792" s="33"/>
      <c r="BT792" s="33"/>
      <c r="BU792" s="33"/>
      <c r="BV792" s="33"/>
      <c r="BW792" s="33"/>
      <c r="BX792" s="33"/>
      <c r="BY792" s="33"/>
      <c r="BZ792" s="33"/>
      <c r="CA792" s="33"/>
      <c r="CB792" s="33"/>
      <c r="CC792" s="33"/>
      <c r="CD792" s="33"/>
      <c r="CE792" s="33"/>
      <c r="CF792" s="33"/>
      <c r="CG792" s="33"/>
      <c r="CH792" s="33"/>
      <c r="CI792" s="33"/>
      <c r="CJ792" s="33"/>
      <c r="CK792" s="33"/>
      <c r="CL792" s="33"/>
      <c r="CM792" s="33"/>
      <c r="CN792" s="33"/>
      <c r="CO792" s="33"/>
      <c r="CP792" s="33"/>
      <c r="CQ792" s="33"/>
      <c r="CR792" s="33"/>
      <c r="CS792" s="33"/>
    </row>
    <row r="793" spans="3:97" ht="12.95" customHeight="1">
      <c r="C793" s="1077" t="s">
        <v>1521</v>
      </c>
      <c r="D793" s="1078"/>
      <c r="E793" s="1078"/>
      <c r="F793" s="1078"/>
      <c r="G793" s="1078"/>
      <c r="H793" s="1078"/>
      <c r="I793" s="791"/>
      <c r="J793" s="791"/>
      <c r="K793" s="791"/>
      <c r="L793" s="798"/>
      <c r="M793" s="1079"/>
      <c r="N793" s="1079"/>
      <c r="O793" s="1079"/>
      <c r="P793" s="1079"/>
      <c r="Q793" s="1079">
        <v>31</v>
      </c>
      <c r="R793" s="1079"/>
      <c r="S793" s="1079"/>
      <c r="T793" s="1079"/>
      <c r="U793" s="1079">
        <v>60</v>
      </c>
      <c r="V793" s="1079"/>
      <c r="W793" s="1079"/>
      <c r="X793" s="1079"/>
      <c r="Y793" s="1079">
        <v>83</v>
      </c>
      <c r="Z793" s="1079"/>
      <c r="AA793" s="1079"/>
      <c r="AB793" s="1079"/>
      <c r="AC793" s="1058"/>
      <c r="AD793" s="1059"/>
      <c r="AE793" s="1059"/>
      <c r="AF793" s="1060"/>
      <c r="AG793" s="1058"/>
      <c r="AH793" s="1059"/>
      <c r="AI793" s="1059"/>
      <c r="AJ793" s="1060"/>
      <c r="AM793" s="33"/>
      <c r="AN793" s="33"/>
      <c r="AO793" s="33"/>
      <c r="AP793" s="33"/>
      <c r="AQ793" s="33"/>
      <c r="AR793" s="33"/>
      <c r="AS793" s="33"/>
      <c r="AT793" s="33"/>
      <c r="AU793" s="33"/>
      <c r="AV793" s="33"/>
      <c r="AW793" s="33"/>
      <c r="AX793" s="33"/>
      <c r="AY793" s="33"/>
      <c r="AZ793" s="33"/>
      <c r="BA793" s="33"/>
      <c r="BB793" s="33"/>
      <c r="BC793" s="33"/>
      <c r="BD793" s="33"/>
      <c r="BE793" s="33"/>
      <c r="BF793" s="33"/>
      <c r="BG793" s="33"/>
      <c r="BH793" s="33"/>
      <c r="BI793" s="33"/>
      <c r="BJ793" s="33"/>
      <c r="BK793" s="33"/>
      <c r="BL793" s="33"/>
      <c r="BM793" s="33"/>
      <c r="BN793" s="33"/>
      <c r="BO793" s="33"/>
      <c r="BP793" s="33"/>
      <c r="BQ793" s="33"/>
      <c r="BR793" s="33"/>
      <c r="BS793" s="33"/>
      <c r="BT793" s="33"/>
      <c r="BU793" s="33"/>
      <c r="BV793" s="33"/>
      <c r="BW793" s="33"/>
      <c r="BX793" s="33"/>
      <c r="BY793" s="33"/>
      <c r="BZ793" s="33"/>
      <c r="CA793" s="33"/>
      <c r="CB793" s="33"/>
      <c r="CC793" s="33"/>
      <c r="CD793" s="33"/>
      <c r="CE793" s="33"/>
      <c r="CF793" s="33"/>
      <c r="CG793" s="33"/>
      <c r="CH793" s="33"/>
      <c r="CI793" s="33"/>
      <c r="CJ793" s="33"/>
      <c r="CK793" s="33"/>
      <c r="CL793" s="33"/>
      <c r="CM793" s="33"/>
      <c r="CN793" s="33"/>
      <c r="CO793" s="33"/>
      <c r="CP793" s="33"/>
      <c r="CQ793" s="33"/>
      <c r="CR793" s="33"/>
      <c r="CS793" s="33"/>
    </row>
    <row r="794" spans="3:97" ht="12.95" customHeight="1">
      <c r="C794" s="1080" t="s">
        <v>1522</v>
      </c>
      <c r="D794" s="1078"/>
      <c r="E794" s="1078"/>
      <c r="F794" s="1078"/>
      <c r="G794" s="1078"/>
      <c r="H794" s="1078"/>
      <c r="I794" s="791"/>
      <c r="J794" s="791"/>
      <c r="K794" s="791"/>
      <c r="L794" s="798"/>
      <c r="M794" s="1079"/>
      <c r="N794" s="1079"/>
      <c r="O794" s="1079"/>
      <c r="P794" s="1079"/>
      <c r="Q794" s="1079"/>
      <c r="R794" s="1079"/>
      <c r="S794" s="1079"/>
      <c r="T794" s="1079"/>
      <c r="U794" s="1079"/>
      <c r="V794" s="1079"/>
      <c r="W794" s="1079"/>
      <c r="X794" s="1079"/>
      <c r="Y794" s="1079"/>
      <c r="Z794" s="1079"/>
      <c r="AA794" s="1079"/>
      <c r="AB794" s="1079"/>
      <c r="AC794" s="1058"/>
      <c r="AD794" s="1059"/>
      <c r="AE794" s="1059"/>
      <c r="AF794" s="1060"/>
      <c r="AG794" s="1058"/>
      <c r="AH794" s="1059"/>
      <c r="AI794" s="1059"/>
      <c r="AJ794" s="1060"/>
      <c r="AM794" s="33"/>
      <c r="AN794" s="33"/>
      <c r="AO794" s="33"/>
      <c r="AP794" s="33"/>
      <c r="AQ794" s="33"/>
      <c r="AR794" s="33"/>
      <c r="AS794" s="33"/>
      <c r="AT794" s="33"/>
      <c r="AU794" s="33"/>
      <c r="AV794" s="33"/>
      <c r="AW794" s="33"/>
      <c r="AX794" s="33"/>
      <c r="AY794" s="33"/>
      <c r="AZ794" s="33"/>
      <c r="BA794" s="33"/>
      <c r="BB794" s="33"/>
      <c r="BC794" s="33"/>
      <c r="BD794" s="33"/>
      <c r="BE794" s="33"/>
      <c r="BF794" s="33"/>
      <c r="BG794" s="33"/>
      <c r="BH794" s="33"/>
      <c r="BI794" s="33"/>
      <c r="BJ794" s="33"/>
      <c r="BK794" s="33"/>
      <c r="BL794" s="33"/>
      <c r="BM794" s="33"/>
      <c r="BN794" s="33"/>
      <c r="BO794" s="33"/>
      <c r="BP794" s="33"/>
      <c r="BQ794" s="33"/>
      <c r="BR794" s="33"/>
      <c r="BS794" s="33"/>
      <c r="BT794" s="33"/>
      <c r="BU794" s="33"/>
      <c r="BV794" s="33"/>
      <c r="BW794" s="33"/>
      <c r="BX794" s="33"/>
      <c r="BY794" s="33"/>
      <c r="BZ794" s="33"/>
      <c r="CA794" s="33"/>
      <c r="CB794" s="33"/>
      <c r="CC794" s="33"/>
      <c r="CD794" s="33"/>
      <c r="CE794" s="33"/>
      <c r="CF794" s="33"/>
      <c r="CG794" s="33"/>
      <c r="CH794" s="33"/>
      <c r="CI794" s="33"/>
      <c r="CJ794" s="33"/>
      <c r="CK794" s="33"/>
      <c r="CL794" s="33"/>
      <c r="CM794" s="33"/>
      <c r="CN794" s="33"/>
      <c r="CO794" s="33"/>
      <c r="CP794" s="33"/>
      <c r="CQ794" s="33"/>
      <c r="CR794" s="33"/>
      <c r="CS794" s="33"/>
    </row>
    <row r="795" spans="3:97" ht="12.95" customHeight="1">
      <c r="C795" s="790" t="s">
        <v>1523</v>
      </c>
      <c r="D795" s="791"/>
      <c r="E795" s="791"/>
      <c r="F795" s="1055" t="s">
        <v>1524</v>
      </c>
      <c r="G795" s="1056"/>
      <c r="H795" s="1056"/>
      <c r="I795" s="1056"/>
      <c r="J795" s="1056"/>
      <c r="K795" s="1056"/>
      <c r="L795" s="1056"/>
      <c r="M795" s="1079"/>
      <c r="N795" s="1079"/>
      <c r="O795" s="1079"/>
      <c r="P795" s="1079"/>
      <c r="Q795" s="1079">
        <v>6</v>
      </c>
      <c r="R795" s="1079"/>
      <c r="S795" s="1079"/>
      <c r="T795" s="1079"/>
      <c r="U795" s="1079">
        <v>10</v>
      </c>
      <c r="V795" s="1079"/>
      <c r="W795" s="1079"/>
      <c r="X795" s="1079"/>
      <c r="Y795" s="1079">
        <v>14</v>
      </c>
      <c r="Z795" s="1079"/>
      <c r="AA795" s="1079"/>
      <c r="AB795" s="1079"/>
      <c r="AC795" s="1058"/>
      <c r="AD795" s="1059"/>
      <c r="AE795" s="1059"/>
      <c r="AF795" s="1060"/>
      <c r="AG795" s="1058"/>
      <c r="AH795" s="1059"/>
      <c r="AI795" s="1059"/>
      <c r="AJ795" s="1060"/>
      <c r="AM795" s="33"/>
      <c r="AN795" s="33"/>
      <c r="AO795" s="33"/>
      <c r="AP795" s="33"/>
      <c r="AQ795" s="33"/>
      <c r="AR795" s="33"/>
      <c r="AS795" s="33"/>
      <c r="AT795" s="33"/>
      <c r="AU795" s="33"/>
      <c r="AV795" s="33"/>
      <c r="AW795" s="33"/>
      <c r="AX795" s="33"/>
      <c r="AY795" s="33"/>
      <c r="AZ795" s="33"/>
      <c r="BA795" s="33"/>
      <c r="BB795" s="33"/>
      <c r="BC795" s="33"/>
      <c r="BD795" s="33"/>
      <c r="BE795" s="33"/>
      <c r="BF795" s="33"/>
      <c r="BG795" s="33"/>
      <c r="BH795" s="33"/>
      <c r="BI795" s="33"/>
      <c r="BJ795" s="33"/>
      <c r="BK795" s="33"/>
      <c r="BL795" s="33"/>
      <c r="BM795" s="33"/>
      <c r="BN795" s="33"/>
      <c r="BO795" s="33"/>
      <c r="BP795" s="33"/>
      <c r="BQ795" s="33"/>
      <c r="BR795" s="33"/>
      <c r="BS795" s="33"/>
      <c r="BT795" s="33"/>
      <c r="BU795" s="33"/>
      <c r="BV795" s="33"/>
      <c r="BW795" s="33"/>
      <c r="BX795" s="33"/>
      <c r="BY795" s="33"/>
      <c r="BZ795" s="33"/>
      <c r="CA795" s="33"/>
      <c r="CB795" s="33"/>
      <c r="CC795" s="33"/>
      <c r="CD795" s="33"/>
      <c r="CE795" s="33"/>
      <c r="CF795" s="33"/>
      <c r="CG795" s="33"/>
      <c r="CH795" s="33"/>
      <c r="CI795" s="33"/>
      <c r="CJ795" s="33"/>
      <c r="CK795" s="33"/>
      <c r="CL795" s="33"/>
      <c r="CM795" s="33"/>
      <c r="CN795" s="33"/>
      <c r="CO795" s="33"/>
      <c r="CP795" s="33"/>
      <c r="CQ795" s="33"/>
      <c r="CR795" s="33"/>
      <c r="CS795" s="33"/>
    </row>
    <row r="796" spans="3:97" ht="12.95" customHeight="1">
      <c r="C796" s="1094" t="s">
        <v>1485</v>
      </c>
      <c r="D796" s="1095"/>
      <c r="E796" s="1095"/>
      <c r="F796" s="1095"/>
      <c r="G796" s="1095"/>
      <c r="H796" s="1095"/>
      <c r="I796" s="1095"/>
      <c r="J796" s="1095"/>
      <c r="K796" s="1095"/>
      <c r="L796" s="1096"/>
      <c r="M796" s="1050">
        <f>SUM(M789:P795)</f>
        <v>0</v>
      </c>
      <c r="N796" s="1050"/>
      <c r="O796" s="1050"/>
      <c r="P796" s="1050"/>
      <c r="Q796" s="1050">
        <f>SUM(Q789:T795)</f>
        <v>67</v>
      </c>
      <c r="R796" s="1050"/>
      <c r="S796" s="1050"/>
      <c r="T796" s="1050"/>
      <c r="U796" s="1050">
        <f>SUM(U789:X795)</f>
        <v>113</v>
      </c>
      <c r="V796" s="1050"/>
      <c r="W796" s="1050"/>
      <c r="X796" s="1050"/>
      <c r="Y796" s="1050">
        <f>SUM(Y789:AB795)</f>
        <v>149</v>
      </c>
      <c r="Z796" s="1050"/>
      <c r="AA796" s="1050"/>
      <c r="AB796" s="1050"/>
      <c r="AC796" s="1050">
        <f>SUM(AC789:AF795)</f>
        <v>0</v>
      </c>
      <c r="AD796" s="1050"/>
      <c r="AE796" s="1050"/>
      <c r="AF796" s="1050"/>
      <c r="AG796" s="1050">
        <f>SUM(AG789:AJ795)</f>
        <v>0</v>
      </c>
      <c r="AH796" s="1050"/>
      <c r="AI796" s="1050"/>
      <c r="AJ796" s="1050"/>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row>
    <row r="797" spans="3:97" ht="12.95" customHeight="1">
      <c r="C797" s="769" t="s">
        <v>1525</v>
      </c>
      <c r="D797" s="836"/>
      <c r="E797" s="836"/>
      <c r="F797" s="836"/>
      <c r="G797" s="836"/>
      <c r="H797" s="836"/>
      <c r="I797" s="836"/>
      <c r="J797" s="836"/>
      <c r="K797" s="836"/>
      <c r="L797" s="836"/>
      <c r="M797" s="132"/>
      <c r="N797" s="132"/>
      <c r="O797" s="132"/>
      <c r="P797" s="132"/>
      <c r="Q797" s="132"/>
      <c r="R797" s="132"/>
      <c r="S797" s="132"/>
      <c r="T797" s="132"/>
      <c r="U797" s="132"/>
      <c r="V797" s="132"/>
      <c r="W797" s="132"/>
      <c r="X797" s="132"/>
      <c r="Y797" s="132"/>
      <c r="Z797" s="132"/>
      <c r="AA797" s="132"/>
      <c r="AB797" s="132"/>
      <c r="AC797" s="132"/>
      <c r="AD797" s="132"/>
      <c r="AE797" s="132"/>
      <c r="AF797" s="132"/>
      <c r="AG797" s="132"/>
      <c r="AH797" s="132"/>
      <c r="AI797" s="132"/>
      <c r="AJ797" s="132"/>
      <c r="AM797" s="33"/>
      <c r="AN797" s="33"/>
      <c r="AO797" s="33"/>
      <c r="AP797" s="33"/>
      <c r="AQ797" s="33"/>
      <c r="AR797" s="33"/>
      <c r="AS797" s="33"/>
      <c r="AT797" s="33"/>
      <c r="AU797" s="33"/>
      <c r="AV797" s="33"/>
      <c r="AW797" s="33"/>
      <c r="AX797" s="33"/>
      <c r="AY797" s="33"/>
      <c r="AZ797" s="33"/>
      <c r="BA797" s="33"/>
      <c r="BB797" s="33"/>
      <c r="BC797" s="33"/>
      <c r="BD797" s="33"/>
      <c r="BE797" s="33"/>
      <c r="BF797" s="33"/>
      <c r="BG797" s="33"/>
      <c r="BH797" s="33"/>
      <c r="BI797" s="33"/>
      <c r="BJ797" s="33"/>
      <c r="BK797" s="33"/>
      <c r="BL797" s="33"/>
      <c r="BM797" s="33"/>
      <c r="BN797" s="33"/>
      <c r="BO797" s="33"/>
      <c r="BP797" s="33"/>
      <c r="BQ797" s="33"/>
      <c r="BR797" s="33"/>
      <c r="BS797" s="33"/>
      <c r="BT797" s="33"/>
      <c r="BU797" s="33"/>
      <c r="BV797" s="33"/>
      <c r="BW797" s="33"/>
      <c r="BX797" s="33"/>
      <c r="BY797" s="33"/>
      <c r="BZ797" s="33"/>
      <c r="CA797" s="33"/>
      <c r="CB797" s="33"/>
      <c r="CC797" s="33"/>
      <c r="CD797" s="33"/>
      <c r="CE797" s="33"/>
      <c r="CF797" s="33"/>
      <c r="CG797" s="33"/>
      <c r="CH797" s="33"/>
      <c r="CI797" s="33"/>
      <c r="CJ797" s="33"/>
      <c r="CK797" s="33"/>
      <c r="CL797" s="33"/>
      <c r="CM797" s="33"/>
      <c r="CN797" s="33"/>
      <c r="CO797" s="33"/>
      <c r="CP797" s="33"/>
      <c r="CQ797" s="33"/>
      <c r="CR797" s="33"/>
      <c r="CS797" s="33"/>
    </row>
    <row r="798" spans="3:97" ht="12.95" customHeight="1">
      <c r="C798" s="769" t="s">
        <v>1526</v>
      </c>
      <c r="D798" s="836"/>
      <c r="E798" s="836"/>
      <c r="F798" s="836"/>
      <c r="G798" s="836"/>
      <c r="H798" s="836"/>
      <c r="I798" s="836"/>
      <c r="J798" s="836"/>
      <c r="K798" s="836"/>
      <c r="L798" s="836"/>
      <c r="M798" s="132"/>
      <c r="N798" s="132"/>
      <c r="O798" s="132"/>
      <c r="P798" s="132"/>
      <c r="Q798" s="132"/>
      <c r="R798" s="132"/>
      <c r="S798" s="132"/>
      <c r="T798" s="132"/>
      <c r="U798" s="132"/>
      <c r="V798" s="132"/>
      <c r="W798" s="132"/>
      <c r="X798" s="132"/>
      <c r="Y798" s="132"/>
      <c r="Z798" s="132"/>
      <c r="AA798" s="132"/>
      <c r="AB798" s="132"/>
      <c r="AC798" s="132"/>
      <c r="AD798" s="132"/>
      <c r="AE798" s="132"/>
      <c r="AF798" s="132"/>
      <c r="AG798" s="132"/>
      <c r="AH798" s="132"/>
      <c r="AI798" s="132"/>
      <c r="AJ798" s="132"/>
      <c r="AM798" s="33"/>
      <c r="AN798" s="33"/>
      <c r="AO798" s="33"/>
      <c r="AP798" s="33"/>
      <c r="AQ798" s="33"/>
      <c r="AR798" s="33"/>
      <c r="AS798" s="33"/>
      <c r="AT798" s="33"/>
      <c r="AU798" s="33"/>
      <c r="AV798" s="33"/>
      <c r="AW798" s="33"/>
      <c r="AX798" s="33"/>
      <c r="AY798" s="33"/>
      <c r="AZ798" s="33"/>
      <c r="BA798" s="33"/>
      <c r="BB798" s="33"/>
      <c r="BC798" s="33"/>
      <c r="BD798" s="33"/>
      <c r="BE798" s="33"/>
      <c r="BF798" s="33"/>
      <c r="BG798" s="33"/>
      <c r="BH798" s="33"/>
      <c r="BI798" s="33"/>
      <c r="BJ798" s="33"/>
      <c r="BK798" s="33"/>
      <c r="BL798" s="33"/>
      <c r="BM798" s="33"/>
      <c r="BN798" s="33"/>
      <c r="BO798" s="33"/>
      <c r="BP798" s="33"/>
      <c r="BQ798" s="33"/>
      <c r="BR798" s="33"/>
      <c r="BS798" s="33"/>
      <c r="BT798" s="33"/>
      <c r="BU798" s="33"/>
      <c r="BV798" s="33"/>
      <c r="BW798" s="33"/>
      <c r="BX798" s="33"/>
      <c r="BY798" s="33"/>
      <c r="BZ798" s="33"/>
      <c r="CA798" s="33"/>
      <c r="CB798" s="33"/>
      <c r="CC798" s="33"/>
      <c r="CD798" s="33"/>
      <c r="CE798" s="33"/>
      <c r="CF798" s="33"/>
      <c r="CG798" s="33"/>
      <c r="CH798" s="33"/>
      <c r="CI798" s="33"/>
      <c r="CJ798" s="33"/>
      <c r="CK798" s="33"/>
      <c r="CL798" s="33"/>
      <c r="CM798" s="33"/>
      <c r="CN798" s="33"/>
      <c r="CO798" s="33"/>
      <c r="CP798" s="33"/>
      <c r="CQ798" s="33"/>
      <c r="CR798" s="33"/>
      <c r="CS798" s="33"/>
    </row>
    <row r="799" spans="3:97" ht="12.95" customHeight="1">
      <c r="C799" s="836"/>
      <c r="D799" s="836"/>
      <c r="E799" s="836"/>
      <c r="F799" s="836"/>
      <c r="G799" s="836"/>
      <c r="H799" s="836"/>
      <c r="I799" s="836"/>
      <c r="J799" s="836"/>
      <c r="K799" s="836"/>
      <c r="L799" s="836"/>
      <c r="M799" s="132"/>
      <c r="N799" s="132"/>
      <c r="O799" s="132"/>
      <c r="P799" s="132"/>
      <c r="Q799" s="132"/>
      <c r="R799" s="132"/>
      <c r="S799" s="132"/>
      <c r="T799" s="132"/>
      <c r="U799" s="132"/>
      <c r="V799" s="132"/>
      <c r="W799" s="132"/>
      <c r="X799" s="132"/>
      <c r="Y799" s="132"/>
      <c r="Z799" s="132"/>
      <c r="AA799" s="132"/>
      <c r="AB799" s="132"/>
      <c r="AC799" s="132"/>
      <c r="AD799" s="132"/>
      <c r="AE799" s="132"/>
      <c r="AF799" s="132"/>
      <c r="AG799" s="132"/>
      <c r="AH799" s="132"/>
      <c r="AI799" s="132"/>
      <c r="AJ799" s="132"/>
      <c r="AM799" s="33"/>
      <c r="AN799" s="33"/>
      <c r="AO799" s="33"/>
      <c r="AP799" s="33"/>
      <c r="AQ799" s="33"/>
      <c r="AR799" s="33"/>
      <c r="AS799" s="33"/>
      <c r="AT799" s="33"/>
      <c r="AU799" s="33"/>
      <c r="AV799" s="33"/>
      <c r="AW799" s="33"/>
      <c r="AX799" s="33"/>
      <c r="AY799" s="33"/>
      <c r="AZ799" s="33"/>
      <c r="BA799" s="33"/>
      <c r="BB799" s="33"/>
      <c r="BC799" s="33"/>
      <c r="BD799" s="33"/>
      <c r="BE799" s="33"/>
      <c r="BF799" s="33"/>
      <c r="BG799" s="33"/>
      <c r="BH799" s="33"/>
      <c r="BI799" s="33"/>
      <c r="BJ799" s="33"/>
      <c r="BK799" s="33"/>
      <c r="BL799" s="33"/>
      <c r="BM799" s="33"/>
      <c r="BN799" s="33"/>
      <c r="BO799" s="33"/>
      <c r="BP799" s="33"/>
      <c r="BQ799" s="33"/>
      <c r="BR799" s="33"/>
      <c r="BS799" s="33"/>
      <c r="BT799" s="33"/>
      <c r="BU799" s="33"/>
      <c r="BV799" s="33"/>
      <c r="BW799" s="33"/>
      <c r="BX799" s="33"/>
      <c r="BY799" s="33"/>
      <c r="BZ799" s="33"/>
      <c r="CA799" s="33"/>
      <c r="CB799" s="33"/>
      <c r="CC799" s="33"/>
      <c r="CD799" s="33"/>
      <c r="CE799" s="33"/>
      <c r="CF799" s="33"/>
      <c r="CG799" s="33"/>
      <c r="CH799" s="33"/>
      <c r="CI799" s="33"/>
      <c r="CJ799" s="33"/>
      <c r="CK799" s="33"/>
      <c r="CL799" s="33"/>
      <c r="CM799" s="33"/>
      <c r="CN799" s="33"/>
      <c r="CO799" s="33"/>
      <c r="CP799" s="33"/>
      <c r="CQ799" s="33"/>
      <c r="CR799" s="33"/>
      <c r="CS799" s="33"/>
    </row>
    <row r="800" spans="3:97" ht="12.95" customHeight="1">
      <c r="C800" s="2" t="s">
        <v>1527</v>
      </c>
      <c r="R800" s="11"/>
      <c r="S800" s="11"/>
      <c r="T800" s="11"/>
      <c r="U800" s="11"/>
      <c r="V800" s="11"/>
      <c r="W800" s="11"/>
      <c r="X800" s="11"/>
      <c r="Y800" s="11"/>
      <c r="Z800" s="11"/>
      <c r="AA800" s="11"/>
      <c r="AB800" s="11"/>
      <c r="AC800" s="11"/>
      <c r="AD800" s="11"/>
      <c r="AE800" s="11"/>
      <c r="AF800" s="11"/>
      <c r="AG800" s="11"/>
      <c r="AH800" s="11"/>
      <c r="AI800" s="11"/>
      <c r="AJ800" s="11"/>
      <c r="AM800" s="33"/>
      <c r="AN800" s="33"/>
      <c r="AO800" s="33"/>
      <c r="AP800" s="33"/>
      <c r="AQ800" s="33"/>
      <c r="AR800" s="33"/>
      <c r="AS800" s="33"/>
      <c r="AT800" s="33"/>
      <c r="AU800" s="33"/>
      <c r="AV800" s="33"/>
      <c r="AW800" s="33"/>
      <c r="AX800" s="33"/>
      <c r="AY800" s="33"/>
      <c r="AZ800" s="33"/>
      <c r="BA800" s="33"/>
      <c r="BB800" s="33"/>
      <c r="BC800" s="33"/>
      <c r="BD800" s="33"/>
      <c r="BE800" s="33"/>
      <c r="BF800" s="33"/>
      <c r="BG800" s="33"/>
      <c r="BH800" s="33"/>
      <c r="BI800" s="33"/>
      <c r="BJ800" s="33"/>
      <c r="BK800" s="33"/>
      <c r="BL800" s="33"/>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c r="CM800" s="33"/>
      <c r="CN800" s="33"/>
      <c r="CO800" s="33"/>
      <c r="CP800" s="33"/>
      <c r="CQ800" s="33"/>
      <c r="CR800" s="33"/>
      <c r="CS800" s="33"/>
    </row>
    <row r="801" spans="1:97" ht="12.95" customHeight="1">
      <c r="C801" s="1848" t="s">
        <v>1528</v>
      </c>
      <c r="D801" s="1849"/>
      <c r="E801" s="1849"/>
      <c r="F801" s="1849"/>
      <c r="G801" s="1849"/>
      <c r="H801" s="1849"/>
      <c r="I801" s="1849"/>
      <c r="J801" s="1849"/>
      <c r="K801" s="1849"/>
      <c r="L801" s="1849"/>
      <c r="M801" s="1849"/>
      <c r="N801" s="1849"/>
      <c r="O801" s="1849"/>
      <c r="P801" s="1849"/>
      <c r="Q801" s="1849"/>
      <c r="R801" s="1849"/>
      <c r="S801" s="1849"/>
      <c r="T801" s="1849"/>
      <c r="U801" s="1849"/>
      <c r="V801" s="1849"/>
      <c r="W801" s="1849"/>
      <c r="X801" s="1849"/>
      <c r="Y801" s="1849"/>
      <c r="Z801" s="1849"/>
      <c r="AA801" s="1849"/>
      <c r="AB801" s="1849"/>
      <c r="AC801" s="1849"/>
      <c r="AD801" s="1849"/>
      <c r="AE801" s="1849"/>
      <c r="AF801" s="1849"/>
      <c r="AG801" s="1849"/>
      <c r="AH801" s="1849"/>
      <c r="AI801" s="1849"/>
      <c r="AJ801" s="1850"/>
      <c r="AM801" s="33"/>
      <c r="AN801" s="33"/>
      <c r="AO801" s="33"/>
      <c r="AP801" s="33"/>
      <c r="AQ801" s="33"/>
      <c r="AR801" s="33"/>
      <c r="AS801" s="33"/>
      <c r="AT801" s="33"/>
      <c r="AU801" s="33"/>
      <c r="AV801" s="33"/>
      <c r="AW801" s="33"/>
      <c r="AX801" s="33"/>
      <c r="AY801" s="33"/>
      <c r="AZ801" s="33"/>
      <c r="BA801" s="33"/>
      <c r="BB801" s="33"/>
      <c r="BC801" s="33"/>
      <c r="BD801" s="33"/>
      <c r="BE801" s="33"/>
      <c r="BF801" s="33"/>
      <c r="BG801" s="33"/>
      <c r="BH801" s="33"/>
      <c r="BI801" s="33"/>
      <c r="BJ801" s="33"/>
      <c r="BK801" s="33"/>
      <c r="BL801" s="33"/>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c r="CM801" s="33"/>
      <c r="CN801" s="33"/>
      <c r="CO801" s="33"/>
      <c r="CP801" s="33"/>
      <c r="CQ801" s="33"/>
      <c r="CR801" s="33"/>
      <c r="CS801" s="33"/>
    </row>
    <row r="802" spans="1:97" ht="12.95" customHeight="1">
      <c r="C802" s="33" t="s">
        <v>1529</v>
      </c>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M802" s="33"/>
      <c r="AN802" s="33"/>
      <c r="AO802" s="33"/>
      <c r="AP802" s="33"/>
      <c r="AQ802" s="33"/>
      <c r="AR802" s="33"/>
      <c r="AS802" s="33"/>
      <c r="AT802" s="33"/>
      <c r="AU802" s="33"/>
      <c r="AV802" s="33"/>
      <c r="AW802" s="33"/>
      <c r="AX802" s="33"/>
      <c r="AY802" s="33"/>
      <c r="AZ802" s="33"/>
      <c r="BA802" s="33"/>
      <c r="BB802" s="33"/>
      <c r="BC802" s="33"/>
      <c r="BD802" s="33"/>
      <c r="BE802" s="33"/>
      <c r="BF802" s="33"/>
      <c r="BG802" s="33"/>
      <c r="BH802" s="33"/>
      <c r="BI802" s="33"/>
      <c r="BJ802" s="33"/>
      <c r="BK802" s="33"/>
      <c r="BL802" s="33"/>
      <c r="BM802" s="33"/>
      <c r="BN802" s="33"/>
      <c r="BO802" s="33"/>
      <c r="BP802" s="33"/>
      <c r="BQ802" s="33"/>
      <c r="BR802" s="33"/>
      <c r="BS802" s="33"/>
      <c r="BT802" s="33"/>
      <c r="BU802" s="33"/>
      <c r="BV802" s="33"/>
      <c r="BW802" s="33"/>
      <c r="BX802" s="33"/>
      <c r="BY802" s="33"/>
      <c r="BZ802" s="33"/>
      <c r="CA802" s="33"/>
      <c r="CB802" s="33"/>
      <c r="CC802" s="33"/>
      <c r="CD802" s="33"/>
      <c r="CE802" s="33"/>
      <c r="CF802" s="33"/>
      <c r="CG802" s="33"/>
      <c r="CH802" s="33"/>
      <c r="CI802" s="33"/>
      <c r="CJ802" s="33"/>
      <c r="CK802" s="33"/>
      <c r="CL802" s="33"/>
      <c r="CM802" s="33"/>
      <c r="CN802" s="33"/>
      <c r="CO802" s="33"/>
      <c r="CP802" s="33"/>
      <c r="CQ802" s="33"/>
      <c r="CR802" s="33"/>
      <c r="CS802" s="33"/>
    </row>
    <row r="803" spans="1:97" ht="12.95" customHeight="1">
      <c r="C803" s="2"/>
      <c r="AM803" s="33"/>
      <c r="AN803" s="33"/>
      <c r="AO803" s="33"/>
      <c r="AP803" s="33"/>
      <c r="AQ803" s="33"/>
      <c r="AR803" s="33"/>
      <c r="AS803" s="33"/>
      <c r="AT803" s="33"/>
      <c r="AU803" s="33"/>
      <c r="AV803" s="33"/>
      <c r="AW803" s="33"/>
      <c r="AX803" s="33"/>
      <c r="AY803" s="33"/>
      <c r="AZ803" s="33"/>
      <c r="BA803" s="33"/>
      <c r="BB803" s="33"/>
      <c r="BC803" s="33"/>
      <c r="BD803" s="33"/>
      <c r="BE803" s="33"/>
      <c r="BF803" s="33"/>
      <c r="BG803" s="33"/>
      <c r="BH803" s="33"/>
      <c r="BI803" s="33"/>
      <c r="BJ803" s="33"/>
      <c r="BK803" s="33"/>
      <c r="BL803" s="33"/>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c r="CM803" s="33"/>
      <c r="CN803" s="33"/>
      <c r="CO803" s="33"/>
      <c r="CP803" s="33"/>
      <c r="CQ803" s="33"/>
      <c r="CR803" s="33"/>
      <c r="CS803" s="33"/>
    </row>
    <row r="804" spans="1:97" ht="12.95" customHeight="1">
      <c r="A804" s="2" t="s">
        <v>1037</v>
      </c>
      <c r="C804" s="2" t="s">
        <v>1530</v>
      </c>
      <c r="AM804" s="33"/>
      <c r="AN804" s="33"/>
      <c r="AO804" s="33"/>
      <c r="AP804" s="33"/>
      <c r="AQ804" s="33"/>
      <c r="AR804" s="33"/>
      <c r="AS804" s="33"/>
      <c r="AT804" s="33"/>
      <c r="AU804" s="33"/>
      <c r="AV804" s="33"/>
      <c r="AW804" s="33"/>
      <c r="AX804" s="33"/>
      <c r="AY804" s="33"/>
      <c r="AZ804" s="33"/>
      <c r="BA804" s="33"/>
      <c r="BB804" s="33"/>
      <c r="BC804" s="33"/>
      <c r="BD804" s="33"/>
      <c r="BE804" s="33"/>
      <c r="BF804" s="33"/>
      <c r="BG804" s="33"/>
      <c r="BH804" s="33"/>
      <c r="BI804" s="33"/>
      <c r="BJ804" s="33"/>
      <c r="BK804" s="33"/>
      <c r="BL804" s="33"/>
      <c r="BM804" s="33"/>
      <c r="BN804" s="33"/>
      <c r="BO804" s="33"/>
      <c r="BP804" s="33"/>
      <c r="BQ804" s="33"/>
      <c r="BR804" s="33"/>
      <c r="BS804" s="33"/>
      <c r="BT804" s="33"/>
      <c r="BU804" s="33"/>
      <c r="BV804" s="33"/>
      <c r="BW804" s="33"/>
      <c r="BX804" s="33"/>
      <c r="BY804" s="33"/>
      <c r="BZ804" s="33"/>
      <c r="CA804" s="33"/>
      <c r="CB804" s="33"/>
      <c r="CC804" s="33"/>
      <c r="CD804" s="33"/>
      <c r="CE804" s="33"/>
      <c r="CF804" s="33"/>
      <c r="CG804" s="33"/>
      <c r="CH804" s="33"/>
      <c r="CI804" s="33"/>
      <c r="CJ804" s="33"/>
      <c r="CK804" s="33"/>
      <c r="CL804" s="33"/>
      <c r="CM804" s="33"/>
      <c r="CN804" s="33"/>
      <c r="CO804" s="33"/>
      <c r="CP804" s="33"/>
      <c r="CQ804" s="33"/>
      <c r="CR804" s="33"/>
      <c r="CS804" s="33"/>
    </row>
    <row r="805" spans="1:97" ht="12.95" customHeight="1">
      <c r="AM805" s="33"/>
      <c r="AO805" s="18"/>
      <c r="AP805" s="18"/>
      <c r="AQ805" s="18"/>
      <c r="AR805" s="18"/>
      <c r="AS805" s="18"/>
      <c r="AT805" s="18"/>
      <c r="AU805" s="18"/>
      <c r="AV805" s="18"/>
      <c r="AW805" s="18" t="s">
        <v>1531</v>
      </c>
      <c r="AY805" s="18"/>
      <c r="AZ805" s="18"/>
      <c r="BA805" s="1411" t="s">
        <v>1532</v>
      </c>
      <c r="BB805" s="1412"/>
      <c r="BC805" s="33"/>
      <c r="BD805" s="33"/>
      <c r="BE805" s="33"/>
      <c r="BF805" s="18" t="s">
        <v>1533</v>
      </c>
      <c r="BG805" s="18"/>
      <c r="BH805" s="18"/>
      <c r="BI805" s="18"/>
      <c r="BJ805" s="18"/>
      <c r="BK805" s="18"/>
      <c r="BL805" s="18"/>
      <c r="BM805" s="18"/>
      <c r="BN805" s="18"/>
      <c r="BO805" s="1408" t="str">
        <f>T189</f>
        <v>Contra Costa</v>
      </c>
      <c r="BP805" s="1409"/>
      <c r="BQ805" s="1409"/>
      <c r="BR805" s="1409"/>
      <c r="BS805" s="1409"/>
      <c r="BT805" s="1409"/>
      <c r="BU805" s="1410"/>
      <c r="BV805" s="33"/>
      <c r="BW805" s="33"/>
      <c r="BX805" s="33"/>
      <c r="BY805" s="33"/>
      <c r="BZ805" s="33"/>
      <c r="CA805" s="33"/>
      <c r="CB805" s="33"/>
      <c r="CC805" s="33"/>
      <c r="CD805" s="33"/>
      <c r="CE805" s="33"/>
      <c r="CF805" s="33"/>
      <c r="CG805" s="33"/>
      <c r="CH805" s="33"/>
      <c r="CI805" s="33"/>
      <c r="CJ805" s="33"/>
      <c r="CK805" s="33"/>
      <c r="CL805" s="33"/>
      <c r="CM805" s="33"/>
      <c r="CN805" s="33"/>
      <c r="CO805" s="33"/>
      <c r="CP805" s="33"/>
      <c r="CQ805" s="33"/>
      <c r="CR805" s="33"/>
      <c r="CS805" s="33"/>
    </row>
    <row r="806" spans="1:97" ht="12.95" customHeight="1">
      <c r="C806" s="2" t="s">
        <v>1534</v>
      </c>
      <c r="J806" s="7" t="s">
        <v>1535</v>
      </c>
      <c r="K806" s="8"/>
      <c r="L806" s="8"/>
      <c r="M806" s="8"/>
      <c r="N806" s="8"/>
      <c r="O806" s="8"/>
      <c r="P806" s="8"/>
      <c r="Q806" s="8"/>
      <c r="R806" s="8"/>
      <c r="S806" s="8"/>
      <c r="T806" s="8"/>
      <c r="U806" s="8"/>
      <c r="V806" s="37"/>
      <c r="W806" s="1087"/>
      <c r="X806" s="1087"/>
      <c r="Y806" s="1087"/>
      <c r="Z806" s="1087"/>
      <c r="AA806" s="1087"/>
      <c r="AB806" s="1087"/>
      <c r="AC806" s="1087"/>
      <c r="AM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row>
    <row r="807" spans="1:97" s="18" customFormat="1" ht="12.95" customHeight="1">
      <c r="A807"/>
      <c r="B807"/>
      <c r="C807"/>
      <c r="D807"/>
      <c r="E807"/>
      <c r="F807"/>
      <c r="G807"/>
      <c r="H807"/>
      <c r="I807"/>
      <c r="J807" s="7" t="s">
        <v>1536</v>
      </c>
      <c r="K807" s="8"/>
      <c r="L807" s="8"/>
      <c r="M807" s="8"/>
      <c r="N807" s="8"/>
      <c r="O807" s="8"/>
      <c r="P807" s="8"/>
      <c r="Q807" s="8"/>
      <c r="R807" s="8"/>
      <c r="S807" s="8"/>
      <c r="T807" s="8"/>
      <c r="U807" s="8"/>
      <c r="V807" s="37"/>
      <c r="W807" s="1091">
        <v>3600</v>
      </c>
      <c r="X807" s="1092"/>
      <c r="Y807" s="1092"/>
      <c r="Z807" s="1092"/>
      <c r="AA807" s="1092"/>
      <c r="AB807" s="1092"/>
      <c r="AC807" s="1093"/>
      <c r="AD807"/>
      <c r="AE807"/>
      <c r="AF807"/>
      <c r="AG807"/>
      <c r="AH807"/>
      <c r="AI807"/>
      <c r="AJ807"/>
      <c r="AK807"/>
      <c r="AL807"/>
      <c r="AM807" s="30"/>
      <c r="AN807" s="30"/>
      <c r="BA807" s="48" t="s">
        <v>1537</v>
      </c>
      <c r="BC807" s="32"/>
      <c r="BD807" s="32"/>
      <c r="BE807" s="32"/>
      <c r="BF807" s="32"/>
      <c r="BG807" s="32"/>
    </row>
    <row r="808" spans="1:97" s="18" customFormat="1" ht="12.95" customHeight="1">
      <c r="A808"/>
      <c r="B808"/>
      <c r="C808"/>
      <c r="D808"/>
      <c r="E808"/>
      <c r="F808"/>
      <c r="G808"/>
      <c r="H808"/>
      <c r="I808"/>
      <c r="J808" s="7" t="s">
        <v>1538</v>
      </c>
      <c r="K808" s="8"/>
      <c r="L808" s="8"/>
      <c r="M808" s="8"/>
      <c r="N808" s="8"/>
      <c r="O808" s="8"/>
      <c r="P808" s="8"/>
      <c r="Q808" s="8"/>
      <c r="R808" s="8"/>
      <c r="S808" s="8"/>
      <c r="T808" s="8"/>
      <c r="U808" s="8"/>
      <c r="V808" s="37"/>
      <c r="W808" s="1091">
        <v>16208</v>
      </c>
      <c r="X808" s="1092"/>
      <c r="Y808" s="1092"/>
      <c r="Z808" s="1092"/>
      <c r="AA808" s="1092"/>
      <c r="AB808" s="1092"/>
      <c r="AC808" s="1093"/>
      <c r="AD808"/>
      <c r="AE808"/>
      <c r="AF808"/>
      <c r="AG808"/>
      <c r="AH808"/>
      <c r="AI808"/>
      <c r="AJ808"/>
      <c r="AK808"/>
      <c r="AL808"/>
      <c r="AM808" s="30"/>
      <c r="AN808" s="30"/>
      <c r="BA808" s="48"/>
      <c r="BC808" s="32"/>
      <c r="BD808" s="32"/>
      <c r="BE808" s="32"/>
      <c r="BF808" s="32"/>
      <c r="BG808" s="32"/>
    </row>
    <row r="809" spans="1:97" s="18" customFormat="1" ht="12.95" customHeight="1">
      <c r="A809"/>
      <c r="B809"/>
      <c r="C809"/>
      <c r="D809"/>
      <c r="E809"/>
      <c r="F809"/>
      <c r="G809"/>
      <c r="H809"/>
      <c r="I809"/>
      <c r="J809" s="7" t="s">
        <v>1539</v>
      </c>
      <c r="K809" s="8"/>
      <c r="L809" s="8"/>
      <c r="M809" s="8"/>
      <c r="N809" s="8"/>
      <c r="O809" s="8"/>
      <c r="P809" s="8"/>
      <c r="Q809" s="8"/>
      <c r="R809" s="8"/>
      <c r="S809" s="8"/>
      <c r="T809" s="8"/>
      <c r="U809" s="8"/>
      <c r="V809" s="37"/>
      <c r="W809" s="1091">
        <v>11440</v>
      </c>
      <c r="X809" s="1092"/>
      <c r="Y809" s="1092"/>
      <c r="Z809" s="1092"/>
      <c r="AA809" s="1092"/>
      <c r="AB809" s="1092"/>
      <c r="AC809" s="1093"/>
      <c r="AD809"/>
      <c r="AE809"/>
      <c r="AF809"/>
      <c r="AG809"/>
      <c r="AH809"/>
      <c r="AI809"/>
      <c r="AJ809"/>
      <c r="AK809"/>
      <c r="AL809"/>
      <c r="AM809" s="30"/>
      <c r="AN809" s="30"/>
      <c r="BA809" s="48" t="s">
        <v>1532</v>
      </c>
      <c r="BB809" s="31" t="s">
        <v>1540</v>
      </c>
      <c r="BC809" s="32"/>
      <c r="BD809" s="32"/>
      <c r="BE809" s="32"/>
      <c r="BF809" s="32"/>
      <c r="BG809" s="32"/>
      <c r="BI809" s="31" t="s">
        <v>1541</v>
      </c>
    </row>
    <row r="810" spans="1:97" s="18" customFormat="1" ht="12.95" customHeight="1">
      <c r="A810"/>
      <c r="B810"/>
      <c r="C810"/>
      <c r="D810"/>
      <c r="E810"/>
      <c r="F810"/>
      <c r="G810"/>
      <c r="H810"/>
      <c r="I810"/>
      <c r="J810" s="7" t="s">
        <v>1233</v>
      </c>
      <c r="K810" s="8"/>
      <c r="L810" s="8"/>
      <c r="M810" s="1055" t="s">
        <v>1542</v>
      </c>
      <c r="N810" s="1056"/>
      <c r="O810" s="1056"/>
      <c r="P810" s="1056"/>
      <c r="Q810" s="1056"/>
      <c r="R810" s="1056"/>
      <c r="S810" s="1056"/>
      <c r="T810" s="1056"/>
      <c r="U810" s="1056"/>
      <c r="V810" s="1057"/>
      <c r="W810" s="1091">
        <v>35500</v>
      </c>
      <c r="X810" s="1092"/>
      <c r="Y810" s="1092"/>
      <c r="Z810" s="1092"/>
      <c r="AA810" s="1092"/>
      <c r="AB810" s="1092"/>
      <c r="AC810" s="1093"/>
      <c r="AD810"/>
      <c r="AE810"/>
      <c r="AF810"/>
      <c r="AG810"/>
      <c r="AH810"/>
      <c r="AI810"/>
      <c r="AJ810"/>
      <c r="AK810"/>
      <c r="AL810"/>
      <c r="AM810" s="30"/>
      <c r="AN810" s="30"/>
      <c r="BA810" s="48"/>
      <c r="BB810" s="31"/>
      <c r="BC810" s="32"/>
      <c r="BD810" s="32"/>
      <c r="BE810" s="32"/>
      <c r="BF810" s="32"/>
      <c r="BG810" s="32"/>
      <c r="BI810" s="31"/>
    </row>
    <row r="811" spans="1:97" s="18" customFormat="1" ht="12.95" customHeight="1">
      <c r="A811"/>
      <c r="B811"/>
      <c r="C811"/>
      <c r="D811"/>
      <c r="E811"/>
      <c r="F811"/>
      <c r="G811"/>
      <c r="H811"/>
      <c r="I811"/>
      <c r="J811" s="7"/>
      <c r="K811" s="8"/>
      <c r="L811" s="8"/>
      <c r="M811" s="8"/>
      <c r="N811" s="8"/>
      <c r="O811" s="8"/>
      <c r="P811" s="8"/>
      <c r="Q811" s="8"/>
      <c r="R811" s="8"/>
      <c r="S811" s="8"/>
      <c r="T811" s="8"/>
      <c r="U811" s="8"/>
      <c r="V811" s="788" t="s">
        <v>1543</v>
      </c>
      <c r="W811" s="1111">
        <f>SUM(W806:AC810)</f>
        <v>66748</v>
      </c>
      <c r="X811" s="1112"/>
      <c r="Y811" s="1112"/>
      <c r="Z811" s="1112"/>
      <c r="AA811" s="1112"/>
      <c r="AB811" s="1112"/>
      <c r="AC811" s="1113"/>
      <c r="AD811"/>
      <c r="AE811"/>
      <c r="AF811"/>
      <c r="AG811"/>
      <c r="AH811"/>
      <c r="AI811"/>
      <c r="AJ811"/>
      <c r="AK811"/>
      <c r="AL811"/>
      <c r="AM811" s="30"/>
      <c r="AN811" s="30"/>
      <c r="BA811" s="48" t="s">
        <v>1537</v>
      </c>
      <c r="BB811" s="31"/>
      <c r="BC811" s="32"/>
      <c r="BD811" s="32"/>
      <c r="BE811" s="32"/>
      <c r="BF811" s="32"/>
      <c r="BG811" s="32"/>
      <c r="BI811" s="31"/>
    </row>
    <row r="812" spans="1:97" s="18"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0"/>
      <c r="AN812" s="30"/>
      <c r="BA812" s="48"/>
      <c r="BB812" s="31"/>
      <c r="BC812" s="32"/>
      <c r="BD812" s="32"/>
      <c r="BE812" s="32"/>
      <c r="BF812" s="32"/>
      <c r="BG812" s="32"/>
      <c r="BI812" s="31"/>
    </row>
    <row r="813" spans="1:97" s="18" customFormat="1" ht="12.95" customHeight="1">
      <c r="A813"/>
      <c r="B813"/>
      <c r="C813" s="2" t="s">
        <v>1544</v>
      </c>
      <c r="D813"/>
      <c r="E813"/>
      <c r="F813"/>
      <c r="G813"/>
      <c r="H813"/>
      <c r="I813"/>
      <c r="J813" s="1094" t="s">
        <v>1545</v>
      </c>
      <c r="K813" s="1095"/>
      <c r="L813" s="1095"/>
      <c r="M813" s="1095"/>
      <c r="N813" s="1095"/>
      <c r="O813" s="1095"/>
      <c r="P813" s="1095"/>
      <c r="Q813" s="1095"/>
      <c r="R813" s="1095"/>
      <c r="S813" s="1095"/>
      <c r="T813" s="1095"/>
      <c r="U813" s="1095"/>
      <c r="V813" s="1096"/>
      <c r="W813" s="1091">
        <v>38700</v>
      </c>
      <c r="X813" s="1092"/>
      <c r="Y813" s="1092"/>
      <c r="Z813" s="1092"/>
      <c r="AA813" s="1092"/>
      <c r="AB813" s="1092"/>
      <c r="AC813" s="1093"/>
      <c r="AD813"/>
      <c r="AE813"/>
      <c r="AF813"/>
      <c r="AG813"/>
      <c r="AH813"/>
      <c r="AI813"/>
      <c r="AJ813"/>
      <c r="AK813"/>
      <c r="AL813"/>
      <c r="AM813" s="30"/>
      <c r="AN813" s="30"/>
      <c r="BA813" s="48"/>
      <c r="BB813" s="31"/>
      <c r="BC813" s="32"/>
      <c r="BD813" s="32"/>
      <c r="BE813" s="32"/>
      <c r="BF813" s="32"/>
      <c r="BG813" s="32"/>
      <c r="BI813" s="31"/>
    </row>
    <row r="814" spans="1:97" s="18"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48"/>
      <c r="BB814" s="31"/>
      <c r="BC814" s="32"/>
      <c r="BD814" s="32"/>
      <c r="BE814" s="32"/>
      <c r="BF814" s="32"/>
      <c r="BG814" s="32"/>
      <c r="BI814" s="31"/>
    </row>
    <row r="815" spans="1:97" s="18" customFormat="1" ht="12.95" customHeight="1">
      <c r="A815"/>
      <c r="B815"/>
      <c r="C815" s="2" t="s">
        <v>225</v>
      </c>
      <c r="D815"/>
      <c r="E815"/>
      <c r="F815"/>
      <c r="G815"/>
      <c r="H815"/>
      <c r="I815"/>
      <c r="J815" s="7" t="s">
        <v>1546</v>
      </c>
      <c r="K815" s="8"/>
      <c r="L815" s="8"/>
      <c r="M815" s="8"/>
      <c r="N815" s="8"/>
      <c r="O815" s="8"/>
      <c r="P815" s="8"/>
      <c r="Q815" s="8"/>
      <c r="R815" s="8"/>
      <c r="S815" s="8"/>
      <c r="T815" s="8"/>
      <c r="U815" s="8"/>
      <c r="V815" s="37"/>
      <c r="W815" s="1851"/>
      <c r="X815" s="1851"/>
      <c r="Y815" s="1851"/>
      <c r="Z815" s="1851"/>
      <c r="AA815" s="1851"/>
      <c r="AB815" s="1851"/>
      <c r="AC815" s="1851"/>
      <c r="AD815"/>
      <c r="AE815"/>
      <c r="AF815"/>
      <c r="AG815"/>
      <c r="AH815"/>
      <c r="AI815"/>
      <c r="AJ815"/>
      <c r="AK815"/>
      <c r="AL815"/>
      <c r="BC815" s="32"/>
      <c r="BD815" s="32"/>
      <c r="BE815" s="32"/>
      <c r="BF815" s="32"/>
      <c r="BG815" s="32"/>
    </row>
    <row r="816" spans="1:97" s="18" customFormat="1" ht="12.95" customHeight="1">
      <c r="A816"/>
      <c r="B816"/>
      <c r="C816"/>
      <c r="D816"/>
      <c r="E816"/>
      <c r="F816"/>
      <c r="G816"/>
      <c r="H816"/>
      <c r="I816"/>
      <c r="J816" s="7" t="s">
        <v>1547</v>
      </c>
      <c r="K816" s="8"/>
      <c r="L816" s="8"/>
      <c r="M816" s="8"/>
      <c r="N816" s="8"/>
      <c r="O816" s="8"/>
      <c r="P816" s="8"/>
      <c r="Q816" s="8"/>
      <c r="R816" s="8"/>
      <c r="S816" s="8"/>
      <c r="T816" s="8"/>
      <c r="U816" s="8"/>
      <c r="V816" s="37"/>
      <c r="W816" s="1851"/>
      <c r="X816" s="1851"/>
      <c r="Y816" s="1851"/>
      <c r="Z816" s="1851"/>
      <c r="AA816" s="1851"/>
      <c r="AB816" s="1851"/>
      <c r="AC816" s="1851"/>
      <c r="AD816"/>
      <c r="AE816"/>
      <c r="AF816"/>
      <c r="AG816"/>
      <c r="AH816"/>
      <c r="AI816"/>
      <c r="AJ816"/>
      <c r="AK816"/>
      <c r="AL816"/>
      <c r="BC816" s="32"/>
      <c r="BD816" s="32"/>
      <c r="BE816" s="32"/>
      <c r="BF816" s="32"/>
      <c r="BG816" s="32"/>
    </row>
    <row r="817" spans="1:97" s="18" customFormat="1" ht="12.95" customHeight="1">
      <c r="A817"/>
      <c r="B817"/>
      <c r="C817"/>
      <c r="D817"/>
      <c r="E817"/>
      <c r="F817"/>
      <c r="G817"/>
      <c r="H817"/>
      <c r="I817"/>
      <c r="J817" s="7" t="s">
        <v>1521</v>
      </c>
      <c r="K817" s="8"/>
      <c r="L817" s="8"/>
      <c r="M817" s="8"/>
      <c r="N817" s="8"/>
      <c r="O817" s="8"/>
      <c r="P817" s="8"/>
      <c r="Q817" s="8"/>
      <c r="R817" s="8"/>
      <c r="S817" s="8"/>
      <c r="T817" s="8"/>
      <c r="U817" s="8"/>
      <c r="V817" s="37"/>
      <c r="W817" s="1852">
        <v>35789</v>
      </c>
      <c r="X817" s="1853"/>
      <c r="Y817" s="1853"/>
      <c r="Z817" s="1853"/>
      <c r="AA817" s="1853"/>
      <c r="AB817" s="1853"/>
      <c r="AC817" s="1854"/>
      <c r="AD817"/>
      <c r="AE817"/>
      <c r="AF817"/>
      <c r="AG817"/>
      <c r="AH817"/>
      <c r="AI817"/>
      <c r="AJ817"/>
      <c r="AK817"/>
      <c r="AL817"/>
      <c r="BC817" s="884" t="s">
        <v>1420</v>
      </c>
      <c r="BD817" s="885" t="s">
        <v>1421</v>
      </c>
      <c r="BE817" s="885" t="s">
        <v>1422</v>
      </c>
      <c r="BF817" s="885" t="s">
        <v>1423</v>
      </c>
      <c r="BG817" s="885" t="s">
        <v>1424</v>
      </c>
      <c r="BJ817" s="884" t="s">
        <v>1420</v>
      </c>
      <c r="BK817" s="885" t="s">
        <v>1421</v>
      </c>
      <c r="BL817" s="885" t="s">
        <v>1422</v>
      </c>
      <c r="BM817" s="885" t="s">
        <v>1423</v>
      </c>
      <c r="BN817" s="885" t="s">
        <v>1424</v>
      </c>
    </row>
    <row r="818" spans="1:97" s="18" customFormat="1" ht="12.95" customHeight="1">
      <c r="A818"/>
      <c r="B818"/>
      <c r="C818"/>
      <c r="D818"/>
      <c r="E818"/>
      <c r="F818"/>
      <c r="G818"/>
      <c r="H818"/>
      <c r="I818"/>
      <c r="J818" s="886" t="s">
        <v>1548</v>
      </c>
      <c r="K818" s="8"/>
      <c r="L818" s="8"/>
      <c r="M818" s="8"/>
      <c r="N818" s="8"/>
      <c r="O818" s="8"/>
      <c r="P818" s="8"/>
      <c r="Q818" s="8"/>
      <c r="R818" s="8"/>
      <c r="S818" s="8"/>
      <c r="T818" s="8"/>
      <c r="U818" s="8"/>
      <c r="V818" s="37"/>
      <c r="W818" s="1852">
        <v>59740</v>
      </c>
      <c r="X818" s="1853"/>
      <c r="Y818" s="1853"/>
      <c r="Z818" s="1853"/>
      <c r="AA818" s="1853"/>
      <c r="AB818" s="1853"/>
      <c r="AC818" s="1854"/>
      <c r="AD818"/>
      <c r="AE818"/>
      <c r="AF818"/>
      <c r="AG818"/>
      <c r="AH818"/>
      <c r="AI818"/>
      <c r="AJ818"/>
      <c r="AK818"/>
      <c r="AL818"/>
      <c r="BC818" s="887"/>
      <c r="BD818" s="888"/>
      <c r="BE818" s="888"/>
      <c r="BF818" s="888"/>
      <c r="BG818" s="888"/>
      <c r="BJ818" s="887"/>
      <c r="BK818" s="888"/>
      <c r="BL818" s="888"/>
      <c r="BM818" s="888"/>
      <c r="BN818" s="888"/>
    </row>
    <row r="819" spans="1:97" s="4" customFormat="1" ht="12.95" customHeight="1">
      <c r="A819"/>
      <c r="B819"/>
      <c r="C819"/>
      <c r="D819"/>
      <c r="E819"/>
      <c r="F819"/>
      <c r="G819"/>
      <c r="H819"/>
      <c r="I819"/>
      <c r="J819" s="45"/>
      <c r="K819" s="39"/>
      <c r="L819" s="39"/>
      <c r="M819" s="39"/>
      <c r="N819" s="39"/>
      <c r="O819" s="39"/>
      <c r="P819" s="39"/>
      <c r="Q819" s="39"/>
      <c r="R819" s="39"/>
      <c r="S819" s="39"/>
      <c r="T819" s="39"/>
      <c r="U819" s="39"/>
      <c r="V819" s="788" t="s">
        <v>1549</v>
      </c>
      <c r="W819" s="1855">
        <f>SUM(W815:AC818)</f>
        <v>95529</v>
      </c>
      <c r="X819" s="1855"/>
      <c r="Y819" s="1855"/>
      <c r="Z819" s="1855"/>
      <c r="AA819" s="1855"/>
      <c r="AB819" s="1855"/>
      <c r="AC819" s="1855"/>
      <c r="AD819"/>
      <c r="AE819"/>
      <c r="AF819"/>
      <c r="AG819"/>
      <c r="AH819"/>
      <c r="AI819"/>
      <c r="AJ819"/>
      <c r="AK819"/>
      <c r="AL819"/>
      <c r="AM819" s="33"/>
      <c r="AN819" s="33"/>
      <c r="AO819" s="33"/>
      <c r="AP819" s="33"/>
      <c r="AQ819" s="33"/>
      <c r="AR819" s="18"/>
      <c r="AS819" s="18"/>
      <c r="AT819" s="18"/>
      <c r="AU819" s="18"/>
      <c r="AV819" s="18"/>
      <c r="AW819" s="18"/>
      <c r="AX819" s="18"/>
      <c r="AY819" s="18"/>
      <c r="AZ819" s="18"/>
      <c r="BA819" s="18"/>
      <c r="BB819" s="197" t="s">
        <v>806</v>
      </c>
      <c r="BC819" s="410">
        <v>473390</v>
      </c>
      <c r="BD819" s="410">
        <v>545814</v>
      </c>
      <c r="BE819" s="410">
        <v>658400</v>
      </c>
      <c r="BF819" s="410">
        <v>842752</v>
      </c>
      <c r="BG819" s="410">
        <v>938878</v>
      </c>
      <c r="BH819" s="18"/>
      <c r="BI819" s="197" t="s">
        <v>806</v>
      </c>
      <c r="BJ819" s="410">
        <v>473390</v>
      </c>
      <c r="BK819" s="410">
        <v>545814</v>
      </c>
      <c r="BL819" s="410">
        <v>658400</v>
      </c>
      <c r="BM819" s="410">
        <v>842752</v>
      </c>
      <c r="BN819" s="410">
        <v>938878</v>
      </c>
      <c r="BO819" s="33"/>
      <c r="BP819" s="33"/>
      <c r="BQ819" s="33"/>
      <c r="BR819" s="33"/>
      <c r="BS819" s="33"/>
      <c r="BT819" s="33"/>
      <c r="BU819" s="33"/>
      <c r="BV819" s="33"/>
      <c r="BW819" s="33"/>
      <c r="BX819" s="33"/>
      <c r="BY819" s="33"/>
      <c r="BZ819" s="33"/>
      <c r="CA819" s="33"/>
      <c r="CB819" s="33"/>
      <c r="CC819" s="33"/>
      <c r="CD819" s="33"/>
      <c r="CE819" s="33"/>
      <c r="CF819" s="33"/>
      <c r="CG819" s="33"/>
      <c r="CH819" s="33"/>
      <c r="CI819" s="33"/>
      <c r="CJ819" s="33"/>
      <c r="CK819" s="33"/>
      <c r="CL819" s="33"/>
      <c r="CM819" s="33"/>
      <c r="CN819" s="33"/>
      <c r="CO819" s="33"/>
      <c r="CP819" s="33"/>
      <c r="CQ819" s="33"/>
      <c r="CR819" s="33"/>
      <c r="CS819" s="33"/>
    </row>
    <row r="820" spans="1:97" s="4"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3"/>
      <c r="AN820" s="33"/>
      <c r="AO820" s="33"/>
      <c r="AP820" s="33"/>
      <c r="AQ820" s="33"/>
      <c r="AR820" s="18"/>
      <c r="AS820" s="18"/>
      <c r="AT820" s="18"/>
      <c r="AU820" s="18"/>
      <c r="AV820" s="18"/>
      <c r="AW820" s="18"/>
      <c r="AX820" s="18"/>
      <c r="AY820" s="18"/>
      <c r="AZ820" s="18"/>
      <c r="BA820" s="18"/>
      <c r="BB820" s="197" t="s">
        <v>810</v>
      </c>
      <c r="BC820" s="409">
        <v>352022</v>
      </c>
      <c r="BD820" s="409">
        <v>405878</v>
      </c>
      <c r="BE820" s="409">
        <v>489600</v>
      </c>
      <c r="BF820" s="409">
        <v>626688</v>
      </c>
      <c r="BG820" s="409">
        <v>698170</v>
      </c>
      <c r="BH820" s="18"/>
      <c r="BI820" s="197" t="s">
        <v>810</v>
      </c>
      <c r="BJ820" s="409">
        <v>352022</v>
      </c>
      <c r="BK820" s="409">
        <v>405878</v>
      </c>
      <c r="BL820" s="409">
        <v>489600</v>
      </c>
      <c r="BM820" s="409">
        <v>626688</v>
      </c>
      <c r="BN820" s="409">
        <v>698170</v>
      </c>
      <c r="BO820" s="33"/>
      <c r="BP820" s="33"/>
      <c r="BQ820" s="33"/>
      <c r="BR820" s="33"/>
      <c r="BS820" s="33"/>
      <c r="BT820" s="33"/>
      <c r="BU820" s="33"/>
      <c r="BV820" s="33"/>
      <c r="BW820" s="33"/>
      <c r="BX820" s="33"/>
      <c r="BY820" s="33"/>
      <c r="BZ820" s="33"/>
      <c r="CA820" s="33"/>
      <c r="CB820" s="33"/>
      <c r="CC820" s="33"/>
      <c r="CD820" s="33"/>
      <c r="CE820" s="33"/>
      <c r="CF820" s="33"/>
      <c r="CG820" s="33"/>
      <c r="CH820" s="33"/>
      <c r="CI820" s="33"/>
      <c r="CJ820" s="33"/>
      <c r="CK820" s="33"/>
      <c r="CL820" s="33"/>
      <c r="CM820" s="33"/>
      <c r="CN820" s="33"/>
      <c r="CO820" s="33"/>
      <c r="CP820" s="33"/>
      <c r="CQ820" s="33"/>
      <c r="CR820" s="33"/>
      <c r="CS820" s="33"/>
    </row>
    <row r="821" spans="1:97" s="4" customFormat="1" ht="12.95" customHeight="1">
      <c r="A821"/>
      <c r="B821"/>
      <c r="C821" s="2" t="s">
        <v>1550</v>
      </c>
      <c r="D821"/>
      <c r="E821"/>
      <c r="F821"/>
      <c r="G821"/>
      <c r="H821"/>
      <c r="I821"/>
      <c r="J821" s="7" t="s">
        <v>1551</v>
      </c>
      <c r="K821" s="8"/>
      <c r="L821" s="8"/>
      <c r="M821" s="8"/>
      <c r="N821" s="8"/>
      <c r="O821" s="8"/>
      <c r="P821" s="8"/>
      <c r="Q821" s="8"/>
      <c r="R821" s="8"/>
      <c r="S821" s="8"/>
      <c r="T821" s="8"/>
      <c r="U821" s="8"/>
      <c r="V821" s="37"/>
      <c r="W821" s="1856">
        <v>63032</v>
      </c>
      <c r="X821" s="1857"/>
      <c r="Y821" s="1857"/>
      <c r="Z821" s="1857"/>
      <c r="AA821" s="1857"/>
      <c r="AB821" s="1857"/>
      <c r="AC821" s="1858"/>
      <c r="AD821"/>
      <c r="AE821"/>
      <c r="AF821"/>
      <c r="AG821"/>
      <c r="AH821"/>
      <c r="AI821"/>
      <c r="AJ821"/>
      <c r="AK821"/>
      <c r="AL821"/>
      <c r="AM821" s="33"/>
      <c r="AN821" s="33"/>
      <c r="AO821" s="33"/>
      <c r="AP821" s="33"/>
      <c r="AQ821" s="33"/>
      <c r="AR821" s="18"/>
      <c r="AS821" s="18"/>
      <c r="AT821" s="18"/>
      <c r="AU821" s="18"/>
      <c r="AV821" s="18"/>
      <c r="AW821" s="18"/>
      <c r="AX821" s="18"/>
      <c r="AY821" s="18"/>
      <c r="AZ821" s="18"/>
      <c r="BA821" s="18"/>
      <c r="BB821" s="197" t="s">
        <v>814</v>
      </c>
      <c r="BC821" s="410">
        <v>352022</v>
      </c>
      <c r="BD821" s="410">
        <v>405878</v>
      </c>
      <c r="BE821" s="410">
        <v>489600</v>
      </c>
      <c r="BF821" s="410">
        <v>626688</v>
      </c>
      <c r="BG821" s="410">
        <v>698170</v>
      </c>
      <c r="BH821" s="18"/>
      <c r="BI821" s="197" t="s">
        <v>814</v>
      </c>
      <c r="BJ821" s="410">
        <v>352022</v>
      </c>
      <c r="BK821" s="410">
        <v>405878</v>
      </c>
      <c r="BL821" s="410">
        <v>489600</v>
      </c>
      <c r="BM821" s="410">
        <v>626688</v>
      </c>
      <c r="BN821" s="410">
        <v>698170</v>
      </c>
      <c r="BO821" s="33"/>
      <c r="BP821" s="33"/>
      <c r="BQ821" s="33"/>
      <c r="BR821" s="33"/>
      <c r="BS821" s="33"/>
      <c r="BT821" s="33"/>
      <c r="BU821" s="33"/>
      <c r="BV821" s="33"/>
      <c r="BW821" s="33"/>
      <c r="BX821" s="33"/>
      <c r="BY821" s="33"/>
      <c r="BZ821" s="33"/>
      <c r="CA821" s="33"/>
      <c r="CB821" s="33"/>
      <c r="CC821" s="33"/>
      <c r="CD821" s="33"/>
      <c r="CE821" s="33"/>
      <c r="CF821" s="33"/>
      <c r="CG821" s="33"/>
      <c r="CH821" s="33"/>
      <c r="CI821" s="33"/>
      <c r="CJ821" s="33"/>
      <c r="CK821" s="33"/>
      <c r="CL821" s="33"/>
      <c r="CM821" s="33"/>
      <c r="CN821" s="33"/>
      <c r="CO821" s="33"/>
      <c r="CP821" s="33"/>
      <c r="CQ821" s="33"/>
      <c r="CR821" s="33"/>
      <c r="CS821" s="33"/>
    </row>
    <row r="822" spans="1:97" s="4" customFormat="1" ht="12.95" customHeight="1">
      <c r="A822"/>
      <c r="B822"/>
      <c r="C822" s="2"/>
      <c r="D822"/>
      <c r="E822"/>
      <c r="F822"/>
      <c r="G822"/>
      <c r="H822"/>
      <c r="I822"/>
      <c r="J822" s="150" t="s">
        <v>1552</v>
      </c>
      <c r="K822" s="8"/>
      <c r="L822" s="8"/>
      <c r="M822" s="8"/>
      <c r="N822" s="8"/>
      <c r="O822" s="8"/>
      <c r="P822" s="8"/>
      <c r="Q822" s="8"/>
      <c r="R822" s="8"/>
      <c r="S822" s="8"/>
      <c r="T822" s="1097">
        <v>1</v>
      </c>
      <c r="U822" s="1098"/>
      <c r="V822" s="1099"/>
      <c r="W822" s="808"/>
      <c r="X822" s="809"/>
      <c r="Y822" s="809"/>
      <c r="Z822" s="809"/>
      <c r="AA822" s="809"/>
      <c r="AB822" s="809"/>
      <c r="AC822" s="810"/>
      <c r="AD822"/>
      <c r="AE822"/>
      <c r="AF822"/>
      <c r="AG822"/>
      <c r="AH822"/>
      <c r="AI822"/>
      <c r="AJ822"/>
      <c r="AK822"/>
      <c r="AL822"/>
      <c r="AM822" s="33"/>
      <c r="AN822" s="33"/>
      <c r="AO822" s="33"/>
      <c r="AP822" s="33"/>
      <c r="AQ822" s="33"/>
      <c r="AR822" s="18"/>
      <c r="AS822" s="18"/>
      <c r="AT822" s="18"/>
      <c r="AU822" s="18"/>
      <c r="AV822" s="18"/>
      <c r="AW822" s="18"/>
      <c r="AX822" s="18"/>
      <c r="AY822" s="18"/>
      <c r="AZ822" s="18"/>
      <c r="BA822" s="18"/>
      <c r="BB822" s="197" t="s">
        <v>818</v>
      </c>
      <c r="BC822" s="409">
        <v>319236</v>
      </c>
      <c r="BD822" s="409">
        <v>368076</v>
      </c>
      <c r="BE822" s="409">
        <v>444000</v>
      </c>
      <c r="BF822" s="409">
        <v>568320</v>
      </c>
      <c r="BG822" s="409">
        <v>633144</v>
      </c>
      <c r="BH822" s="18"/>
      <c r="BI822" s="197" t="s">
        <v>818</v>
      </c>
      <c r="BJ822" s="409">
        <v>319236</v>
      </c>
      <c r="BK822" s="409">
        <v>368076</v>
      </c>
      <c r="BL822" s="409">
        <v>444000</v>
      </c>
      <c r="BM822" s="409">
        <v>568320</v>
      </c>
      <c r="BN822" s="409">
        <v>633144</v>
      </c>
      <c r="BO822" s="33"/>
      <c r="BP822" s="33"/>
      <c r="BQ822" s="33"/>
      <c r="BR822" s="33"/>
      <c r="BS822" s="33"/>
      <c r="BT822" s="33"/>
      <c r="BU822" s="33"/>
      <c r="BV822" s="33"/>
      <c r="BW822" s="33"/>
      <c r="BX822" s="33"/>
      <c r="BY822" s="33"/>
      <c r="BZ822" s="33"/>
      <c r="CA822" s="33"/>
      <c r="CB822" s="33"/>
      <c r="CC822" s="33"/>
      <c r="CD822" s="33"/>
      <c r="CE822" s="33"/>
      <c r="CF822" s="33"/>
      <c r="CG822" s="33"/>
      <c r="CH822" s="33"/>
      <c r="CI822" s="33"/>
      <c r="CJ822" s="33"/>
      <c r="CK822" s="33"/>
      <c r="CL822" s="33"/>
      <c r="CM822" s="33"/>
      <c r="CN822" s="33"/>
      <c r="CO822" s="33"/>
      <c r="CP822" s="33"/>
      <c r="CQ822" s="33"/>
      <c r="CR822" s="33"/>
      <c r="CS822" s="33"/>
    </row>
    <row r="823" spans="1:97" s="4" customFormat="1" ht="12.95" customHeight="1">
      <c r="A823"/>
      <c r="B823"/>
      <c r="C823" s="2" t="s">
        <v>1553</v>
      </c>
      <c r="D823"/>
      <c r="E823"/>
      <c r="F823"/>
      <c r="G823"/>
      <c r="H823"/>
      <c r="I823"/>
      <c r="J823" s="7" t="s">
        <v>1554</v>
      </c>
      <c r="K823" s="8"/>
      <c r="L823" s="8"/>
      <c r="M823" s="8"/>
      <c r="N823" s="8"/>
      <c r="O823" s="8"/>
      <c r="P823" s="8"/>
      <c r="Q823" s="8"/>
      <c r="R823" s="8"/>
      <c r="S823" s="8"/>
      <c r="T823" s="8"/>
      <c r="U823" s="8"/>
      <c r="V823" s="37"/>
      <c r="W823" s="1856">
        <v>57706</v>
      </c>
      <c r="X823" s="1857"/>
      <c r="Y823" s="1857"/>
      <c r="Z823" s="1857"/>
      <c r="AA823" s="1857"/>
      <c r="AB823" s="1857"/>
      <c r="AC823" s="1858"/>
      <c r="AD823"/>
      <c r="AE823"/>
      <c r="AF823"/>
      <c r="AG823"/>
      <c r="AH823"/>
      <c r="AI823"/>
      <c r="AJ823"/>
      <c r="AK823"/>
      <c r="AL823" s="20"/>
      <c r="AM823" s="33"/>
      <c r="AN823" s="33"/>
      <c r="AO823" s="33"/>
      <c r="AP823" s="33"/>
      <c r="AQ823" s="33"/>
      <c r="AR823" s="18"/>
      <c r="AS823" s="18"/>
      <c r="AT823" s="18"/>
      <c r="AU823" s="18"/>
      <c r="AV823" s="18"/>
      <c r="AW823" s="18"/>
      <c r="AX823" s="18"/>
      <c r="AY823" s="18"/>
      <c r="AZ823" s="18"/>
      <c r="BA823" s="18"/>
      <c r="BB823" s="197" t="s">
        <v>822</v>
      </c>
      <c r="BC823" s="410">
        <v>352022</v>
      </c>
      <c r="BD823" s="410">
        <v>405878</v>
      </c>
      <c r="BE823" s="410">
        <v>489600</v>
      </c>
      <c r="BF823" s="410">
        <v>626688</v>
      </c>
      <c r="BG823" s="410">
        <v>698170</v>
      </c>
      <c r="BH823" s="18"/>
      <c r="BI823" s="197" t="s">
        <v>822</v>
      </c>
      <c r="BJ823" s="410">
        <v>352022</v>
      </c>
      <c r="BK823" s="410">
        <v>405878</v>
      </c>
      <c r="BL823" s="410">
        <v>489600</v>
      </c>
      <c r="BM823" s="410">
        <v>626688</v>
      </c>
      <c r="BN823" s="410">
        <v>698170</v>
      </c>
      <c r="BO823" s="33"/>
      <c r="BP823" s="33"/>
      <c r="BQ823" s="33"/>
      <c r="BR823" s="33"/>
      <c r="BS823" s="33"/>
      <c r="BT823" s="33"/>
      <c r="BU823" s="33"/>
      <c r="BV823" s="33"/>
      <c r="BW823" s="33"/>
      <c r="BX823" s="33"/>
      <c r="BY823" s="33"/>
      <c r="BZ823" s="33"/>
      <c r="CA823" s="33"/>
      <c r="CB823" s="33"/>
      <c r="CC823" s="33"/>
      <c r="CD823" s="33"/>
      <c r="CE823" s="33"/>
      <c r="CF823" s="33"/>
      <c r="CG823" s="33"/>
      <c r="CH823" s="33"/>
      <c r="CI823" s="33"/>
      <c r="CJ823" s="33"/>
      <c r="CK823" s="33"/>
      <c r="CL823" s="33"/>
      <c r="CM823" s="33"/>
      <c r="CN823" s="33"/>
      <c r="CO823" s="33"/>
      <c r="CP823" s="33"/>
      <c r="CQ823" s="33"/>
      <c r="CR823" s="33"/>
      <c r="CS823" s="33"/>
    </row>
    <row r="824" spans="1:97" s="4" customFormat="1" ht="12.95" customHeight="1">
      <c r="A824"/>
      <c r="B824"/>
      <c r="C824" s="2"/>
      <c r="D824"/>
      <c r="E824"/>
      <c r="F824"/>
      <c r="G824"/>
      <c r="H824"/>
      <c r="I824"/>
      <c r="J824" s="150" t="s">
        <v>1555</v>
      </c>
      <c r="K824" s="8"/>
      <c r="L824" s="8"/>
      <c r="M824" s="8"/>
      <c r="N824" s="8"/>
      <c r="O824" s="8"/>
      <c r="P824" s="8"/>
      <c r="Q824" s="8"/>
      <c r="R824" s="8"/>
      <c r="S824" s="8"/>
      <c r="T824" s="1097">
        <v>1</v>
      </c>
      <c r="U824" s="1098"/>
      <c r="V824" s="1099"/>
      <c r="W824" s="808"/>
      <c r="X824" s="809"/>
      <c r="Y824" s="809"/>
      <c r="Z824" s="809"/>
      <c r="AA824" s="809"/>
      <c r="AB824" s="809"/>
      <c r="AC824" s="810"/>
      <c r="AD824"/>
      <c r="AE824"/>
      <c r="AF824"/>
      <c r="AG824"/>
      <c r="AH824"/>
      <c r="AI824"/>
      <c r="AJ824"/>
      <c r="AK824"/>
      <c r="AL824" s="20"/>
      <c r="AM824" s="33"/>
      <c r="AN824" s="33"/>
      <c r="AO824" s="33"/>
      <c r="AP824" s="33"/>
      <c r="AQ824" s="33"/>
      <c r="AR824" s="18"/>
      <c r="AS824" s="18"/>
      <c r="AT824" s="18"/>
      <c r="AU824" s="18"/>
      <c r="AV824" s="18"/>
      <c r="AW824" s="18"/>
      <c r="AX824" s="18"/>
      <c r="AY824" s="18"/>
      <c r="AZ824" s="18"/>
      <c r="BA824" s="18"/>
      <c r="BB824" s="197" t="s">
        <v>827</v>
      </c>
      <c r="BC824" s="409">
        <v>352022</v>
      </c>
      <c r="BD824" s="409">
        <v>405878</v>
      </c>
      <c r="BE824" s="409">
        <v>489600</v>
      </c>
      <c r="BF824" s="409">
        <v>626688</v>
      </c>
      <c r="BG824" s="409">
        <v>698170</v>
      </c>
      <c r="BH824" s="18"/>
      <c r="BI824" s="197" t="s">
        <v>827</v>
      </c>
      <c r="BJ824" s="409">
        <v>352022</v>
      </c>
      <c r="BK824" s="409">
        <v>405878</v>
      </c>
      <c r="BL824" s="409">
        <v>489600</v>
      </c>
      <c r="BM824" s="409">
        <v>626688</v>
      </c>
      <c r="BN824" s="409">
        <v>698170</v>
      </c>
      <c r="BO824" s="33"/>
      <c r="BP824" s="33"/>
      <c r="BQ824" s="33"/>
      <c r="BR824" s="33"/>
      <c r="BS824" s="33"/>
      <c r="BT824" s="33"/>
      <c r="BU824" s="33"/>
      <c r="BV824" s="33"/>
      <c r="BW824" s="33"/>
      <c r="BX824" s="33"/>
      <c r="BY824" s="33"/>
      <c r="BZ824" s="33"/>
      <c r="CA824" s="33"/>
      <c r="CB824" s="33"/>
      <c r="CC824" s="33"/>
      <c r="CD824" s="33"/>
      <c r="CE824" s="33"/>
      <c r="CF824" s="33"/>
      <c r="CG824" s="33"/>
      <c r="CH824" s="33"/>
      <c r="CI824" s="33"/>
      <c r="CJ824" s="33"/>
      <c r="CK824" s="33"/>
      <c r="CL824" s="33"/>
      <c r="CM824" s="33"/>
      <c r="CN824" s="33"/>
      <c r="CO824" s="33"/>
      <c r="CP824" s="33"/>
      <c r="CQ824" s="33"/>
      <c r="CR824" s="33"/>
      <c r="CS824" s="33"/>
    </row>
    <row r="825" spans="1:97" s="4" customFormat="1" ht="12.95" customHeight="1">
      <c r="A825"/>
      <c r="B825"/>
      <c r="C825"/>
      <c r="D825"/>
      <c r="E825"/>
      <c r="F825"/>
      <c r="G825"/>
      <c r="H825"/>
      <c r="I825"/>
      <c r="J825" s="7" t="s">
        <v>1233</v>
      </c>
      <c r="K825" s="8"/>
      <c r="L825" s="8"/>
      <c r="M825" s="1055" t="s">
        <v>1556</v>
      </c>
      <c r="N825" s="1056"/>
      <c r="O825" s="1056"/>
      <c r="P825" s="1056"/>
      <c r="Q825" s="1056"/>
      <c r="R825" s="1056"/>
      <c r="S825" s="1056"/>
      <c r="T825" s="1056"/>
      <c r="U825" s="1056"/>
      <c r="V825" s="1057"/>
      <c r="W825" s="1856">
        <v>39866</v>
      </c>
      <c r="X825" s="1857"/>
      <c r="Y825" s="1857"/>
      <c r="Z825" s="1857"/>
      <c r="AA825" s="1857"/>
      <c r="AB825" s="1857"/>
      <c r="AC825" s="1858"/>
      <c r="AD825"/>
      <c r="AE825"/>
      <c r="AF825"/>
      <c r="AG825"/>
      <c r="AH825"/>
      <c r="AI825"/>
      <c r="AJ825"/>
      <c r="AK825"/>
      <c r="AL825" s="20"/>
      <c r="AM825" s="33"/>
      <c r="AN825" s="33"/>
      <c r="AO825" s="33"/>
      <c r="AP825" s="33"/>
      <c r="AQ825" s="33"/>
      <c r="AR825" s="18"/>
      <c r="AS825" s="18"/>
      <c r="AT825" s="18"/>
      <c r="AU825" s="18"/>
      <c r="AV825" s="18"/>
      <c r="AW825" s="18"/>
      <c r="AX825" s="18"/>
      <c r="AY825" s="18"/>
      <c r="AZ825" s="18"/>
      <c r="BA825" s="18"/>
      <c r="BB825" s="197" t="s">
        <v>831</v>
      </c>
      <c r="BC825" s="410">
        <v>473390</v>
      </c>
      <c r="BD825" s="410">
        <v>545814</v>
      </c>
      <c r="BE825" s="410">
        <v>658400</v>
      </c>
      <c r="BF825" s="410">
        <v>842752</v>
      </c>
      <c r="BG825" s="410">
        <v>938878</v>
      </c>
      <c r="BH825" s="18"/>
      <c r="BI825" s="197" t="s">
        <v>831</v>
      </c>
      <c r="BJ825" s="410">
        <v>473390</v>
      </c>
      <c r="BK825" s="410">
        <v>545814</v>
      </c>
      <c r="BL825" s="410">
        <v>658400</v>
      </c>
      <c r="BM825" s="410">
        <v>842752</v>
      </c>
      <c r="BN825" s="410">
        <v>938878</v>
      </c>
      <c r="BO825" s="33"/>
      <c r="BP825" s="33"/>
      <c r="BQ825" s="33"/>
      <c r="BR825" s="33"/>
      <c r="BS825" s="33"/>
      <c r="BT825" s="33"/>
      <c r="BU825" s="33"/>
      <c r="BV825" s="33"/>
      <c r="BW825" s="33"/>
      <c r="BX825" s="33"/>
      <c r="BY825" s="33"/>
      <c r="BZ825" s="33"/>
      <c r="CA825" s="33"/>
      <c r="CB825" s="33"/>
      <c r="CC825" s="33"/>
      <c r="CD825" s="33"/>
      <c r="CE825" s="33"/>
      <c r="CF825" s="33"/>
      <c r="CG825" s="33"/>
      <c r="CH825" s="33"/>
      <c r="CI825" s="33"/>
      <c r="CJ825" s="33"/>
      <c r="CK825" s="33"/>
      <c r="CL825" s="33"/>
      <c r="CM825" s="33"/>
      <c r="CN825" s="33"/>
      <c r="CO825" s="33"/>
      <c r="CP825" s="33"/>
      <c r="CQ825" s="33"/>
      <c r="CR825" s="33"/>
      <c r="CS825" s="33"/>
    </row>
    <row r="826" spans="1:97" s="4" customFormat="1" ht="12.95" customHeight="1">
      <c r="A826"/>
      <c r="B826"/>
      <c r="C826"/>
      <c r="D826"/>
      <c r="E826"/>
      <c r="F826"/>
      <c r="G826"/>
      <c r="H826"/>
      <c r="I826"/>
      <c r="J826" s="7"/>
      <c r="K826" s="8"/>
      <c r="L826" s="8"/>
      <c r="M826" s="8"/>
      <c r="N826" s="8"/>
      <c r="O826" s="8"/>
      <c r="P826" s="8"/>
      <c r="Q826" s="8"/>
      <c r="R826" s="8"/>
      <c r="S826" s="8"/>
      <c r="T826" s="8"/>
      <c r="U826" s="8"/>
      <c r="V826" s="788" t="s">
        <v>1557</v>
      </c>
      <c r="W826" s="1859">
        <f>SUM(W821:AC825)</f>
        <v>160604</v>
      </c>
      <c r="X826" s="1860"/>
      <c r="Y826" s="1860"/>
      <c r="Z826" s="1860"/>
      <c r="AA826" s="1860"/>
      <c r="AB826" s="1860"/>
      <c r="AC826" s="1861"/>
      <c r="AD826"/>
      <c r="AE826"/>
      <c r="AF826"/>
      <c r="AG826"/>
      <c r="AH826"/>
      <c r="AI826"/>
      <c r="AJ826"/>
      <c r="AK826"/>
      <c r="AL826" s="20"/>
      <c r="AM826" s="30"/>
      <c r="AN826" s="30"/>
      <c r="AO826" s="18"/>
      <c r="AP826" s="18"/>
      <c r="AQ826" s="18"/>
      <c r="AR826" s="18"/>
      <c r="AS826" s="18"/>
      <c r="AT826" s="18"/>
      <c r="AU826" s="18"/>
      <c r="AV826" s="18"/>
      <c r="AW826" s="18"/>
      <c r="AX826" s="18"/>
      <c r="AY826" s="18"/>
      <c r="AZ826" s="18"/>
      <c r="BA826" s="18"/>
      <c r="BB826" s="197" t="s">
        <v>835</v>
      </c>
      <c r="BC826" s="409">
        <v>352022</v>
      </c>
      <c r="BD826" s="409">
        <v>405878</v>
      </c>
      <c r="BE826" s="409">
        <v>489600</v>
      </c>
      <c r="BF826" s="409">
        <v>626688</v>
      </c>
      <c r="BG826" s="409">
        <v>698170</v>
      </c>
      <c r="BH826" s="18"/>
      <c r="BI826" s="197" t="s">
        <v>835</v>
      </c>
      <c r="BJ826" s="409">
        <v>352022</v>
      </c>
      <c r="BK826" s="409">
        <v>405878</v>
      </c>
      <c r="BL826" s="409">
        <v>489600</v>
      </c>
      <c r="BM826" s="409">
        <v>626688</v>
      </c>
      <c r="BN826" s="409">
        <v>698170</v>
      </c>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row>
    <row r="827" spans="1:97" s="4" customFormat="1" ht="12.95" customHeight="1">
      <c r="A827"/>
      <c r="B827"/>
      <c r="C827"/>
      <c r="D827"/>
      <c r="E827"/>
      <c r="F827"/>
      <c r="G827"/>
      <c r="H827"/>
      <c r="I827"/>
      <c r="J827" s="7"/>
      <c r="K827" s="8"/>
      <c r="L827" s="8"/>
      <c r="M827" s="8"/>
      <c r="N827" s="8"/>
      <c r="O827" s="8"/>
      <c r="P827" s="8"/>
      <c r="Q827" s="8"/>
      <c r="R827" s="8"/>
      <c r="S827" s="8"/>
      <c r="T827" s="8"/>
      <c r="U827" s="8"/>
      <c r="V827" s="788" t="s">
        <v>1558</v>
      </c>
      <c r="W827" s="1856"/>
      <c r="X827" s="1857"/>
      <c r="Y827" s="1857"/>
      <c r="Z827" s="1857"/>
      <c r="AA827" s="1857"/>
      <c r="AB827" s="1857"/>
      <c r="AC827" s="1858"/>
      <c r="AD827"/>
      <c r="AE827"/>
      <c r="AF827"/>
      <c r="AG827"/>
      <c r="AH827"/>
      <c r="AI827"/>
      <c r="AJ827"/>
      <c r="AK827"/>
      <c r="AL827" s="20"/>
      <c r="AM827" s="30"/>
      <c r="AN827" s="30"/>
      <c r="AO827" s="18"/>
      <c r="AP827" s="18"/>
      <c r="AQ827" s="18"/>
      <c r="AR827" s="18"/>
      <c r="AS827" s="18"/>
      <c r="AT827" s="18"/>
      <c r="AU827" s="18"/>
      <c r="AV827" s="18"/>
      <c r="AW827" s="18"/>
      <c r="AX827" s="18"/>
      <c r="AY827" s="18"/>
      <c r="AZ827" s="18"/>
      <c r="BA827" s="18"/>
      <c r="BB827" s="197" t="s">
        <v>837</v>
      </c>
      <c r="BC827" s="410">
        <v>331890</v>
      </c>
      <c r="BD827" s="410">
        <v>382666</v>
      </c>
      <c r="BE827" s="410">
        <v>461600</v>
      </c>
      <c r="BF827" s="410">
        <v>590848</v>
      </c>
      <c r="BG827" s="410">
        <v>658242</v>
      </c>
      <c r="BH827" s="18"/>
      <c r="BI827" s="197" t="s">
        <v>837</v>
      </c>
      <c r="BJ827" s="410">
        <v>331890</v>
      </c>
      <c r="BK827" s="410">
        <v>382666</v>
      </c>
      <c r="BL827" s="410">
        <v>461600</v>
      </c>
      <c r="BM827" s="410">
        <v>590848</v>
      </c>
      <c r="BN827" s="410">
        <v>658242</v>
      </c>
      <c r="BO827" s="33"/>
      <c r="BP827" s="33"/>
      <c r="BQ827" s="33"/>
      <c r="BR827" s="33"/>
      <c r="BS827" s="33"/>
      <c r="BT827" s="33"/>
      <c r="BU827" s="33"/>
      <c r="BV827" s="33"/>
      <c r="BW827" s="33"/>
      <c r="BX827" s="33"/>
      <c r="BY827" s="33"/>
      <c r="BZ827" s="33"/>
      <c r="CA827" s="33"/>
      <c r="CB827" s="33"/>
      <c r="CC827" s="33"/>
      <c r="CD827" s="33"/>
      <c r="CE827" s="33"/>
      <c r="CF827" s="33"/>
      <c r="CG827" s="33"/>
      <c r="CH827" s="33"/>
      <c r="CI827" s="33"/>
      <c r="CJ827" s="33"/>
      <c r="CK827" s="33"/>
      <c r="CL827" s="33"/>
      <c r="CM827" s="33"/>
      <c r="CN827" s="33"/>
      <c r="CO827" s="33"/>
      <c r="CP827" s="33"/>
      <c r="CQ827" s="33"/>
      <c r="CR827" s="33"/>
      <c r="CS827" s="33"/>
    </row>
    <row r="828" spans="1:97" s="4"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0"/>
      <c r="AN828" s="30"/>
      <c r="AO828" s="18"/>
      <c r="AP828" s="18"/>
      <c r="AQ828" s="18"/>
      <c r="AR828" s="18"/>
      <c r="AS828" s="18"/>
      <c r="AT828" s="18"/>
      <c r="AU828" s="18"/>
      <c r="AV828" s="18"/>
      <c r="AW828" s="18"/>
      <c r="AX828" s="18"/>
      <c r="AY828" s="18"/>
      <c r="AZ828" s="18"/>
      <c r="BA828" s="18"/>
      <c r="BB828" s="197" t="s">
        <v>840</v>
      </c>
      <c r="BC828" s="409">
        <v>307732</v>
      </c>
      <c r="BD828" s="409">
        <v>354812</v>
      </c>
      <c r="BE828" s="409">
        <v>428000</v>
      </c>
      <c r="BF828" s="409">
        <v>547840</v>
      </c>
      <c r="BG828" s="409">
        <v>610328</v>
      </c>
      <c r="BH828" s="18"/>
      <c r="BI828" s="197" t="s">
        <v>840</v>
      </c>
      <c r="BJ828" s="409">
        <v>307732</v>
      </c>
      <c r="BK828" s="409">
        <v>354812</v>
      </c>
      <c r="BL828" s="409">
        <v>428000</v>
      </c>
      <c r="BM828" s="409">
        <v>547840</v>
      </c>
      <c r="BN828" s="409">
        <v>610328</v>
      </c>
      <c r="BO828" s="33"/>
      <c r="BP828" s="33"/>
      <c r="BQ828" s="33"/>
      <c r="BR828" s="33"/>
      <c r="BS828" s="33"/>
      <c r="BT828" s="33"/>
      <c r="BU828" s="33"/>
      <c r="BV828" s="33"/>
      <c r="BW828" s="33"/>
      <c r="BX828" s="33"/>
      <c r="BY828" s="33"/>
      <c r="BZ828" s="33"/>
      <c r="CA828" s="33"/>
      <c r="CB828" s="33"/>
      <c r="CC828" s="33"/>
      <c r="CD828" s="33"/>
      <c r="CE828" s="33"/>
      <c r="CF828" s="33"/>
      <c r="CG828" s="33"/>
      <c r="CH828" s="33"/>
      <c r="CI828" s="33"/>
      <c r="CJ828" s="33"/>
      <c r="CK828" s="33"/>
      <c r="CL828" s="33"/>
      <c r="CM828" s="33"/>
      <c r="CN828" s="33"/>
      <c r="CO828" s="33"/>
      <c r="CP828" s="33"/>
      <c r="CQ828" s="33"/>
      <c r="CR828" s="33"/>
      <c r="CS828" s="33"/>
    </row>
    <row r="829" spans="1:97" s="4" customFormat="1" ht="12.95" customHeight="1">
      <c r="A829"/>
      <c r="B829"/>
      <c r="C829" s="2" t="s">
        <v>227</v>
      </c>
      <c r="D829"/>
      <c r="E829"/>
      <c r="F829"/>
      <c r="G829"/>
      <c r="H829"/>
      <c r="I829"/>
      <c r="J829" s="7" t="s">
        <v>1559</v>
      </c>
      <c r="K829" s="8"/>
      <c r="L829" s="8"/>
      <c r="M829" s="8"/>
      <c r="N829" s="8"/>
      <c r="O829" s="8"/>
      <c r="P829" s="8"/>
      <c r="Q829" s="8"/>
      <c r="R829" s="8"/>
      <c r="S829" s="8"/>
      <c r="T829" s="8"/>
      <c r="U829" s="8"/>
      <c r="V829" s="37"/>
      <c r="W829" s="1087"/>
      <c r="X829" s="1087"/>
      <c r="Y829" s="1087"/>
      <c r="Z829" s="1087"/>
      <c r="AA829" s="1087"/>
      <c r="AB829" s="1087"/>
      <c r="AC829" s="1087"/>
      <c r="AD829"/>
      <c r="AE829"/>
      <c r="AF829"/>
      <c r="AG829"/>
      <c r="AH829"/>
      <c r="AI829"/>
      <c r="AJ829"/>
      <c r="AK829"/>
      <c r="AL829"/>
      <c r="AM829" s="30"/>
      <c r="AN829" s="30"/>
      <c r="AO829" s="18"/>
      <c r="AP829" s="18"/>
      <c r="AQ829" s="18"/>
      <c r="AR829" s="18"/>
      <c r="AS829" s="18"/>
      <c r="AT829" s="18"/>
      <c r="AU829" s="18"/>
      <c r="AV829" s="18"/>
      <c r="AW829" s="18"/>
      <c r="AX829" s="18"/>
      <c r="AY829" s="18"/>
      <c r="AZ829" s="18"/>
      <c r="BA829" s="18"/>
      <c r="BB829" s="197" t="s">
        <v>843</v>
      </c>
      <c r="BC829" s="410">
        <v>352022</v>
      </c>
      <c r="BD829" s="410">
        <v>405878</v>
      </c>
      <c r="BE829" s="410">
        <v>489600</v>
      </c>
      <c r="BF829" s="410">
        <v>626688</v>
      </c>
      <c r="BG829" s="410">
        <v>698170</v>
      </c>
      <c r="BH829" s="18"/>
      <c r="BI829" s="197" t="s">
        <v>843</v>
      </c>
      <c r="BJ829" s="410">
        <v>352022</v>
      </c>
      <c r="BK829" s="410">
        <v>405878</v>
      </c>
      <c r="BL829" s="410">
        <v>489600</v>
      </c>
      <c r="BM829" s="410">
        <v>626688</v>
      </c>
      <c r="BN829" s="410">
        <v>698170</v>
      </c>
      <c r="BO829" s="33"/>
      <c r="BP829" s="33"/>
      <c r="BQ829" s="33"/>
      <c r="BR829" s="33"/>
      <c r="BS829" s="33"/>
      <c r="BT829" s="33"/>
      <c r="BU829" s="33"/>
      <c r="BV829" s="33"/>
      <c r="BW829" s="33"/>
      <c r="BX829" s="33"/>
      <c r="BY829" s="33"/>
      <c r="BZ829" s="33"/>
      <c r="CA829" s="33"/>
      <c r="CB829" s="33"/>
      <c r="CC829" s="33"/>
      <c r="CD829" s="33"/>
      <c r="CE829" s="33"/>
      <c r="CF829" s="33"/>
      <c r="CG829" s="33"/>
      <c r="CH829" s="33"/>
      <c r="CI829" s="33"/>
      <c r="CJ829" s="33"/>
      <c r="CK829" s="33"/>
      <c r="CL829" s="33"/>
      <c r="CM829" s="33"/>
      <c r="CN829" s="33"/>
      <c r="CO829" s="33"/>
      <c r="CP829" s="33"/>
      <c r="CQ829" s="33"/>
      <c r="CR829" s="33"/>
      <c r="CS829" s="33"/>
    </row>
    <row r="830" spans="1:97" s="4" customFormat="1" ht="12.95" customHeight="1">
      <c r="A830"/>
      <c r="B830"/>
      <c r="C830"/>
      <c r="D830"/>
      <c r="E830"/>
      <c r="F830"/>
      <c r="G830"/>
      <c r="H830"/>
      <c r="I830"/>
      <c r="J830" s="7" t="s">
        <v>1560</v>
      </c>
      <c r="K830" s="8"/>
      <c r="L830" s="8"/>
      <c r="M830" s="8"/>
      <c r="N830" s="8"/>
      <c r="O830" s="8"/>
      <c r="P830" s="8"/>
      <c r="Q830" s="8"/>
      <c r="R830" s="8"/>
      <c r="S830" s="8"/>
      <c r="T830" s="8"/>
      <c r="U830" s="8"/>
      <c r="V830" s="37"/>
      <c r="W830" s="1087">
        <v>1500</v>
      </c>
      <c r="X830" s="1087"/>
      <c r="Y830" s="1087"/>
      <c r="Z830" s="1087"/>
      <c r="AA830" s="1087"/>
      <c r="AB830" s="1087"/>
      <c r="AC830" s="1087"/>
      <c r="AD830"/>
      <c r="AE830"/>
      <c r="AF830"/>
      <c r="AG830"/>
      <c r="AH830"/>
      <c r="AI830"/>
      <c r="AJ830"/>
      <c r="AK830"/>
      <c r="AL830"/>
      <c r="AM830" s="30"/>
      <c r="AN830" s="30"/>
      <c r="AO830" s="18"/>
      <c r="AP830" s="18"/>
      <c r="AQ830" s="18"/>
      <c r="AR830" s="18"/>
      <c r="AS830" s="18"/>
      <c r="AT830" s="18"/>
      <c r="AU830" s="18"/>
      <c r="AV830" s="18"/>
      <c r="AW830" s="18"/>
      <c r="AX830" s="18"/>
      <c r="AY830" s="18"/>
      <c r="AZ830" s="18"/>
      <c r="BA830" s="18"/>
      <c r="BB830" s="197" t="s">
        <v>845</v>
      </c>
      <c r="BC830" s="409">
        <v>352022</v>
      </c>
      <c r="BD830" s="409">
        <v>405878</v>
      </c>
      <c r="BE830" s="409">
        <v>489600</v>
      </c>
      <c r="BF830" s="409">
        <v>626688</v>
      </c>
      <c r="BG830" s="409">
        <v>698170</v>
      </c>
      <c r="BH830" s="18"/>
      <c r="BI830" s="197" t="s">
        <v>845</v>
      </c>
      <c r="BJ830" s="409">
        <v>352022</v>
      </c>
      <c r="BK830" s="409">
        <v>405878</v>
      </c>
      <c r="BL830" s="409">
        <v>489600</v>
      </c>
      <c r="BM830" s="409">
        <v>626688</v>
      </c>
      <c r="BN830" s="409">
        <v>698170</v>
      </c>
      <c r="BO830" s="33"/>
      <c r="BP830" s="33"/>
      <c r="BQ830" s="33"/>
      <c r="BR830" s="33"/>
      <c r="BS830" s="33"/>
      <c r="BT830" s="33"/>
      <c r="BU830" s="33"/>
      <c r="BV830" s="33"/>
      <c r="BW830" s="33"/>
      <c r="BX830" s="33"/>
      <c r="BY830" s="33"/>
      <c r="BZ830" s="33"/>
      <c r="CA830" s="33"/>
      <c r="CB830" s="33"/>
      <c r="CC830" s="33"/>
      <c r="CD830" s="33"/>
      <c r="CE830" s="33"/>
      <c r="CF830" s="33"/>
      <c r="CG830" s="33"/>
      <c r="CH830" s="33"/>
      <c r="CI830" s="33"/>
      <c r="CJ830" s="33"/>
      <c r="CK830" s="33"/>
      <c r="CL830" s="33"/>
      <c r="CM830" s="33"/>
      <c r="CN830" s="33"/>
      <c r="CO830" s="33"/>
      <c r="CP830" s="33"/>
      <c r="CQ830" s="33"/>
      <c r="CR830" s="33"/>
      <c r="CS830" s="33"/>
    </row>
    <row r="831" spans="1:97" s="4" customFormat="1" ht="12.95" customHeight="1">
      <c r="A831"/>
      <c r="B831"/>
      <c r="C831"/>
      <c r="D831"/>
      <c r="E831"/>
      <c r="F831"/>
      <c r="G831"/>
      <c r="H831"/>
      <c r="I831"/>
      <c r="J831" s="7" t="s">
        <v>1561</v>
      </c>
      <c r="K831" s="8"/>
      <c r="L831" s="8"/>
      <c r="M831" s="8"/>
      <c r="N831" s="8"/>
      <c r="O831" s="8"/>
      <c r="P831" s="8"/>
      <c r="Q831" s="8"/>
      <c r="R831" s="8"/>
      <c r="S831" s="8"/>
      <c r="T831" s="8"/>
      <c r="U831" s="8"/>
      <c r="V831" s="37"/>
      <c r="W831" s="1087">
        <v>28000</v>
      </c>
      <c r="X831" s="1087"/>
      <c r="Y831" s="1087"/>
      <c r="Z831" s="1087"/>
      <c r="AA831" s="1087"/>
      <c r="AB831" s="1087"/>
      <c r="AC831" s="1087"/>
      <c r="AD831"/>
      <c r="AE831"/>
      <c r="AF831"/>
      <c r="AG831"/>
      <c r="AH831"/>
      <c r="AI831"/>
      <c r="AJ831"/>
      <c r="AK831"/>
      <c r="AL831"/>
      <c r="AM831" s="30"/>
      <c r="AN831" s="30"/>
      <c r="AO831" s="18"/>
      <c r="AP831" s="18"/>
      <c r="AQ831" s="18"/>
      <c r="AR831" s="18"/>
      <c r="AS831" s="18"/>
      <c r="AT831" s="18"/>
      <c r="AU831" s="18"/>
      <c r="AV831" s="18"/>
      <c r="AW831" s="18"/>
      <c r="AX831" s="18"/>
      <c r="AY831" s="18"/>
      <c r="AZ831" s="18"/>
      <c r="BA831" s="18"/>
      <c r="BB831" s="197" t="s">
        <v>848</v>
      </c>
      <c r="BC831" s="410">
        <v>314634</v>
      </c>
      <c r="BD831" s="410">
        <v>362770</v>
      </c>
      <c r="BE831" s="410">
        <v>437600</v>
      </c>
      <c r="BF831" s="410">
        <v>560128</v>
      </c>
      <c r="BG831" s="410">
        <v>624018</v>
      </c>
      <c r="BH831" s="18"/>
      <c r="BI831" s="197" t="s">
        <v>848</v>
      </c>
      <c r="BJ831" s="410">
        <v>314634</v>
      </c>
      <c r="BK831" s="410">
        <v>362770</v>
      </c>
      <c r="BL831" s="410">
        <v>437600</v>
      </c>
      <c r="BM831" s="410">
        <v>560128</v>
      </c>
      <c r="BN831" s="410">
        <v>624018</v>
      </c>
      <c r="BO831" s="33"/>
      <c r="BP831" s="33"/>
      <c r="BQ831" s="33"/>
      <c r="BR831" s="33"/>
      <c r="BS831" s="33"/>
      <c r="BT831" s="33"/>
      <c r="BU831" s="33"/>
      <c r="BV831" s="33"/>
      <c r="BW831" s="33"/>
      <c r="BX831" s="33"/>
      <c r="BY831" s="33"/>
      <c r="BZ831" s="33"/>
      <c r="CA831" s="33"/>
      <c r="CB831" s="33"/>
      <c r="CC831" s="33"/>
      <c r="CD831" s="33"/>
      <c r="CE831" s="33"/>
      <c r="CF831" s="33"/>
      <c r="CG831" s="33"/>
      <c r="CH831" s="33"/>
      <c r="CI831" s="33"/>
      <c r="CJ831" s="33"/>
      <c r="CK831" s="33"/>
      <c r="CL831" s="33"/>
      <c r="CM831" s="33"/>
      <c r="CN831" s="33"/>
      <c r="CO831" s="33"/>
      <c r="CP831" s="33"/>
      <c r="CQ831" s="33"/>
      <c r="CR831" s="33"/>
      <c r="CS831" s="33"/>
    </row>
    <row r="832" spans="1:97" s="4" customFormat="1" ht="12.95" customHeight="1">
      <c r="A832"/>
      <c r="B832"/>
      <c r="C832"/>
      <c r="D832"/>
      <c r="E832"/>
      <c r="F832"/>
      <c r="G832"/>
      <c r="H832"/>
      <c r="I832"/>
      <c r="J832" s="7" t="s">
        <v>1562</v>
      </c>
      <c r="K832" s="8"/>
      <c r="L832" s="8"/>
      <c r="M832" s="8"/>
      <c r="N832" s="8"/>
      <c r="O832" s="8"/>
      <c r="P832" s="8"/>
      <c r="Q832" s="8"/>
      <c r="R832" s="8"/>
      <c r="S832" s="8"/>
      <c r="T832" s="8"/>
      <c r="U832" s="8"/>
      <c r="V832" s="37"/>
      <c r="W832" s="1087">
        <v>3320</v>
      </c>
      <c r="X832" s="1087"/>
      <c r="Y832" s="1087"/>
      <c r="Z832" s="1087"/>
      <c r="AA832" s="1087"/>
      <c r="AB832" s="1087"/>
      <c r="AC832" s="1087"/>
      <c r="AD832"/>
      <c r="AE832"/>
      <c r="AF832"/>
      <c r="AG832"/>
      <c r="AH832"/>
      <c r="AI832"/>
      <c r="AJ832"/>
      <c r="AK832"/>
      <c r="AL832"/>
      <c r="AM832" s="30"/>
      <c r="AN832" s="30"/>
      <c r="AO832" s="18"/>
      <c r="AP832" s="18"/>
      <c r="AQ832" s="18"/>
      <c r="AR832" s="18"/>
      <c r="AS832" s="18"/>
      <c r="AT832" s="18"/>
      <c r="AU832" s="18"/>
      <c r="AV832" s="18"/>
      <c r="AW832" s="18"/>
      <c r="AX832" s="18"/>
      <c r="AY832" s="18"/>
      <c r="AZ832" s="18"/>
      <c r="BA832" s="18"/>
      <c r="BB832" s="197" t="s">
        <v>850</v>
      </c>
      <c r="BC832" s="409">
        <v>352022</v>
      </c>
      <c r="BD832" s="409">
        <v>405878</v>
      </c>
      <c r="BE832" s="409">
        <v>489600</v>
      </c>
      <c r="BF832" s="409">
        <v>626688</v>
      </c>
      <c r="BG832" s="409">
        <v>698170</v>
      </c>
      <c r="BH832" s="18"/>
      <c r="BI832" s="197" t="s">
        <v>850</v>
      </c>
      <c r="BJ832" s="409">
        <v>352022</v>
      </c>
      <c r="BK832" s="409">
        <v>405878</v>
      </c>
      <c r="BL832" s="409">
        <v>489600</v>
      </c>
      <c r="BM832" s="409">
        <v>626688</v>
      </c>
      <c r="BN832" s="409">
        <v>698170</v>
      </c>
      <c r="BO832" s="33"/>
      <c r="BP832" s="33"/>
      <c r="BQ832" s="33"/>
      <c r="BR832" s="33"/>
      <c r="BS832" s="33"/>
      <c r="BT832" s="33"/>
      <c r="BU832" s="33"/>
      <c r="BV832" s="33"/>
      <c r="BW832" s="33"/>
      <c r="BX832" s="33"/>
      <c r="BY832" s="33"/>
      <c r="BZ832" s="33"/>
      <c r="CA832" s="33"/>
      <c r="CB832" s="33"/>
      <c r="CC832" s="33"/>
      <c r="CD832" s="33"/>
      <c r="CE832" s="33"/>
      <c r="CF832" s="33"/>
      <c r="CG832" s="33"/>
      <c r="CH832" s="33"/>
      <c r="CI832" s="33"/>
      <c r="CJ832" s="33"/>
      <c r="CK832" s="33"/>
      <c r="CL832" s="33"/>
      <c r="CM832" s="33"/>
      <c r="CN832" s="33"/>
      <c r="CO832" s="33"/>
      <c r="CP832" s="33"/>
      <c r="CQ832" s="33"/>
      <c r="CR832" s="33"/>
      <c r="CS832" s="33"/>
    </row>
    <row r="833" spans="1:97" s="4" customFormat="1" ht="12.95" customHeight="1">
      <c r="A833"/>
      <c r="B833"/>
      <c r="C833"/>
      <c r="D833"/>
      <c r="E833"/>
      <c r="F833"/>
      <c r="G833"/>
      <c r="H833"/>
      <c r="I833"/>
      <c r="J833" s="7" t="s">
        <v>1563</v>
      </c>
      <c r="K833" s="8"/>
      <c r="L833" s="8"/>
      <c r="M833" s="8"/>
      <c r="N833" s="8"/>
      <c r="O833" s="8"/>
      <c r="P833" s="8"/>
      <c r="Q833" s="8"/>
      <c r="R833" s="8"/>
      <c r="S833" s="8"/>
      <c r="T833" s="8"/>
      <c r="U833" s="8"/>
      <c r="V833" s="37"/>
      <c r="W833" s="1087">
        <v>13200</v>
      </c>
      <c r="X833" s="1087"/>
      <c r="Y833" s="1087"/>
      <c r="Z833" s="1087"/>
      <c r="AA833" s="1087"/>
      <c r="AB833" s="1087"/>
      <c r="AC833" s="1087"/>
      <c r="AD833"/>
      <c r="AE833"/>
      <c r="AF833"/>
      <c r="AG833"/>
      <c r="AH833"/>
      <c r="AI833"/>
      <c r="AJ833"/>
      <c r="AK833"/>
      <c r="AL833"/>
      <c r="AM833" s="30"/>
      <c r="AN833" s="30"/>
      <c r="AO833" s="18"/>
      <c r="AP833" s="18"/>
      <c r="AQ833" s="18"/>
      <c r="AR833" s="18"/>
      <c r="AS833" s="18"/>
      <c r="AT833" s="18"/>
      <c r="AU833" s="18"/>
      <c r="AV833" s="18"/>
      <c r="AW833" s="18"/>
      <c r="AX833" s="18"/>
      <c r="AY833" s="18"/>
      <c r="AZ833" s="18"/>
      <c r="BA833" s="18"/>
      <c r="BB833" s="197" t="s">
        <v>852</v>
      </c>
      <c r="BC833" s="410">
        <v>307732</v>
      </c>
      <c r="BD833" s="410">
        <v>354812</v>
      </c>
      <c r="BE833" s="410">
        <v>428000</v>
      </c>
      <c r="BF833" s="410">
        <v>547840</v>
      </c>
      <c r="BG833" s="410">
        <v>610328</v>
      </c>
      <c r="BH833" s="18"/>
      <c r="BI833" s="197" t="s">
        <v>852</v>
      </c>
      <c r="BJ833" s="410">
        <v>307732</v>
      </c>
      <c r="BK833" s="410">
        <v>354812</v>
      </c>
      <c r="BL833" s="410">
        <v>428000</v>
      </c>
      <c r="BM833" s="410">
        <v>547840</v>
      </c>
      <c r="BN833" s="410">
        <v>610328</v>
      </c>
      <c r="BO833" s="33"/>
      <c r="BP833" s="33"/>
      <c r="BQ833" s="33"/>
      <c r="BR833" s="33"/>
      <c r="BS833" s="33"/>
      <c r="BT833" s="33"/>
      <c r="BU833" s="33"/>
      <c r="BV833" s="33"/>
      <c r="BW833" s="33"/>
      <c r="BX833" s="33"/>
      <c r="BY833" s="33"/>
      <c r="BZ833" s="33"/>
      <c r="CA833" s="33"/>
      <c r="CB833" s="33"/>
      <c r="CC833" s="33"/>
      <c r="CD833" s="33"/>
      <c r="CE833" s="33"/>
      <c r="CF833" s="33"/>
      <c r="CG833" s="33"/>
      <c r="CH833" s="33"/>
      <c r="CI833" s="33"/>
      <c r="CJ833" s="33"/>
      <c r="CK833" s="33"/>
      <c r="CL833" s="33"/>
      <c r="CM833" s="33"/>
      <c r="CN833" s="33"/>
      <c r="CO833" s="33"/>
      <c r="CP833" s="33"/>
      <c r="CQ833" s="33"/>
      <c r="CR833" s="33"/>
      <c r="CS833" s="33"/>
    </row>
    <row r="834" spans="1:97" ht="12.95" customHeight="1">
      <c r="J834" s="7" t="s">
        <v>1564</v>
      </c>
      <c r="K834" s="8"/>
      <c r="L834" s="8"/>
      <c r="M834" s="8"/>
      <c r="N834" s="8"/>
      <c r="O834" s="8"/>
      <c r="P834" s="8"/>
      <c r="Q834" s="8"/>
      <c r="R834" s="8"/>
      <c r="S834" s="8"/>
      <c r="T834" s="8"/>
      <c r="U834" s="8"/>
      <c r="V834" s="37"/>
      <c r="W834" s="1087">
        <v>8000</v>
      </c>
      <c r="X834" s="1087"/>
      <c r="Y834" s="1087"/>
      <c r="Z834" s="1087"/>
      <c r="AA834" s="1087"/>
      <c r="AB834" s="1087"/>
      <c r="AC834" s="1087"/>
      <c r="AM834" s="33"/>
      <c r="AN834" s="33"/>
      <c r="AO834" s="33"/>
      <c r="AP834" s="33"/>
      <c r="AQ834" s="33"/>
      <c r="AR834" s="33"/>
      <c r="AS834" s="33"/>
      <c r="AT834" s="33"/>
      <c r="AU834" s="33"/>
      <c r="AV834" s="33"/>
      <c r="AW834" s="33"/>
      <c r="AX834" s="33"/>
      <c r="AY834" s="33"/>
      <c r="AZ834" s="33"/>
      <c r="BA834" s="33"/>
      <c r="BB834" s="197" t="s">
        <v>855</v>
      </c>
      <c r="BC834" s="409">
        <v>307732</v>
      </c>
      <c r="BD834" s="409">
        <v>354812</v>
      </c>
      <c r="BE834" s="409">
        <v>428000</v>
      </c>
      <c r="BF834" s="409">
        <v>547840</v>
      </c>
      <c r="BG834" s="409">
        <v>610328</v>
      </c>
      <c r="BH834" s="18"/>
      <c r="BI834" s="197" t="s">
        <v>855</v>
      </c>
      <c r="BJ834" s="409">
        <v>307732</v>
      </c>
      <c r="BK834" s="409">
        <v>354812</v>
      </c>
      <c r="BL834" s="409">
        <v>428000</v>
      </c>
      <c r="BM834" s="409">
        <v>547840</v>
      </c>
      <c r="BN834" s="409">
        <v>610328</v>
      </c>
      <c r="BO834" s="33"/>
      <c r="BP834" s="33"/>
      <c r="BQ834" s="33"/>
      <c r="BR834" s="33"/>
      <c r="BS834" s="33"/>
      <c r="BT834" s="33"/>
      <c r="BU834" s="33"/>
      <c r="BV834" s="33"/>
      <c r="BW834" s="33"/>
      <c r="BX834" s="33"/>
      <c r="BY834" s="33"/>
      <c r="BZ834" s="33"/>
      <c r="CA834" s="33"/>
      <c r="CB834" s="33"/>
      <c r="CC834" s="33"/>
      <c r="CD834" s="33"/>
      <c r="CE834" s="33"/>
      <c r="CF834" s="33"/>
      <c r="CG834" s="33"/>
      <c r="CH834" s="33"/>
      <c r="CI834" s="33"/>
      <c r="CJ834" s="33"/>
      <c r="CK834" s="33"/>
      <c r="CL834" s="33"/>
      <c r="CM834" s="33"/>
      <c r="CN834" s="33"/>
      <c r="CO834" s="33"/>
      <c r="CP834" s="33"/>
      <c r="CQ834" s="33"/>
      <c r="CR834" s="33"/>
      <c r="CS834" s="33"/>
    </row>
    <row r="835" spans="1:97" ht="12.95" customHeight="1">
      <c r="J835" s="7" t="s">
        <v>1233</v>
      </c>
      <c r="K835" s="8"/>
      <c r="L835" s="8"/>
      <c r="M835" s="1055" t="s">
        <v>1565</v>
      </c>
      <c r="N835" s="1056"/>
      <c r="O835" s="1056"/>
      <c r="P835" s="1056"/>
      <c r="Q835" s="1056"/>
      <c r="R835" s="1056"/>
      <c r="S835" s="1056"/>
      <c r="T835" s="1056"/>
      <c r="U835" s="1056"/>
      <c r="V835" s="1057"/>
      <c r="W835" s="1087">
        <f>29990-6100</f>
        <v>23890</v>
      </c>
      <c r="X835" s="1087"/>
      <c r="Y835" s="1087"/>
      <c r="Z835" s="1087"/>
      <c r="AA835" s="1087"/>
      <c r="AB835" s="1087"/>
      <c r="AC835" s="1087"/>
      <c r="AM835" s="33"/>
      <c r="AN835" s="33"/>
      <c r="AO835" s="33"/>
      <c r="AP835" s="33"/>
      <c r="AQ835" s="33"/>
      <c r="AR835" s="33"/>
      <c r="AS835" s="33"/>
      <c r="AT835" s="33"/>
      <c r="AU835" s="33"/>
      <c r="AV835" s="33"/>
      <c r="AW835" s="33"/>
      <c r="AX835" s="33"/>
      <c r="AY835" s="33"/>
      <c r="AZ835" s="33"/>
      <c r="BA835" s="33"/>
      <c r="BB835" s="197" t="s">
        <v>859</v>
      </c>
      <c r="BC835" s="410">
        <v>352022</v>
      </c>
      <c r="BD835" s="410">
        <v>405878</v>
      </c>
      <c r="BE835" s="410">
        <v>489600</v>
      </c>
      <c r="BF835" s="410">
        <v>626688</v>
      </c>
      <c r="BG835" s="410">
        <v>698170</v>
      </c>
      <c r="BH835" s="18"/>
      <c r="BI835" s="197" t="s">
        <v>859</v>
      </c>
      <c r="BJ835" s="410">
        <v>352022</v>
      </c>
      <c r="BK835" s="410">
        <v>405878</v>
      </c>
      <c r="BL835" s="410">
        <v>489600</v>
      </c>
      <c r="BM835" s="410">
        <v>626688</v>
      </c>
      <c r="BN835" s="410">
        <v>698170</v>
      </c>
      <c r="BO835" s="33"/>
      <c r="BP835" s="33"/>
      <c r="BQ835" s="33"/>
      <c r="BR835" s="33"/>
      <c r="BS835" s="33"/>
      <c r="BT835" s="33"/>
      <c r="BU835" s="33"/>
      <c r="BV835" s="33"/>
      <c r="BW835" s="33"/>
      <c r="BX835" s="33"/>
      <c r="BY835" s="33"/>
      <c r="BZ835" s="33"/>
      <c r="CA835" s="33"/>
      <c r="CB835" s="33"/>
      <c r="CC835" s="33"/>
      <c r="CD835" s="33"/>
      <c r="CE835" s="33"/>
      <c r="CF835" s="33"/>
      <c r="CG835" s="33"/>
      <c r="CH835" s="33"/>
      <c r="CI835" s="33"/>
      <c r="CJ835" s="33"/>
      <c r="CK835" s="33"/>
      <c r="CL835" s="33"/>
      <c r="CM835" s="33"/>
      <c r="CN835" s="33"/>
      <c r="CO835" s="33"/>
      <c r="CP835" s="33"/>
      <c r="CQ835" s="33"/>
      <c r="CR835" s="33"/>
      <c r="CS835" s="33"/>
    </row>
    <row r="836" spans="1:97" ht="12.95" customHeight="1">
      <c r="J836" s="7"/>
      <c r="K836" s="8"/>
      <c r="L836" s="8"/>
      <c r="M836" s="8"/>
      <c r="N836" s="8"/>
      <c r="O836" s="8"/>
      <c r="P836" s="8"/>
      <c r="Q836" s="8"/>
      <c r="R836" s="8"/>
      <c r="S836" s="8"/>
      <c r="T836" s="8"/>
      <c r="U836" s="8"/>
      <c r="V836" s="788" t="s">
        <v>1566</v>
      </c>
      <c r="W836" s="1090">
        <f>SUM(W829:AC835)</f>
        <v>77910</v>
      </c>
      <c r="X836" s="1090"/>
      <c r="Y836" s="1090"/>
      <c r="Z836" s="1090"/>
      <c r="AA836" s="1090"/>
      <c r="AB836" s="1090"/>
      <c r="AC836" s="1090"/>
      <c r="AM836" s="33"/>
      <c r="AN836" s="33"/>
      <c r="AO836" s="33"/>
      <c r="AP836" s="33"/>
      <c r="AQ836" s="33"/>
      <c r="AR836" s="33"/>
      <c r="AS836" s="33"/>
      <c r="AT836" s="33"/>
      <c r="AU836" s="33"/>
      <c r="AV836" s="33"/>
      <c r="AW836" s="33"/>
      <c r="AX836" s="33"/>
      <c r="AY836" s="33"/>
      <c r="AZ836" s="33"/>
      <c r="BA836" s="33"/>
      <c r="BB836" s="197" t="s">
        <v>862</v>
      </c>
      <c r="BC836" s="409">
        <v>352022</v>
      </c>
      <c r="BD836" s="409">
        <v>405878</v>
      </c>
      <c r="BE836" s="409">
        <v>489600</v>
      </c>
      <c r="BF836" s="409">
        <v>626688</v>
      </c>
      <c r="BG836" s="409">
        <v>698170</v>
      </c>
      <c r="BH836" s="18"/>
      <c r="BI836" s="197" t="s">
        <v>862</v>
      </c>
      <c r="BJ836" s="409">
        <v>352022</v>
      </c>
      <c r="BK836" s="409">
        <v>405878</v>
      </c>
      <c r="BL836" s="409">
        <v>489600</v>
      </c>
      <c r="BM836" s="409">
        <v>626688</v>
      </c>
      <c r="BN836" s="409">
        <v>698170</v>
      </c>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c r="CM836" s="33"/>
      <c r="CN836" s="33"/>
      <c r="CO836" s="33"/>
      <c r="CP836" s="33"/>
      <c r="CQ836" s="33"/>
      <c r="CR836" s="33"/>
      <c r="CS836" s="33"/>
    </row>
    <row r="837" spans="1:97" ht="12.95" customHeight="1">
      <c r="AM837" s="33"/>
      <c r="AN837" s="33"/>
      <c r="AO837" s="33"/>
      <c r="AP837" s="33"/>
      <c r="AQ837" s="33"/>
      <c r="AR837" s="33"/>
      <c r="AS837" s="33"/>
      <c r="AT837" s="33"/>
      <c r="AU837" s="33"/>
      <c r="AV837" s="33"/>
      <c r="AW837" s="33"/>
      <c r="AX837" s="33"/>
      <c r="AY837" s="33"/>
      <c r="AZ837" s="33"/>
      <c r="BA837" s="33"/>
      <c r="BB837" s="197" t="s">
        <v>868</v>
      </c>
      <c r="BC837" s="410">
        <v>437727</v>
      </c>
      <c r="BD837" s="410">
        <v>504695</v>
      </c>
      <c r="BE837" s="410">
        <v>608800</v>
      </c>
      <c r="BF837" s="410">
        <v>779264</v>
      </c>
      <c r="BG837" s="410">
        <v>868149</v>
      </c>
      <c r="BH837" s="18"/>
      <c r="BI837" s="197" t="s">
        <v>868</v>
      </c>
      <c r="BJ837" s="410">
        <v>437727</v>
      </c>
      <c r="BK837" s="410">
        <v>504695</v>
      </c>
      <c r="BL837" s="410">
        <v>608800</v>
      </c>
      <c r="BM837" s="410">
        <v>779264</v>
      </c>
      <c r="BN837" s="410">
        <v>868149</v>
      </c>
      <c r="BO837" s="33"/>
      <c r="BP837" s="33"/>
      <c r="BQ837" s="33"/>
      <c r="BR837" s="33"/>
      <c r="BS837" s="33"/>
      <c r="BT837" s="33"/>
      <c r="BU837" s="33"/>
      <c r="BV837" s="33"/>
      <c r="BW837" s="33"/>
      <c r="BX837" s="33"/>
      <c r="BY837" s="33"/>
      <c r="BZ837" s="33"/>
      <c r="CA837" s="33"/>
      <c r="CB837" s="33"/>
      <c r="CC837" s="33"/>
      <c r="CD837" s="33"/>
      <c r="CE837" s="33"/>
      <c r="CF837" s="33"/>
      <c r="CG837" s="33"/>
      <c r="CH837" s="33"/>
      <c r="CI837" s="33"/>
      <c r="CJ837" s="33"/>
      <c r="CK837" s="33"/>
      <c r="CL837" s="33"/>
      <c r="CM837" s="33"/>
      <c r="CN837" s="33"/>
      <c r="CO837" s="33"/>
      <c r="CP837" s="33"/>
      <c r="CQ837" s="33"/>
      <c r="CR837" s="33"/>
      <c r="CS837" s="33"/>
    </row>
    <row r="838" spans="1:97" ht="12.95" customHeight="1">
      <c r="C838" s="2" t="s">
        <v>1567</v>
      </c>
      <c r="J838" s="7" t="s">
        <v>1233</v>
      </c>
      <c r="K838" s="8"/>
      <c r="L838" s="8"/>
      <c r="M838" s="1055" t="s">
        <v>1568</v>
      </c>
      <c r="N838" s="1056"/>
      <c r="O838" s="1056"/>
      <c r="P838" s="1056"/>
      <c r="Q838" s="1056"/>
      <c r="R838" s="1056"/>
      <c r="S838" s="1056"/>
      <c r="T838" s="1056"/>
      <c r="U838" s="1056"/>
      <c r="V838" s="1057"/>
      <c r="W838" s="1047">
        <v>800</v>
      </c>
      <c r="X838" s="1048"/>
      <c r="Y838" s="1048"/>
      <c r="Z838" s="1048"/>
      <c r="AA838" s="1048"/>
      <c r="AB838" s="1048"/>
      <c r="AC838" s="1049"/>
      <c r="AM838" s="33"/>
      <c r="AN838" s="33"/>
      <c r="AO838" s="33"/>
      <c r="AP838" s="33"/>
      <c r="AQ838" s="33"/>
      <c r="AR838" s="33"/>
      <c r="AS838" s="33"/>
      <c r="AT838" s="33"/>
      <c r="AU838" s="33"/>
      <c r="AV838" s="33"/>
      <c r="AW838" s="33"/>
      <c r="AX838" s="33"/>
      <c r="AY838" s="33"/>
      <c r="AZ838" s="33"/>
      <c r="BA838" s="33"/>
      <c r="BB838" s="197" t="s">
        <v>871</v>
      </c>
      <c r="BC838" s="409">
        <v>307732</v>
      </c>
      <c r="BD838" s="409">
        <v>354812</v>
      </c>
      <c r="BE838" s="409">
        <v>428000</v>
      </c>
      <c r="BF838" s="409">
        <v>547840</v>
      </c>
      <c r="BG838" s="409">
        <v>610328</v>
      </c>
      <c r="BH838" s="18"/>
      <c r="BI838" s="197" t="s">
        <v>871</v>
      </c>
      <c r="BJ838" s="409">
        <v>307732</v>
      </c>
      <c r="BK838" s="409">
        <v>354812</v>
      </c>
      <c r="BL838" s="409">
        <v>428000</v>
      </c>
      <c r="BM838" s="409">
        <v>547840</v>
      </c>
      <c r="BN838" s="409">
        <v>610328</v>
      </c>
      <c r="BO838" s="33"/>
      <c r="BP838" s="33"/>
      <c r="BQ838" s="33"/>
      <c r="BR838" s="33"/>
      <c r="BS838" s="33"/>
      <c r="BT838" s="33"/>
      <c r="BU838" s="33"/>
      <c r="BV838" s="33"/>
      <c r="BW838" s="33"/>
      <c r="BX838" s="33"/>
      <c r="BY838" s="33"/>
      <c r="BZ838" s="33"/>
      <c r="CA838" s="33"/>
      <c r="CB838" s="33"/>
      <c r="CC838" s="33"/>
      <c r="CD838" s="33"/>
      <c r="CE838" s="33"/>
      <c r="CF838" s="33"/>
      <c r="CG838" s="33"/>
      <c r="CH838" s="33"/>
      <c r="CI838" s="33"/>
      <c r="CJ838" s="33"/>
      <c r="CK838" s="33"/>
      <c r="CL838" s="33"/>
      <c r="CM838" s="33"/>
      <c r="CN838" s="33"/>
      <c r="CO838" s="33"/>
      <c r="CP838" s="33"/>
      <c r="CQ838" s="33"/>
      <c r="CR838" s="33"/>
      <c r="CS838" s="33"/>
    </row>
    <row r="839" spans="1:97" ht="12.95" customHeight="1">
      <c r="C839" s="2" t="s">
        <v>1569</v>
      </c>
      <c r="J839" s="7" t="s">
        <v>1233</v>
      </c>
      <c r="K839" s="8"/>
      <c r="L839" s="8"/>
      <c r="M839" s="1055" t="s">
        <v>1570</v>
      </c>
      <c r="N839" s="1056"/>
      <c r="O839" s="1056"/>
      <c r="P839" s="1056"/>
      <c r="Q839" s="1056"/>
      <c r="R839" s="1056"/>
      <c r="S839" s="1056"/>
      <c r="T839" s="1056"/>
      <c r="U839" s="1056"/>
      <c r="V839" s="1057"/>
      <c r="W839" s="1047">
        <v>5789</v>
      </c>
      <c r="X839" s="1048"/>
      <c r="Y839" s="1048"/>
      <c r="Z839" s="1048"/>
      <c r="AA839" s="1048"/>
      <c r="AB839" s="1048"/>
      <c r="AC839" s="1049"/>
      <c r="AM839" s="33"/>
      <c r="AN839" s="33"/>
      <c r="AO839" s="33"/>
      <c r="AP839" s="33"/>
      <c r="AQ839" s="33"/>
      <c r="AR839" s="33"/>
      <c r="AS839" s="33"/>
      <c r="AT839" s="33"/>
      <c r="AU839" s="33"/>
      <c r="AV839" s="33"/>
      <c r="AW839" s="33"/>
      <c r="AX839" s="33"/>
      <c r="AY839" s="33"/>
      <c r="AZ839" s="33"/>
      <c r="BA839" s="33"/>
      <c r="BB839" s="197" t="s">
        <v>874</v>
      </c>
      <c r="BC839" s="410">
        <v>384234</v>
      </c>
      <c r="BD839" s="410">
        <v>443018</v>
      </c>
      <c r="BE839" s="410">
        <v>534400</v>
      </c>
      <c r="BF839" s="410">
        <v>684032</v>
      </c>
      <c r="BG839" s="410">
        <v>762054</v>
      </c>
      <c r="BH839" s="18"/>
      <c r="BI839" s="197" t="s">
        <v>874</v>
      </c>
      <c r="BJ839" s="410">
        <v>384234</v>
      </c>
      <c r="BK839" s="410">
        <v>443018</v>
      </c>
      <c r="BL839" s="410">
        <v>534400</v>
      </c>
      <c r="BM839" s="410">
        <v>684032</v>
      </c>
      <c r="BN839" s="410">
        <v>762054</v>
      </c>
      <c r="BO839" s="33"/>
      <c r="BP839" s="33"/>
      <c r="BQ839" s="33"/>
      <c r="BR839" s="33"/>
      <c r="BS839" s="33"/>
      <c r="BT839" s="33"/>
      <c r="BU839" s="33"/>
      <c r="BV839" s="33"/>
      <c r="BW839" s="33"/>
      <c r="BX839" s="33"/>
      <c r="BY839" s="33"/>
      <c r="BZ839" s="33"/>
      <c r="CA839" s="33"/>
      <c r="CB839" s="33"/>
      <c r="CC839" s="33"/>
      <c r="CD839" s="33"/>
      <c r="CE839" s="33"/>
      <c r="CF839" s="33"/>
      <c r="CG839" s="33"/>
      <c r="CH839" s="33"/>
      <c r="CI839" s="33"/>
      <c r="CJ839" s="33"/>
      <c r="CK839" s="33"/>
      <c r="CL839" s="33"/>
      <c r="CM839" s="33"/>
      <c r="CN839" s="33"/>
      <c r="CO839" s="33"/>
      <c r="CP839" s="33"/>
      <c r="CQ839" s="33"/>
      <c r="CR839" s="33"/>
      <c r="CS839" s="33"/>
    </row>
    <row r="840" spans="1:97" s="4" customFormat="1" ht="12.95" customHeight="1">
      <c r="A840"/>
      <c r="B840"/>
      <c r="C840"/>
      <c r="D840"/>
      <c r="E840"/>
      <c r="F840"/>
      <c r="G840"/>
      <c r="H840"/>
      <c r="I840"/>
      <c r="J840" s="7" t="s">
        <v>1233</v>
      </c>
      <c r="K840" s="8"/>
      <c r="L840" s="8"/>
      <c r="M840" s="1055" t="s">
        <v>1571</v>
      </c>
      <c r="N840" s="1056"/>
      <c r="O840" s="1056"/>
      <c r="P840" s="1056"/>
      <c r="Q840" s="1056"/>
      <c r="R840" s="1056"/>
      <c r="S840" s="1056"/>
      <c r="T840" s="1056"/>
      <c r="U840" s="1056"/>
      <c r="V840" s="1057"/>
      <c r="W840" s="1047">
        <v>34711</v>
      </c>
      <c r="X840" s="1048"/>
      <c r="Y840" s="1048"/>
      <c r="Z840" s="1048"/>
      <c r="AA840" s="1048"/>
      <c r="AB840" s="1048"/>
      <c r="AC840" s="1049"/>
      <c r="AD840"/>
      <c r="AE840"/>
      <c r="AF840"/>
      <c r="AG840"/>
      <c r="AH840"/>
      <c r="AI840"/>
      <c r="AJ840"/>
      <c r="AK840"/>
      <c r="AL840"/>
      <c r="AM840" s="30"/>
      <c r="AN840" s="30"/>
      <c r="AO840" s="18"/>
      <c r="AP840" s="18"/>
      <c r="AQ840" s="18"/>
      <c r="AR840" s="18"/>
      <c r="AS840" s="18"/>
      <c r="AT840" s="18"/>
      <c r="AU840" s="18"/>
      <c r="AV840" s="18"/>
      <c r="AW840" s="18"/>
      <c r="AX840" s="18"/>
      <c r="AY840" s="18"/>
      <c r="AZ840" s="18"/>
      <c r="BA840" s="18"/>
      <c r="BB840" s="197" t="s">
        <v>877</v>
      </c>
      <c r="BC840" s="409">
        <v>352022</v>
      </c>
      <c r="BD840" s="409">
        <v>405878</v>
      </c>
      <c r="BE840" s="409">
        <v>489600</v>
      </c>
      <c r="BF840" s="409">
        <v>626688</v>
      </c>
      <c r="BG840" s="409">
        <v>698170</v>
      </c>
      <c r="BH840" s="18"/>
      <c r="BI840" s="197" t="s">
        <v>877</v>
      </c>
      <c r="BJ840" s="409">
        <v>352022</v>
      </c>
      <c r="BK840" s="409">
        <v>405878</v>
      </c>
      <c r="BL840" s="409">
        <v>489600</v>
      </c>
      <c r="BM840" s="409">
        <v>626688</v>
      </c>
      <c r="BN840" s="409">
        <v>698170</v>
      </c>
      <c r="BO840" s="33"/>
      <c r="BP840" s="33"/>
      <c r="BQ840" s="33"/>
      <c r="BR840" s="33"/>
      <c r="BS840" s="33"/>
      <c r="BT840" s="33"/>
      <c r="BU840" s="33"/>
      <c r="BV840" s="33"/>
      <c r="BW840" s="33"/>
      <c r="BX840" s="33"/>
      <c r="BY840" s="33"/>
      <c r="BZ840" s="33"/>
      <c r="CA840" s="33"/>
      <c r="CB840" s="33"/>
      <c r="CC840" s="33"/>
      <c r="CD840" s="33"/>
      <c r="CE840" s="33"/>
      <c r="CF840" s="33"/>
      <c r="CG840" s="33"/>
      <c r="CH840" s="33"/>
      <c r="CI840" s="33"/>
      <c r="CJ840" s="33"/>
      <c r="CK840" s="33"/>
      <c r="CL840" s="33"/>
      <c r="CM840" s="33"/>
      <c r="CN840" s="33"/>
      <c r="CO840" s="33"/>
      <c r="CP840" s="33"/>
      <c r="CQ840" s="33"/>
      <c r="CR840" s="33"/>
      <c r="CS840" s="33"/>
    </row>
    <row r="841" spans="1:97" s="4" customFormat="1" ht="12.95" customHeight="1">
      <c r="A841"/>
      <c r="B841"/>
      <c r="C841"/>
      <c r="D841"/>
      <c r="E841"/>
      <c r="F841"/>
      <c r="G841"/>
      <c r="H841"/>
      <c r="I841"/>
      <c r="J841" s="7" t="s">
        <v>1233</v>
      </c>
      <c r="K841" s="8"/>
      <c r="L841" s="8"/>
      <c r="M841" s="1055" t="s">
        <v>1572</v>
      </c>
      <c r="N841" s="1056"/>
      <c r="O841" s="1056"/>
      <c r="P841" s="1056"/>
      <c r="Q841" s="1056"/>
      <c r="R841" s="1056"/>
      <c r="S841" s="1056"/>
      <c r="T841" s="1056"/>
      <c r="U841" s="1056"/>
      <c r="V841" s="1057"/>
      <c r="W841" s="1047"/>
      <c r="X841" s="1048"/>
      <c r="Y841" s="1048"/>
      <c r="Z841" s="1048"/>
      <c r="AA841" s="1048"/>
      <c r="AB841" s="1048"/>
      <c r="AC841" s="1049"/>
      <c r="AD841"/>
      <c r="AE841"/>
      <c r="AF841"/>
      <c r="AG841"/>
      <c r="AH841"/>
      <c r="AI841"/>
      <c r="AJ841"/>
      <c r="AK841"/>
      <c r="AL841"/>
      <c r="AM841" s="30"/>
      <c r="AN841" s="30"/>
      <c r="AO841" s="18"/>
      <c r="AP841" s="18"/>
      <c r="AQ841" s="18"/>
      <c r="AR841" s="18"/>
      <c r="AS841" s="18"/>
      <c r="AT841" s="18"/>
      <c r="AU841" s="18"/>
      <c r="AV841" s="18"/>
      <c r="AW841" s="18"/>
      <c r="AX841" s="18"/>
      <c r="AY841" s="18"/>
      <c r="AZ841" s="18"/>
      <c r="BA841" s="18"/>
      <c r="BB841" s="197" t="s">
        <v>879</v>
      </c>
      <c r="BC841" s="410">
        <v>352022</v>
      </c>
      <c r="BD841" s="410">
        <v>405878</v>
      </c>
      <c r="BE841" s="410">
        <v>489600</v>
      </c>
      <c r="BF841" s="410">
        <v>626688</v>
      </c>
      <c r="BG841" s="410">
        <v>698170</v>
      </c>
      <c r="BH841" s="18"/>
      <c r="BI841" s="197" t="s">
        <v>879</v>
      </c>
      <c r="BJ841" s="410">
        <v>352022</v>
      </c>
      <c r="BK841" s="410">
        <v>405878</v>
      </c>
      <c r="BL841" s="410">
        <v>489600</v>
      </c>
      <c r="BM841" s="410">
        <v>626688</v>
      </c>
      <c r="BN841" s="410">
        <v>698170</v>
      </c>
      <c r="BO841" s="33"/>
      <c r="BP841" s="33"/>
      <c r="BQ841" s="33"/>
      <c r="BR841" s="33"/>
      <c r="BS841" s="33"/>
      <c r="BT841" s="33"/>
      <c r="BU841" s="33"/>
      <c r="BV841" s="33"/>
      <c r="BW841" s="33"/>
      <c r="BX841" s="33"/>
      <c r="BY841" s="33"/>
      <c r="BZ841" s="33"/>
      <c r="CA841" s="33"/>
      <c r="CB841" s="33"/>
      <c r="CC841" s="33"/>
      <c r="CD841" s="33"/>
      <c r="CE841" s="33"/>
      <c r="CF841" s="33"/>
      <c r="CG841" s="33"/>
      <c r="CH841" s="33"/>
      <c r="CI841" s="33"/>
      <c r="CJ841" s="33"/>
      <c r="CK841" s="33"/>
      <c r="CL841" s="33"/>
      <c r="CM841" s="33"/>
      <c r="CN841" s="33"/>
      <c r="CO841" s="33"/>
      <c r="CP841" s="33"/>
      <c r="CQ841" s="33"/>
      <c r="CR841" s="33"/>
      <c r="CS841" s="33"/>
    </row>
    <row r="842" spans="1:97" s="4" customFormat="1" ht="12.95" customHeight="1">
      <c r="A842"/>
      <c r="B842"/>
      <c r="C842"/>
      <c r="D842"/>
      <c r="E842"/>
      <c r="F842"/>
      <c r="G842"/>
      <c r="H842"/>
      <c r="I842"/>
      <c r="J842" s="7" t="s">
        <v>1233</v>
      </c>
      <c r="K842" s="8"/>
      <c r="L842" s="8"/>
      <c r="M842" s="1055" t="s">
        <v>1573</v>
      </c>
      <c r="N842" s="1056"/>
      <c r="O842" s="1056"/>
      <c r="P842" s="1056"/>
      <c r="Q842" s="1056"/>
      <c r="R842" s="1056"/>
      <c r="S842" s="1056"/>
      <c r="T842" s="1056"/>
      <c r="U842" s="1056"/>
      <c r="V842" s="1057"/>
      <c r="W842" s="1047">
        <f>[1]EVERYTHING!$S$58-SUM(W811,W813,W819,W826,W836,W838:AC841,AC855)</f>
        <v>0</v>
      </c>
      <c r="X842" s="1048"/>
      <c r="Y842" s="1048"/>
      <c r="Z842" s="1048"/>
      <c r="AA842" s="1048"/>
      <c r="AB842" s="1048"/>
      <c r="AC842" s="1049"/>
      <c r="AD842"/>
      <c r="AE842"/>
      <c r="AF842"/>
      <c r="AG842"/>
      <c r="AH842"/>
      <c r="AI842"/>
      <c r="AJ842"/>
      <c r="AK842"/>
      <c r="AL842"/>
      <c r="AM842" s="30"/>
      <c r="AN842" s="30"/>
      <c r="AO842" s="18"/>
      <c r="AP842" s="18"/>
      <c r="AQ842" s="18"/>
      <c r="AR842" s="18"/>
      <c r="AS842" s="18"/>
      <c r="AT842" s="18"/>
      <c r="AU842" s="18"/>
      <c r="AV842" s="18"/>
      <c r="AW842" s="18"/>
      <c r="AX842" s="18"/>
      <c r="AY842" s="18"/>
      <c r="AZ842" s="18"/>
      <c r="BA842" s="18"/>
      <c r="BB842" s="197" t="s">
        <v>882</v>
      </c>
      <c r="BC842" s="409">
        <v>307732</v>
      </c>
      <c r="BD842" s="409">
        <v>354812</v>
      </c>
      <c r="BE842" s="409">
        <v>428000</v>
      </c>
      <c r="BF842" s="409">
        <v>547840</v>
      </c>
      <c r="BG842" s="409">
        <v>610328</v>
      </c>
      <c r="BH842" s="18"/>
      <c r="BI842" s="197" t="s">
        <v>882</v>
      </c>
      <c r="BJ842" s="409">
        <v>307732</v>
      </c>
      <c r="BK842" s="409">
        <v>354812</v>
      </c>
      <c r="BL842" s="409">
        <v>428000</v>
      </c>
      <c r="BM842" s="409">
        <v>547840</v>
      </c>
      <c r="BN842" s="409">
        <v>610328</v>
      </c>
      <c r="BO842" s="33"/>
      <c r="BP842" s="33"/>
      <c r="BQ842" s="33"/>
      <c r="BR842" s="33"/>
      <c r="BS842" s="33"/>
      <c r="BT842" s="33"/>
      <c r="BU842" s="33"/>
      <c r="BV842" s="33"/>
      <c r="BW842" s="33"/>
      <c r="BX842" s="33"/>
      <c r="BY842" s="33"/>
      <c r="BZ842" s="33"/>
      <c r="CA842" s="33"/>
      <c r="CB842" s="33"/>
      <c r="CC842" s="33"/>
      <c r="CD842" s="33"/>
      <c r="CE842" s="33"/>
      <c r="CF842" s="33"/>
      <c r="CG842" s="33"/>
      <c r="CH842" s="33"/>
      <c r="CI842" s="33"/>
      <c r="CJ842" s="33"/>
      <c r="CK842" s="33"/>
      <c r="CL842" s="33"/>
      <c r="CM842" s="33"/>
      <c r="CN842" s="33"/>
      <c r="CO842" s="33"/>
      <c r="CP842" s="33"/>
      <c r="CQ842" s="33"/>
      <c r="CR842" s="33"/>
      <c r="CS842" s="33"/>
    </row>
    <row r="843" spans="1:97" s="4" customFormat="1" ht="12.95" customHeight="1">
      <c r="A843"/>
      <c r="B843"/>
      <c r="C843"/>
      <c r="D843"/>
      <c r="E843"/>
      <c r="F843"/>
      <c r="G843"/>
      <c r="H843"/>
      <c r="I843"/>
      <c r="J843" s="7"/>
      <c r="K843" s="8"/>
      <c r="L843" s="8"/>
      <c r="M843" s="8"/>
      <c r="N843" s="8"/>
      <c r="O843" s="8"/>
      <c r="P843" s="8"/>
      <c r="Q843" s="8"/>
      <c r="R843" s="8"/>
      <c r="S843" s="8"/>
      <c r="T843" s="8"/>
      <c r="U843" s="8"/>
      <c r="V843" s="788" t="s">
        <v>1574</v>
      </c>
      <c r="W843" s="1111">
        <f>SUM(W838:AC842)</f>
        <v>41300</v>
      </c>
      <c r="X843" s="1112"/>
      <c r="Y843" s="1112"/>
      <c r="Z843" s="1112"/>
      <c r="AA843" s="1112"/>
      <c r="AB843" s="1112"/>
      <c r="AC843" s="1113"/>
      <c r="AD843"/>
      <c r="AE843"/>
      <c r="AF843"/>
      <c r="AG843"/>
      <c r="AH843"/>
      <c r="AI843"/>
      <c r="AJ843"/>
      <c r="AK843"/>
      <c r="AL843"/>
      <c r="AM843" s="30"/>
      <c r="AN843" s="30"/>
      <c r="AO843" s="18"/>
      <c r="AP843" s="18"/>
      <c r="AQ843" s="18"/>
      <c r="AR843" s="18"/>
      <c r="AS843" s="18"/>
      <c r="AT843" s="18"/>
      <c r="AU843" s="18"/>
      <c r="AV843" s="18"/>
      <c r="AW843" s="18"/>
      <c r="AX843" s="18"/>
      <c r="AY843" s="18"/>
      <c r="AZ843" s="18"/>
      <c r="BA843" s="18"/>
      <c r="BB843" s="197" t="s">
        <v>885</v>
      </c>
      <c r="BC843" s="410">
        <v>352022</v>
      </c>
      <c r="BD843" s="410">
        <v>405878</v>
      </c>
      <c r="BE843" s="410">
        <v>489600</v>
      </c>
      <c r="BF843" s="410">
        <v>626688</v>
      </c>
      <c r="BG843" s="410">
        <v>698170</v>
      </c>
      <c r="BH843" s="18"/>
      <c r="BI843" s="197" t="s">
        <v>885</v>
      </c>
      <c r="BJ843" s="410">
        <v>352022</v>
      </c>
      <c r="BK843" s="410">
        <v>405878</v>
      </c>
      <c r="BL843" s="410">
        <v>489600</v>
      </c>
      <c r="BM843" s="410">
        <v>626688</v>
      </c>
      <c r="BN843" s="410">
        <v>698170</v>
      </c>
      <c r="BO843" s="33"/>
      <c r="BP843" s="33"/>
      <c r="BQ843" s="33"/>
      <c r="BR843" s="33"/>
      <c r="BS843" s="33"/>
      <c r="BT843" s="33"/>
      <c r="BU843" s="33"/>
      <c r="BV843" s="33"/>
      <c r="BW843" s="33"/>
      <c r="BX843" s="33"/>
      <c r="BY843" s="33"/>
      <c r="BZ843" s="33"/>
      <c r="CA843" s="33"/>
      <c r="CB843" s="33"/>
      <c r="CC843" s="33"/>
      <c r="CD843" s="33"/>
      <c r="CE843" s="33"/>
      <c r="CF843" s="33"/>
      <c r="CG843" s="33"/>
      <c r="CH843" s="33"/>
      <c r="CI843" s="33"/>
      <c r="CJ843" s="33"/>
      <c r="CK843" s="33"/>
      <c r="CL843" s="33"/>
      <c r="CM843" s="33"/>
      <c r="CN843" s="33"/>
      <c r="CO843" s="33"/>
      <c r="CP843" s="33"/>
      <c r="CQ843" s="33"/>
      <c r="CR843" s="33"/>
      <c r="CS843" s="33"/>
    </row>
    <row r="844" spans="1:97" s="4" customFormat="1" ht="12.95" customHeight="1">
      <c r="A844"/>
      <c r="B844"/>
      <c r="C844"/>
      <c r="D844"/>
      <c r="E844"/>
      <c r="F844"/>
      <c r="G844"/>
      <c r="H844"/>
      <c r="I844"/>
      <c r="J844"/>
      <c r="K844"/>
      <c r="L844"/>
      <c r="M844"/>
      <c r="N844"/>
      <c r="O844"/>
      <c r="P844"/>
      <c r="Q844"/>
      <c r="R844"/>
      <c r="S844"/>
      <c r="T844"/>
      <c r="U844"/>
      <c r="V844" s="836"/>
      <c r="W844" s="46"/>
      <c r="X844" s="46"/>
      <c r="Y844" s="46"/>
      <c r="Z844" s="46"/>
      <c r="AA844" s="46"/>
      <c r="AB844" s="46"/>
      <c r="AC844"/>
      <c r="AD844"/>
      <c r="AE844"/>
      <c r="AF844"/>
      <c r="AG844"/>
      <c r="AH844"/>
      <c r="AI844"/>
      <c r="AJ844"/>
      <c r="AK844"/>
      <c r="AL844"/>
      <c r="AM844" s="30"/>
      <c r="AN844" s="30"/>
      <c r="AO844" s="18"/>
      <c r="AP844" s="18"/>
      <c r="AQ844" s="18"/>
      <c r="AR844" s="18"/>
      <c r="AS844" s="18"/>
      <c r="AT844" s="18"/>
      <c r="AU844" s="18"/>
      <c r="AV844" s="18"/>
      <c r="AW844" s="18"/>
      <c r="AX844" s="18"/>
      <c r="AY844" s="18"/>
      <c r="AZ844" s="18"/>
      <c r="BA844" s="18"/>
      <c r="BB844" s="197" t="s">
        <v>887</v>
      </c>
      <c r="BC844" s="409">
        <v>352022</v>
      </c>
      <c r="BD844" s="409">
        <v>405878</v>
      </c>
      <c r="BE844" s="409">
        <v>489600</v>
      </c>
      <c r="BF844" s="409">
        <v>626688</v>
      </c>
      <c r="BG844" s="409">
        <v>698170</v>
      </c>
      <c r="BH844" s="18"/>
      <c r="BI844" s="197" t="s">
        <v>887</v>
      </c>
      <c r="BJ844" s="409">
        <v>352022</v>
      </c>
      <c r="BK844" s="409">
        <v>405878</v>
      </c>
      <c r="BL844" s="409">
        <v>489600</v>
      </c>
      <c r="BM844" s="409">
        <v>626688</v>
      </c>
      <c r="BN844" s="409">
        <v>698170</v>
      </c>
      <c r="BO844" s="33"/>
      <c r="BP844" s="33"/>
      <c r="BQ844" s="33"/>
      <c r="BR844" s="33"/>
      <c r="BS844" s="33"/>
      <c r="BT844" s="33"/>
      <c r="BU844" s="33"/>
      <c r="BV844" s="33"/>
      <c r="BW844" s="33"/>
      <c r="BX844" s="33"/>
      <c r="BY844" s="33"/>
      <c r="BZ844" s="33"/>
      <c r="CA844" s="33"/>
      <c r="CB844" s="33"/>
      <c r="CC844" s="33"/>
      <c r="CD844" s="33"/>
      <c r="CE844" s="33"/>
      <c r="CF844" s="33"/>
      <c r="CG844" s="33"/>
      <c r="CH844" s="33"/>
      <c r="CI844" s="33"/>
      <c r="CJ844" s="33"/>
      <c r="CK844" s="33"/>
      <c r="CL844" s="33"/>
      <c r="CM844" s="33"/>
      <c r="CN844" s="33"/>
      <c r="CO844" s="33"/>
      <c r="CP844" s="33"/>
      <c r="CQ844" s="33"/>
      <c r="CR844" s="33"/>
      <c r="CS844" s="33"/>
    </row>
    <row r="845" spans="1:97" s="4" customFormat="1" ht="12.95" customHeight="1">
      <c r="A845"/>
      <c r="B845"/>
      <c r="C845" s="2" t="s">
        <v>1575</v>
      </c>
      <c r="D845"/>
      <c r="E845"/>
      <c r="F845"/>
      <c r="G845"/>
      <c r="H845"/>
      <c r="I845"/>
      <c r="J845"/>
      <c r="K845"/>
      <c r="L845"/>
      <c r="M845"/>
      <c r="N845"/>
      <c r="O845"/>
      <c r="P845"/>
      <c r="Q845"/>
      <c r="R845"/>
      <c r="S845"/>
      <c r="T845"/>
      <c r="U845"/>
      <c r="V845" s="836"/>
      <c r="W845" s="46"/>
      <c r="X845" s="46"/>
      <c r="Y845" s="46"/>
      <c r="Z845" s="46"/>
      <c r="AA845" s="46"/>
      <c r="AB845" s="46"/>
      <c r="AC845"/>
      <c r="AD845"/>
      <c r="AE845"/>
      <c r="AF845"/>
      <c r="AG845"/>
      <c r="AH845"/>
      <c r="AI845"/>
      <c r="AJ845"/>
      <c r="AK845"/>
      <c r="AL845"/>
      <c r="AM845" s="30"/>
      <c r="AN845" s="30"/>
      <c r="AO845" s="18"/>
      <c r="AP845" s="18"/>
      <c r="AQ845" s="18"/>
      <c r="AR845" s="18"/>
      <c r="AS845" s="18"/>
      <c r="AT845" s="18"/>
      <c r="AU845" s="18"/>
      <c r="AV845" s="18"/>
      <c r="AW845" s="18"/>
      <c r="AX845" s="18"/>
      <c r="AY845" s="18"/>
      <c r="AZ845" s="18"/>
      <c r="BA845" s="18"/>
      <c r="BB845" s="197" t="s">
        <v>890</v>
      </c>
      <c r="BC845" s="410">
        <v>387110</v>
      </c>
      <c r="BD845" s="410">
        <v>446334</v>
      </c>
      <c r="BE845" s="410">
        <v>538400</v>
      </c>
      <c r="BF845" s="410">
        <v>689152</v>
      </c>
      <c r="BG845" s="410">
        <v>767758</v>
      </c>
      <c r="BH845" s="18"/>
      <c r="BI845" s="197" t="s">
        <v>890</v>
      </c>
      <c r="BJ845" s="410">
        <v>387110</v>
      </c>
      <c r="BK845" s="410">
        <v>446334</v>
      </c>
      <c r="BL845" s="410">
        <v>538400</v>
      </c>
      <c r="BM845" s="410">
        <v>689152</v>
      </c>
      <c r="BN845" s="410">
        <v>767758</v>
      </c>
      <c r="BO845" s="33"/>
      <c r="BP845" s="33"/>
      <c r="BQ845" s="33"/>
      <c r="BR845" s="33"/>
      <c r="BS845" s="33"/>
      <c r="BT845" s="33"/>
      <c r="BU845" s="33"/>
      <c r="BV845" s="33"/>
      <c r="BW845" s="33"/>
      <c r="BX845" s="33"/>
      <c r="BY845" s="33"/>
      <c r="BZ845" s="33"/>
      <c r="CA845" s="33"/>
      <c r="CB845" s="33"/>
      <c r="CC845" s="33"/>
      <c r="CD845" s="33"/>
      <c r="CE845" s="33"/>
      <c r="CF845" s="33"/>
      <c r="CG845" s="33"/>
      <c r="CH845" s="33"/>
      <c r="CI845" s="33"/>
      <c r="CJ845" s="33"/>
      <c r="CK845" s="33"/>
      <c r="CL845" s="33"/>
      <c r="CM845" s="33"/>
      <c r="CN845" s="33"/>
      <c r="CO845" s="33"/>
      <c r="CP845" s="33"/>
      <c r="CQ845" s="33"/>
      <c r="CR845" s="33"/>
      <c r="CS845" s="33"/>
    </row>
    <row r="846" spans="1:97" s="4" customFormat="1" ht="12.95" customHeight="1">
      <c r="A846"/>
      <c r="B846"/>
      <c r="C846"/>
      <c r="D846"/>
      <c r="E846"/>
      <c r="F846"/>
      <c r="G846"/>
      <c r="H846"/>
      <c r="I846"/>
      <c r="J846"/>
      <c r="K846"/>
      <c r="L846"/>
      <c r="M846"/>
      <c r="N846"/>
      <c r="O846"/>
      <c r="P846"/>
      <c r="Q846"/>
      <c r="R846"/>
      <c r="S846"/>
      <c r="T846"/>
      <c r="U846"/>
      <c r="V846" s="836"/>
      <c r="W846" s="46"/>
      <c r="X846" s="46"/>
      <c r="Y846" s="46"/>
      <c r="Z846" s="46"/>
      <c r="AA846" s="46"/>
      <c r="AB846" s="46"/>
      <c r="AC846"/>
      <c r="AD846"/>
      <c r="AE846"/>
      <c r="AF846"/>
      <c r="AG846"/>
      <c r="AH846"/>
      <c r="AI846"/>
      <c r="AJ846"/>
      <c r="AK846"/>
      <c r="AL846"/>
      <c r="AM846" s="30"/>
      <c r="AN846" s="30"/>
      <c r="AO846" s="18"/>
      <c r="AP846" s="18"/>
      <c r="AQ846" s="18"/>
      <c r="AR846" s="18"/>
      <c r="AS846" s="18"/>
      <c r="AT846" s="18"/>
      <c r="AU846" s="18"/>
      <c r="AV846" s="18"/>
      <c r="AW846" s="18"/>
      <c r="AX846" s="18"/>
      <c r="AY846" s="18"/>
      <c r="AZ846" s="18"/>
      <c r="BA846" s="18"/>
      <c r="BB846" s="197" t="s">
        <v>894</v>
      </c>
      <c r="BC846" s="409">
        <v>384234</v>
      </c>
      <c r="BD846" s="409">
        <v>443018</v>
      </c>
      <c r="BE846" s="409">
        <v>534400</v>
      </c>
      <c r="BF846" s="409">
        <v>684032</v>
      </c>
      <c r="BG846" s="409">
        <v>762054</v>
      </c>
      <c r="BH846" s="18"/>
      <c r="BI846" s="197" t="s">
        <v>894</v>
      </c>
      <c r="BJ846" s="409">
        <v>384234</v>
      </c>
      <c r="BK846" s="409">
        <v>443018</v>
      </c>
      <c r="BL846" s="409">
        <v>534400</v>
      </c>
      <c r="BM846" s="409">
        <v>684032</v>
      </c>
      <c r="BN846" s="409">
        <v>762054</v>
      </c>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c r="CM846" s="33"/>
      <c r="CN846" s="33"/>
      <c r="CO846" s="33"/>
      <c r="CP846" s="33"/>
      <c r="CQ846" s="33"/>
      <c r="CR846" s="33"/>
      <c r="CS846" s="33"/>
    </row>
    <row r="847" spans="1:97" s="4" customFormat="1" ht="12.95" customHeight="1">
      <c r="A847"/>
      <c r="B847"/>
      <c r="C847"/>
      <c r="D847"/>
      <c r="E847" s="7"/>
      <c r="F847" s="8"/>
      <c r="G847" s="8"/>
      <c r="H847" s="8"/>
      <c r="I847" s="8"/>
      <c r="J847" s="8"/>
      <c r="K847" s="8"/>
      <c r="L847" s="8"/>
      <c r="M847" s="8"/>
      <c r="N847" s="8"/>
      <c r="O847" s="8"/>
      <c r="P847" s="8"/>
      <c r="Q847" s="8"/>
      <c r="R847" s="8"/>
      <c r="S847" s="8"/>
      <c r="T847" s="8"/>
      <c r="U847" s="8"/>
      <c r="V847" s="8"/>
      <c r="W847" s="8"/>
      <c r="X847" s="8"/>
      <c r="Y847" s="8"/>
      <c r="Z847" s="8"/>
      <c r="AA847" s="8"/>
      <c r="AB847" s="788" t="s">
        <v>1576</v>
      </c>
      <c r="AC847" s="1111">
        <f>W811+W819+W826+W827+W836+W843+W813</f>
        <v>480791</v>
      </c>
      <c r="AD847" s="1112"/>
      <c r="AE847" s="1112"/>
      <c r="AF847" s="1112"/>
      <c r="AG847" s="1112"/>
      <c r="AH847" s="1113"/>
      <c r="AI847"/>
      <c r="AJ847"/>
      <c r="AK847"/>
      <c r="AL847"/>
      <c r="AM847" s="30"/>
      <c r="AN847" s="30"/>
      <c r="AO847" s="18"/>
      <c r="AP847" s="18"/>
      <c r="AQ847" s="18"/>
      <c r="AR847" s="18"/>
      <c r="AS847" s="18"/>
      <c r="AT847" s="18"/>
      <c r="AU847" s="18"/>
      <c r="AV847" s="18"/>
      <c r="AW847" s="18"/>
      <c r="AX847" s="18"/>
      <c r="AY847" s="18"/>
      <c r="AZ847" s="18"/>
      <c r="BA847" s="18"/>
      <c r="BB847" s="197" t="s">
        <v>899</v>
      </c>
      <c r="BC847" s="410">
        <v>352022</v>
      </c>
      <c r="BD847" s="410">
        <v>405878</v>
      </c>
      <c r="BE847" s="410">
        <v>489600</v>
      </c>
      <c r="BF847" s="410">
        <v>626688</v>
      </c>
      <c r="BG847" s="410">
        <v>698170</v>
      </c>
      <c r="BH847" s="18"/>
      <c r="BI847" s="197" t="s">
        <v>899</v>
      </c>
      <c r="BJ847" s="410">
        <v>352022</v>
      </c>
      <c r="BK847" s="410">
        <v>405878</v>
      </c>
      <c r="BL847" s="410">
        <v>489600</v>
      </c>
      <c r="BM847" s="410">
        <v>626688</v>
      </c>
      <c r="BN847" s="410">
        <v>698170</v>
      </c>
      <c r="BO847" s="33"/>
      <c r="BP847" s="33"/>
      <c r="BQ847" s="33"/>
      <c r="BR847" s="33"/>
      <c r="BS847" s="33"/>
      <c r="BT847" s="33"/>
      <c r="BU847" s="33"/>
      <c r="BV847" s="33"/>
      <c r="BW847" s="33"/>
      <c r="BX847" s="33"/>
      <c r="BY847" s="33"/>
      <c r="BZ847" s="33"/>
      <c r="CA847" s="33"/>
      <c r="CB847" s="33"/>
      <c r="CC847" s="33"/>
      <c r="CD847" s="33"/>
      <c r="CE847" s="33"/>
      <c r="CF847" s="33"/>
      <c r="CG847" s="33"/>
      <c r="CH847" s="33"/>
      <c r="CI847" s="33"/>
      <c r="CJ847" s="33"/>
      <c r="CK847" s="33"/>
      <c r="CL847" s="33"/>
      <c r="CM847" s="33"/>
      <c r="CN847" s="33"/>
      <c r="CO847" s="33"/>
      <c r="CP847" s="33"/>
      <c r="CQ847" s="33"/>
      <c r="CR847" s="33"/>
      <c r="CS847" s="33"/>
    </row>
    <row r="848" spans="1:97" s="4" customFormat="1" ht="12.95" customHeight="1">
      <c r="A848"/>
      <c r="B848"/>
      <c r="C848"/>
      <c r="D848"/>
      <c r="E848" s="7"/>
      <c r="F848" s="8"/>
      <c r="G848" s="8"/>
      <c r="H848" s="8"/>
      <c r="I848" s="8"/>
      <c r="J848" s="8"/>
      <c r="K848" s="8"/>
      <c r="L848" s="8"/>
      <c r="M848" s="8"/>
      <c r="N848" s="8"/>
      <c r="O848" s="8"/>
      <c r="P848" s="8"/>
      <c r="Q848" s="8"/>
      <c r="R848" s="8"/>
      <c r="S848" s="8"/>
      <c r="T848" s="8"/>
      <c r="U848" s="8"/>
      <c r="V848" s="8"/>
      <c r="W848" s="8"/>
      <c r="X848" s="8"/>
      <c r="Y848" s="8"/>
      <c r="Z848" s="8"/>
      <c r="AA848" s="8"/>
      <c r="AB848" s="788" t="s">
        <v>1577</v>
      </c>
      <c r="AC848" s="1107">
        <f>O762+O742+G717</f>
        <v>43</v>
      </c>
      <c r="AD848" s="1108"/>
      <c r="AE848" s="1108"/>
      <c r="AF848" s="1108"/>
      <c r="AG848" s="1108"/>
      <c r="AH848" s="1109"/>
      <c r="AI848"/>
      <c r="AJ848"/>
      <c r="AK848"/>
      <c r="AL848"/>
      <c r="AM848" s="30"/>
      <c r="AN848" s="30"/>
      <c r="AO848" s="18"/>
      <c r="AP848" s="18"/>
      <c r="AQ848" s="18"/>
      <c r="AR848" s="18"/>
      <c r="AS848" s="18"/>
      <c r="AT848" s="18"/>
      <c r="AU848" s="18"/>
      <c r="AV848" s="18"/>
      <c r="AW848" s="18"/>
      <c r="AX848" s="18"/>
      <c r="AY848" s="18"/>
      <c r="AZ848" s="18"/>
      <c r="BA848" s="18"/>
      <c r="BB848" s="197" t="s">
        <v>902</v>
      </c>
      <c r="BC848" s="409">
        <v>396888</v>
      </c>
      <c r="BD848" s="409">
        <v>457608</v>
      </c>
      <c r="BE848" s="409">
        <v>552000</v>
      </c>
      <c r="BF848" s="409">
        <v>706560</v>
      </c>
      <c r="BG848" s="409">
        <v>787152</v>
      </c>
      <c r="BH848" s="18"/>
      <c r="BI848" s="197" t="s">
        <v>902</v>
      </c>
      <c r="BJ848" s="409">
        <v>396888</v>
      </c>
      <c r="BK848" s="409">
        <v>457608</v>
      </c>
      <c r="BL848" s="409">
        <v>552000</v>
      </c>
      <c r="BM848" s="409">
        <v>706560</v>
      </c>
      <c r="BN848" s="409">
        <v>787152</v>
      </c>
      <c r="BO848" s="33"/>
      <c r="BP848" s="33"/>
      <c r="BQ848" s="33"/>
      <c r="BR848" s="33"/>
      <c r="BS848" s="33"/>
      <c r="BT848" s="33"/>
      <c r="BU848" s="33"/>
      <c r="BV848" s="33"/>
      <c r="BW848" s="33"/>
      <c r="BX848" s="33"/>
      <c r="BY848" s="33"/>
      <c r="BZ848" s="33"/>
      <c r="CA848" s="33"/>
      <c r="CB848" s="33"/>
      <c r="CC848" s="33"/>
      <c r="CD848" s="33"/>
      <c r="CE848" s="33"/>
      <c r="CF848" s="33"/>
      <c r="CG848" s="33"/>
      <c r="CH848" s="33"/>
      <c r="CI848" s="33"/>
      <c r="CJ848" s="33"/>
      <c r="CK848" s="33"/>
      <c r="CL848" s="33"/>
      <c r="CM848" s="33"/>
      <c r="CN848" s="33"/>
      <c r="CO848" s="33"/>
      <c r="CP848" s="33"/>
      <c r="CQ848" s="33"/>
      <c r="CR848" s="33"/>
      <c r="CS848" s="33"/>
    </row>
    <row r="849" spans="1:97" s="4" customFormat="1" ht="12.95" customHeight="1" thickBot="1">
      <c r="A849"/>
      <c r="B849"/>
      <c r="C849"/>
      <c r="D849"/>
      <c r="E849" s="1376" t="s">
        <v>1578</v>
      </c>
      <c r="F849" s="1377"/>
      <c r="G849" s="1377"/>
      <c r="H849" s="1377"/>
      <c r="I849" s="1377"/>
      <c r="J849" s="1377"/>
      <c r="K849" s="1377"/>
      <c r="L849" s="1377"/>
      <c r="M849" s="1377"/>
      <c r="N849" s="1377"/>
      <c r="O849" s="1377"/>
      <c r="P849" s="1377"/>
      <c r="Q849" s="1377"/>
      <c r="R849" s="1377"/>
      <c r="S849" s="1377"/>
      <c r="T849" s="1377"/>
      <c r="U849" s="1377"/>
      <c r="V849" s="1377"/>
      <c r="W849" s="1377"/>
      <c r="X849" s="1377"/>
      <c r="Y849" s="1377"/>
      <c r="Z849" s="1377"/>
      <c r="AA849" s="1377"/>
      <c r="AB849" s="1378"/>
      <c r="AC849" s="1088">
        <f>IF(ISERROR((ROUNDDOWN(AC847/AC848,0))),0,(ROUNDDOWN(AC847/AC848,0)))</f>
        <v>11181</v>
      </c>
      <c r="AD849" s="1089"/>
      <c r="AE849" s="1089"/>
      <c r="AF849" s="1089"/>
      <c r="AG849" s="1089"/>
      <c r="AH849" s="1089"/>
      <c r="AI849"/>
      <c r="AJ849"/>
      <c r="AK849"/>
      <c r="AL849" s="2"/>
      <c r="AM849" s="30"/>
      <c r="AN849" s="30"/>
      <c r="AO849" s="18"/>
      <c r="AP849" s="18"/>
      <c r="AQ849" s="18"/>
      <c r="AR849" s="18"/>
      <c r="AS849" s="18"/>
      <c r="AT849" s="18"/>
      <c r="AU849" s="18"/>
      <c r="AV849" s="18"/>
      <c r="AW849" s="18"/>
      <c r="AX849" s="18"/>
      <c r="AY849" s="18"/>
      <c r="AZ849" s="18"/>
      <c r="BA849" s="18"/>
      <c r="BB849" s="197" t="s">
        <v>904</v>
      </c>
      <c r="BC849" s="410">
        <v>331890</v>
      </c>
      <c r="BD849" s="410">
        <v>382666</v>
      </c>
      <c r="BE849" s="410">
        <v>461600</v>
      </c>
      <c r="BF849" s="410">
        <v>590848</v>
      </c>
      <c r="BG849" s="410">
        <v>658242</v>
      </c>
      <c r="BH849" s="18"/>
      <c r="BI849" s="197" t="s">
        <v>904</v>
      </c>
      <c r="BJ849" s="410">
        <v>331890</v>
      </c>
      <c r="BK849" s="410">
        <v>382666</v>
      </c>
      <c r="BL849" s="410">
        <v>461600</v>
      </c>
      <c r="BM849" s="410">
        <v>590848</v>
      </c>
      <c r="BN849" s="410">
        <v>658242</v>
      </c>
      <c r="BO849" s="33"/>
      <c r="BP849" s="33"/>
      <c r="BQ849" s="33"/>
      <c r="BR849" s="33"/>
      <c r="BS849" s="33"/>
      <c r="BT849" s="33"/>
      <c r="BU849" s="33"/>
      <c r="BV849" s="33"/>
      <c r="BW849" s="33"/>
      <c r="BX849" s="33"/>
      <c r="BY849" s="33"/>
      <c r="BZ849" s="33"/>
      <c r="CA849" s="33"/>
      <c r="CB849" s="33"/>
      <c r="CC849" s="33"/>
      <c r="CD849" s="33"/>
      <c r="CE849" s="33"/>
      <c r="CF849" s="33"/>
      <c r="CG849" s="33"/>
      <c r="CH849" s="33"/>
      <c r="CI849" s="33"/>
      <c r="CJ849" s="33"/>
      <c r="CK849" s="33"/>
      <c r="CL849" s="33"/>
      <c r="CM849" s="33"/>
      <c r="CN849" s="33"/>
      <c r="CO849" s="33"/>
      <c r="CP849" s="33"/>
      <c r="CQ849" s="33"/>
      <c r="CR849" s="33"/>
      <c r="CS849" s="33"/>
    </row>
    <row r="850" spans="1:97" s="4" customFormat="1" ht="12.95" customHeight="1" thickTop="1">
      <c r="A850"/>
      <c r="B850"/>
      <c r="C850"/>
      <c r="D850"/>
      <c r="E850" s="38"/>
      <c r="F850" s="39"/>
      <c r="G850" s="39"/>
      <c r="H850" s="39"/>
      <c r="I850" s="39"/>
      <c r="J850" s="39"/>
      <c r="K850" s="39"/>
      <c r="L850" s="39"/>
      <c r="M850" s="39"/>
      <c r="N850" s="39"/>
      <c r="O850" s="39"/>
      <c r="P850" s="39"/>
      <c r="Q850" s="39"/>
      <c r="R850" s="39"/>
      <c r="S850" s="39"/>
      <c r="T850" s="39"/>
      <c r="U850" s="39"/>
      <c r="V850" s="39"/>
      <c r="W850" s="39"/>
      <c r="X850" s="39"/>
      <c r="Y850" s="39"/>
      <c r="Z850" s="39"/>
      <c r="AA850" s="39"/>
      <c r="AB850" s="804" t="s">
        <v>1579</v>
      </c>
      <c r="AC850" s="1053">
        <f>'Sources and Uses Budget'!B74</f>
        <v>483675.61359438853</v>
      </c>
      <c r="AD850" s="1124"/>
      <c r="AE850" s="1124"/>
      <c r="AF850" s="1124"/>
      <c r="AG850" s="1124"/>
      <c r="AH850" s="1124"/>
      <c r="AI850"/>
      <c r="AJ850"/>
      <c r="AK850"/>
      <c r="AL850"/>
      <c r="AM850" s="30"/>
      <c r="AN850" s="30"/>
      <c r="AO850" s="18"/>
      <c r="AP850" s="18"/>
      <c r="AQ850" s="18"/>
      <c r="AR850" s="18"/>
      <c r="AS850" s="18"/>
      <c r="AT850" s="18"/>
      <c r="AU850" s="18"/>
      <c r="AV850" s="18"/>
      <c r="AW850" s="18"/>
      <c r="AX850" s="18"/>
      <c r="AY850" s="18"/>
      <c r="AZ850" s="18"/>
      <c r="BA850" s="18"/>
      <c r="BB850" s="197" t="s">
        <v>906</v>
      </c>
      <c r="BC850" s="409">
        <v>352022</v>
      </c>
      <c r="BD850" s="409">
        <v>405878</v>
      </c>
      <c r="BE850" s="409">
        <v>489600</v>
      </c>
      <c r="BF850" s="409">
        <v>626688</v>
      </c>
      <c r="BG850" s="409">
        <v>698170</v>
      </c>
      <c r="BH850" s="18"/>
      <c r="BI850" s="197" t="s">
        <v>906</v>
      </c>
      <c r="BJ850" s="409">
        <v>352022</v>
      </c>
      <c r="BK850" s="409">
        <v>405878</v>
      </c>
      <c r="BL850" s="409">
        <v>489600</v>
      </c>
      <c r="BM850" s="409">
        <v>626688</v>
      </c>
      <c r="BN850" s="409">
        <v>698170</v>
      </c>
      <c r="BO850" s="33"/>
      <c r="BP850" s="33"/>
      <c r="BQ850" s="33"/>
      <c r="BR850" s="33"/>
      <c r="BS850" s="33"/>
      <c r="BT850" s="33"/>
      <c r="BU850" s="33"/>
      <c r="BV850" s="33"/>
      <c r="BW850" s="33"/>
      <c r="BX850" s="33"/>
      <c r="BY850" s="33"/>
      <c r="BZ850" s="33"/>
      <c r="CA850" s="33"/>
      <c r="CB850" s="33"/>
      <c r="CC850" s="33"/>
      <c r="CD850" s="33"/>
      <c r="CE850" s="33"/>
      <c r="CF850" s="33"/>
      <c r="CG850" s="33"/>
      <c r="CH850" s="33"/>
      <c r="CI850" s="33"/>
      <c r="CJ850" s="33"/>
      <c r="CK850" s="33"/>
      <c r="CL850" s="33"/>
      <c r="CM850" s="33"/>
      <c r="CN850" s="33"/>
      <c r="CO850" s="33"/>
      <c r="CP850" s="33"/>
      <c r="CQ850" s="33"/>
      <c r="CR850" s="33"/>
      <c r="CS850" s="33"/>
    </row>
    <row r="851" spans="1:97" s="4" customFormat="1" ht="12.95" customHeight="1">
      <c r="A851"/>
      <c r="B851"/>
      <c r="C851"/>
      <c r="D851"/>
      <c r="E851" s="7"/>
      <c r="F851" s="8"/>
      <c r="G851" s="8"/>
      <c r="H851" s="8"/>
      <c r="I851" s="8"/>
      <c r="J851" s="8"/>
      <c r="K851" s="8"/>
      <c r="L851" s="8"/>
      <c r="M851" s="8"/>
      <c r="N851" s="8"/>
      <c r="O851" s="8"/>
      <c r="P851" s="8"/>
      <c r="Q851" s="8"/>
      <c r="R851" s="8"/>
      <c r="S851" s="8"/>
      <c r="T851" s="8"/>
      <c r="U851" s="8"/>
      <c r="V851" s="8"/>
      <c r="W851" s="8"/>
      <c r="X851" s="8"/>
      <c r="Y851" s="8"/>
      <c r="Z851" s="8"/>
      <c r="AA851" s="8"/>
      <c r="AB851" s="788" t="s">
        <v>1580</v>
      </c>
      <c r="AC851" s="1049"/>
      <c r="AD851" s="1087"/>
      <c r="AE851" s="1087"/>
      <c r="AF851" s="1087"/>
      <c r="AG851" s="1087"/>
      <c r="AH851" s="1087"/>
      <c r="AI851"/>
      <c r="AJ851"/>
      <c r="AK851"/>
      <c r="AL851"/>
      <c r="AM851" s="30"/>
      <c r="AN851" s="30"/>
      <c r="AO851" s="18"/>
      <c r="AP851" s="18"/>
      <c r="AQ851" s="18"/>
      <c r="AR851" s="18"/>
      <c r="AS851" s="18"/>
      <c r="AT851" s="18"/>
      <c r="AU851" s="18"/>
      <c r="AV851" s="18"/>
      <c r="AW851" s="18"/>
      <c r="AX851" s="18"/>
      <c r="AY851" s="18"/>
      <c r="AZ851" s="18"/>
      <c r="BA851" s="18"/>
      <c r="BB851" s="197" t="s">
        <v>911</v>
      </c>
      <c r="BC851" s="410">
        <v>314634</v>
      </c>
      <c r="BD851" s="410">
        <v>362770</v>
      </c>
      <c r="BE851" s="410">
        <v>437600</v>
      </c>
      <c r="BF851" s="410">
        <v>560128</v>
      </c>
      <c r="BG851" s="410">
        <v>624018</v>
      </c>
      <c r="BH851" s="18"/>
      <c r="BI851" s="197" t="s">
        <v>911</v>
      </c>
      <c r="BJ851" s="410">
        <v>314634</v>
      </c>
      <c r="BK851" s="410">
        <v>362770</v>
      </c>
      <c r="BL851" s="410">
        <v>437600</v>
      </c>
      <c r="BM851" s="410">
        <v>560128</v>
      </c>
      <c r="BN851" s="410">
        <v>624018</v>
      </c>
      <c r="BO851" s="33"/>
      <c r="BP851" s="33"/>
      <c r="BQ851" s="33"/>
      <c r="BR851" s="33"/>
      <c r="BS851" s="33"/>
      <c r="BT851" s="33"/>
      <c r="BU851" s="33"/>
      <c r="BV851" s="33"/>
      <c r="BW851" s="33"/>
      <c r="BX851" s="33"/>
      <c r="BY851" s="33"/>
      <c r="BZ851" s="33"/>
      <c r="CA851" s="33"/>
      <c r="CB851" s="33"/>
      <c r="CC851" s="33"/>
      <c r="CD851" s="33"/>
      <c r="CE851" s="33"/>
      <c r="CF851" s="33"/>
      <c r="CG851" s="33"/>
      <c r="CH851" s="33"/>
      <c r="CI851" s="33"/>
      <c r="CJ851" s="33"/>
      <c r="CK851" s="33"/>
      <c r="CL851" s="33"/>
      <c r="CM851" s="33"/>
      <c r="CN851" s="33"/>
      <c r="CO851" s="33"/>
      <c r="CP851" s="33"/>
      <c r="CQ851" s="33"/>
      <c r="CR851" s="33"/>
      <c r="CS851" s="33"/>
    </row>
    <row r="852" spans="1:97" s="4" customFormat="1" ht="12.95" customHeight="1">
      <c r="A852"/>
      <c r="B852"/>
      <c r="C852"/>
      <c r="D852"/>
      <c r="E852" s="7"/>
      <c r="F852" s="8"/>
      <c r="G852" s="8"/>
      <c r="H852" s="8"/>
      <c r="I852" s="8"/>
      <c r="J852" s="8"/>
      <c r="K852" s="8"/>
      <c r="L852" s="8"/>
      <c r="M852" s="8"/>
      <c r="N852" s="8"/>
      <c r="O852" s="8"/>
      <c r="P852" s="8"/>
      <c r="Q852" s="8"/>
      <c r="R852" s="8"/>
      <c r="S852" s="8"/>
      <c r="T852" s="8"/>
      <c r="U852" s="8"/>
      <c r="V852" s="8"/>
      <c r="W852" s="8"/>
      <c r="X852" s="8"/>
      <c r="Y852" s="8"/>
      <c r="Z852" s="8"/>
      <c r="AA852" s="8"/>
      <c r="AB852" s="788" t="s">
        <v>1581</v>
      </c>
      <c r="AC852" s="1047">
        <f>[1]EVERYTHING!$S$59</f>
        <v>55749</v>
      </c>
      <c r="AD852" s="1048"/>
      <c r="AE852" s="1048"/>
      <c r="AF852" s="1048"/>
      <c r="AG852" s="1048"/>
      <c r="AH852" s="1049"/>
      <c r="AI852"/>
      <c r="AJ852"/>
      <c r="AK852"/>
      <c r="AL852"/>
      <c r="AM852" s="30"/>
      <c r="AN852" s="30"/>
      <c r="AO852" s="18"/>
      <c r="AP852" s="18"/>
      <c r="AQ852" s="18"/>
      <c r="AR852" s="18"/>
      <c r="AS852" s="18"/>
      <c r="AT852" s="18"/>
      <c r="AU852" s="18"/>
      <c r="AV852" s="18"/>
      <c r="AW852" s="18"/>
      <c r="AX852" s="18"/>
      <c r="AY852" s="18"/>
      <c r="AZ852" s="18"/>
      <c r="BA852" s="18"/>
      <c r="BB852" s="197" t="s">
        <v>917</v>
      </c>
      <c r="BC852" s="409">
        <v>331890</v>
      </c>
      <c r="BD852" s="409">
        <v>382666</v>
      </c>
      <c r="BE852" s="409">
        <v>461600</v>
      </c>
      <c r="BF852" s="409">
        <v>590848</v>
      </c>
      <c r="BG852" s="409">
        <v>658242</v>
      </c>
      <c r="BH852" s="18"/>
      <c r="BI852" s="197" t="s">
        <v>917</v>
      </c>
      <c r="BJ852" s="409">
        <v>331890</v>
      </c>
      <c r="BK852" s="409">
        <v>382666</v>
      </c>
      <c r="BL852" s="409">
        <v>461600</v>
      </c>
      <c r="BM852" s="409">
        <v>590848</v>
      </c>
      <c r="BN852" s="409">
        <v>658242</v>
      </c>
      <c r="BO852" s="33"/>
      <c r="BP852" s="33"/>
      <c r="BQ852" s="33"/>
      <c r="BR852" s="33"/>
      <c r="BS852" s="33"/>
      <c r="BT852" s="33"/>
      <c r="BU852" s="33"/>
      <c r="BV852" s="33"/>
      <c r="BW852" s="33"/>
      <c r="BX852" s="33"/>
      <c r="BY852" s="33"/>
      <c r="BZ852" s="33"/>
      <c r="CA852" s="33"/>
      <c r="CB852" s="33"/>
      <c r="CC852" s="33"/>
      <c r="CD852" s="33"/>
      <c r="CE852" s="33"/>
      <c r="CF852" s="33"/>
      <c r="CG852" s="33"/>
      <c r="CH852" s="33"/>
      <c r="CI852" s="33"/>
      <c r="CJ852" s="33"/>
      <c r="CK852" s="33"/>
      <c r="CL852" s="33"/>
      <c r="CM852" s="33"/>
      <c r="CN852" s="33"/>
      <c r="CO852" s="33"/>
      <c r="CP852" s="33"/>
      <c r="CQ852" s="33"/>
      <c r="CR852" s="33"/>
      <c r="CS852" s="33"/>
    </row>
    <row r="853" spans="1:97" s="4" customFormat="1" ht="12.95" customHeight="1">
      <c r="A853"/>
      <c r="B853"/>
      <c r="C853"/>
      <c r="D853"/>
      <c r="E853" s="7"/>
      <c r="F853" s="8"/>
      <c r="G853" s="8"/>
      <c r="H853" s="8"/>
      <c r="I853" s="8"/>
      <c r="J853" s="8"/>
      <c r="K853" s="8"/>
      <c r="L853" s="8"/>
      <c r="M853" s="8"/>
      <c r="N853" s="8"/>
      <c r="O853" s="8"/>
      <c r="P853" s="8"/>
      <c r="Q853" s="8"/>
      <c r="R853" s="8"/>
      <c r="S853" s="8"/>
      <c r="T853" s="8"/>
      <c r="U853" s="8"/>
      <c r="V853" s="8"/>
      <c r="W853" s="8"/>
      <c r="X853" s="8"/>
      <c r="Y853" s="8"/>
      <c r="Z853" s="8"/>
      <c r="AA853" s="8"/>
      <c r="AB853" s="788" t="s">
        <v>1582</v>
      </c>
      <c r="AC853" s="1047">
        <f>[1]EVERYTHING!$S$71</f>
        <v>21500</v>
      </c>
      <c r="AD853" s="1048"/>
      <c r="AE853" s="1048"/>
      <c r="AF853" s="1048"/>
      <c r="AG853" s="1048"/>
      <c r="AH853" s="1049"/>
      <c r="AI853"/>
      <c r="AJ853"/>
      <c r="AK853"/>
      <c r="AL853"/>
      <c r="AM853" s="30"/>
      <c r="AN853" s="30"/>
      <c r="AO853" s="18"/>
      <c r="AP853" s="18"/>
      <c r="AQ853" s="18"/>
      <c r="AR853" s="18"/>
      <c r="AS853" s="18"/>
      <c r="AT853" s="18"/>
      <c r="AU853" s="18"/>
      <c r="AV853" s="18"/>
      <c r="AW853" s="18"/>
      <c r="AX853" s="18"/>
      <c r="AY853" s="18"/>
      <c r="AZ853" s="18"/>
      <c r="BA853" s="18"/>
      <c r="BB853" s="197" t="s">
        <v>922</v>
      </c>
      <c r="BC853" s="410">
        <v>352022</v>
      </c>
      <c r="BD853" s="410">
        <v>405878</v>
      </c>
      <c r="BE853" s="410">
        <v>489600</v>
      </c>
      <c r="BF853" s="410">
        <v>626688</v>
      </c>
      <c r="BG853" s="410">
        <v>698170</v>
      </c>
      <c r="BH853" s="18"/>
      <c r="BI853" s="197" t="s">
        <v>922</v>
      </c>
      <c r="BJ853" s="410">
        <v>352022</v>
      </c>
      <c r="BK853" s="410">
        <v>405878</v>
      </c>
      <c r="BL853" s="410">
        <v>489600</v>
      </c>
      <c r="BM853" s="410">
        <v>626688</v>
      </c>
      <c r="BN853" s="410">
        <v>698170</v>
      </c>
      <c r="BO853" s="33"/>
      <c r="BP853" s="33"/>
      <c r="BQ853" s="33"/>
      <c r="BR853" s="33"/>
      <c r="BS853" s="33"/>
      <c r="BT853" s="33"/>
      <c r="BU853" s="33"/>
      <c r="BV853" s="33"/>
      <c r="BW853" s="33"/>
      <c r="BX853" s="33"/>
      <c r="BY853" s="33"/>
      <c r="BZ853" s="33"/>
      <c r="CA853" s="33"/>
      <c r="CB853" s="33"/>
      <c r="CC853" s="33"/>
      <c r="CD853" s="33"/>
      <c r="CE853" s="33"/>
      <c r="CF853" s="33"/>
      <c r="CG853" s="33"/>
      <c r="CH853" s="33"/>
      <c r="CI853" s="33"/>
      <c r="CJ853" s="33"/>
      <c r="CK853" s="33"/>
      <c r="CL853" s="33"/>
      <c r="CM853" s="33"/>
      <c r="CN853" s="33"/>
      <c r="CO853" s="33"/>
      <c r="CP853" s="33"/>
      <c r="CQ853" s="33"/>
      <c r="CR853" s="33"/>
      <c r="CS853" s="33"/>
    </row>
    <row r="854" spans="1:97" s="18" customFormat="1" ht="12.95" customHeight="1">
      <c r="A854"/>
      <c r="B854"/>
      <c r="C854"/>
      <c r="D854"/>
      <c r="E854" s="7"/>
      <c r="F854" s="8"/>
      <c r="G854" s="8"/>
      <c r="H854" s="8"/>
      <c r="I854" s="8"/>
      <c r="J854" s="8"/>
      <c r="K854" s="8"/>
      <c r="L854" s="8"/>
      <c r="M854" s="8"/>
      <c r="N854" s="8"/>
      <c r="O854" s="8"/>
      <c r="P854" s="8"/>
      <c r="Q854" s="8"/>
      <c r="R854" s="8"/>
      <c r="S854" s="8"/>
      <c r="T854" s="8"/>
      <c r="U854" s="8"/>
      <c r="V854" s="8"/>
      <c r="W854" s="8"/>
      <c r="X854" s="8"/>
      <c r="Y854" s="8"/>
      <c r="Z854" s="8"/>
      <c r="AA854" s="8"/>
      <c r="AB854" s="788" t="s">
        <v>1583</v>
      </c>
      <c r="AC854" s="1047">
        <f>[1]EVERYTHING!$S$66+[1]EVERYTHING!$S$69</f>
        <v>18138.875999999997</v>
      </c>
      <c r="AD854" s="1048"/>
      <c r="AE854" s="1048"/>
      <c r="AF854" s="1048"/>
      <c r="AG854" s="1048"/>
      <c r="AH854" s="1049"/>
      <c r="AI854"/>
      <c r="AJ854"/>
      <c r="AK854"/>
      <c r="AL854"/>
      <c r="AM854" s="30"/>
      <c r="AN854" s="30"/>
      <c r="BB854" s="197" t="s">
        <v>926</v>
      </c>
      <c r="BC854" s="409">
        <v>314634</v>
      </c>
      <c r="BD854" s="409">
        <v>362770</v>
      </c>
      <c r="BE854" s="409">
        <v>437600</v>
      </c>
      <c r="BF854" s="409">
        <v>560128</v>
      </c>
      <c r="BG854" s="409">
        <v>624018</v>
      </c>
      <c r="BI854" s="197" t="s">
        <v>926</v>
      </c>
      <c r="BJ854" s="409">
        <v>314634</v>
      </c>
      <c r="BK854" s="409">
        <v>362770</v>
      </c>
      <c r="BL854" s="409">
        <v>437600</v>
      </c>
      <c r="BM854" s="409">
        <v>560128</v>
      </c>
      <c r="BN854" s="409">
        <v>624018</v>
      </c>
    </row>
    <row r="855" spans="1:97" s="18" customFormat="1" ht="12.95" customHeight="1">
      <c r="A855"/>
      <c r="B855"/>
      <c r="C855"/>
      <c r="D855"/>
      <c r="E855" s="7"/>
      <c r="F855" s="8"/>
      <c r="G855" s="8"/>
      <c r="H855" s="8"/>
      <c r="I855" s="8"/>
      <c r="J855" s="8"/>
      <c r="K855" s="8"/>
      <c r="L855" s="8"/>
      <c r="M855" s="8"/>
      <c r="N855" s="8"/>
      <c r="O855" s="8"/>
      <c r="P855" s="8"/>
      <c r="Q855" s="8"/>
      <c r="R855" s="8"/>
      <c r="S855" s="8"/>
      <c r="T855" s="8"/>
      <c r="U855" s="8"/>
      <c r="V855" s="8"/>
      <c r="W855" s="8"/>
      <c r="X855" s="8"/>
      <c r="Y855" s="8"/>
      <c r="Z855" s="8"/>
      <c r="AA855" s="8"/>
      <c r="AB855" s="788" t="s">
        <v>1584</v>
      </c>
      <c r="AC855" s="1047">
        <v>5245</v>
      </c>
      <c r="AD855" s="1048"/>
      <c r="AE855" s="1048"/>
      <c r="AF855" s="1048"/>
      <c r="AG855" s="1048"/>
      <c r="AH855" s="1049"/>
      <c r="AI855"/>
      <c r="AJ855"/>
      <c r="AK855"/>
      <c r="AL855"/>
      <c r="AM855" s="30"/>
      <c r="AN855" s="30"/>
      <c r="BB855" s="197" t="s">
        <v>932</v>
      </c>
      <c r="BC855" s="410">
        <v>353173</v>
      </c>
      <c r="BD855" s="410">
        <v>407205</v>
      </c>
      <c r="BE855" s="410">
        <v>491200</v>
      </c>
      <c r="BF855" s="410">
        <v>628736</v>
      </c>
      <c r="BG855" s="410">
        <v>700451</v>
      </c>
      <c r="BI855" s="197" t="s">
        <v>932</v>
      </c>
      <c r="BJ855" s="410">
        <v>353173</v>
      </c>
      <c r="BK855" s="410">
        <v>407205</v>
      </c>
      <c r="BL855" s="410">
        <v>491200</v>
      </c>
      <c r="BM855" s="410">
        <v>628736</v>
      </c>
      <c r="BN855" s="410">
        <v>700451</v>
      </c>
    </row>
    <row r="856" spans="1:97" s="18" customFormat="1" ht="12.95" customHeight="1">
      <c r="A856"/>
      <c r="B856"/>
      <c r="C856"/>
      <c r="D856"/>
      <c r="E856" s="7"/>
      <c r="F856" s="8"/>
      <c r="G856" s="8"/>
      <c r="H856" s="8"/>
      <c r="I856" s="8"/>
      <c r="J856" s="8"/>
      <c r="K856" s="8"/>
      <c r="L856" s="8"/>
      <c r="M856" s="8"/>
      <c r="N856" s="8"/>
      <c r="O856" s="8"/>
      <c r="P856" s="8"/>
      <c r="Q856" s="8"/>
      <c r="R856" s="8"/>
      <c r="S856" s="8"/>
      <c r="T856" s="8"/>
      <c r="U856" s="8"/>
      <c r="V856" s="8"/>
      <c r="W856" s="8"/>
      <c r="X856" s="8"/>
      <c r="Y856" s="8"/>
      <c r="Z856" s="8"/>
      <c r="AA856" s="8"/>
      <c r="AB856" s="788" t="s">
        <v>1585</v>
      </c>
      <c r="AC856" s="1103"/>
      <c r="AD856" s="1087"/>
      <c r="AE856" s="1087"/>
      <c r="AF856" s="1087"/>
      <c r="AG856" s="1087"/>
      <c r="AH856" s="1087"/>
      <c r="AI856"/>
      <c r="AJ856"/>
      <c r="AK856"/>
      <c r="AL856"/>
      <c r="AM856" s="30"/>
      <c r="AN856" s="30"/>
      <c r="BB856" s="197" t="s">
        <v>937</v>
      </c>
      <c r="BC856" s="409">
        <v>689665</v>
      </c>
      <c r="BD856" s="409">
        <v>795177</v>
      </c>
      <c r="BE856" s="409">
        <v>959200</v>
      </c>
      <c r="BF856" s="409">
        <v>1227776</v>
      </c>
      <c r="BG856" s="409">
        <v>1367819</v>
      </c>
      <c r="BI856" s="197" t="s">
        <v>937</v>
      </c>
      <c r="BJ856" s="409">
        <v>689665</v>
      </c>
      <c r="BK856" s="409">
        <v>795177</v>
      </c>
      <c r="BL856" s="409">
        <v>959200</v>
      </c>
      <c r="BM856" s="409">
        <v>1227776</v>
      </c>
      <c r="BN856" s="409">
        <v>1367819</v>
      </c>
    </row>
    <row r="857" spans="1:97" s="18" customFormat="1" ht="12.95" customHeight="1">
      <c r="A857"/>
      <c r="B857"/>
      <c r="C857"/>
      <c r="D857"/>
      <c r="E857" s="1114" t="s">
        <v>1586</v>
      </c>
      <c r="F857" s="1115"/>
      <c r="G857" s="1115"/>
      <c r="H857" s="1115"/>
      <c r="I857" s="1115"/>
      <c r="J857" s="1115"/>
      <c r="K857" s="1115"/>
      <c r="L857" s="1115"/>
      <c r="M857" s="1115"/>
      <c r="N857" s="1115"/>
      <c r="O857" s="1115"/>
      <c r="P857" s="1115"/>
      <c r="Q857" s="1115"/>
      <c r="R857" s="1115"/>
      <c r="S857" s="1115"/>
      <c r="T857" s="1115"/>
      <c r="U857" s="1115"/>
      <c r="V857" s="1115"/>
      <c r="W857" s="1115"/>
      <c r="X857" s="1115"/>
      <c r="Y857" s="1115"/>
      <c r="Z857" s="1115"/>
      <c r="AA857" s="1115"/>
      <c r="AB857" s="1116"/>
      <c r="AC857" s="1087"/>
      <c r="AD857" s="1087"/>
      <c r="AE857" s="1087"/>
      <c r="AF857" s="1087"/>
      <c r="AG857" s="1087"/>
      <c r="AH857" s="1087"/>
      <c r="AI857"/>
      <c r="AJ857"/>
      <c r="AK857"/>
      <c r="AL857"/>
      <c r="AM857" s="30"/>
      <c r="AN857" s="30"/>
      <c r="BB857" s="197" t="s">
        <v>942</v>
      </c>
      <c r="BC857" s="410">
        <v>307732</v>
      </c>
      <c r="BD857" s="410">
        <v>354812</v>
      </c>
      <c r="BE857" s="410">
        <v>428000</v>
      </c>
      <c r="BF857" s="410">
        <v>547840</v>
      </c>
      <c r="BG857" s="410">
        <v>610328</v>
      </c>
      <c r="BI857" s="197" t="s">
        <v>942</v>
      </c>
      <c r="BJ857" s="410">
        <v>307732</v>
      </c>
      <c r="BK857" s="410">
        <v>354812</v>
      </c>
      <c r="BL857" s="410">
        <v>428000</v>
      </c>
      <c r="BM857" s="410">
        <v>547840</v>
      </c>
      <c r="BN857" s="410">
        <v>610328</v>
      </c>
    </row>
    <row r="858" spans="1:97" s="18" customFormat="1" ht="12.95" customHeight="1">
      <c r="A858"/>
      <c r="B858"/>
      <c r="C858"/>
      <c r="D858"/>
      <c r="E858" s="1114" t="s">
        <v>1586</v>
      </c>
      <c r="F858" s="1115"/>
      <c r="G858" s="1115"/>
      <c r="H858" s="1115"/>
      <c r="I858" s="1115"/>
      <c r="J858" s="1115"/>
      <c r="K858" s="1115"/>
      <c r="L858" s="1115"/>
      <c r="M858" s="1115"/>
      <c r="N858" s="1115"/>
      <c r="O858" s="1115"/>
      <c r="P858" s="1115"/>
      <c r="Q858" s="1115"/>
      <c r="R858" s="1115"/>
      <c r="S858" s="1115"/>
      <c r="T858" s="1115"/>
      <c r="U858" s="1115"/>
      <c r="V858" s="1115"/>
      <c r="W858" s="1115"/>
      <c r="X858" s="1115"/>
      <c r="Y858" s="1115"/>
      <c r="Z858" s="1115"/>
      <c r="AA858" s="1115"/>
      <c r="AB858" s="1116"/>
      <c r="AC858" s="1087"/>
      <c r="AD858" s="1087"/>
      <c r="AE858" s="1087"/>
      <c r="AF858" s="1087"/>
      <c r="AG858" s="1087"/>
      <c r="AH858" s="1087"/>
      <c r="AI858"/>
      <c r="AJ858"/>
      <c r="AK858"/>
      <c r="AL858"/>
      <c r="AM858" s="30"/>
      <c r="AN858" s="30"/>
      <c r="BB858" s="197" t="s">
        <v>946</v>
      </c>
      <c r="BC858" s="409">
        <v>387110</v>
      </c>
      <c r="BD858" s="409">
        <v>446334</v>
      </c>
      <c r="BE858" s="409">
        <v>538400</v>
      </c>
      <c r="BF858" s="409">
        <v>689152</v>
      </c>
      <c r="BG858" s="409">
        <v>767758</v>
      </c>
      <c r="BI858" s="197" t="s">
        <v>946</v>
      </c>
      <c r="BJ858" s="409">
        <v>387110</v>
      </c>
      <c r="BK858" s="409">
        <v>446334</v>
      </c>
      <c r="BL858" s="409">
        <v>538400</v>
      </c>
      <c r="BM858" s="409">
        <v>689152</v>
      </c>
      <c r="BN858" s="409">
        <v>767758</v>
      </c>
    </row>
    <row r="859" spans="1:97" s="18" customFormat="1" ht="12.95" customHeight="1">
      <c r="A859"/>
      <c r="B859"/>
      <c r="C859"/>
      <c r="D859"/>
      <c r="E859"/>
      <c r="F859"/>
      <c r="G859"/>
      <c r="H859"/>
      <c r="I859"/>
      <c r="J859"/>
      <c r="K859"/>
      <c r="L859"/>
      <c r="M859"/>
      <c r="N859"/>
      <c r="O859"/>
      <c r="P859"/>
      <c r="Q859"/>
      <c r="R859"/>
      <c r="S859"/>
      <c r="T859"/>
      <c r="U859"/>
      <c r="V859"/>
      <c r="W859"/>
      <c r="X859"/>
      <c r="Y859"/>
      <c r="Z859"/>
      <c r="AA859"/>
      <c r="AB859" s="836"/>
      <c r="AC859" s="1123"/>
      <c r="AD859" s="1123"/>
      <c r="AE859" s="1123"/>
      <c r="AF859" s="1123"/>
      <c r="AG859" s="1123"/>
      <c r="AH859" s="1123"/>
      <c r="AI859"/>
      <c r="AJ859"/>
      <c r="AK859"/>
      <c r="AL859"/>
      <c r="AM859" s="30"/>
      <c r="AN859" s="30"/>
      <c r="BB859" s="197" t="s">
        <v>950</v>
      </c>
      <c r="BC859" s="408">
        <v>532060</v>
      </c>
      <c r="BD859" s="408">
        <v>613460</v>
      </c>
      <c r="BE859" s="410">
        <v>740000</v>
      </c>
      <c r="BF859" s="408">
        <v>947200</v>
      </c>
      <c r="BG859" s="408">
        <v>1055240</v>
      </c>
      <c r="BI859" s="197" t="s">
        <v>950</v>
      </c>
      <c r="BJ859" s="408">
        <v>532060</v>
      </c>
      <c r="BK859" s="408">
        <v>613460</v>
      </c>
      <c r="BL859" s="408">
        <v>740000</v>
      </c>
      <c r="BM859" s="408">
        <v>947200</v>
      </c>
      <c r="BN859" s="408">
        <v>1055240</v>
      </c>
    </row>
    <row r="860" spans="1:97" s="18" customFormat="1" ht="12.95" customHeight="1">
      <c r="A860" s="2" t="s">
        <v>1272</v>
      </c>
      <c r="B860"/>
      <c r="C860" s="2" t="s">
        <v>1587</v>
      </c>
      <c r="D860"/>
      <c r="E860"/>
      <c r="F860"/>
      <c r="G860"/>
      <c r="H860"/>
      <c r="I860"/>
      <c r="J860"/>
      <c r="K860"/>
      <c r="L860"/>
      <c r="M860"/>
      <c r="N860"/>
      <c r="O860"/>
      <c r="P860"/>
      <c r="Q860"/>
      <c r="R860"/>
      <c r="S860"/>
      <c r="T860"/>
      <c r="U860"/>
      <c r="V860"/>
      <c r="W860"/>
      <c r="X860" s="1"/>
      <c r="Y860" s="1"/>
      <c r="Z860" s="1"/>
      <c r="AA860" s="1"/>
      <c r="AB860" s="1"/>
      <c r="AC860" s="1"/>
      <c r="AD860" s="1"/>
      <c r="AE860"/>
      <c r="AF860"/>
      <c r="AG860"/>
      <c r="AH860"/>
      <c r="AI860"/>
      <c r="AJ860"/>
      <c r="AK860"/>
      <c r="AL860"/>
      <c r="AM860" s="30"/>
      <c r="AN860" s="1100"/>
      <c r="AO860" s="1100"/>
      <c r="AP860" s="1375"/>
      <c r="AQ860" s="1375"/>
      <c r="AR860" s="1375"/>
      <c r="AS860" s="1375"/>
      <c r="BB860" s="197" t="s">
        <v>955</v>
      </c>
      <c r="BC860" s="409">
        <v>387110</v>
      </c>
      <c r="BD860" s="409">
        <v>446334</v>
      </c>
      <c r="BE860" s="409">
        <v>538400</v>
      </c>
      <c r="BF860" s="409">
        <v>689152</v>
      </c>
      <c r="BG860" s="409">
        <v>767758</v>
      </c>
      <c r="BI860" s="197" t="s">
        <v>955</v>
      </c>
      <c r="BJ860" s="409">
        <v>387110</v>
      </c>
      <c r="BK860" s="409">
        <v>446334</v>
      </c>
      <c r="BL860" s="409">
        <v>538400</v>
      </c>
      <c r="BM860" s="409">
        <v>689152</v>
      </c>
      <c r="BN860" s="409">
        <v>767758</v>
      </c>
    </row>
    <row r="861" spans="1:97" s="18" customFormat="1" ht="12.95" customHeight="1">
      <c r="A861"/>
      <c r="B861"/>
      <c r="C861"/>
      <c r="D861"/>
      <c r="E861"/>
      <c r="F861"/>
      <c r="G861"/>
      <c r="H861"/>
      <c r="I861"/>
      <c r="J861"/>
      <c r="K861"/>
      <c r="L861"/>
      <c r="M861"/>
      <c r="N861"/>
      <c r="O861"/>
      <c r="P861"/>
      <c r="Q861"/>
      <c r="R861"/>
      <c r="S861"/>
      <c r="T861"/>
      <c r="U861"/>
      <c r="V861"/>
      <c r="W861"/>
      <c r="X861" s="1"/>
      <c r="Y861" s="1"/>
      <c r="Z861" s="1"/>
      <c r="AA861" s="1"/>
      <c r="AB861" s="1"/>
      <c r="AC861" s="1"/>
      <c r="AD861" s="1"/>
      <c r="AE861"/>
      <c r="AF861"/>
      <c r="AG861" s="783"/>
      <c r="AH861" s="783"/>
      <c r="AI861" s="783"/>
      <c r="AJ861"/>
      <c r="AK861"/>
      <c r="AL861"/>
      <c r="AM861" s="30"/>
      <c r="AN861" s="30"/>
      <c r="AP861" s="1375"/>
      <c r="AQ861" s="1375"/>
      <c r="AR861" s="1375"/>
      <c r="AS861" s="1375"/>
      <c r="AV861" s="1375"/>
      <c r="AW861" s="1375"/>
      <c r="AX861" s="1375"/>
      <c r="AY861" s="1375"/>
      <c r="BB861" s="197" t="s">
        <v>961</v>
      </c>
      <c r="BC861" s="408">
        <v>532060</v>
      </c>
      <c r="BD861" s="408">
        <v>613460</v>
      </c>
      <c r="BE861" s="408">
        <v>740000</v>
      </c>
      <c r="BF861" s="408">
        <v>947200</v>
      </c>
      <c r="BG861" s="408">
        <v>1055240</v>
      </c>
      <c r="BI861" s="197" t="s">
        <v>961</v>
      </c>
      <c r="BJ861" s="408">
        <v>532060</v>
      </c>
      <c r="BK861" s="408">
        <v>613460</v>
      </c>
      <c r="BL861" s="408">
        <v>740000</v>
      </c>
      <c r="BM861" s="408">
        <v>947200</v>
      </c>
      <c r="BN861" s="408">
        <v>1055240</v>
      </c>
    </row>
    <row r="862" spans="1:97" s="18" customFormat="1" ht="12.95" customHeight="1">
      <c r="A862"/>
      <c r="B862" s="2"/>
      <c r="C862"/>
      <c r="D862"/>
      <c r="E862"/>
      <c r="F862"/>
      <c r="G862"/>
      <c r="H862" s="150" t="s">
        <v>1588</v>
      </c>
      <c r="I862" s="8"/>
      <c r="J862" s="8"/>
      <c r="K862" s="8"/>
      <c r="L862" s="8"/>
      <c r="M862" s="8"/>
      <c r="N862" s="8"/>
      <c r="O862" s="8"/>
      <c r="P862" s="8"/>
      <c r="Q862" s="8"/>
      <c r="R862" s="8"/>
      <c r="S862" s="8"/>
      <c r="T862" s="8"/>
      <c r="U862" s="8"/>
      <c r="V862" s="8"/>
      <c r="W862" s="8"/>
      <c r="X862" s="8"/>
      <c r="Y862" s="37"/>
      <c r="Z862" s="1047"/>
      <c r="AA862" s="1048"/>
      <c r="AB862" s="1048"/>
      <c r="AC862" s="1048"/>
      <c r="AD862" s="1048"/>
      <c r="AE862" s="1049"/>
      <c r="AF862"/>
      <c r="AG862"/>
      <c r="AH862"/>
      <c r="AI862"/>
      <c r="AJ862"/>
      <c r="AK862"/>
      <c r="AL862"/>
      <c r="AM862" s="30"/>
      <c r="AN862" s="30"/>
      <c r="BB862" s="197" t="s">
        <v>966</v>
      </c>
      <c r="BC862" s="409">
        <v>387110</v>
      </c>
      <c r="BD862" s="409">
        <v>446334</v>
      </c>
      <c r="BE862" s="409">
        <v>538400</v>
      </c>
      <c r="BF862" s="409">
        <v>689152</v>
      </c>
      <c r="BG862" s="409">
        <v>767758</v>
      </c>
      <c r="BI862" s="197" t="s">
        <v>966</v>
      </c>
      <c r="BJ862" s="409">
        <v>387110</v>
      </c>
      <c r="BK862" s="409">
        <v>446334</v>
      </c>
      <c r="BL862" s="409">
        <v>538400</v>
      </c>
      <c r="BM862" s="409">
        <v>689152</v>
      </c>
      <c r="BN862" s="409">
        <v>767758</v>
      </c>
    </row>
    <row r="863" spans="1:97" s="18" customFormat="1" ht="12.95" customHeight="1">
      <c r="A863"/>
      <c r="B863"/>
      <c r="C863"/>
      <c r="D863"/>
      <c r="E863"/>
      <c r="F863"/>
      <c r="G863"/>
      <c r="H863" s="150" t="s">
        <v>1589</v>
      </c>
      <c r="I863" s="8"/>
      <c r="J863" s="8"/>
      <c r="K863" s="8"/>
      <c r="L863" s="8"/>
      <c r="M863" s="8"/>
      <c r="N863" s="8"/>
      <c r="O863" s="8"/>
      <c r="P863" s="8"/>
      <c r="Q863" s="8"/>
      <c r="R863" s="8"/>
      <c r="S863" s="8"/>
      <c r="T863" s="8"/>
      <c r="U863" s="8"/>
      <c r="V863" s="8"/>
      <c r="W863" s="8"/>
      <c r="X863" s="8"/>
      <c r="Y863" s="8"/>
      <c r="Z863" s="1047"/>
      <c r="AA863" s="1048"/>
      <c r="AB863" s="1048"/>
      <c r="AC863" s="1048"/>
      <c r="AD863" s="1048"/>
      <c r="AE863" s="1049"/>
      <c r="AF863"/>
      <c r="AG863"/>
      <c r="AH863"/>
      <c r="AI863"/>
      <c r="AJ863"/>
      <c r="AK863"/>
      <c r="AL863"/>
      <c r="AM863" s="30"/>
      <c r="AN863" s="30"/>
      <c r="BB863" s="197" t="s">
        <v>971</v>
      </c>
      <c r="BC863" s="410">
        <v>319236</v>
      </c>
      <c r="BD863" s="410">
        <v>368076</v>
      </c>
      <c r="BE863" s="410">
        <v>444000</v>
      </c>
      <c r="BF863" s="410">
        <v>568320</v>
      </c>
      <c r="BG863" s="410">
        <v>633144</v>
      </c>
      <c r="BI863" s="197" t="s">
        <v>971</v>
      </c>
      <c r="BJ863" s="410">
        <v>319236</v>
      </c>
      <c r="BK863" s="410">
        <v>368076</v>
      </c>
      <c r="BL863" s="410">
        <v>444000</v>
      </c>
      <c r="BM863" s="410">
        <v>568320</v>
      </c>
      <c r="BN863" s="410">
        <v>633144</v>
      </c>
    </row>
    <row r="864" spans="1:97" s="18" customFormat="1" ht="12.95" customHeight="1">
      <c r="A864"/>
      <c r="B864"/>
      <c r="C864"/>
      <c r="D864"/>
      <c r="E864"/>
      <c r="F864"/>
      <c r="G864"/>
      <c r="H864" s="150" t="s">
        <v>1590</v>
      </c>
      <c r="I864" s="8"/>
      <c r="J864" s="8"/>
      <c r="K864" s="8"/>
      <c r="L864" s="8"/>
      <c r="M864" s="8"/>
      <c r="N864" s="8"/>
      <c r="O864" s="8"/>
      <c r="P864" s="8"/>
      <c r="Q864" s="8"/>
      <c r="R864" s="8"/>
      <c r="S864" s="8"/>
      <c r="T864" s="8"/>
      <c r="U864" s="8"/>
      <c r="V864" s="8"/>
      <c r="W864" s="8"/>
      <c r="X864" s="8"/>
      <c r="Y864" s="8"/>
      <c r="Z864" s="1047"/>
      <c r="AA864" s="1048"/>
      <c r="AB864" s="1048"/>
      <c r="AC864" s="1048"/>
      <c r="AD864" s="1048"/>
      <c r="AE864" s="1049"/>
      <c r="AF864"/>
      <c r="AG864"/>
      <c r="AH864"/>
      <c r="AI864"/>
      <c r="AJ864"/>
      <c r="AK864"/>
      <c r="AL864"/>
      <c r="AM864" s="30"/>
      <c r="AN864" s="30"/>
      <c r="BB864" s="197" t="s">
        <v>976</v>
      </c>
      <c r="BC864" s="409">
        <v>352022</v>
      </c>
      <c r="BD864" s="409">
        <v>405878</v>
      </c>
      <c r="BE864" s="409">
        <v>489600</v>
      </c>
      <c r="BF864" s="409">
        <v>626688</v>
      </c>
      <c r="BG864" s="409">
        <v>698170</v>
      </c>
      <c r="BI864" s="197" t="s">
        <v>976</v>
      </c>
      <c r="BJ864" s="409">
        <v>352022</v>
      </c>
      <c r="BK864" s="409">
        <v>405878</v>
      </c>
      <c r="BL864" s="409">
        <v>489600</v>
      </c>
      <c r="BM864" s="409">
        <v>626688</v>
      </c>
      <c r="BN864" s="409">
        <v>698170</v>
      </c>
    </row>
    <row r="865" spans="1:97" s="18" customFormat="1" ht="12.95" customHeight="1">
      <c r="A865"/>
      <c r="B865"/>
      <c r="C865"/>
      <c r="D865"/>
      <c r="E865"/>
      <c r="F865"/>
      <c r="G865"/>
      <c r="H865" s="7"/>
      <c r="I865" s="8"/>
      <c r="J865" s="8"/>
      <c r="K865" s="8"/>
      <c r="L865" s="8"/>
      <c r="M865" s="8"/>
      <c r="N865" s="8"/>
      <c r="O865" s="8"/>
      <c r="P865" s="8"/>
      <c r="Q865" s="8"/>
      <c r="R865" s="8"/>
      <c r="S865" s="8"/>
      <c r="T865" s="8"/>
      <c r="U865" s="8"/>
      <c r="V865" s="8"/>
      <c r="W865" s="8"/>
      <c r="X865" s="8"/>
      <c r="Y865" s="227" t="s">
        <v>1591</v>
      </c>
      <c r="Z865" s="1111">
        <f>Z862-(Z863+Z864)</f>
        <v>0</v>
      </c>
      <c r="AA865" s="1112"/>
      <c r="AB865" s="1112"/>
      <c r="AC865" s="1112"/>
      <c r="AD865" s="1112"/>
      <c r="AE865" s="1113"/>
      <c r="AF865"/>
      <c r="AG865"/>
      <c r="AH865"/>
      <c r="AI865"/>
      <c r="AJ865"/>
      <c r="AK865"/>
      <c r="AL865"/>
      <c r="AM865" s="30"/>
      <c r="AN865" s="30"/>
      <c r="BB865" s="197" t="s">
        <v>979</v>
      </c>
      <c r="BC865" s="410">
        <v>352022</v>
      </c>
      <c r="BD865" s="410">
        <v>405878</v>
      </c>
      <c r="BE865" s="410">
        <v>489600</v>
      </c>
      <c r="BF865" s="410">
        <v>626688</v>
      </c>
      <c r="BG865" s="410">
        <v>698170</v>
      </c>
      <c r="BI865" s="197" t="s">
        <v>979</v>
      </c>
      <c r="BJ865" s="410">
        <v>352022</v>
      </c>
      <c r="BK865" s="410">
        <v>405878</v>
      </c>
      <c r="BL865" s="410">
        <v>489600</v>
      </c>
      <c r="BM865" s="410">
        <v>626688</v>
      </c>
      <c r="BN865" s="410">
        <v>698170</v>
      </c>
    </row>
    <row r="866" spans="1:97" s="18" customFormat="1" ht="12.95" customHeight="1">
      <c r="A866"/>
      <c r="B866"/>
      <c r="C866"/>
      <c r="D866" s="21"/>
      <c r="E866" s="783"/>
      <c r="F866" s="783"/>
      <c r="G866" s="78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783"/>
      <c r="AG866"/>
      <c r="AH866"/>
      <c r="AI866"/>
      <c r="AJ866"/>
      <c r="AK866"/>
      <c r="AL866"/>
      <c r="AM866" s="30"/>
      <c r="AN866" s="30"/>
      <c r="BB866" s="197" t="s">
        <v>985</v>
      </c>
      <c r="BC866" s="409">
        <v>384234</v>
      </c>
      <c r="BD866" s="409">
        <v>443018</v>
      </c>
      <c r="BE866" s="409">
        <v>534400</v>
      </c>
      <c r="BF866" s="409">
        <v>684032</v>
      </c>
      <c r="BG866" s="409">
        <v>762054</v>
      </c>
      <c r="BI866" s="197" t="s">
        <v>985</v>
      </c>
      <c r="BJ866" s="409">
        <v>384234</v>
      </c>
      <c r="BK866" s="409">
        <v>443018</v>
      </c>
      <c r="BL866" s="409">
        <v>534400</v>
      </c>
      <c r="BM866" s="409">
        <v>684032</v>
      </c>
      <c r="BN866" s="409">
        <v>762054</v>
      </c>
    </row>
    <row r="867" spans="1:97" s="18" customFormat="1" ht="12.95" customHeight="1">
      <c r="A867"/>
      <c r="B867"/>
      <c r="C867" t="s">
        <v>1592</v>
      </c>
      <c r="D867" s="21"/>
      <c r="E867" s="783"/>
      <c r="F867" s="783"/>
      <c r="G867" s="78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783"/>
      <c r="AG867"/>
      <c r="AH867"/>
      <c r="AI867"/>
      <c r="AJ867"/>
      <c r="AK867"/>
      <c r="AL867"/>
      <c r="AM867" s="30"/>
      <c r="AN867" s="30"/>
      <c r="BB867" s="197" t="s">
        <v>989</v>
      </c>
      <c r="BC867" s="410">
        <v>384234</v>
      </c>
      <c r="BD867" s="410">
        <v>443018</v>
      </c>
      <c r="BE867" s="410">
        <v>534400</v>
      </c>
      <c r="BF867" s="410">
        <v>684032</v>
      </c>
      <c r="BG867" s="410">
        <v>762054</v>
      </c>
      <c r="BI867" s="197" t="s">
        <v>989</v>
      </c>
      <c r="BJ867" s="410">
        <v>384234</v>
      </c>
      <c r="BK867" s="410">
        <v>443018</v>
      </c>
      <c r="BL867" s="410">
        <v>534400</v>
      </c>
      <c r="BM867" s="410">
        <v>684032</v>
      </c>
      <c r="BN867" s="410">
        <v>762054</v>
      </c>
    </row>
    <row r="868" spans="1:97" s="18" customFormat="1" ht="12.95" customHeight="1">
      <c r="A868"/>
      <c r="B868"/>
      <c r="C868" s="228" t="s">
        <v>1593</v>
      </c>
      <c r="D868" s="21"/>
      <c r="E868" s="783"/>
      <c r="F868" s="783"/>
      <c r="G868" s="78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783"/>
      <c r="AG868"/>
      <c r="AH868"/>
      <c r="AI868"/>
      <c r="AJ868"/>
      <c r="AK868"/>
      <c r="AL868"/>
      <c r="AM868" s="30"/>
      <c r="AN868" s="30"/>
      <c r="BB868" s="197" t="s">
        <v>992</v>
      </c>
      <c r="BC868" s="409">
        <v>307732</v>
      </c>
      <c r="BD868" s="409">
        <v>354812</v>
      </c>
      <c r="BE868" s="409">
        <v>428000</v>
      </c>
      <c r="BF868" s="409">
        <v>547840</v>
      </c>
      <c r="BG868" s="409">
        <v>610328</v>
      </c>
      <c r="BI868" s="197" t="s">
        <v>992</v>
      </c>
      <c r="BJ868" s="409">
        <v>307732</v>
      </c>
      <c r="BK868" s="409">
        <v>354812</v>
      </c>
      <c r="BL868" s="409">
        <v>428000</v>
      </c>
      <c r="BM868" s="409">
        <v>547840</v>
      </c>
      <c r="BN868" s="409">
        <v>610328</v>
      </c>
    </row>
    <row r="869" spans="1:97" s="18" customFormat="1" ht="12.95" customHeight="1">
      <c r="A869"/>
      <c r="B869"/>
      <c r="C869" s="228" t="s">
        <v>1594</v>
      </c>
      <c r="D869" s="21"/>
      <c r="E869" s="783"/>
      <c r="F869" s="783"/>
      <c r="G869" s="78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783"/>
      <c r="AG869"/>
      <c r="AH869"/>
      <c r="AI869"/>
      <c r="AJ869"/>
      <c r="AK869"/>
      <c r="AL869"/>
      <c r="AM869" s="30"/>
      <c r="AN869" s="30"/>
      <c r="AT869" s="56"/>
      <c r="AU869" s="56"/>
      <c r="AV869" s="56"/>
      <c r="AW869" s="56"/>
      <c r="AX869" s="56"/>
      <c r="AY869" s="56"/>
      <c r="BB869" s="197" t="s">
        <v>998</v>
      </c>
      <c r="BC869" s="410">
        <v>331890</v>
      </c>
      <c r="BD869" s="410">
        <v>382666</v>
      </c>
      <c r="BE869" s="410">
        <v>461600</v>
      </c>
      <c r="BF869" s="410">
        <v>590848</v>
      </c>
      <c r="BG869" s="410">
        <v>658242</v>
      </c>
      <c r="BI869" s="197" t="s">
        <v>998</v>
      </c>
      <c r="BJ869" s="410">
        <v>331890</v>
      </c>
      <c r="BK869" s="410">
        <v>382666</v>
      </c>
      <c r="BL869" s="410">
        <v>461600</v>
      </c>
      <c r="BM869" s="410">
        <v>590848</v>
      </c>
      <c r="BN869" s="410">
        <v>658242</v>
      </c>
    </row>
    <row r="870" spans="1:97" s="18" customFormat="1" ht="12.95" customHeight="1">
      <c r="A870"/>
      <c r="B870"/>
      <c r="C870" s="18" t="s">
        <v>1595</v>
      </c>
      <c r="D870" s="21"/>
      <c r="E870" s="783"/>
      <c r="F870" s="783"/>
      <c r="G870" s="78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783"/>
      <c r="AG870"/>
      <c r="AH870"/>
      <c r="AI870"/>
      <c r="AJ870"/>
      <c r="AK870"/>
      <c r="AL870"/>
      <c r="AM870" s="30"/>
      <c r="AN870" s="30"/>
      <c r="AT870" s="56"/>
      <c r="AU870" s="56"/>
      <c r="AV870" s="56"/>
      <c r="AW870" s="56"/>
      <c r="AX870" s="56"/>
      <c r="AY870" s="56"/>
      <c r="BB870" s="197" t="s">
        <v>1003</v>
      </c>
      <c r="BC870" s="409">
        <v>352022</v>
      </c>
      <c r="BD870" s="409">
        <v>405878</v>
      </c>
      <c r="BE870" s="409">
        <v>489600</v>
      </c>
      <c r="BF870" s="409">
        <v>626688</v>
      </c>
      <c r="BG870" s="409">
        <v>698170</v>
      </c>
      <c r="BI870" s="197" t="s">
        <v>1003</v>
      </c>
      <c r="BJ870" s="409">
        <v>352022</v>
      </c>
      <c r="BK870" s="409">
        <v>405878</v>
      </c>
      <c r="BL870" s="409">
        <v>489600</v>
      </c>
      <c r="BM870" s="409">
        <v>626688</v>
      </c>
      <c r="BN870" s="409">
        <v>698170</v>
      </c>
    </row>
    <row r="871" spans="1:97" s="18" customFormat="1" ht="12.95" customHeight="1">
      <c r="A871"/>
      <c r="B871"/>
      <c r="D871" s="21"/>
      <c r="E871" s="783"/>
      <c r="F871" s="783"/>
      <c r="G871" s="78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783"/>
      <c r="AG871" s="783"/>
      <c r="AH871" s="783"/>
      <c r="AI871" s="783"/>
      <c r="AJ871"/>
      <c r="AK871"/>
      <c r="AL871"/>
      <c r="AM871" s="253"/>
      <c r="AN871" s="253"/>
      <c r="BB871" s="197" t="s">
        <v>1007</v>
      </c>
      <c r="BC871" s="410">
        <v>352022</v>
      </c>
      <c r="BD871" s="410">
        <v>405878</v>
      </c>
      <c r="BE871" s="410">
        <v>489600</v>
      </c>
      <c r="BF871" s="410">
        <v>626688</v>
      </c>
      <c r="BG871" s="410">
        <v>698170</v>
      </c>
      <c r="BI871" s="197" t="s">
        <v>1007</v>
      </c>
      <c r="BJ871" s="410">
        <v>352022</v>
      </c>
      <c r="BK871" s="410">
        <v>405878</v>
      </c>
      <c r="BL871" s="410">
        <v>489600</v>
      </c>
      <c r="BM871" s="410">
        <v>626688</v>
      </c>
      <c r="BN871" s="410">
        <v>698170</v>
      </c>
    </row>
    <row r="872" spans="1:97" s="18" customFormat="1" ht="12.95" customHeight="1">
      <c r="A872" s="1054" t="s">
        <v>1596</v>
      </c>
      <c r="B872" s="1054"/>
      <c r="C872" s="1054"/>
      <c r="D872" s="1054"/>
      <c r="E872" s="1054"/>
      <c r="F872" s="1054"/>
      <c r="G872" s="1054"/>
      <c r="H872" s="1054"/>
      <c r="I872" s="1054"/>
      <c r="J872" s="1054"/>
      <c r="K872" s="1054"/>
      <c r="L872" s="1054"/>
      <c r="M872" s="1054"/>
      <c r="N872" s="1054"/>
      <c r="O872" s="1054"/>
      <c r="P872" s="1054"/>
      <c r="Q872" s="1054"/>
      <c r="R872" s="1054"/>
      <c r="S872" s="1054"/>
      <c r="T872" s="1054"/>
      <c r="U872" s="1054"/>
      <c r="V872" s="1054"/>
      <c r="W872" s="1054"/>
      <c r="X872" s="1054"/>
      <c r="Y872" s="1054"/>
      <c r="Z872" s="1054"/>
      <c r="AA872" s="1054"/>
      <c r="AB872" s="1054"/>
      <c r="AC872" s="1054"/>
      <c r="AD872" s="1054"/>
      <c r="AE872" s="1054"/>
      <c r="AF872" s="1054"/>
      <c r="AG872" s="1054"/>
      <c r="AH872" s="1054"/>
      <c r="AI872" s="1054"/>
      <c r="AJ872" s="1054"/>
      <c r="AK872" s="1054"/>
      <c r="AL872" s="1054"/>
      <c r="AM872" s="30"/>
      <c r="AN872" s="30"/>
      <c r="BB872" s="197" t="s">
        <v>1012</v>
      </c>
      <c r="BC872" s="409">
        <v>307732</v>
      </c>
      <c r="BD872" s="409">
        <v>354812</v>
      </c>
      <c r="BE872" s="409">
        <v>428000</v>
      </c>
      <c r="BF872" s="409">
        <v>547840</v>
      </c>
      <c r="BG872" s="409">
        <v>610328</v>
      </c>
      <c r="BI872" s="197" t="s">
        <v>1012</v>
      </c>
      <c r="BJ872" s="409">
        <v>307732</v>
      </c>
      <c r="BK872" s="409">
        <v>354812</v>
      </c>
      <c r="BL872" s="409">
        <v>428000</v>
      </c>
      <c r="BM872" s="409">
        <v>547840</v>
      </c>
      <c r="BN872" s="409">
        <v>610328</v>
      </c>
    </row>
    <row r="873" spans="1:97" s="18" customFormat="1" ht="12.95" customHeight="1">
      <c r="A873" s="1054"/>
      <c r="B873" s="1054"/>
      <c r="C873" s="1054"/>
      <c r="D873" s="1054"/>
      <c r="E873" s="1054"/>
      <c r="F873" s="1054"/>
      <c r="G873" s="1054"/>
      <c r="H873" s="1054"/>
      <c r="I873" s="1054"/>
      <c r="J873" s="1054"/>
      <c r="K873" s="1054"/>
      <c r="L873" s="1054"/>
      <c r="M873" s="1054"/>
      <c r="N873" s="1054"/>
      <c r="O873" s="1054"/>
      <c r="P873" s="1054"/>
      <c r="Q873" s="1054"/>
      <c r="R873" s="1054"/>
      <c r="S873" s="1054"/>
      <c r="T873" s="1054"/>
      <c r="U873" s="1054"/>
      <c r="V873" s="1054"/>
      <c r="W873" s="1054"/>
      <c r="X873" s="1054"/>
      <c r="Y873" s="1054"/>
      <c r="Z873" s="1054"/>
      <c r="AA873" s="1054"/>
      <c r="AB873" s="1054"/>
      <c r="AC873" s="1054"/>
      <c r="AD873" s="1054"/>
      <c r="AE873" s="1054"/>
      <c r="AF873" s="1054"/>
      <c r="AG873" s="1054"/>
      <c r="AH873" s="1054"/>
      <c r="AI873" s="1054"/>
      <c r="AJ873" s="1054"/>
      <c r="AK873" s="1054"/>
      <c r="AL873" s="1054"/>
      <c r="AM873" s="30"/>
      <c r="AN873" s="30"/>
      <c r="BB873" s="197" t="s">
        <v>1014</v>
      </c>
      <c r="BC873" s="410">
        <v>352022</v>
      </c>
      <c r="BD873" s="410">
        <v>405878</v>
      </c>
      <c r="BE873" s="410">
        <v>489600</v>
      </c>
      <c r="BF873" s="410">
        <v>626688</v>
      </c>
      <c r="BG873" s="410">
        <v>698170</v>
      </c>
      <c r="BI873" s="197" t="s">
        <v>1014</v>
      </c>
      <c r="BJ873" s="410">
        <v>352022</v>
      </c>
      <c r="BK873" s="410">
        <v>405878</v>
      </c>
      <c r="BL873" s="410">
        <v>489600</v>
      </c>
      <c r="BM873" s="410">
        <v>626688</v>
      </c>
      <c r="BN873" s="410">
        <v>698170</v>
      </c>
    </row>
    <row r="874" spans="1:97" ht="12.95" customHeight="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33"/>
      <c r="AM874" s="33"/>
      <c r="AN874" s="33"/>
      <c r="AO874" s="33"/>
      <c r="AP874" s="33"/>
      <c r="AQ874" s="33"/>
      <c r="AR874" s="33"/>
      <c r="AS874" s="33"/>
      <c r="AT874" s="33"/>
      <c r="AU874" s="33"/>
      <c r="AV874" s="33"/>
      <c r="AW874" s="33"/>
      <c r="AX874" s="33"/>
      <c r="AY874" s="33"/>
      <c r="AZ874" s="33"/>
      <c r="BA874" s="33"/>
      <c r="BB874" s="197" t="s">
        <v>1017</v>
      </c>
      <c r="BC874" s="409">
        <v>387110</v>
      </c>
      <c r="BD874" s="409">
        <v>446334</v>
      </c>
      <c r="BE874" s="409">
        <v>538400</v>
      </c>
      <c r="BF874" s="409">
        <v>689152</v>
      </c>
      <c r="BG874" s="409">
        <v>767758</v>
      </c>
      <c r="BH874" s="18"/>
      <c r="BI874" s="197" t="s">
        <v>1017</v>
      </c>
      <c r="BJ874" s="409">
        <v>387110</v>
      </c>
      <c r="BK874" s="409">
        <v>446334</v>
      </c>
      <c r="BL874" s="409">
        <v>538400</v>
      </c>
      <c r="BM874" s="409">
        <v>689152</v>
      </c>
      <c r="BN874" s="409">
        <v>767758</v>
      </c>
      <c r="BO874" s="33"/>
      <c r="BP874" s="33"/>
      <c r="BQ874" s="33"/>
      <c r="BR874" s="33"/>
      <c r="BS874" s="33"/>
      <c r="BT874" s="33"/>
      <c r="BU874" s="33"/>
      <c r="BV874" s="33"/>
      <c r="BW874" s="33"/>
      <c r="BX874" s="33"/>
      <c r="BY874" s="33"/>
      <c r="BZ874" s="33"/>
      <c r="CA874" s="33"/>
      <c r="CB874" s="33"/>
      <c r="CC874" s="33"/>
      <c r="CD874" s="33"/>
      <c r="CE874" s="33"/>
      <c r="CF874" s="33"/>
      <c r="CG874" s="33"/>
      <c r="CH874" s="33"/>
      <c r="CI874" s="33"/>
      <c r="CJ874" s="33"/>
      <c r="CK874" s="33"/>
      <c r="CL874" s="33"/>
      <c r="CM874" s="33"/>
      <c r="CN874" s="33"/>
      <c r="CO874" s="33"/>
      <c r="CP874" s="33"/>
      <c r="CQ874" s="33"/>
      <c r="CR874" s="33"/>
      <c r="CS874" s="33"/>
    </row>
    <row r="875" spans="1:97" ht="12.95" customHeight="1">
      <c r="A875" s="2" t="s">
        <v>854</v>
      </c>
      <c r="C875" s="2" t="s">
        <v>237</v>
      </c>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M875" s="33"/>
      <c r="AN875" s="33"/>
      <c r="AO875" s="33"/>
      <c r="AP875" s="33"/>
      <c r="AQ875" s="33"/>
      <c r="AR875" s="33"/>
      <c r="AS875" s="33"/>
      <c r="AT875" s="33"/>
      <c r="AU875" s="33"/>
      <c r="AV875" s="33"/>
      <c r="AW875" s="33"/>
      <c r="AX875" s="33"/>
      <c r="AY875" s="33"/>
      <c r="AZ875" s="33"/>
      <c r="BA875" s="33"/>
      <c r="BB875" s="197" t="s">
        <v>1023</v>
      </c>
      <c r="BC875" s="410">
        <v>331890</v>
      </c>
      <c r="BD875" s="410">
        <v>382666</v>
      </c>
      <c r="BE875" s="410">
        <v>461600</v>
      </c>
      <c r="BF875" s="410">
        <v>590848</v>
      </c>
      <c r="BG875" s="410">
        <v>658242</v>
      </c>
      <c r="BH875" s="18"/>
      <c r="BI875" s="197" t="s">
        <v>1023</v>
      </c>
      <c r="BJ875" s="410">
        <v>331890</v>
      </c>
      <c r="BK875" s="410">
        <v>382666</v>
      </c>
      <c r="BL875" s="410">
        <v>461600</v>
      </c>
      <c r="BM875" s="410">
        <v>590848</v>
      </c>
      <c r="BN875" s="410">
        <v>658242</v>
      </c>
      <c r="BO875" s="33"/>
      <c r="BP875" s="33"/>
      <c r="BQ875" s="33"/>
      <c r="BR875" s="33"/>
      <c r="BS875" s="33"/>
      <c r="BT875" s="33"/>
      <c r="BU875" s="33"/>
      <c r="BV875" s="33"/>
      <c r="BW875" s="33"/>
      <c r="BX875" s="33"/>
      <c r="BY875" s="33"/>
      <c r="BZ875" s="33"/>
      <c r="CA875" s="33"/>
      <c r="CB875" s="33"/>
      <c r="CC875" s="33"/>
      <c r="CD875" s="33"/>
      <c r="CE875" s="33"/>
      <c r="CF875" s="33"/>
      <c r="CG875" s="33"/>
      <c r="CH875" s="33"/>
      <c r="CI875" s="33"/>
      <c r="CJ875" s="33"/>
      <c r="CK875" s="33"/>
      <c r="CL875" s="33"/>
      <c r="CM875" s="33"/>
      <c r="CN875" s="33"/>
      <c r="CO875" s="33"/>
      <c r="CP875" s="33"/>
      <c r="CQ875" s="33"/>
      <c r="CR875" s="33"/>
      <c r="CS875" s="33"/>
    </row>
    <row r="876" spans="1:97" ht="12.95" customHeight="1">
      <c r="AM876" s="33"/>
      <c r="AN876" s="33"/>
      <c r="AO876" s="33"/>
      <c r="AP876" s="33"/>
      <c r="AQ876" s="33"/>
      <c r="AR876" s="33"/>
      <c r="AS876" s="33"/>
      <c r="AT876" s="33"/>
      <c r="AU876" s="33"/>
      <c r="AV876" s="33"/>
      <c r="AW876" s="33"/>
      <c r="AX876" s="33"/>
      <c r="AY876" s="33"/>
      <c r="AZ876" s="33"/>
      <c r="BA876" s="33"/>
      <c r="BB876" s="197" t="s">
        <v>1026</v>
      </c>
      <c r="BC876" s="409">
        <v>331890</v>
      </c>
      <c r="BD876" s="409">
        <v>382666</v>
      </c>
      <c r="BE876" s="409">
        <v>461600</v>
      </c>
      <c r="BF876" s="409">
        <v>590848</v>
      </c>
      <c r="BG876" s="409">
        <v>658242</v>
      </c>
      <c r="BH876" s="18"/>
      <c r="BI876" s="197" t="s">
        <v>1026</v>
      </c>
      <c r="BJ876" s="409">
        <v>331890</v>
      </c>
      <c r="BK876" s="409">
        <v>382666</v>
      </c>
      <c r="BL876" s="409">
        <v>461600</v>
      </c>
      <c r="BM876" s="409">
        <v>590848</v>
      </c>
      <c r="BN876" s="409">
        <v>658242</v>
      </c>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c r="CM876" s="33"/>
      <c r="CN876" s="33"/>
      <c r="CO876" s="33"/>
      <c r="CP876" s="33"/>
      <c r="CQ876" s="33"/>
      <c r="CR876" s="33"/>
      <c r="CS876" s="33"/>
    </row>
    <row r="877" spans="1:97" ht="12.95" customHeight="1">
      <c r="F877" s="1125" t="s">
        <v>1597</v>
      </c>
      <c r="G877" s="1126"/>
      <c r="H877" s="1126"/>
      <c r="I877" s="1126"/>
      <c r="J877" s="1126"/>
      <c r="K877" s="1126"/>
      <c r="L877" s="1126"/>
      <c r="M877" s="1126"/>
      <c r="N877" s="1126"/>
      <c r="O877" s="1126"/>
      <c r="P877" s="1126"/>
      <c r="Q877" s="1126"/>
      <c r="R877" s="1126"/>
      <c r="S877" s="1126"/>
      <c r="T877" s="1127"/>
      <c r="U877" s="1419" t="s">
        <v>1598</v>
      </c>
      <c r="V877" s="1128"/>
      <c r="W877" s="1128"/>
      <c r="X877" s="1128"/>
      <c r="Y877" s="1128"/>
      <c r="Z877" s="1128"/>
      <c r="AA877" s="811"/>
      <c r="AB877" s="870"/>
      <c r="AC877" s="870"/>
      <c r="AD877" s="870"/>
      <c r="AE877" s="870"/>
      <c r="AF877" s="889"/>
      <c r="AM877" s="33"/>
      <c r="AN877" s="33"/>
      <c r="AO877" s="33"/>
      <c r="AP877" s="33"/>
      <c r="AQ877" s="33"/>
      <c r="AR877" s="33"/>
      <c r="AS877" s="33"/>
      <c r="AT877" s="33"/>
      <c r="AU877" s="33"/>
      <c r="AV877" s="33"/>
      <c r="AW877" s="33"/>
      <c r="AX877" s="33"/>
      <c r="AY877" s="33"/>
      <c r="AZ877" s="33"/>
      <c r="BA877" s="33"/>
      <c r="BO877" s="33"/>
      <c r="BP877" s="33"/>
      <c r="BQ877" s="33"/>
      <c r="BR877" s="33"/>
      <c r="BS877" s="33"/>
      <c r="BT877" s="33"/>
      <c r="BU877" s="33"/>
      <c r="BV877" s="33"/>
      <c r="BW877" s="33"/>
      <c r="BX877" s="33"/>
      <c r="BY877" s="33"/>
      <c r="BZ877" s="33"/>
      <c r="CA877" s="33"/>
      <c r="CB877" s="33"/>
      <c r="CC877" s="33"/>
      <c r="CD877" s="33"/>
      <c r="CE877" s="33"/>
      <c r="CF877" s="33"/>
      <c r="CG877" s="33"/>
      <c r="CH877" s="33"/>
      <c r="CI877" s="33"/>
      <c r="CJ877" s="33"/>
      <c r="CK877" s="33"/>
      <c r="CL877" s="33"/>
      <c r="CM877" s="33"/>
      <c r="CN877" s="33"/>
      <c r="CO877" s="33"/>
      <c r="CP877" s="33"/>
      <c r="CQ877" s="33"/>
      <c r="CR877" s="33"/>
      <c r="CS877" s="33"/>
    </row>
    <row r="878" spans="1:97" ht="12.95" customHeight="1">
      <c r="B878" s="2"/>
      <c r="F878" s="1117" t="s">
        <v>1599</v>
      </c>
      <c r="G878" s="1118"/>
      <c r="H878" s="1118"/>
      <c r="I878" s="1118"/>
      <c r="J878" s="1118"/>
      <c r="K878" s="1118"/>
      <c r="L878" s="1118"/>
      <c r="M878" s="1118"/>
      <c r="N878" s="1118"/>
      <c r="O878" s="1118"/>
      <c r="P878" s="1118"/>
      <c r="Q878" s="1118"/>
      <c r="R878" s="1118"/>
      <c r="S878" s="1118"/>
      <c r="T878" s="1119"/>
      <c r="U878" s="1117"/>
      <c r="V878" s="1118"/>
      <c r="W878" s="1118"/>
      <c r="X878" s="1118"/>
      <c r="Y878" s="1118"/>
      <c r="Z878" s="1118"/>
      <c r="AA878" s="805"/>
      <c r="AB878" s="33"/>
      <c r="AC878" s="33"/>
      <c r="AD878" s="33"/>
      <c r="AE878" s="33"/>
      <c r="AF878" s="890"/>
      <c r="AM878" s="33"/>
      <c r="AN878" s="33"/>
      <c r="AO878" s="33"/>
      <c r="AP878" s="33"/>
      <c r="AQ878" s="33"/>
      <c r="AR878" s="33"/>
      <c r="AS878" s="33"/>
      <c r="AT878" s="33"/>
      <c r="AU878" s="33"/>
      <c r="AV878" s="33"/>
      <c r="AW878" s="33"/>
      <c r="AX878" s="33"/>
      <c r="AY878" s="33"/>
      <c r="AZ878" s="33"/>
      <c r="BA878" s="33"/>
      <c r="BO878" s="33"/>
      <c r="BP878" s="33"/>
      <c r="BQ878" s="33"/>
      <c r="BR878" s="33"/>
      <c r="BS878" s="33"/>
      <c r="BT878" s="33"/>
      <c r="BU878" s="33"/>
      <c r="BV878" s="33"/>
      <c r="BW878" s="33"/>
      <c r="BX878" s="33"/>
      <c r="BY878" s="33"/>
      <c r="BZ878" s="33"/>
      <c r="CA878" s="33"/>
      <c r="CB878" s="33"/>
      <c r="CC878" s="33"/>
      <c r="CD878" s="33"/>
      <c r="CE878" s="33"/>
      <c r="CF878" s="33"/>
      <c r="CG878" s="33"/>
      <c r="CH878" s="33"/>
      <c r="CI878" s="33"/>
      <c r="CJ878" s="33"/>
      <c r="CK878" s="33"/>
      <c r="CL878" s="33"/>
      <c r="CM878" s="33"/>
      <c r="CN878" s="33"/>
      <c r="CO878" s="33"/>
      <c r="CP878" s="33"/>
      <c r="CQ878" s="33"/>
      <c r="CR878" s="33"/>
      <c r="CS878" s="33"/>
    </row>
    <row r="879" spans="1:97" ht="12.95" customHeight="1">
      <c r="B879" s="2"/>
      <c r="F879" s="1120"/>
      <c r="G879" s="1121"/>
      <c r="H879" s="1121"/>
      <c r="I879" s="1121"/>
      <c r="J879" s="1121"/>
      <c r="K879" s="1121"/>
      <c r="L879" s="1121"/>
      <c r="M879" s="1121"/>
      <c r="N879" s="1121"/>
      <c r="O879" s="1121"/>
      <c r="P879" s="1121"/>
      <c r="Q879" s="1121"/>
      <c r="R879" s="1121"/>
      <c r="S879" s="1121"/>
      <c r="T879" s="1122"/>
      <c r="U879" s="1120"/>
      <c r="V879" s="1121"/>
      <c r="W879" s="1121"/>
      <c r="X879" s="1121"/>
      <c r="Y879" s="1121"/>
      <c r="Z879" s="1121"/>
      <c r="AA879" s="646"/>
      <c r="AB879" s="1110" t="s">
        <v>1600</v>
      </c>
      <c r="AC879" s="1110"/>
      <c r="AD879" s="1110"/>
      <c r="AE879" s="1110"/>
      <c r="AF879" s="349"/>
      <c r="AM879" s="33"/>
      <c r="AN879" s="33"/>
      <c r="AO879" s="33"/>
      <c r="AP879" s="33"/>
      <c r="AQ879" s="33"/>
      <c r="AR879" s="33"/>
      <c r="AS879" s="33"/>
      <c r="AT879" s="33"/>
      <c r="AU879" s="33"/>
      <c r="AV879" s="33"/>
      <c r="AW879" s="33"/>
      <c r="AX879" s="33"/>
      <c r="AY879" s="33"/>
      <c r="AZ879" s="33"/>
      <c r="BA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c r="CM879" s="33"/>
      <c r="CN879" s="33"/>
      <c r="CO879" s="33"/>
      <c r="CP879" s="33"/>
      <c r="CQ879" s="33"/>
      <c r="CR879" s="33"/>
      <c r="CS879" s="33"/>
    </row>
    <row r="880" spans="1:97" ht="12.95" customHeight="1">
      <c r="F880" s="7" t="s">
        <v>1601</v>
      </c>
      <c r="G880" s="8"/>
      <c r="H880" s="8"/>
      <c r="I880" s="8"/>
      <c r="J880" s="8"/>
      <c r="K880" s="8"/>
      <c r="L880" s="8"/>
      <c r="M880" s="8"/>
      <c r="N880" s="8"/>
      <c r="O880" s="8"/>
      <c r="P880" s="8"/>
      <c r="Q880" s="8"/>
      <c r="R880" s="8"/>
      <c r="S880" s="8"/>
      <c r="T880" s="37"/>
      <c r="U880" s="1084" t="s">
        <v>712</v>
      </c>
      <c r="V880" s="1085"/>
      <c r="W880" s="1085"/>
      <c r="X880" s="1085"/>
      <c r="Y880" s="1085"/>
      <c r="Z880" s="1086"/>
      <c r="AA880" s="1051">
        <f>AO619+AO620</f>
        <v>7032047</v>
      </c>
      <c r="AB880" s="1052"/>
      <c r="AC880" s="1052"/>
      <c r="AD880" s="1052"/>
      <c r="AE880" s="1052"/>
      <c r="AF880" s="1053"/>
      <c r="AM880" s="33"/>
      <c r="AN880" s="33"/>
      <c r="AO880" s="33"/>
      <c r="AP880" s="33"/>
      <c r="AQ880" s="33"/>
      <c r="AR880" s="33"/>
      <c r="AS880" s="33"/>
      <c r="AT880" s="33"/>
      <c r="AU880" s="33"/>
      <c r="AV880" s="33"/>
      <c r="AW880" s="33"/>
      <c r="AX880" s="33"/>
      <c r="AY880" s="33"/>
      <c r="AZ880" s="33"/>
      <c r="BA880" s="33"/>
      <c r="BO880" s="33"/>
      <c r="BP880" s="33"/>
      <c r="BQ880" s="33"/>
      <c r="BR880" s="33"/>
      <c r="BS880" s="33"/>
      <c r="BT880" s="33"/>
      <c r="BU880" s="33"/>
      <c r="BV880" s="33"/>
      <c r="BW880" s="33"/>
      <c r="BX880" s="33"/>
      <c r="BY880" s="33"/>
      <c r="BZ880" s="33"/>
      <c r="CA880" s="33"/>
      <c r="CB880" s="33"/>
      <c r="CC880" s="33"/>
      <c r="CD880" s="33"/>
      <c r="CE880" s="33"/>
      <c r="CF880" s="33"/>
      <c r="CG880" s="33"/>
      <c r="CH880" s="33"/>
      <c r="CI880" s="33"/>
      <c r="CJ880" s="33"/>
      <c r="CK880" s="33"/>
      <c r="CL880" s="33"/>
      <c r="CM880" s="33"/>
      <c r="CN880" s="33"/>
      <c r="CO880" s="33"/>
      <c r="CP880" s="33"/>
      <c r="CQ880" s="33"/>
      <c r="CR880" s="33"/>
      <c r="CS880" s="33"/>
    </row>
    <row r="881" spans="6:97" ht="12.95" customHeight="1">
      <c r="F881" s="7" t="s">
        <v>1602</v>
      </c>
      <c r="G881" s="8"/>
      <c r="H881" s="8"/>
      <c r="I881" s="8"/>
      <c r="J881" s="8"/>
      <c r="K881" s="8"/>
      <c r="L881" s="8"/>
      <c r="M881" s="8"/>
      <c r="N881" s="8"/>
      <c r="O881" s="8"/>
      <c r="P881" s="8"/>
      <c r="Q881" s="8"/>
      <c r="R881" s="8"/>
      <c r="S881" s="8"/>
      <c r="T881" s="37"/>
      <c r="U881" s="1084" t="s">
        <v>821</v>
      </c>
      <c r="V881" s="1085"/>
      <c r="W881" s="1085"/>
      <c r="X881" s="1085"/>
      <c r="Y881" s="1085"/>
      <c r="Z881" s="1086"/>
      <c r="AA881" s="1051">
        <v>79280</v>
      </c>
      <c r="AB881" s="1052"/>
      <c r="AC881" s="1052"/>
      <c r="AD881" s="1052"/>
      <c r="AE881" s="1052"/>
      <c r="AF881" s="1053"/>
      <c r="AM881" s="33"/>
      <c r="AN881" s="33"/>
      <c r="AO881" s="33"/>
      <c r="AP881" s="33"/>
      <c r="AQ881" s="33"/>
      <c r="AR881" s="33"/>
      <c r="AS881" s="33"/>
      <c r="AT881" s="33"/>
      <c r="AU881" s="33"/>
      <c r="AV881" s="33"/>
      <c r="AW881" s="33"/>
      <c r="AX881" s="33"/>
      <c r="AY881" s="33"/>
      <c r="AZ881" s="33"/>
      <c r="BA881" s="33"/>
      <c r="BO881" s="33"/>
      <c r="BP881" s="33"/>
      <c r="BQ881" s="33"/>
      <c r="BR881" s="33"/>
      <c r="BS881" s="33"/>
      <c r="BT881" s="33"/>
      <c r="BU881" s="33"/>
      <c r="BV881" s="33"/>
      <c r="BW881" s="33"/>
      <c r="BX881" s="33"/>
      <c r="BY881" s="33"/>
      <c r="BZ881" s="33"/>
      <c r="CA881" s="33"/>
      <c r="CB881" s="33"/>
      <c r="CC881" s="33"/>
      <c r="CD881" s="33"/>
      <c r="CE881" s="33"/>
      <c r="CF881" s="33"/>
      <c r="CG881" s="33"/>
      <c r="CH881" s="33"/>
      <c r="CI881" s="33"/>
      <c r="CJ881" s="33"/>
      <c r="CK881" s="33"/>
      <c r="CL881" s="33"/>
      <c r="CM881" s="33"/>
      <c r="CN881" s="33"/>
      <c r="CO881" s="33"/>
      <c r="CP881" s="33"/>
      <c r="CQ881" s="33"/>
      <c r="CR881" s="33"/>
      <c r="CS881" s="33"/>
    </row>
    <row r="882" spans="6:97" ht="12.95" customHeight="1">
      <c r="F882" s="150" t="s">
        <v>1603</v>
      </c>
      <c r="G882" s="8"/>
      <c r="H882" s="8"/>
      <c r="I882" s="8"/>
      <c r="J882" s="8"/>
      <c r="K882" s="8"/>
      <c r="L882" s="8"/>
      <c r="M882" s="8"/>
      <c r="N882" s="8"/>
      <c r="O882" s="8"/>
      <c r="P882" s="8"/>
      <c r="Q882" s="8"/>
      <c r="R882" s="8"/>
      <c r="S882" s="8"/>
      <c r="T882" s="37"/>
      <c r="U882" s="1084" t="s">
        <v>325</v>
      </c>
      <c r="V882" s="1085"/>
      <c r="W882" s="1085"/>
      <c r="X882" s="1085"/>
      <c r="Y882" s="1085"/>
      <c r="Z882" s="1086"/>
      <c r="AA882" s="1051"/>
      <c r="AB882" s="1052"/>
      <c r="AC882" s="1052"/>
      <c r="AD882" s="1052"/>
      <c r="AE882" s="1052"/>
      <c r="AF882" s="1053"/>
      <c r="AM882" s="33"/>
      <c r="AN882" s="33"/>
      <c r="AO882" s="33"/>
      <c r="AP882" s="33"/>
      <c r="AQ882" s="33"/>
      <c r="AR882" s="33"/>
      <c r="AS882" s="33"/>
      <c r="AT882" s="33"/>
      <c r="AU882" s="33"/>
      <c r="AV882" s="33"/>
      <c r="AW882" s="33"/>
      <c r="AX882" s="33"/>
      <c r="AY882" s="33"/>
      <c r="AZ882" s="33"/>
      <c r="BA882" s="33"/>
      <c r="BO882" s="33"/>
      <c r="BP882" s="33"/>
      <c r="BQ882" s="33"/>
      <c r="BR882" s="33"/>
      <c r="BS882" s="33"/>
      <c r="BT882" s="33"/>
      <c r="BU882" s="33"/>
      <c r="BV882" s="33"/>
      <c r="BW882" s="33"/>
      <c r="BX882" s="33"/>
      <c r="BY882" s="33"/>
      <c r="BZ882" s="33"/>
      <c r="CA882" s="33"/>
      <c r="CB882" s="33"/>
      <c r="CC882" s="33"/>
      <c r="CD882" s="33"/>
      <c r="CE882" s="33"/>
      <c r="CF882" s="33"/>
      <c r="CG882" s="33"/>
      <c r="CH882" s="33"/>
      <c r="CI882" s="33"/>
      <c r="CJ882" s="33"/>
      <c r="CK882" s="33"/>
      <c r="CL882" s="33"/>
      <c r="CM882" s="33"/>
      <c r="CN882" s="33"/>
      <c r="CO882" s="33"/>
      <c r="CP882" s="33"/>
      <c r="CQ882" s="33"/>
      <c r="CR882" s="33"/>
      <c r="CS882" s="33"/>
    </row>
    <row r="883" spans="6:97" ht="12.95" customHeight="1">
      <c r="F883" s="150" t="s">
        <v>1604</v>
      </c>
      <c r="G883" s="8"/>
      <c r="H883" s="8"/>
      <c r="I883" s="8"/>
      <c r="J883" s="8"/>
      <c r="K883" s="8"/>
      <c r="L883" s="8"/>
      <c r="M883" s="8"/>
      <c r="N883" s="8"/>
      <c r="O883" s="8"/>
      <c r="P883" s="8"/>
      <c r="Q883" s="8"/>
      <c r="R883" s="8"/>
      <c r="S883" s="8"/>
      <c r="T883" s="37"/>
      <c r="U883" s="1084" t="s">
        <v>325</v>
      </c>
      <c r="V883" s="1085"/>
      <c r="W883" s="1085"/>
      <c r="X883" s="1085"/>
      <c r="Y883" s="1085"/>
      <c r="Z883" s="1086"/>
      <c r="AA883" s="1051"/>
      <c r="AB883" s="1052"/>
      <c r="AC883" s="1052"/>
      <c r="AD883" s="1052"/>
      <c r="AE883" s="1052"/>
      <c r="AF883" s="1053"/>
      <c r="AM883" s="33"/>
      <c r="AN883" s="33"/>
      <c r="AO883" s="33"/>
      <c r="AP883" s="33"/>
      <c r="AQ883" s="33"/>
      <c r="AR883" s="33"/>
      <c r="AS883" s="33"/>
      <c r="AT883" s="33"/>
      <c r="AU883" s="33"/>
      <c r="AV883" s="33"/>
      <c r="AW883" s="33"/>
      <c r="AX883" s="33"/>
      <c r="AY883" s="33"/>
      <c r="AZ883" s="33"/>
      <c r="BA883" s="33"/>
      <c r="BO883" s="33"/>
      <c r="BP883" s="33"/>
      <c r="BQ883" s="33"/>
      <c r="BR883" s="33"/>
      <c r="BS883" s="33"/>
      <c r="BT883" s="33"/>
      <c r="BU883" s="33"/>
      <c r="BV883" s="33"/>
      <c r="BW883" s="33"/>
      <c r="BX883" s="33"/>
      <c r="BY883" s="33"/>
      <c r="BZ883" s="33"/>
      <c r="CA883" s="33"/>
      <c r="CB883" s="33"/>
      <c r="CC883" s="33"/>
      <c r="CD883" s="33"/>
      <c r="CE883" s="33"/>
      <c r="CF883" s="33"/>
      <c r="CG883" s="33"/>
      <c r="CH883" s="33"/>
      <c r="CI883" s="33"/>
      <c r="CJ883" s="33"/>
      <c r="CK883" s="33"/>
      <c r="CL883" s="33"/>
      <c r="CM883" s="33"/>
      <c r="CN883" s="33"/>
      <c r="CO883" s="33"/>
      <c r="CP883" s="33"/>
      <c r="CQ883" s="33"/>
      <c r="CR883" s="33"/>
      <c r="CS883" s="33"/>
    </row>
    <row r="884" spans="6:97" ht="12.95" customHeight="1">
      <c r="F884" s="150" t="s">
        <v>1605</v>
      </c>
      <c r="G884" s="8"/>
      <c r="H884" s="8"/>
      <c r="I884" s="8"/>
      <c r="J884" s="8"/>
      <c r="K884" s="8"/>
      <c r="L884" s="8"/>
      <c r="M884" s="8"/>
      <c r="N884" s="8"/>
      <c r="O884" s="8"/>
      <c r="P884" s="8"/>
      <c r="Q884" s="8"/>
      <c r="R884" s="8"/>
      <c r="S884" s="8"/>
      <c r="T884" s="37"/>
      <c r="U884" s="1084" t="s">
        <v>325</v>
      </c>
      <c r="V884" s="1085"/>
      <c r="W884" s="1085"/>
      <c r="X884" s="1085"/>
      <c r="Y884" s="1085"/>
      <c r="Z884" s="1086"/>
      <c r="AA884" s="1051"/>
      <c r="AB884" s="1052"/>
      <c r="AC884" s="1052"/>
      <c r="AD884" s="1052"/>
      <c r="AE884" s="1052"/>
      <c r="AF884" s="1053"/>
      <c r="AM884" s="33"/>
      <c r="AN884" s="33"/>
      <c r="AO884" s="33"/>
      <c r="AP884" s="33"/>
      <c r="AQ884" s="33"/>
      <c r="AR884" s="33"/>
      <c r="AS884" s="33"/>
      <c r="AT884" s="33"/>
      <c r="AU884" s="33"/>
      <c r="AV884" s="33"/>
      <c r="AW884" s="33"/>
      <c r="AX884" s="33"/>
      <c r="AY884" s="33"/>
      <c r="AZ884" s="33"/>
      <c r="BA884" s="33"/>
      <c r="BO884" s="33"/>
      <c r="BP884" s="33"/>
      <c r="BQ884" s="33"/>
      <c r="BR884" s="33"/>
      <c r="BS884" s="33"/>
      <c r="BT884" s="33"/>
      <c r="BU884" s="33"/>
      <c r="BV884" s="33"/>
      <c r="BW884" s="33"/>
      <c r="BX884" s="33"/>
      <c r="BY884" s="33"/>
      <c r="BZ884" s="33"/>
      <c r="CA884" s="33"/>
      <c r="CB884" s="33"/>
      <c r="CC884" s="33"/>
      <c r="CD884" s="33"/>
      <c r="CE884" s="33"/>
      <c r="CF884" s="33"/>
      <c r="CG884" s="33"/>
      <c r="CH884" s="33"/>
      <c r="CI884" s="33"/>
      <c r="CJ884" s="33"/>
      <c r="CK884" s="33"/>
      <c r="CL884" s="33"/>
      <c r="CM884" s="33"/>
      <c r="CN884" s="33"/>
      <c r="CO884" s="33"/>
      <c r="CP884" s="33"/>
      <c r="CQ884" s="33"/>
      <c r="CR884" s="33"/>
      <c r="CS884" s="33"/>
    </row>
    <row r="885" spans="6:97" ht="12.95" customHeight="1">
      <c r="F885" s="7" t="s">
        <v>1606</v>
      </c>
      <c r="G885" s="8"/>
      <c r="H885" s="8"/>
      <c r="I885" s="8"/>
      <c r="J885" s="8"/>
      <c r="K885" s="8"/>
      <c r="L885" s="8"/>
      <c r="M885" s="8"/>
      <c r="N885" s="8"/>
      <c r="O885" s="8"/>
      <c r="P885" s="8"/>
      <c r="Q885" s="8"/>
      <c r="R885" s="8"/>
      <c r="S885" s="8"/>
      <c r="T885" s="37"/>
      <c r="U885" s="1084" t="s">
        <v>325</v>
      </c>
      <c r="V885" s="1085"/>
      <c r="W885" s="1085"/>
      <c r="X885" s="1085"/>
      <c r="Y885" s="1085"/>
      <c r="Z885" s="1086"/>
      <c r="AA885" s="1051"/>
      <c r="AB885" s="1052"/>
      <c r="AC885" s="1052"/>
      <c r="AD885" s="1052"/>
      <c r="AE885" s="1052"/>
      <c r="AF885" s="1053"/>
      <c r="AL885" s="20"/>
      <c r="AT885" s="33"/>
      <c r="AU885" s="33"/>
      <c r="AV885" s="33"/>
      <c r="BO885" s="33"/>
      <c r="BP885" s="33"/>
      <c r="BQ885" s="33"/>
      <c r="BR885" s="33"/>
      <c r="BS885" s="33"/>
      <c r="BT885" s="33"/>
      <c r="BU885" s="33"/>
      <c r="BV885" s="33"/>
      <c r="BW885" s="33"/>
      <c r="BX885" s="33"/>
      <c r="BY885" s="33"/>
      <c r="BZ885" s="33"/>
      <c r="CA885" s="33"/>
      <c r="CB885" s="33"/>
      <c r="CC885" s="33"/>
      <c r="CD885" s="33"/>
      <c r="CE885" s="33"/>
      <c r="CF885" s="33"/>
      <c r="CG885" s="33"/>
      <c r="CH885" s="33"/>
      <c r="CI885" s="33"/>
      <c r="CJ885" s="33"/>
      <c r="CK885" s="33"/>
      <c r="CL885" s="33"/>
      <c r="CM885" s="33"/>
      <c r="CN885" s="33"/>
      <c r="CO885" s="33"/>
      <c r="CP885" s="33"/>
      <c r="CQ885" s="33"/>
      <c r="CR885" s="33"/>
      <c r="CS885" s="33"/>
    </row>
    <row r="886" spans="6:97" ht="12.95" customHeight="1">
      <c r="F886" s="7" t="s">
        <v>1607</v>
      </c>
      <c r="G886" s="8"/>
      <c r="H886" s="8"/>
      <c r="I886" s="8"/>
      <c r="J886" s="8"/>
      <c r="K886" s="8"/>
      <c r="L886" s="8"/>
      <c r="M886" s="8"/>
      <c r="N886" s="8"/>
      <c r="O886" s="8"/>
      <c r="P886" s="8"/>
      <c r="Q886" s="8"/>
      <c r="R886" s="8"/>
      <c r="S886" s="8"/>
      <c r="T886" s="37"/>
      <c r="U886" s="1084" t="s">
        <v>325</v>
      </c>
      <c r="V886" s="1085"/>
      <c r="W886" s="1085"/>
      <c r="X886" s="1085"/>
      <c r="Y886" s="1085"/>
      <c r="Z886" s="1086"/>
      <c r="AA886" s="1051"/>
      <c r="AB886" s="1052"/>
      <c r="AC886" s="1052"/>
      <c r="AD886" s="1052"/>
      <c r="AE886" s="1052"/>
      <c r="AF886" s="1053"/>
      <c r="AL886" s="20"/>
      <c r="AT886" s="33"/>
      <c r="AU886" s="33"/>
      <c r="AV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c r="CM886" s="33"/>
      <c r="CN886" s="33"/>
      <c r="CO886" s="33"/>
      <c r="CP886" s="33"/>
      <c r="CQ886" s="33"/>
      <c r="CR886" s="33"/>
      <c r="CS886" s="33"/>
    </row>
    <row r="887" spans="6:97" ht="12.95" customHeight="1">
      <c r="F887" s="470" t="s">
        <v>1608</v>
      </c>
      <c r="G887" s="8"/>
      <c r="H887" s="8"/>
      <c r="I887" s="8"/>
      <c r="J887" s="8"/>
      <c r="K887" s="8"/>
      <c r="L887" s="8"/>
      <c r="M887" s="8"/>
      <c r="N887" s="8"/>
      <c r="O887" s="8"/>
      <c r="P887" s="8"/>
      <c r="Q887" s="8"/>
      <c r="R887" s="8"/>
      <c r="S887" s="8"/>
      <c r="T887" s="37"/>
      <c r="U887" s="1084" t="s">
        <v>325</v>
      </c>
      <c r="V887" s="1085"/>
      <c r="W887" s="1085"/>
      <c r="X887" s="1085"/>
      <c r="Y887" s="1085"/>
      <c r="Z887" s="1086"/>
      <c r="AA887" s="1051"/>
      <c r="AB887" s="1052"/>
      <c r="AC887" s="1052"/>
      <c r="AD887" s="1052"/>
      <c r="AE887" s="1052"/>
      <c r="AF887" s="1053"/>
      <c r="AL887" s="891"/>
      <c r="AT887" s="33"/>
      <c r="AU887" s="33"/>
      <c r="AV887" s="33"/>
      <c r="BH887" s="18"/>
      <c r="BO887" s="33"/>
      <c r="BP887" s="33"/>
      <c r="BQ887" s="33"/>
      <c r="BR887" s="33"/>
      <c r="BS887" s="33"/>
      <c r="BT887" s="33"/>
      <c r="BU887" s="33"/>
      <c r="BV887" s="33"/>
      <c r="BW887" s="33"/>
      <c r="BX887" s="33"/>
      <c r="BY887" s="33"/>
      <c r="BZ887" s="33"/>
      <c r="CA887" s="33"/>
      <c r="CB887" s="33"/>
      <c r="CC887" s="33"/>
      <c r="CD887" s="33"/>
      <c r="CE887" s="33"/>
      <c r="CF887" s="33"/>
      <c r="CG887" s="33"/>
      <c r="CH887" s="33"/>
      <c r="CI887" s="33"/>
      <c r="CJ887" s="33"/>
      <c r="CK887" s="33"/>
      <c r="CL887" s="33"/>
      <c r="CM887" s="33"/>
      <c r="CN887" s="33"/>
      <c r="CO887" s="33"/>
      <c r="CP887" s="33"/>
      <c r="CQ887" s="33"/>
      <c r="CR887" s="33"/>
      <c r="CS887" s="33"/>
    </row>
    <row r="888" spans="6:97" ht="12.95" customHeight="1">
      <c r="F888" s="7" t="s">
        <v>1609</v>
      </c>
      <c r="G888" s="8"/>
      <c r="H888" s="8"/>
      <c r="I888" s="8"/>
      <c r="J888" s="8"/>
      <c r="K888" s="8"/>
      <c r="L888" s="8"/>
      <c r="M888" s="8"/>
      <c r="N888" s="8"/>
      <c r="O888" s="8"/>
      <c r="P888" s="8"/>
      <c r="Q888" s="8"/>
      <c r="R888" s="8"/>
      <c r="S888" s="8"/>
      <c r="T888" s="37"/>
      <c r="U888" s="1084" t="s">
        <v>325</v>
      </c>
      <c r="V888" s="1085"/>
      <c r="W888" s="1085"/>
      <c r="X888" s="1085"/>
      <c r="Y888" s="1085"/>
      <c r="Z888" s="1086"/>
      <c r="AA888" s="1051"/>
      <c r="AB888" s="1052"/>
      <c r="AC888" s="1052"/>
      <c r="AD888" s="1052"/>
      <c r="AE888" s="1052"/>
      <c r="AF888" s="1053"/>
      <c r="AL888" s="891"/>
      <c r="AT888" s="33"/>
      <c r="AU888" s="33"/>
      <c r="AV888" s="33"/>
      <c r="BH888" s="18"/>
      <c r="BO888" s="33"/>
      <c r="BP888" s="33"/>
      <c r="BQ888" s="33"/>
      <c r="BR888" s="33"/>
      <c r="BS888" s="33"/>
      <c r="BT888" s="33"/>
      <c r="BU888" s="33"/>
      <c r="BV888" s="33"/>
      <c r="BW888" s="33"/>
      <c r="BX888" s="33"/>
      <c r="BY888" s="33"/>
      <c r="BZ888" s="33"/>
      <c r="CA888" s="33"/>
      <c r="CB888" s="33"/>
      <c r="CC888" s="33"/>
      <c r="CD888" s="33"/>
      <c r="CE888" s="33"/>
      <c r="CF888" s="33"/>
      <c r="CG888" s="33"/>
      <c r="CH888" s="33"/>
      <c r="CI888" s="33"/>
      <c r="CJ888" s="33"/>
      <c r="CK888" s="33"/>
      <c r="CL888" s="33"/>
      <c r="CM888" s="33"/>
      <c r="CN888" s="33"/>
      <c r="CO888" s="33"/>
      <c r="CP888" s="33"/>
      <c r="CQ888" s="33"/>
      <c r="CR888" s="33"/>
      <c r="CS888" s="33"/>
    </row>
    <row r="889" spans="6:97" ht="12.95" customHeight="1">
      <c r="F889" s="150" t="s">
        <v>1610</v>
      </c>
      <c r="G889" s="8"/>
      <c r="H889" s="8"/>
      <c r="I889" s="8"/>
      <c r="J889" s="8"/>
      <c r="K889" s="8"/>
      <c r="L889" s="8"/>
      <c r="M889" s="8"/>
      <c r="N889" s="8"/>
      <c r="O889" s="8"/>
      <c r="P889" s="8"/>
      <c r="Q889" s="8"/>
      <c r="R889" s="8"/>
      <c r="S889" s="8"/>
      <c r="T889" s="37"/>
      <c r="U889" s="1084" t="s">
        <v>325</v>
      </c>
      <c r="V889" s="1085"/>
      <c r="W889" s="1085"/>
      <c r="X889" s="1085"/>
      <c r="Y889" s="1085"/>
      <c r="Z889" s="1086"/>
      <c r="AA889" s="1051"/>
      <c r="AB889" s="1052"/>
      <c r="AC889" s="1052"/>
      <c r="AD889" s="1052"/>
      <c r="AE889" s="1052"/>
      <c r="AF889" s="1053"/>
      <c r="AL889" s="891"/>
      <c r="AT889" s="33"/>
      <c r="AU889" s="33"/>
      <c r="AV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c r="CM889" s="33"/>
      <c r="CN889" s="33"/>
      <c r="CO889" s="33"/>
      <c r="CP889" s="33"/>
      <c r="CQ889" s="33"/>
      <c r="CR889" s="33"/>
      <c r="CS889" s="33"/>
    </row>
    <row r="890" spans="6:97" ht="12.95" customHeight="1">
      <c r="F890" s="7" t="s">
        <v>1611</v>
      </c>
      <c r="G890" s="8"/>
      <c r="H890" s="8"/>
      <c r="I890" s="8"/>
      <c r="J890" s="8"/>
      <c r="K890" s="8"/>
      <c r="L890" s="8"/>
      <c r="M890" s="8"/>
      <c r="N890" s="8"/>
      <c r="O890" s="8"/>
      <c r="P890" s="8"/>
      <c r="Q890" s="8"/>
      <c r="R890" s="8"/>
      <c r="S890" s="8"/>
      <c r="T890" s="37"/>
      <c r="U890" s="1205" t="s">
        <v>325</v>
      </c>
      <c r="V890" s="1206"/>
      <c r="W890" s="1206"/>
      <c r="X890" s="1206"/>
      <c r="Y890" s="1206"/>
      <c r="Z890" s="1207"/>
      <c r="AA890" s="1350"/>
      <c r="AB890" s="1283"/>
      <c r="AC890" s="1283"/>
      <c r="AD890" s="1283"/>
      <c r="AE890" s="1283"/>
      <c r="AF890" s="1396"/>
      <c r="AL890" s="891"/>
      <c r="AT890" s="33"/>
      <c r="AU890" s="33"/>
      <c r="AV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s="33"/>
      <c r="BZ890" s="33"/>
      <c r="CA890" s="33"/>
      <c r="CB890" s="33"/>
      <c r="CC890" s="33"/>
      <c r="CD890" s="33"/>
      <c r="CE890" s="33"/>
      <c r="CF890" s="33"/>
      <c r="CG890" s="33"/>
      <c r="CH890" s="33"/>
      <c r="CI890" s="33"/>
      <c r="CJ890" s="33"/>
      <c r="CK890" s="33"/>
      <c r="CL890" s="33"/>
      <c r="CM890" s="33"/>
      <c r="CN890" s="33"/>
      <c r="CO890" s="33"/>
      <c r="CP890" s="33"/>
      <c r="CQ890" s="33"/>
      <c r="CR890" s="33"/>
      <c r="CS890" s="33"/>
    </row>
    <row r="891" spans="6:97" ht="12.95" customHeight="1">
      <c r="F891" s="150" t="s">
        <v>1612</v>
      </c>
      <c r="G891" s="8"/>
      <c r="H891" s="8"/>
      <c r="I891" s="8"/>
      <c r="J891" s="8"/>
      <c r="K891" s="8"/>
      <c r="L891" s="8"/>
      <c r="M891" s="8"/>
      <c r="N891" s="8"/>
      <c r="O891" s="8"/>
      <c r="P891" s="8"/>
      <c r="Q891" s="8"/>
      <c r="R891" s="8"/>
      <c r="S891" s="8"/>
      <c r="T891" s="37"/>
      <c r="U891" s="1084" t="s">
        <v>325</v>
      </c>
      <c r="V891" s="1085"/>
      <c r="W891" s="1085"/>
      <c r="X891" s="1085"/>
      <c r="Y891" s="1085"/>
      <c r="Z891" s="1086"/>
      <c r="AA891" s="1051"/>
      <c r="AB891" s="1052"/>
      <c r="AC891" s="1052"/>
      <c r="AD891" s="1052"/>
      <c r="AE891" s="1052"/>
      <c r="AF891" s="1053"/>
      <c r="AL891" s="891"/>
      <c r="AT891" s="33"/>
      <c r="AU891" s="33"/>
      <c r="AV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s="33"/>
      <c r="BZ891" s="33"/>
      <c r="CA891" s="33"/>
      <c r="CB891" s="33"/>
      <c r="CC891" s="33"/>
      <c r="CD891" s="33"/>
      <c r="CE891" s="33"/>
      <c r="CF891" s="33"/>
      <c r="CG891" s="33"/>
      <c r="CH891" s="33"/>
      <c r="CI891" s="33"/>
      <c r="CJ891" s="33"/>
      <c r="CK891" s="33"/>
      <c r="CL891" s="33"/>
      <c r="CM891" s="33"/>
      <c r="CN891" s="33"/>
      <c r="CO891" s="33"/>
      <c r="CP891" s="33"/>
      <c r="CQ891" s="33"/>
      <c r="CR891" s="33"/>
      <c r="CS891" s="33"/>
    </row>
    <row r="892" spans="6:97" ht="12.95" customHeight="1">
      <c r="F892" s="150" t="s">
        <v>1613</v>
      </c>
      <c r="G892" s="8"/>
      <c r="H892" s="8"/>
      <c r="I892" s="8"/>
      <c r="J892" s="8"/>
      <c r="K892" s="8"/>
      <c r="L892" s="8"/>
      <c r="M892" s="8"/>
      <c r="N892" s="8"/>
      <c r="O892" s="8"/>
      <c r="P892" s="8"/>
      <c r="Q892" s="8"/>
      <c r="R892" s="8"/>
      <c r="S892" s="8"/>
      <c r="T892" s="37"/>
      <c r="U892" s="1084" t="s">
        <v>325</v>
      </c>
      <c r="V892" s="1085"/>
      <c r="W892" s="1085"/>
      <c r="X892" s="1085"/>
      <c r="Y892" s="1085"/>
      <c r="Z892" s="1086"/>
      <c r="AA892" s="1051"/>
      <c r="AB892" s="1052"/>
      <c r="AC892" s="1052"/>
      <c r="AD892" s="1052"/>
      <c r="AE892" s="1052"/>
      <c r="AF892" s="1053"/>
      <c r="AL892" s="891"/>
      <c r="AT892" s="33"/>
      <c r="AU892" s="33"/>
      <c r="AV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s="33"/>
      <c r="BZ892" s="33"/>
      <c r="CA892" s="33"/>
      <c r="CB892" s="33"/>
      <c r="CC892" s="33"/>
      <c r="CD892" s="33"/>
      <c r="CE892" s="33"/>
      <c r="CF892" s="33"/>
      <c r="CG892" s="33"/>
      <c r="CH892" s="33"/>
      <c r="CI892" s="33"/>
      <c r="CJ892" s="33"/>
      <c r="CK892" s="33"/>
      <c r="CL892" s="33"/>
      <c r="CM892" s="33"/>
      <c r="CN892" s="33"/>
      <c r="CO892" s="33"/>
      <c r="CP892" s="33"/>
      <c r="CQ892" s="33"/>
      <c r="CR892" s="33"/>
      <c r="CS892" s="33"/>
    </row>
    <row r="893" spans="6:97" ht="12.95" customHeight="1">
      <c r="F893" s="150" t="s">
        <v>1614</v>
      </c>
      <c r="G893" s="8"/>
      <c r="H893" s="8"/>
      <c r="I893" s="8"/>
      <c r="J893" s="8"/>
      <c r="K893" s="8"/>
      <c r="L893" s="8"/>
      <c r="M893" s="8"/>
      <c r="N893" s="8"/>
      <c r="O893" s="8"/>
      <c r="P893" s="8"/>
      <c r="Q893" s="8"/>
      <c r="R893" s="8"/>
      <c r="S893" s="8"/>
      <c r="T893" s="37"/>
      <c r="U893" s="1084" t="s">
        <v>325</v>
      </c>
      <c r="V893" s="1085"/>
      <c r="W893" s="1085"/>
      <c r="X893" s="1085"/>
      <c r="Y893" s="1085"/>
      <c r="Z893" s="1086"/>
      <c r="AA893" s="1051"/>
      <c r="AB893" s="1052"/>
      <c r="AC893" s="1052"/>
      <c r="AD893" s="1052"/>
      <c r="AE893" s="1052"/>
      <c r="AF893" s="1053"/>
      <c r="AL893" s="891"/>
      <c r="AT893" s="33"/>
      <c r="AU893" s="33"/>
      <c r="AV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s="33"/>
      <c r="BZ893" s="33"/>
      <c r="CA893" s="33"/>
      <c r="CB893" s="33"/>
      <c r="CC893" s="33"/>
      <c r="CD893" s="33"/>
      <c r="CE893" s="33"/>
      <c r="CF893" s="33"/>
      <c r="CG893" s="33"/>
      <c r="CH893" s="33"/>
      <c r="CI893" s="33"/>
      <c r="CJ893" s="33"/>
      <c r="CK893" s="33"/>
      <c r="CL893" s="33"/>
      <c r="CM893" s="33"/>
      <c r="CN893" s="33"/>
      <c r="CO893" s="33"/>
      <c r="CP893" s="33"/>
      <c r="CQ893" s="33"/>
      <c r="CR893" s="33"/>
      <c r="CS893" s="33"/>
    </row>
    <row r="894" spans="6:97" ht="12.95" customHeight="1">
      <c r="F894" s="7" t="s">
        <v>1615</v>
      </c>
      <c r="G894" s="8"/>
      <c r="H894" s="8"/>
      <c r="I894" s="8"/>
      <c r="J894" s="8"/>
      <c r="K894" s="8"/>
      <c r="L894" s="8"/>
      <c r="M894" s="8"/>
      <c r="N894" s="8"/>
      <c r="O894" s="8"/>
      <c r="P894" s="1205" t="s">
        <v>821</v>
      </c>
      <c r="Q894" s="1085"/>
      <c r="R894" s="1085"/>
      <c r="S894" s="1085"/>
      <c r="T894" s="1086"/>
      <c r="U894" s="1084" t="s">
        <v>325</v>
      </c>
      <c r="V894" s="1085"/>
      <c r="W894" s="1085"/>
      <c r="X894" s="1085"/>
      <c r="Y894" s="1085"/>
      <c r="Z894" s="1086"/>
      <c r="AA894" s="1051"/>
      <c r="AB894" s="1052"/>
      <c r="AC894" s="1052"/>
      <c r="AD894" s="1052"/>
      <c r="AE894" s="1052"/>
      <c r="AF894" s="1053"/>
      <c r="AL894" s="891"/>
      <c r="AT894" s="33"/>
      <c r="AU894" s="33"/>
      <c r="AV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s="33"/>
      <c r="BZ894" s="33"/>
      <c r="CA894" s="33"/>
      <c r="CB894" s="33"/>
      <c r="CC894" s="33"/>
      <c r="CD894" s="33"/>
      <c r="CE894" s="33"/>
      <c r="CF894" s="33"/>
      <c r="CG894" s="33"/>
      <c r="CH894" s="33"/>
      <c r="CI894" s="33"/>
      <c r="CJ894" s="33"/>
      <c r="CK894" s="33"/>
      <c r="CL894" s="33"/>
      <c r="CM894" s="33"/>
      <c r="CN894" s="33"/>
      <c r="CO894" s="33"/>
      <c r="CP894" s="33"/>
      <c r="CQ894" s="33"/>
      <c r="CR894" s="33"/>
      <c r="CS894" s="33"/>
    </row>
    <row r="895" spans="6:97" ht="12.95" customHeight="1">
      <c r="F895" s="7" t="s">
        <v>1052</v>
      </c>
      <c r="G895" s="39"/>
      <c r="H895" s="39"/>
      <c r="I895" s="1055" t="s">
        <v>1616</v>
      </c>
      <c r="J895" s="1056"/>
      <c r="K895" s="1056"/>
      <c r="L895" s="1056"/>
      <c r="M895" s="1056"/>
      <c r="N895" s="1056"/>
      <c r="O895" s="1056"/>
      <c r="P895" s="1056"/>
      <c r="Q895" s="1056"/>
      <c r="R895" s="1056"/>
      <c r="S895" s="1056"/>
      <c r="T895" s="1057"/>
      <c r="U895" s="1084" t="s">
        <v>712</v>
      </c>
      <c r="V895" s="1085"/>
      <c r="W895" s="1085"/>
      <c r="X895" s="1085"/>
      <c r="Y895" s="1085"/>
      <c r="Z895" s="1086"/>
      <c r="AA895" s="1051">
        <f>AO626</f>
        <v>3068780</v>
      </c>
      <c r="AB895" s="1052"/>
      <c r="AC895" s="1052"/>
      <c r="AD895" s="1052"/>
      <c r="AE895" s="1052"/>
      <c r="AF895" s="1053"/>
      <c r="AL895" s="891"/>
      <c r="AT895" s="33"/>
      <c r="AU895" s="33"/>
      <c r="AV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s="33"/>
      <c r="BZ895" s="33"/>
      <c r="CA895" s="33"/>
      <c r="CB895" s="33"/>
      <c r="CC895" s="33"/>
      <c r="CD895" s="33"/>
      <c r="CE895" s="33"/>
      <c r="CF895" s="33"/>
      <c r="CG895" s="33"/>
      <c r="CH895" s="33"/>
      <c r="CI895" s="33"/>
      <c r="CJ895" s="33"/>
      <c r="CK895" s="33"/>
      <c r="CL895" s="33"/>
      <c r="CM895" s="33"/>
      <c r="CN895" s="33"/>
      <c r="CO895" s="33"/>
      <c r="CP895" s="33"/>
      <c r="CQ895" s="33"/>
      <c r="CR895" s="33"/>
      <c r="CS895" s="33"/>
    </row>
    <row r="896" spans="6:97" ht="12.95" customHeight="1">
      <c r="F896" s="7" t="s">
        <v>1617</v>
      </c>
      <c r="G896" s="39"/>
      <c r="H896" s="39"/>
      <c r="I896" s="1055" t="s">
        <v>1385</v>
      </c>
      <c r="J896" s="1056"/>
      <c r="K896" s="1056"/>
      <c r="L896" s="1056"/>
      <c r="M896" s="1056"/>
      <c r="N896" s="1056"/>
      <c r="O896" s="1056"/>
      <c r="P896" s="1056"/>
      <c r="Q896" s="1056"/>
      <c r="R896" s="1056"/>
      <c r="S896" s="1056"/>
      <c r="T896" s="1057"/>
      <c r="U896" s="1084" t="s">
        <v>712</v>
      </c>
      <c r="V896" s="1085"/>
      <c r="W896" s="1085"/>
      <c r="X896" s="1085"/>
      <c r="Y896" s="1085"/>
      <c r="Z896" s="1086"/>
      <c r="AA896" s="1051">
        <f>AO623+AO624-AA881</f>
        <v>1414739</v>
      </c>
      <c r="AB896" s="1052"/>
      <c r="AC896" s="1052"/>
      <c r="AD896" s="1052"/>
      <c r="AE896" s="1052"/>
      <c r="AF896" s="1053"/>
      <c r="AL896" s="891"/>
      <c r="AT896" s="33"/>
      <c r="AU896" s="33"/>
      <c r="AV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c r="CM896" s="33"/>
      <c r="CN896" s="33"/>
      <c r="CO896" s="33"/>
      <c r="CP896" s="33"/>
      <c r="CQ896" s="33"/>
      <c r="CR896" s="33"/>
      <c r="CS896" s="33"/>
    </row>
    <row r="897" spans="1:97" ht="12.95" customHeight="1">
      <c r="F897" s="38" t="s">
        <v>1233</v>
      </c>
      <c r="G897" s="39"/>
      <c r="H897" s="39"/>
      <c r="I897" s="1055" t="s">
        <v>1618</v>
      </c>
      <c r="J897" s="1056"/>
      <c r="K897" s="1056"/>
      <c r="L897" s="1056"/>
      <c r="M897" s="1056"/>
      <c r="N897" s="1056"/>
      <c r="O897" s="1056"/>
      <c r="P897" s="1056"/>
      <c r="Q897" s="1056"/>
      <c r="R897" s="1056"/>
      <c r="S897" s="1056"/>
      <c r="T897" s="1057"/>
      <c r="U897" s="1084" t="s">
        <v>712</v>
      </c>
      <c r="V897" s="1085"/>
      <c r="W897" s="1085"/>
      <c r="X897" s="1085"/>
      <c r="Y897" s="1085"/>
      <c r="Z897" s="1086"/>
      <c r="AA897" s="1051">
        <f>AO621+AO622</f>
        <v>2421000</v>
      </c>
      <c r="AB897" s="1052"/>
      <c r="AC897" s="1052"/>
      <c r="AD897" s="1052"/>
      <c r="AE897" s="1052"/>
      <c r="AF897" s="1053"/>
      <c r="AL897" s="891"/>
      <c r="AT897" s="33"/>
      <c r="AU897" s="33"/>
      <c r="AV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s="33"/>
      <c r="BZ897" s="33"/>
      <c r="CA897" s="33"/>
      <c r="CB897" s="33"/>
      <c r="CC897" s="33"/>
      <c r="CD897" s="33"/>
      <c r="CE897" s="33"/>
      <c r="CF897" s="33"/>
      <c r="CG897" s="33"/>
      <c r="CH897" s="33"/>
      <c r="CI897" s="33"/>
      <c r="CJ897" s="33"/>
      <c r="CK897" s="33"/>
      <c r="CL897" s="33"/>
      <c r="CM897" s="33"/>
      <c r="CN897" s="33"/>
      <c r="CO897" s="33"/>
      <c r="CP897" s="33"/>
      <c r="CQ897" s="33"/>
      <c r="CR897" s="33"/>
      <c r="CS897" s="33"/>
    </row>
    <row r="898" spans="1:97" ht="12.95" customHeight="1">
      <c r="A898" s="18"/>
      <c r="F898" s="38" t="s">
        <v>1233</v>
      </c>
      <c r="G898" s="39"/>
      <c r="H898" s="39"/>
      <c r="I898" s="1055" t="s">
        <v>1389</v>
      </c>
      <c r="J898" s="1056"/>
      <c r="K898" s="1056"/>
      <c r="L898" s="1056"/>
      <c r="M898" s="1056"/>
      <c r="N898" s="1056"/>
      <c r="O898" s="1056"/>
      <c r="P898" s="1056"/>
      <c r="Q898" s="1056"/>
      <c r="R898" s="1056"/>
      <c r="S898" s="1056"/>
      <c r="T898" s="1057"/>
      <c r="U898" s="1084" t="s">
        <v>712</v>
      </c>
      <c r="V898" s="1085"/>
      <c r="W898" s="1085"/>
      <c r="X898" s="1085"/>
      <c r="Y898" s="1085"/>
      <c r="Z898" s="1086"/>
      <c r="AA898" s="1051">
        <f>AO625</f>
        <v>464940</v>
      </c>
      <c r="AB898" s="1052"/>
      <c r="AC898" s="1052"/>
      <c r="AD898" s="1052"/>
      <c r="AE898" s="1052"/>
      <c r="AF898" s="1053"/>
      <c r="AL898" s="891"/>
      <c r="AT898" s="33"/>
      <c r="AU898" s="33"/>
      <c r="AV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s="33"/>
      <c r="BZ898" s="33"/>
      <c r="CA898" s="33"/>
      <c r="CB898" s="33"/>
      <c r="CC898" s="33"/>
      <c r="CD898" s="33"/>
      <c r="CE898" s="33"/>
      <c r="CF898" s="33"/>
      <c r="CG898" s="33"/>
      <c r="CH898" s="33"/>
      <c r="CI898" s="33"/>
      <c r="CJ898" s="33"/>
      <c r="CK898" s="33"/>
      <c r="CL898" s="33"/>
      <c r="CM898" s="33"/>
      <c r="CN898" s="33"/>
      <c r="CO898" s="33"/>
      <c r="CP898" s="33"/>
      <c r="CQ898" s="33"/>
      <c r="CR898" s="33"/>
      <c r="CS898" s="33"/>
    </row>
    <row r="899" spans="1:97" ht="12.95" customHeight="1">
      <c r="AL899" s="891"/>
      <c r="AT899" s="33"/>
      <c r="AU899" s="33"/>
      <c r="AV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s="33"/>
      <c r="BZ899" s="33"/>
      <c r="CA899" s="33"/>
      <c r="CB899" s="33"/>
      <c r="CC899" s="33"/>
      <c r="CD899" s="33"/>
      <c r="CE899" s="33"/>
      <c r="CF899" s="33"/>
      <c r="CG899" s="33"/>
      <c r="CH899" s="33"/>
      <c r="CI899" s="33"/>
      <c r="CJ899" s="33"/>
      <c r="CK899" s="33"/>
      <c r="CL899" s="33"/>
      <c r="CM899" s="33"/>
      <c r="CN899" s="33"/>
      <c r="CO899" s="33"/>
      <c r="CP899" s="33"/>
      <c r="CQ899" s="33"/>
      <c r="CR899" s="33"/>
      <c r="CS899" s="33"/>
    </row>
    <row r="900" spans="1:97" ht="12.95" customHeight="1">
      <c r="A900" s="2" t="s">
        <v>889</v>
      </c>
      <c r="C900" s="2" t="s">
        <v>242</v>
      </c>
      <c r="AL900" s="891"/>
      <c r="AT900" s="33"/>
      <c r="AU900" s="33"/>
      <c r="AV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s="33"/>
      <c r="BZ900" s="33"/>
      <c r="CA900" s="33"/>
      <c r="CB900" s="33"/>
      <c r="CC900" s="33"/>
      <c r="CD900" s="33"/>
      <c r="CE900" s="33"/>
      <c r="CF900" s="33"/>
      <c r="CG900" s="33"/>
      <c r="CH900" s="33"/>
      <c r="CI900" s="33"/>
      <c r="CJ900" s="33"/>
      <c r="CK900" s="33"/>
      <c r="CL900" s="33"/>
      <c r="CM900" s="33"/>
      <c r="CN900" s="33"/>
      <c r="CO900" s="33"/>
      <c r="CP900" s="33"/>
      <c r="CQ900" s="33"/>
      <c r="CR900" s="33"/>
      <c r="CS900" s="33"/>
    </row>
    <row r="901" spans="1:97" ht="12.95" customHeight="1">
      <c r="B901" s="2"/>
      <c r="C901" s="3" t="s">
        <v>1619</v>
      </c>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891"/>
      <c r="AT901" s="33"/>
      <c r="AU901" s="33"/>
      <c r="AV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s="33"/>
      <c r="BZ901" s="33"/>
      <c r="CA901" s="33"/>
      <c r="CB901" s="33"/>
      <c r="CC901" s="33"/>
      <c r="CD901" s="33"/>
      <c r="CE901" s="33"/>
      <c r="CF901" s="33"/>
      <c r="CG901" s="33"/>
      <c r="CH901" s="33"/>
      <c r="CI901" s="33"/>
      <c r="CJ901" s="33"/>
      <c r="CK901" s="33"/>
      <c r="CL901" s="33"/>
      <c r="CM901" s="33"/>
      <c r="CN901" s="33"/>
      <c r="CO901" s="33"/>
      <c r="CP901" s="33"/>
      <c r="CQ901" s="33"/>
      <c r="CR901" s="33"/>
      <c r="CS901" s="33"/>
    </row>
    <row r="902" spans="1:97" ht="12.95" customHeight="1">
      <c r="AL902" s="891"/>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s="33"/>
      <c r="BZ902" s="33"/>
      <c r="CA902" s="33"/>
      <c r="CB902" s="33"/>
      <c r="CC902" s="33"/>
      <c r="CD902" s="33"/>
      <c r="CE902" s="33"/>
      <c r="CF902" s="33"/>
      <c r="CG902" s="33"/>
      <c r="CH902" s="33"/>
      <c r="CI902" s="33"/>
      <c r="CJ902" s="33"/>
      <c r="CK902" s="33"/>
      <c r="CL902" s="33"/>
      <c r="CM902" s="33"/>
      <c r="CN902" s="33"/>
      <c r="CO902" s="33"/>
      <c r="CP902" s="33"/>
      <c r="CQ902" s="33"/>
      <c r="CR902" s="33"/>
      <c r="CS902" s="33"/>
    </row>
    <row r="903" spans="1:97" ht="12.95" customHeight="1">
      <c r="C903" s="150" t="s">
        <v>1620</v>
      </c>
      <c r="D903" s="8"/>
      <c r="E903" s="8"/>
      <c r="F903" s="8"/>
      <c r="G903" s="8"/>
      <c r="H903" s="8"/>
      <c r="I903" s="8"/>
      <c r="J903" s="8"/>
      <c r="K903" s="8"/>
      <c r="L903" s="1104">
        <v>44712</v>
      </c>
      <c r="M903" s="1105"/>
      <c r="N903" s="1105"/>
      <c r="O903" s="1105"/>
      <c r="P903" s="1105"/>
      <c r="Q903" s="1105"/>
      <c r="R903" s="1105"/>
      <c r="S903" s="1106"/>
      <c r="U903" s="150" t="s">
        <v>1620</v>
      </c>
      <c r="V903" s="8"/>
      <c r="W903" s="8"/>
      <c r="X903" s="8"/>
      <c r="Y903" s="8"/>
      <c r="Z903" s="8"/>
      <c r="AA903" s="8"/>
      <c r="AB903" s="8"/>
      <c r="AC903" s="8"/>
      <c r="AD903" s="37"/>
      <c r="AE903" s="1104"/>
      <c r="AF903" s="1360"/>
      <c r="AG903" s="1360"/>
      <c r="AH903" s="1360"/>
      <c r="AI903" s="1360"/>
      <c r="AJ903" s="1360"/>
      <c r="AK903" s="1389"/>
      <c r="AL903" s="891"/>
      <c r="AM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s="33"/>
      <c r="BZ903" s="33"/>
      <c r="CA903" s="33"/>
      <c r="CB903" s="33"/>
      <c r="CC903" s="33"/>
      <c r="CD903" s="33"/>
      <c r="CE903" s="33"/>
      <c r="CF903" s="33"/>
      <c r="CG903" s="33"/>
      <c r="CH903" s="33"/>
      <c r="CI903" s="33"/>
      <c r="CJ903" s="33"/>
      <c r="CK903" s="33"/>
      <c r="CL903" s="33"/>
      <c r="CM903" s="33"/>
      <c r="CN903" s="33"/>
      <c r="CO903" s="33"/>
      <c r="CP903" s="33"/>
      <c r="CQ903" s="33"/>
      <c r="CR903" s="33"/>
      <c r="CS903" s="33"/>
    </row>
    <row r="904" spans="1:97" ht="12.95" customHeight="1">
      <c r="C904" s="150" t="s">
        <v>1621</v>
      </c>
      <c r="D904" s="8"/>
      <c r="E904" s="8"/>
      <c r="F904" s="8"/>
      <c r="G904" s="8"/>
      <c r="H904" s="8"/>
      <c r="I904" s="8"/>
      <c r="J904" s="8"/>
      <c r="K904" s="8"/>
      <c r="L904" s="1429" t="s">
        <v>1622</v>
      </c>
      <c r="M904" s="1105"/>
      <c r="N904" s="1105"/>
      <c r="O904" s="1105"/>
      <c r="P904" s="1105"/>
      <c r="Q904" s="1105"/>
      <c r="R904" s="1105"/>
      <c r="S904" s="1106"/>
      <c r="U904" s="150" t="s">
        <v>1621</v>
      </c>
      <c r="V904" s="8"/>
      <c r="W904" s="8"/>
      <c r="X904" s="8"/>
      <c r="Y904" s="8"/>
      <c r="Z904" s="8"/>
      <c r="AA904" s="8"/>
      <c r="AB904" s="8"/>
      <c r="AC904" s="8"/>
      <c r="AD904" s="37"/>
      <c r="AE904" s="1416"/>
      <c r="AF904" s="1417"/>
      <c r="AG904" s="1417"/>
      <c r="AH904" s="1417"/>
      <c r="AI904" s="1417"/>
      <c r="AJ904" s="1417"/>
      <c r="AK904" s="1418"/>
      <c r="AL904" s="891"/>
      <c r="AM904" s="33"/>
      <c r="AN904" s="33"/>
      <c r="AO904" s="33"/>
      <c r="AP904" s="33"/>
      <c r="AQ904" s="33"/>
      <c r="AR904" s="33"/>
      <c r="AS904" s="33"/>
      <c r="AT904" s="33"/>
      <c r="AU904" s="33"/>
      <c r="AV904" s="33"/>
      <c r="AW904" s="30"/>
      <c r="AX904" s="30"/>
      <c r="AY904" s="18"/>
      <c r="AZ904" s="18"/>
      <c r="BA904" s="18"/>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s="33"/>
      <c r="BZ904" s="33"/>
      <c r="CA904" s="33"/>
      <c r="CB904" s="33"/>
      <c r="CC904" s="33"/>
      <c r="CD904" s="33"/>
      <c r="CE904" s="33"/>
      <c r="CF904" s="33"/>
      <c r="CG904" s="33"/>
      <c r="CH904" s="33"/>
      <c r="CI904" s="33"/>
      <c r="CJ904" s="33"/>
      <c r="CK904" s="33"/>
      <c r="CL904" s="33"/>
      <c r="CM904" s="33"/>
      <c r="CN904" s="33"/>
      <c r="CO904" s="33"/>
      <c r="CP904" s="33"/>
      <c r="CQ904" s="33"/>
      <c r="CR904" s="33"/>
      <c r="CS904" s="33"/>
    </row>
    <row r="905" spans="1:97" ht="12.95" customHeight="1">
      <c r="C905" s="150" t="s">
        <v>1623</v>
      </c>
      <c r="D905" s="8"/>
      <c r="E905" s="8"/>
      <c r="L905" s="1330" t="s">
        <v>1624</v>
      </c>
      <c r="M905" s="1331"/>
      <c r="N905" s="1331"/>
      <c r="O905" s="1331"/>
      <c r="P905" s="1331"/>
      <c r="Q905" s="1331"/>
      <c r="R905" s="1331"/>
      <c r="S905" s="1332"/>
      <c r="U905" s="150" t="s">
        <v>1623</v>
      </c>
      <c r="V905" s="8"/>
      <c r="W905" s="8"/>
      <c r="AE905" s="1330" t="s">
        <v>320</v>
      </c>
      <c r="AF905" s="1331"/>
      <c r="AG905" s="1331"/>
      <c r="AH905" s="1331"/>
      <c r="AI905" s="1331"/>
      <c r="AJ905" s="1331"/>
      <c r="AK905" s="1332"/>
      <c r="AL905" s="891"/>
      <c r="AM905" s="33"/>
      <c r="AN905" s="33"/>
      <c r="AO905" s="33"/>
      <c r="AP905" s="33"/>
      <c r="AQ905" s="33"/>
      <c r="AR905" s="33"/>
      <c r="AS905" s="33"/>
      <c r="AT905" s="33"/>
      <c r="AU905" s="33"/>
      <c r="AV905" s="33"/>
      <c r="AW905" s="30" t="s">
        <v>1625</v>
      </c>
      <c r="AX905" s="148">
        <v>20</v>
      </c>
      <c r="AY905" s="1397">
        <f>IF(AD941&gt;0,0.2,0)</f>
        <v>0</v>
      </c>
      <c r="AZ905" s="1397"/>
      <c r="BA905" s="18"/>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s="33"/>
      <c r="BZ905" s="33"/>
      <c r="CA905" s="33"/>
      <c r="CB905" s="33"/>
      <c r="CC905" s="33"/>
      <c r="CD905" s="33"/>
      <c r="CE905" s="33"/>
      <c r="CF905" s="33"/>
      <c r="CG905" s="33"/>
      <c r="CH905" s="33"/>
      <c r="CI905" s="33"/>
      <c r="CJ905" s="33"/>
      <c r="CK905" s="33"/>
      <c r="CL905" s="33"/>
      <c r="CM905" s="33"/>
      <c r="CN905" s="33"/>
      <c r="CO905" s="33"/>
      <c r="CP905" s="33"/>
      <c r="CQ905" s="33"/>
      <c r="CR905" s="33"/>
      <c r="CS905" s="33"/>
    </row>
    <row r="906" spans="1:97" ht="12.95" customHeight="1">
      <c r="C906" s="150" t="s">
        <v>1626</v>
      </c>
      <c r="D906" s="8"/>
      <c r="E906" s="8"/>
      <c r="F906" s="8"/>
      <c r="G906" s="8"/>
      <c r="H906" s="8"/>
      <c r="I906" s="8"/>
      <c r="J906" s="8"/>
      <c r="K906" s="8"/>
      <c r="L906" s="1081">
        <v>0.57999999999999996</v>
      </c>
      <c r="M906" s="1082"/>
      <c r="N906" s="1082"/>
      <c r="O906" s="1082"/>
      <c r="P906" s="1082"/>
      <c r="Q906" s="1082"/>
      <c r="R906" s="1082"/>
      <c r="S906" s="1083"/>
      <c r="U906" s="150" t="s">
        <v>1626</v>
      </c>
      <c r="V906" s="8"/>
      <c r="W906" s="8"/>
      <c r="X906" s="8"/>
      <c r="Y906" s="8"/>
      <c r="Z906" s="8"/>
      <c r="AA906" s="8"/>
      <c r="AB906" s="8"/>
      <c r="AC906" s="8"/>
      <c r="AD906" s="37"/>
      <c r="AE906" s="1081"/>
      <c r="AF906" s="1082"/>
      <c r="AG906" s="1082"/>
      <c r="AH906" s="1082"/>
      <c r="AI906" s="1082"/>
      <c r="AJ906" s="1082"/>
      <c r="AK906" s="1083"/>
      <c r="AL906" s="891"/>
      <c r="AM906" s="33"/>
      <c r="AN906" s="33"/>
      <c r="AO906" s="33"/>
      <c r="AP906" s="33"/>
      <c r="AQ906" s="33"/>
      <c r="AR906" s="33"/>
      <c r="AS906" s="33"/>
      <c r="AT906" s="33"/>
      <c r="AU906" s="33"/>
      <c r="AV906" s="33"/>
      <c r="AX906">
        <v>5</v>
      </c>
      <c r="AY906" s="1397">
        <f>IF(AD944&gt;0,0.05,0)</f>
        <v>0</v>
      </c>
      <c r="AZ906" s="1397"/>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c r="CM906" s="33"/>
      <c r="CN906" s="33"/>
      <c r="CO906" s="33"/>
      <c r="CP906" s="33"/>
      <c r="CQ906" s="33"/>
      <c r="CR906" s="33"/>
      <c r="CS906" s="33"/>
    </row>
    <row r="907" spans="1:97" ht="12.95" customHeight="1">
      <c r="C907" s="150" t="s">
        <v>1627</v>
      </c>
      <c r="D907" s="8"/>
      <c r="E907" s="8"/>
      <c r="F907" s="8"/>
      <c r="G907" s="8"/>
      <c r="H907" s="8"/>
      <c r="I907" s="8"/>
      <c r="J907" s="8"/>
      <c r="K907" s="8"/>
      <c r="L907" s="1354">
        <v>25</v>
      </c>
      <c r="M907" s="1355"/>
      <c r="N907" s="1355"/>
      <c r="O907" s="1355"/>
      <c r="P907" s="1355"/>
      <c r="Q907" s="1355"/>
      <c r="R907" s="1355"/>
      <c r="S907" s="1356"/>
      <c r="U907" s="150" t="s">
        <v>1627</v>
      </c>
      <c r="V907" s="8"/>
      <c r="W907" s="8"/>
      <c r="X907" s="8"/>
      <c r="Y907" s="8"/>
      <c r="Z907" s="8"/>
      <c r="AA907" s="8"/>
      <c r="AB907" s="8"/>
      <c r="AC907" s="8"/>
      <c r="AD907" s="37"/>
      <c r="AE907" s="1357"/>
      <c r="AF907" s="1278"/>
      <c r="AG907" s="1278"/>
      <c r="AH907" s="1278"/>
      <c r="AI907" s="1278"/>
      <c r="AJ907" s="1278"/>
      <c r="AK907" s="1279"/>
      <c r="AL907" s="891"/>
      <c r="AM907" s="33"/>
      <c r="AN907" s="33"/>
      <c r="AO907" s="33"/>
      <c r="AP907" s="33"/>
      <c r="AQ907" s="33"/>
      <c r="AR907" s="33"/>
      <c r="AS907" s="33"/>
      <c r="AT907" s="33"/>
      <c r="AU907" s="33"/>
      <c r="AV907" s="33"/>
      <c r="AW907" s="30" t="s">
        <v>1628</v>
      </c>
      <c r="AX907" s="148">
        <v>7</v>
      </c>
      <c r="AY907" s="1338">
        <f>IF(AD948&gt;0,0.07,0)</f>
        <v>0</v>
      </c>
      <c r="AZ907" s="1338"/>
      <c r="BA907" s="18"/>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s="33"/>
      <c r="BZ907" s="33"/>
      <c r="CA907" s="33"/>
      <c r="CB907" s="33"/>
      <c r="CC907" s="33"/>
      <c r="CD907" s="33"/>
      <c r="CE907" s="33"/>
      <c r="CF907" s="33"/>
      <c r="CG907" s="33"/>
      <c r="CH907" s="33"/>
      <c r="CI907" s="33"/>
      <c r="CJ907" s="33"/>
      <c r="CK907" s="33"/>
      <c r="CL907" s="33"/>
      <c r="CM907" s="33"/>
      <c r="CN907" s="33"/>
      <c r="CO907" s="33"/>
      <c r="CP907" s="33"/>
      <c r="CQ907" s="33"/>
      <c r="CR907" s="33"/>
      <c r="CS907" s="33"/>
    </row>
    <row r="908" spans="1:97" ht="12.95" customHeight="1">
      <c r="C908" s="150" t="s">
        <v>1629</v>
      </c>
      <c r="D908" s="8"/>
      <c r="E908" s="8"/>
      <c r="F908" s="8"/>
      <c r="G908" s="8"/>
      <c r="H908" s="8"/>
      <c r="I908" s="8"/>
      <c r="J908" s="8"/>
      <c r="K908" s="8"/>
      <c r="L908" s="1047">
        <f>Z773</f>
        <v>374592</v>
      </c>
      <c r="M908" s="1048"/>
      <c r="N908" s="1048"/>
      <c r="O908" s="1048"/>
      <c r="P908" s="1048"/>
      <c r="Q908" s="1048"/>
      <c r="R908" s="1048"/>
      <c r="S908" s="1049"/>
      <c r="U908" s="150" t="s">
        <v>1629</v>
      </c>
      <c r="V908" s="8"/>
      <c r="W908" s="8"/>
      <c r="X908" s="8"/>
      <c r="Y908" s="8"/>
      <c r="Z908" s="8"/>
      <c r="AA908" s="8"/>
      <c r="AB908" s="8"/>
      <c r="AC908" s="8"/>
      <c r="AD908" s="37"/>
      <c r="AE908" s="1051"/>
      <c r="AF908" s="1052"/>
      <c r="AG908" s="1052"/>
      <c r="AH908" s="1052"/>
      <c r="AI908" s="1052"/>
      <c r="AJ908" s="1052"/>
      <c r="AK908" s="1053"/>
      <c r="AL908" s="891"/>
      <c r="AM908" s="33"/>
      <c r="AN908" s="33"/>
      <c r="AO908" s="33"/>
      <c r="AP908" s="33"/>
      <c r="AQ908" s="33"/>
      <c r="AR908" s="33"/>
      <c r="AS908" s="33"/>
      <c r="AT908" s="33"/>
      <c r="AU908" s="33"/>
      <c r="AV908" s="33"/>
      <c r="AW908" s="30" t="s">
        <v>1630</v>
      </c>
      <c r="AX908" s="148">
        <v>2</v>
      </c>
      <c r="AY908" s="1007">
        <f>IF(AD952&gt;0,0.02,0)</f>
        <v>0</v>
      </c>
      <c r="AZ908" s="1009"/>
      <c r="BA908" s="18"/>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s="33"/>
      <c r="BZ908" s="33"/>
      <c r="CA908" s="33"/>
      <c r="CB908" s="33"/>
      <c r="CC908" s="33"/>
      <c r="CD908" s="33"/>
      <c r="CE908" s="33"/>
      <c r="CF908" s="33"/>
      <c r="CG908" s="33"/>
      <c r="CH908" s="33"/>
      <c r="CI908" s="33"/>
      <c r="CJ908" s="33"/>
      <c r="CK908" s="33"/>
      <c r="CL908" s="33"/>
      <c r="CM908" s="33"/>
      <c r="CN908" s="33"/>
      <c r="CO908" s="33"/>
      <c r="CP908" s="33"/>
      <c r="CQ908" s="33"/>
      <c r="CR908" s="33"/>
      <c r="CS908" s="33"/>
    </row>
    <row r="909" spans="1:97" ht="12.95" customHeight="1">
      <c r="C909" s="150" t="s">
        <v>1631</v>
      </c>
      <c r="D909" s="8"/>
      <c r="E909" s="8"/>
      <c r="F909" s="8"/>
      <c r="G909" s="8"/>
      <c r="H909" s="8"/>
      <c r="I909" s="8"/>
      <c r="J909" s="8"/>
      <c r="K909" s="8"/>
      <c r="L909" s="1047">
        <f>L908*L910</f>
        <v>7491840</v>
      </c>
      <c r="M909" s="1048"/>
      <c r="N909" s="1048"/>
      <c r="O909" s="1048"/>
      <c r="P909" s="1048"/>
      <c r="Q909" s="1048"/>
      <c r="R909" s="1048"/>
      <c r="S909" s="1049"/>
      <c r="U909" s="150" t="s">
        <v>1631</v>
      </c>
      <c r="V909" s="8"/>
      <c r="W909" s="8"/>
      <c r="X909" s="8"/>
      <c r="Y909" s="8"/>
      <c r="Z909" s="8"/>
      <c r="AA909" s="8"/>
      <c r="AB909" s="8"/>
      <c r="AC909" s="8"/>
      <c r="AD909" s="37"/>
      <c r="AE909" s="1051"/>
      <c r="AF909" s="1052"/>
      <c r="AG909" s="1052"/>
      <c r="AH909" s="1052"/>
      <c r="AI909" s="1052"/>
      <c r="AJ909" s="1052"/>
      <c r="AK909" s="1053"/>
      <c r="AL909" s="891"/>
      <c r="AM909" s="33"/>
      <c r="AN909" s="33"/>
      <c r="AO909" s="33"/>
      <c r="AP909" s="33"/>
      <c r="AQ909" s="33"/>
      <c r="AR909" s="33"/>
      <c r="AS909" s="33"/>
      <c r="AT909" s="33"/>
      <c r="AU909" s="33"/>
      <c r="AV909" s="33"/>
      <c r="AW909" s="30" t="s">
        <v>1632</v>
      </c>
      <c r="AX909" s="148">
        <v>2</v>
      </c>
      <c r="AY909" s="1007">
        <f>IF(AD954&gt;0,0.02,0)</f>
        <v>0</v>
      </c>
      <c r="AZ909" s="1009"/>
      <c r="BA909" s="18"/>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s="33"/>
      <c r="BZ909" s="33"/>
      <c r="CA909" s="33"/>
      <c r="CB909" s="33"/>
      <c r="CC909" s="33"/>
      <c r="CD909" s="33"/>
      <c r="CE909" s="33"/>
      <c r="CF909" s="33"/>
      <c r="CG909" s="33"/>
      <c r="CH909" s="33"/>
      <c r="CI909" s="33"/>
      <c r="CJ909" s="33"/>
      <c r="CK909" s="33"/>
      <c r="CL909" s="33"/>
      <c r="CM909" s="33"/>
      <c r="CN909" s="33"/>
      <c r="CO909" s="33"/>
      <c r="CP909" s="33"/>
      <c r="CQ909" s="33"/>
      <c r="CR909" s="33"/>
      <c r="CS909" s="33"/>
    </row>
    <row r="910" spans="1:97" ht="12.95" customHeight="1">
      <c r="C910" s="150" t="s">
        <v>1219</v>
      </c>
      <c r="D910" s="8"/>
      <c r="E910" s="8"/>
      <c r="F910" s="8"/>
      <c r="G910" s="8"/>
      <c r="H910" s="8"/>
      <c r="I910" s="8"/>
      <c r="J910" s="8"/>
      <c r="K910" s="8"/>
      <c r="L910" s="1354">
        <v>20</v>
      </c>
      <c r="M910" s="1355"/>
      <c r="N910" s="1355"/>
      <c r="O910" s="1355"/>
      <c r="P910" s="1355"/>
      <c r="Q910" s="1355"/>
      <c r="R910" s="1355"/>
      <c r="S910" s="1356"/>
      <c r="U910" s="150" t="s">
        <v>1219</v>
      </c>
      <c r="V910" s="8"/>
      <c r="W910" s="8"/>
      <c r="X910" s="8"/>
      <c r="Y910" s="8"/>
      <c r="Z910" s="8"/>
      <c r="AA910" s="8"/>
      <c r="AB910" s="8"/>
      <c r="AC910" s="8"/>
      <c r="AD910" s="37"/>
      <c r="AE910" s="1354"/>
      <c r="AF910" s="1355"/>
      <c r="AG910" s="1355"/>
      <c r="AH910" s="1355"/>
      <c r="AI910" s="1355"/>
      <c r="AJ910" s="1355"/>
      <c r="AK910" s="1356"/>
      <c r="AL910" s="891"/>
      <c r="AM910" s="33"/>
      <c r="AN910" s="33"/>
      <c r="AO910" s="33"/>
      <c r="AP910" s="33"/>
      <c r="AQ910" s="33"/>
      <c r="AR910" s="33"/>
      <c r="AS910" s="33"/>
      <c r="AT910" s="33"/>
      <c r="AU910" s="33"/>
      <c r="AV910" s="33"/>
      <c r="AW910" s="30" t="s">
        <v>1633</v>
      </c>
      <c r="AX910" s="148">
        <v>10</v>
      </c>
      <c r="AY910" s="1345">
        <f>AY918</f>
        <v>0</v>
      </c>
      <c r="AZ910" s="1346"/>
      <c r="BA910" s="18"/>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s="33"/>
      <c r="BZ910" s="33"/>
      <c r="CA910" s="33"/>
      <c r="CB910" s="33"/>
      <c r="CC910" s="33"/>
      <c r="CD910" s="33"/>
      <c r="CE910" s="33"/>
      <c r="CF910" s="33"/>
      <c r="CG910" s="33"/>
      <c r="CH910" s="33"/>
      <c r="CI910" s="33"/>
      <c r="CJ910" s="33"/>
      <c r="CK910" s="33"/>
      <c r="CL910" s="33"/>
      <c r="CM910" s="33"/>
      <c r="CN910" s="33"/>
      <c r="CO910" s="33"/>
      <c r="CP910" s="33"/>
      <c r="CQ910" s="33"/>
      <c r="CR910" s="33"/>
      <c r="CS910" s="33"/>
    </row>
    <row r="911" spans="1:97" ht="12.95" customHeight="1">
      <c r="AL911" s="891"/>
      <c r="AM911" s="33"/>
      <c r="AN911" s="33"/>
      <c r="AO911" s="33"/>
      <c r="AP911" s="33"/>
      <c r="AQ911" s="33"/>
      <c r="AR911" s="33"/>
      <c r="AS911" s="33"/>
      <c r="AT911" s="33"/>
      <c r="AU911" s="33"/>
      <c r="AV911" s="33"/>
      <c r="AW911" s="30" t="s">
        <v>1634</v>
      </c>
      <c r="AX911" s="148">
        <v>15</v>
      </c>
      <c r="AY911" s="1007"/>
      <c r="AZ911" s="1009"/>
      <c r="BA911" s="18"/>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s="33"/>
      <c r="BZ911" s="33"/>
      <c r="CA911" s="33"/>
      <c r="CB911" s="33"/>
      <c r="CC911" s="33"/>
      <c r="CD911" s="33"/>
      <c r="CE911" s="33"/>
      <c r="CF911" s="33"/>
      <c r="CG911" s="33"/>
      <c r="CH911" s="33"/>
      <c r="CI911" s="33"/>
      <c r="CJ911" s="33"/>
      <c r="CK911" s="33"/>
      <c r="CL911" s="33"/>
      <c r="CM911" s="33"/>
      <c r="CN911" s="33"/>
      <c r="CO911" s="33"/>
      <c r="CP911" s="33"/>
      <c r="CQ911" s="33"/>
      <c r="CR911" s="33"/>
      <c r="CS911" s="33"/>
    </row>
    <row r="912" spans="1:97" ht="12.95" customHeight="1">
      <c r="A912" s="2" t="s">
        <v>973</v>
      </c>
      <c r="C912" s="2" t="s">
        <v>1635</v>
      </c>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891"/>
      <c r="AM912" s="33"/>
      <c r="AN912" s="33"/>
      <c r="AO912" s="33"/>
      <c r="AP912" s="33"/>
      <c r="AQ912" s="33"/>
      <c r="AR912" s="33"/>
      <c r="AS912" s="33"/>
      <c r="AT912" s="33"/>
      <c r="AU912" s="33"/>
      <c r="AV912" s="33"/>
      <c r="AW912" s="30" t="s">
        <v>1636</v>
      </c>
      <c r="AX912" s="148"/>
      <c r="AY912" s="1333"/>
      <c r="AZ912" s="1334"/>
      <c r="BA912" s="1335"/>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s="33"/>
      <c r="BZ912" s="33"/>
      <c r="CA912" s="33"/>
      <c r="CB912" s="33"/>
      <c r="CC912" s="33"/>
      <c r="CD912" s="33"/>
      <c r="CE912" s="33"/>
      <c r="CF912" s="33"/>
      <c r="CG912" s="33"/>
      <c r="CH912" s="33"/>
      <c r="CI912" s="33"/>
      <c r="CJ912" s="33"/>
      <c r="CK912" s="33"/>
      <c r="CL912" s="33"/>
      <c r="CM912" s="33"/>
      <c r="CN912" s="33"/>
      <c r="CO912" s="33"/>
      <c r="CP912" s="33"/>
      <c r="CQ912" s="33"/>
      <c r="CR912" s="33"/>
      <c r="CS912" s="33"/>
    </row>
    <row r="913" spans="1:97" ht="12.95" customHeight="1">
      <c r="B913" s="2"/>
      <c r="C913" s="3" t="s">
        <v>1637</v>
      </c>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891"/>
      <c r="AM913" s="33"/>
      <c r="AN913" s="33"/>
      <c r="AO913" s="33"/>
      <c r="AP913" s="33"/>
      <c r="AQ913" s="33"/>
      <c r="AR913" s="33"/>
      <c r="AS913" s="33"/>
      <c r="AT913" s="33"/>
      <c r="AU913" s="33"/>
      <c r="AV913" s="33"/>
      <c r="AW913" s="30" t="s">
        <v>1638</v>
      </c>
      <c r="AX913" s="148">
        <v>10</v>
      </c>
      <c r="AY913" s="1007">
        <f>IF(AD971&gt;0,0.1,0)</f>
        <v>0</v>
      </c>
      <c r="AZ913" s="1009"/>
      <c r="BA913" s="254"/>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s="33"/>
      <c r="BZ913" s="33"/>
      <c r="CA913" s="33"/>
      <c r="CB913" s="33"/>
      <c r="CC913" s="33"/>
      <c r="CD913" s="33"/>
      <c r="CE913" s="33"/>
      <c r="CF913" s="33"/>
      <c r="CG913" s="33"/>
      <c r="CH913" s="33"/>
      <c r="CI913" s="33"/>
      <c r="CJ913" s="33"/>
      <c r="CK913" s="33"/>
      <c r="CL913" s="33"/>
      <c r="CM913" s="33"/>
      <c r="CN913" s="33"/>
      <c r="CO913" s="33"/>
      <c r="CP913" s="33"/>
      <c r="CQ913" s="33"/>
      <c r="CR913" s="33"/>
      <c r="CS913" s="33"/>
    </row>
    <row r="914" spans="1:97" ht="12.95" customHeight="1">
      <c r="B914" s="2"/>
      <c r="C914" s="3"/>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891"/>
      <c r="AM914" s="33"/>
      <c r="AN914" s="33"/>
      <c r="AO914" s="33"/>
      <c r="AP914" s="33"/>
      <c r="AQ914" s="33"/>
      <c r="AR914" s="33"/>
      <c r="AS914" s="33"/>
      <c r="AT914" s="33"/>
      <c r="AU914" s="33"/>
      <c r="AV914" s="33"/>
      <c r="AW914" s="30"/>
      <c r="AX914" s="148"/>
      <c r="AY914" s="1345">
        <f>SUM(AY905:AY913)</f>
        <v>0</v>
      </c>
      <c r="AZ914" s="1346"/>
      <c r="BA914" s="18" t="s">
        <v>1639</v>
      </c>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s="33"/>
      <c r="BZ914" s="33"/>
      <c r="CA914" s="33"/>
      <c r="CB914" s="33"/>
      <c r="CC914" s="33"/>
      <c r="CD914" s="33"/>
      <c r="CE914" s="33"/>
      <c r="CF914" s="33"/>
      <c r="CG914" s="33"/>
      <c r="CH914" s="33"/>
      <c r="CI914" s="33"/>
      <c r="CJ914" s="33"/>
      <c r="CK914" s="33"/>
      <c r="CL914" s="33"/>
      <c r="CM914" s="33"/>
      <c r="CN914" s="33"/>
      <c r="CO914" s="33"/>
      <c r="CP914" s="33"/>
      <c r="CQ914" s="33"/>
      <c r="CR914" s="33"/>
      <c r="CS914" s="33"/>
    </row>
    <row r="915" spans="1:97" ht="12.95" customHeight="1">
      <c r="F915" s="7" t="s">
        <v>1640</v>
      </c>
      <c r="G915" s="8"/>
      <c r="H915" s="8"/>
      <c r="I915" s="8"/>
      <c r="J915" s="8"/>
      <c r="K915" s="8"/>
      <c r="L915" s="37"/>
      <c r="M915" s="1101"/>
      <c r="N915" s="1102"/>
      <c r="O915" s="1102"/>
      <c r="P915" s="1102"/>
      <c r="Q915" s="1102"/>
      <c r="R915" s="1102"/>
      <c r="S915" s="1103"/>
      <c r="T915" s="150" t="s">
        <v>1641</v>
      </c>
      <c r="U915" s="8"/>
      <c r="V915" s="8"/>
      <c r="W915" s="8"/>
      <c r="X915" s="8"/>
      <c r="Y915" s="8"/>
      <c r="Z915" s="37"/>
      <c r="AA915" s="1101"/>
      <c r="AB915" s="1102"/>
      <c r="AC915" s="1102"/>
      <c r="AD915" s="1102"/>
      <c r="AE915" s="1102"/>
      <c r="AF915" s="1102"/>
      <c r="AG915" s="1103"/>
      <c r="AL915" s="891"/>
      <c r="AM915" s="33"/>
      <c r="AN915" s="33"/>
      <c r="AO915" s="33"/>
      <c r="AP915" s="33"/>
      <c r="AQ915" s="33"/>
      <c r="AR915" s="33"/>
      <c r="AS915" s="33"/>
      <c r="AT915" s="33"/>
      <c r="AU915" s="33"/>
      <c r="AV915" s="33"/>
      <c r="AX915" s="148"/>
      <c r="BA915" s="18"/>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s="33"/>
      <c r="BZ915" s="33"/>
      <c r="CA915" s="33"/>
      <c r="CB915" s="33"/>
      <c r="CC915" s="33"/>
      <c r="CD915" s="33"/>
      <c r="CE915" s="33"/>
      <c r="CF915" s="33"/>
      <c r="CG915" s="33"/>
      <c r="CH915" s="33"/>
      <c r="CI915" s="33"/>
      <c r="CJ915" s="33"/>
      <c r="CK915" s="33"/>
      <c r="CL915" s="33"/>
      <c r="CM915" s="33"/>
      <c r="CN915" s="33"/>
      <c r="CO915" s="33"/>
      <c r="CP915" s="33"/>
      <c r="CQ915" s="33"/>
      <c r="CR915" s="33"/>
      <c r="CS915" s="33"/>
    </row>
    <row r="916" spans="1:97" ht="12.95" customHeight="1">
      <c r="F916" s="7" t="s">
        <v>1642</v>
      </c>
      <c r="G916" s="8"/>
      <c r="H916" s="8"/>
      <c r="I916" s="8"/>
      <c r="J916" s="8"/>
      <c r="K916" s="8"/>
      <c r="L916" s="37"/>
      <c r="M916" s="1101"/>
      <c r="N916" s="1102"/>
      <c r="O916" s="1102"/>
      <c r="P916" s="1102"/>
      <c r="Q916" s="1102"/>
      <c r="R916" s="1102"/>
      <c r="S916" s="1103"/>
      <c r="T916" s="150" t="s">
        <v>1643</v>
      </c>
      <c r="U916" s="8"/>
      <c r="V916" s="8"/>
      <c r="W916" s="8"/>
      <c r="X916" s="8"/>
      <c r="Y916" s="8"/>
      <c r="Z916" s="37"/>
      <c r="AA916" s="1101"/>
      <c r="AB916" s="1102"/>
      <c r="AC916" s="1102"/>
      <c r="AD916" s="1102"/>
      <c r="AE916" s="1102"/>
      <c r="AF916" s="1102"/>
      <c r="AG916" s="1103"/>
      <c r="AL916" s="891"/>
      <c r="AM916" s="33"/>
      <c r="AN916" s="33"/>
      <c r="AO916" s="33"/>
      <c r="AP916" s="33"/>
      <c r="AQ916" s="33"/>
      <c r="AR916" s="33"/>
      <c r="AS916" s="33"/>
      <c r="AT916" s="33"/>
      <c r="AU916" s="33"/>
      <c r="AV916" s="33"/>
      <c r="AW916" s="30"/>
      <c r="AX916" s="30"/>
      <c r="AY916" s="1345">
        <f>SUM(AY905:AZ909)+AY913</f>
        <v>0</v>
      </c>
      <c r="AZ916" s="1346"/>
      <c r="BA916" s="1336">
        <v>0.39</v>
      </c>
      <c r="BB916" s="1337"/>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c r="CM916" s="33"/>
      <c r="CN916" s="33"/>
      <c r="CO916" s="33"/>
      <c r="CP916" s="33"/>
      <c r="CQ916" s="33"/>
      <c r="CR916" s="33"/>
      <c r="CS916" s="33"/>
    </row>
    <row r="917" spans="1:97" ht="12.95" customHeight="1">
      <c r="F917" s="150" t="s">
        <v>1644</v>
      </c>
      <c r="G917" s="8"/>
      <c r="H917" s="8"/>
      <c r="I917" s="8"/>
      <c r="J917" s="8"/>
      <c r="K917" s="8"/>
      <c r="L917" s="37"/>
      <c r="M917" s="1242" t="s">
        <v>325</v>
      </c>
      <c r="N917" s="1183"/>
      <c r="O917" s="1183"/>
      <c r="P917" s="1183"/>
      <c r="Q917" s="1183"/>
      <c r="R917" s="1183"/>
      <c r="S917" s="1243"/>
      <c r="T917" s="7" t="s">
        <v>1645</v>
      </c>
      <c r="U917" s="8"/>
      <c r="V917" s="8"/>
      <c r="W917" s="8"/>
      <c r="X917" s="8"/>
      <c r="Y917" s="8"/>
      <c r="Z917" s="37"/>
      <c r="AA917" s="1101"/>
      <c r="AB917" s="1102"/>
      <c r="AC917" s="1102"/>
      <c r="AD917" s="1102"/>
      <c r="AE917" s="1102"/>
      <c r="AF917" s="1102"/>
      <c r="AG917" s="1103"/>
      <c r="AL917" s="891"/>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s="33"/>
      <c r="BZ917" s="33"/>
      <c r="CA917" s="33"/>
      <c r="CB917" s="33"/>
      <c r="CC917" s="33"/>
      <c r="CD917" s="33"/>
      <c r="CE917" s="33"/>
      <c r="CF917" s="33"/>
      <c r="CG917" s="33"/>
      <c r="CH917" s="33"/>
      <c r="CI917" s="33"/>
      <c r="CJ917" s="33"/>
      <c r="CK917" s="33"/>
      <c r="CL917" s="33"/>
      <c r="CM917" s="33"/>
      <c r="CN917" s="33"/>
      <c r="CO917" s="33"/>
      <c r="CP917" s="33"/>
      <c r="CQ917" s="33"/>
      <c r="CR917" s="33"/>
      <c r="CS917" s="33"/>
    </row>
    <row r="918" spans="1:97" ht="12.95" customHeight="1">
      <c r="F918" s="7" t="s">
        <v>1646</v>
      </c>
      <c r="G918" s="8"/>
      <c r="H918" s="8"/>
      <c r="I918" s="8"/>
      <c r="J918" s="8"/>
      <c r="K918" s="8"/>
      <c r="L918" s="37"/>
      <c r="M918" s="1101"/>
      <c r="N918" s="1102"/>
      <c r="O918" s="1102"/>
      <c r="P918" s="1102"/>
      <c r="Q918" s="1102"/>
      <c r="R918" s="1102"/>
      <c r="S918" s="1103"/>
      <c r="T918" s="7" t="s">
        <v>1647</v>
      </c>
      <c r="U918" s="8"/>
      <c r="V918" s="8"/>
      <c r="W918" s="8"/>
      <c r="X918" s="8"/>
      <c r="Y918" s="8"/>
      <c r="Z918" s="37"/>
      <c r="AA918" s="1101"/>
      <c r="AB918" s="1102"/>
      <c r="AC918" s="1102"/>
      <c r="AD918" s="1102"/>
      <c r="AE918" s="1102"/>
      <c r="AF918" s="1102"/>
      <c r="AG918" s="1103"/>
      <c r="AL918" s="891"/>
      <c r="AM918" s="33"/>
      <c r="AN918" s="33"/>
      <c r="AO918" s="33"/>
      <c r="AP918" s="33"/>
      <c r="AQ918" s="33"/>
      <c r="AR918" s="33"/>
      <c r="AS918" s="33"/>
      <c r="AT918" s="33"/>
      <c r="AU918" s="33"/>
      <c r="AV918" s="33"/>
      <c r="AW918" s="33"/>
      <c r="AX918" s="33"/>
      <c r="AY918" s="892">
        <f>IF(SUM(BA931:BA939)&lt;=0.1,SUM(BA931:BA939),0.1)</f>
        <v>0</v>
      </c>
      <c r="AZ918" s="33"/>
      <c r="BA918" s="33" t="s">
        <v>1648</v>
      </c>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s="33"/>
      <c r="BZ918" s="33"/>
      <c r="CA918" s="33"/>
      <c r="CB918" s="33"/>
      <c r="CC918" s="33"/>
      <c r="CD918" s="33"/>
      <c r="CE918" s="33"/>
      <c r="CF918" s="33"/>
      <c r="CG918" s="33"/>
      <c r="CH918" s="33"/>
      <c r="CI918" s="33"/>
      <c r="CJ918" s="33"/>
      <c r="CK918" s="33"/>
      <c r="CL918" s="33"/>
      <c r="CM918" s="33"/>
      <c r="CN918" s="33"/>
      <c r="CO918" s="33"/>
      <c r="CP918" s="33"/>
      <c r="CQ918" s="33"/>
      <c r="CR918" s="33"/>
      <c r="CS918" s="33"/>
    </row>
    <row r="919" spans="1:97" ht="12.95" customHeight="1">
      <c r="F919" s="7" t="s">
        <v>1649</v>
      </c>
      <c r="G919" s="8"/>
      <c r="H919" s="8"/>
      <c r="I919" s="8"/>
      <c r="J919" s="8"/>
      <c r="K919" s="8"/>
      <c r="L919" s="37"/>
      <c r="M919" s="1101"/>
      <c r="N919" s="1102"/>
      <c r="O919" s="1102"/>
      <c r="P919" s="1102"/>
      <c r="Q919" s="1102"/>
      <c r="R919" s="1102"/>
      <c r="S919" s="1103"/>
      <c r="T919" s="7" t="s">
        <v>1650</v>
      </c>
      <c r="U919" s="8"/>
      <c r="V919" s="8"/>
      <c r="W919" s="8"/>
      <c r="X919" s="8"/>
      <c r="Y919" s="8"/>
      <c r="Z919" s="37"/>
      <c r="AA919" s="1101"/>
      <c r="AB919" s="1102"/>
      <c r="AC919" s="1102"/>
      <c r="AD919" s="1102"/>
      <c r="AE919" s="1102"/>
      <c r="AF919" s="1102"/>
      <c r="AG919" s="1103"/>
      <c r="AL919" s="891"/>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s="33"/>
      <c r="BZ919" s="33"/>
      <c r="CA919" s="33"/>
      <c r="CB919" s="33"/>
      <c r="CC919" s="33"/>
      <c r="CD919" s="33"/>
      <c r="CE919" s="33"/>
      <c r="CF919" s="33"/>
      <c r="CG919" s="33"/>
      <c r="CH919" s="33"/>
      <c r="CI919" s="33"/>
      <c r="CJ919" s="33"/>
      <c r="CK919" s="33"/>
      <c r="CL919" s="33"/>
      <c r="CM919" s="33"/>
      <c r="CN919" s="33"/>
      <c r="CO919" s="33"/>
      <c r="CP919" s="33"/>
      <c r="CQ919" s="33"/>
      <c r="CR919" s="33"/>
      <c r="CS919" s="33"/>
    </row>
    <row r="920" spans="1:97" ht="12.95" customHeight="1">
      <c r="F920" s="893" t="s">
        <v>1623</v>
      </c>
      <c r="G920" s="6"/>
      <c r="H920" s="6"/>
      <c r="I920" s="6"/>
      <c r="J920" s="6"/>
      <c r="K920" s="6"/>
      <c r="L920" s="44"/>
      <c r="M920" s="1330" t="s">
        <v>320</v>
      </c>
      <c r="N920" s="1331"/>
      <c r="O920" s="1331"/>
      <c r="P920" s="1331"/>
      <c r="Q920" s="1331"/>
      <c r="R920" s="1331"/>
      <c r="S920" s="1332"/>
      <c r="T920" s="1351"/>
      <c r="U920" s="1352"/>
      <c r="V920" s="1352"/>
      <c r="W920" s="1352"/>
      <c r="X920" s="1352"/>
      <c r="Y920" s="1352"/>
      <c r="Z920" s="1353"/>
      <c r="AA920" s="1101"/>
      <c r="AB920" s="1102"/>
      <c r="AC920" s="1102"/>
      <c r="AD920" s="1102"/>
      <c r="AE920" s="1102"/>
      <c r="AF920" s="1102"/>
      <c r="AG920" s="1103"/>
      <c r="AL920" s="891"/>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s="33"/>
      <c r="BZ920" s="33"/>
      <c r="CA920" s="33"/>
      <c r="CB920" s="33"/>
      <c r="CC920" s="33"/>
      <c r="CD920" s="33"/>
      <c r="CE920" s="33"/>
      <c r="CF920" s="33"/>
      <c r="CG920" s="33"/>
      <c r="CH920" s="33"/>
      <c r="CI920" s="33"/>
      <c r="CJ920" s="33"/>
      <c r="CK920" s="33"/>
      <c r="CL920" s="33"/>
      <c r="CM920" s="33"/>
      <c r="CN920" s="33"/>
      <c r="CO920" s="33"/>
      <c r="CP920" s="33"/>
      <c r="CQ920" s="33"/>
      <c r="CR920" s="33"/>
      <c r="CS920" s="33"/>
    </row>
    <row r="921" spans="1:97" ht="12.95" customHeight="1">
      <c r="F921" s="5" t="s">
        <v>1651</v>
      </c>
      <c r="G921" s="6"/>
      <c r="H921" s="6"/>
      <c r="I921" s="6"/>
      <c r="J921" s="6"/>
      <c r="K921" s="6"/>
      <c r="L921" s="44"/>
      <c r="M921" s="1101"/>
      <c r="N921" s="1102"/>
      <c r="O921" s="1102"/>
      <c r="P921" s="1102"/>
      <c r="Q921" s="1102"/>
      <c r="R921" s="1102"/>
      <c r="S921" s="1103"/>
      <c r="T921" s="1351"/>
      <c r="U921" s="1352"/>
      <c r="V921" s="1352"/>
      <c r="W921" s="1352"/>
      <c r="X921" s="1352"/>
      <c r="Y921" s="1352"/>
      <c r="Z921" s="1353"/>
      <c r="AA921" s="1101"/>
      <c r="AB921" s="1102"/>
      <c r="AC921" s="1102"/>
      <c r="AD921" s="1102"/>
      <c r="AE921" s="1102"/>
      <c r="AF921" s="1102"/>
      <c r="AG921" s="1103"/>
      <c r="AL921" s="891"/>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s="33"/>
      <c r="BZ921" s="33"/>
      <c r="CA921" s="33"/>
      <c r="CB921" s="33"/>
      <c r="CC921" s="33"/>
      <c r="CD921" s="33"/>
      <c r="CE921" s="33"/>
      <c r="CF921" s="33"/>
      <c r="CG921" s="33"/>
      <c r="CH921" s="33"/>
      <c r="CI921" s="33"/>
      <c r="CJ921" s="33"/>
      <c r="CK921" s="33"/>
      <c r="CL921" s="33"/>
      <c r="CM921" s="33"/>
      <c r="CN921" s="33"/>
      <c r="CO921" s="33"/>
      <c r="CP921" s="33"/>
      <c r="CQ921" s="33"/>
      <c r="CR921" s="33"/>
      <c r="CS921" s="33"/>
    </row>
    <row r="922" spans="1:97" ht="12.95" customHeight="1">
      <c r="F922" s="5" t="s">
        <v>1652</v>
      </c>
      <c r="G922" s="6"/>
      <c r="H922" s="6"/>
      <c r="I922" s="6"/>
      <c r="J922" s="6"/>
      <c r="K922" s="6"/>
      <c r="L922" s="6"/>
      <c r="M922" s="6"/>
      <c r="N922" s="6"/>
      <c r="O922" s="1242" t="s">
        <v>821</v>
      </c>
      <c r="P922" s="1243"/>
      <c r="Q922" s="100"/>
      <c r="R922" s="100"/>
      <c r="S922" s="101"/>
      <c r="T922" s="5" t="s">
        <v>1233</v>
      </c>
      <c r="U922" s="6"/>
      <c r="V922" s="6"/>
      <c r="W922" s="1347" t="s">
        <v>1317</v>
      </c>
      <c r="X922" s="1348"/>
      <c r="Y922" s="1348"/>
      <c r="Z922" s="1348"/>
      <c r="AA922" s="1348"/>
      <c r="AB922" s="1348"/>
      <c r="AC922" s="1348"/>
      <c r="AD922" s="1348"/>
      <c r="AE922" s="1348"/>
      <c r="AF922" s="1348"/>
      <c r="AG922" s="1349"/>
      <c r="AL922" s="891"/>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s="33"/>
      <c r="BZ922" s="33"/>
      <c r="CA922" s="33"/>
      <c r="CB922" s="33"/>
      <c r="CC922" s="33"/>
      <c r="CD922" s="33"/>
      <c r="CE922" s="33"/>
      <c r="CF922" s="33"/>
      <c r="CG922" s="33"/>
      <c r="CH922" s="33"/>
      <c r="CI922" s="33"/>
      <c r="CJ922" s="33"/>
      <c r="CK922" s="33"/>
      <c r="CL922" s="33"/>
      <c r="CM922" s="33"/>
      <c r="CN922" s="33"/>
      <c r="CO922" s="33"/>
      <c r="CP922" s="33"/>
      <c r="CQ922" s="33"/>
      <c r="CR922" s="33"/>
      <c r="CS922" s="33"/>
    </row>
    <row r="923" spans="1:97" ht="12.95" customHeight="1">
      <c r="F923" s="1075" t="s">
        <v>1653</v>
      </c>
      <c r="G923" s="1076"/>
      <c r="H923" s="1076"/>
      <c r="I923" s="1076"/>
      <c r="J923" s="1076"/>
      <c r="K923" s="1076"/>
      <c r="L923" s="1076"/>
      <c r="M923" s="1101"/>
      <c r="N923" s="1102"/>
      <c r="O923" s="1102"/>
      <c r="P923" s="1102"/>
      <c r="Q923" s="1102"/>
      <c r="R923" s="1102"/>
      <c r="S923" s="1103"/>
      <c r="T923" s="38"/>
      <c r="U923" s="39"/>
      <c r="V923" s="39"/>
      <c r="W923" s="39"/>
      <c r="X923" s="39"/>
      <c r="Y923" s="39"/>
      <c r="Z923" s="162" t="s">
        <v>1654</v>
      </c>
      <c r="AA923" s="1350"/>
      <c r="AB923" s="1833"/>
      <c r="AC923" s="1833"/>
      <c r="AD923" s="1833"/>
      <c r="AE923" s="1833"/>
      <c r="AF923" s="1833"/>
      <c r="AG923" s="1862"/>
      <c r="AL923" s="891"/>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s="33"/>
      <c r="BZ923" s="33"/>
      <c r="CA923" s="33"/>
      <c r="CB923" s="33"/>
      <c r="CC923" s="33"/>
      <c r="CD923" s="33"/>
      <c r="CE923" s="33"/>
      <c r="CF923" s="33"/>
      <c r="CG923" s="33"/>
      <c r="CH923" s="33"/>
      <c r="CI923" s="33"/>
      <c r="CJ923" s="33"/>
      <c r="CK923" s="33"/>
      <c r="CL923" s="33"/>
      <c r="CM923" s="33"/>
      <c r="CN923" s="33"/>
      <c r="CO923" s="33"/>
      <c r="CP923" s="33"/>
      <c r="CQ923" s="33"/>
      <c r="CR923" s="33"/>
      <c r="CS923" s="33"/>
    </row>
    <row r="924" spans="1:97" ht="12.95" customHeight="1">
      <c r="AL924" s="891"/>
      <c r="AM924" s="33"/>
      <c r="AN924" s="33"/>
      <c r="AO924" s="33"/>
      <c r="AP924" s="33"/>
      <c r="AQ924" s="33"/>
      <c r="AR924" s="33"/>
      <c r="AS924" s="33"/>
      <c r="AT924" s="33"/>
      <c r="AU924" s="33"/>
      <c r="AV924" s="33"/>
      <c r="AW924" s="33"/>
      <c r="AX924" s="33"/>
      <c r="AY924" s="33"/>
      <c r="AZ924" s="33"/>
      <c r="BA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s="33"/>
      <c r="BZ924" s="33"/>
      <c r="CA924" s="33"/>
      <c r="CB924" s="33"/>
      <c r="CC924" s="33"/>
      <c r="CD924" s="33"/>
      <c r="CE924" s="33"/>
      <c r="CF924" s="33"/>
      <c r="CG924" s="33"/>
      <c r="CH924" s="33"/>
      <c r="CI924" s="33"/>
      <c r="CJ924" s="33"/>
      <c r="CK924" s="33"/>
      <c r="CL924" s="33"/>
      <c r="CM924" s="33"/>
      <c r="CN924" s="33"/>
      <c r="CO924" s="33"/>
      <c r="CP924" s="33"/>
      <c r="CQ924" s="33"/>
      <c r="CR924" s="33"/>
      <c r="CS924" s="33"/>
    </row>
    <row r="925" spans="1:97" ht="12.95" customHeight="1">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s="33"/>
      <c r="BZ925" s="33"/>
      <c r="CA925" s="33"/>
      <c r="CB925" s="33"/>
      <c r="CC925" s="33"/>
      <c r="CD925" s="33"/>
      <c r="CE925" s="33"/>
      <c r="CF925" s="33"/>
      <c r="CG925" s="33"/>
      <c r="CH925" s="33"/>
      <c r="CI925" s="33"/>
      <c r="CJ925" s="33"/>
      <c r="CK925" s="33"/>
      <c r="CL925" s="33"/>
      <c r="CM925" s="33"/>
      <c r="CN925" s="33"/>
      <c r="CO925" s="33"/>
      <c r="CP925" s="33"/>
      <c r="CQ925" s="33"/>
      <c r="CR925" s="33"/>
      <c r="CS925" s="33"/>
    </row>
    <row r="926" spans="1:97" ht="12.95" customHeight="1">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c r="CM926" s="33"/>
      <c r="CN926" s="33"/>
      <c r="CO926" s="33"/>
      <c r="CP926" s="33"/>
      <c r="CQ926" s="33"/>
      <c r="CR926" s="33"/>
      <c r="CS926" s="33"/>
    </row>
    <row r="927" spans="1:97" ht="12.95" customHeight="1">
      <c r="A927" s="1054" t="s">
        <v>1655</v>
      </c>
      <c r="B927" s="1054"/>
      <c r="C927" s="1054"/>
      <c r="D927" s="1054"/>
      <c r="E927" s="1054"/>
      <c r="F927" s="1054"/>
      <c r="G927" s="1054"/>
      <c r="H927" s="1054"/>
      <c r="I927" s="1054"/>
      <c r="J927" s="1054"/>
      <c r="K927" s="1054"/>
      <c r="L927" s="1054"/>
      <c r="M927" s="1054"/>
      <c r="N927" s="1054"/>
      <c r="O927" s="1054"/>
      <c r="P927" s="1054"/>
      <c r="Q927" s="1054"/>
      <c r="R927" s="1054"/>
      <c r="S927" s="1054"/>
      <c r="T927" s="1054"/>
      <c r="U927" s="1054"/>
      <c r="V927" s="1054"/>
      <c r="W927" s="1054"/>
      <c r="X927" s="1054"/>
      <c r="Y927" s="1054"/>
      <c r="Z927" s="1054"/>
      <c r="AA927" s="1054"/>
      <c r="AB927" s="1054"/>
      <c r="AC927" s="1054"/>
      <c r="AD927" s="1054"/>
      <c r="AE927" s="1054"/>
      <c r="AF927" s="1054"/>
      <c r="AG927" s="1054"/>
      <c r="AH927" s="1054"/>
      <c r="AI927" s="1054"/>
      <c r="AJ927" s="1054"/>
      <c r="AK927" s="1054"/>
      <c r="AL927" s="1054"/>
      <c r="AM927" s="33"/>
      <c r="AN927" s="33"/>
      <c r="AO927" s="33"/>
      <c r="AP927" s="33"/>
      <c r="AQ927" s="33"/>
      <c r="AR927" s="33"/>
      <c r="AS927" s="33"/>
      <c r="AT927" s="33"/>
      <c r="AU927" s="33"/>
      <c r="AV927" s="33"/>
      <c r="AW927" s="33"/>
      <c r="AX927" s="33"/>
      <c r="AY927" s="33"/>
      <c r="AZ927" s="33"/>
      <c r="BA927" s="33"/>
      <c r="BB927" s="33"/>
      <c r="BC927" s="33"/>
      <c r="BD927" s="33"/>
      <c r="BE927" s="33"/>
      <c r="BF927" s="33"/>
      <c r="BG927" s="33"/>
      <c r="BH927" s="33"/>
      <c r="BI927" s="33"/>
      <c r="BJ927" s="33"/>
      <c r="BK927" s="33"/>
      <c r="BL927" s="33"/>
      <c r="BM927" s="33"/>
      <c r="BN927" s="33"/>
      <c r="BO927" s="33"/>
      <c r="BP927" s="33"/>
      <c r="BQ927" s="33"/>
      <c r="BR927" s="33"/>
      <c r="BS927" s="33"/>
      <c r="BT927" s="33"/>
      <c r="BU927" s="33"/>
      <c r="BV927" s="33"/>
      <c r="BW927" s="33"/>
      <c r="BX927" s="33"/>
      <c r="BY927" s="33"/>
      <c r="BZ927" s="33"/>
      <c r="CA927" s="33"/>
      <c r="CB927" s="33"/>
      <c r="CC927" s="33"/>
      <c r="CD927" s="33"/>
      <c r="CE927" s="33"/>
      <c r="CF927" s="33"/>
      <c r="CG927" s="33"/>
      <c r="CH927" s="33"/>
      <c r="CI927" s="33"/>
      <c r="CJ927" s="33"/>
      <c r="CK927" s="33"/>
      <c r="CL927" s="33"/>
      <c r="CM927" s="33"/>
      <c r="CN927" s="33"/>
      <c r="CO927" s="33"/>
      <c r="CP927" s="33"/>
      <c r="CQ927" s="33"/>
      <c r="CR927" s="33"/>
      <c r="CS927" s="33"/>
    </row>
    <row r="928" spans="1:97" ht="12.95" customHeight="1">
      <c r="A928" s="1054"/>
      <c r="B928" s="1054"/>
      <c r="C928" s="1054"/>
      <c r="D928" s="1054"/>
      <c r="E928" s="1054"/>
      <c r="F928" s="1054"/>
      <c r="G928" s="1054"/>
      <c r="H928" s="1054"/>
      <c r="I928" s="1054"/>
      <c r="J928" s="1054"/>
      <c r="K928" s="1054"/>
      <c r="L928" s="1054"/>
      <c r="M928" s="1054"/>
      <c r="N928" s="1054"/>
      <c r="O928" s="1054"/>
      <c r="P928" s="1054"/>
      <c r="Q928" s="1054"/>
      <c r="R928" s="1054"/>
      <c r="S928" s="1054"/>
      <c r="T928" s="1054"/>
      <c r="U928" s="1054"/>
      <c r="V928" s="1054"/>
      <c r="W928" s="1054"/>
      <c r="X928" s="1054"/>
      <c r="Y928" s="1054"/>
      <c r="Z928" s="1054"/>
      <c r="AA928" s="1054"/>
      <c r="AB928" s="1054"/>
      <c r="AC928" s="1054"/>
      <c r="AD928" s="1054"/>
      <c r="AE928" s="1054"/>
      <c r="AF928" s="1054"/>
      <c r="AG928" s="1054"/>
      <c r="AH928" s="1054"/>
      <c r="AI928" s="1054"/>
      <c r="AJ928" s="1054"/>
      <c r="AK928" s="1054"/>
      <c r="AL928" s="1054"/>
      <c r="AM928" s="33"/>
      <c r="AN928" s="33"/>
      <c r="AO928" s="33"/>
      <c r="AP928" s="33"/>
      <c r="AQ928" s="33"/>
      <c r="AR928" s="33"/>
      <c r="AS928" s="33"/>
      <c r="AT928" s="33"/>
      <c r="AU928" s="33"/>
      <c r="AV928" s="33"/>
      <c r="AW928" s="33"/>
      <c r="AX928" s="33"/>
      <c r="AY928" s="33"/>
      <c r="AZ928" s="33"/>
      <c r="BA928" s="33"/>
      <c r="BB928" s="33"/>
      <c r="BC928" s="33"/>
      <c r="BD928" s="33"/>
      <c r="BE928" s="33"/>
      <c r="BF928" s="33"/>
      <c r="BG928" s="33"/>
      <c r="BH928" s="33"/>
      <c r="BI928" s="33"/>
      <c r="BJ928" s="33"/>
      <c r="BK928" s="33"/>
      <c r="BL928" s="33"/>
      <c r="BM928" s="33"/>
      <c r="BN928" s="33"/>
      <c r="BO928" s="33"/>
      <c r="BP928" s="33"/>
      <c r="BQ928" s="33"/>
      <c r="BR928" s="33"/>
      <c r="BS928" s="33"/>
      <c r="BT928" s="33"/>
      <c r="BU928" s="33"/>
      <c r="BV928" s="33"/>
      <c r="BW928" s="33"/>
      <c r="BX928" s="33"/>
      <c r="BY928" s="33"/>
      <c r="BZ928" s="33"/>
      <c r="CA928" s="33"/>
      <c r="CB928" s="33"/>
      <c r="CC928" s="33"/>
      <c r="CD928" s="33"/>
      <c r="CE928" s="33"/>
      <c r="CF928" s="33"/>
      <c r="CG928" s="33"/>
      <c r="CH928" s="33"/>
      <c r="CI928" s="33"/>
      <c r="CJ928" s="33"/>
      <c r="CK928" s="33"/>
      <c r="CL928" s="33"/>
      <c r="CM928" s="33"/>
      <c r="CN928" s="33"/>
      <c r="CO928" s="33"/>
      <c r="CP928" s="33"/>
      <c r="CQ928" s="33"/>
      <c r="CR928" s="33"/>
      <c r="CS928" s="33"/>
    </row>
    <row r="929" spans="1:97" ht="12.95" customHeight="1">
      <c r="A929" s="2"/>
      <c r="B929" s="18"/>
      <c r="C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M929" s="33"/>
      <c r="AN929" s="33"/>
      <c r="AO929" s="33"/>
      <c r="AP929" s="33"/>
      <c r="AQ929" s="33"/>
      <c r="AR929" s="33"/>
      <c r="AS929" s="33"/>
      <c r="AT929" s="33"/>
      <c r="AU929" s="33"/>
      <c r="AV929" s="33"/>
      <c r="AW929" s="33"/>
      <c r="AX929" s="33"/>
      <c r="AY929" s="33"/>
      <c r="AZ929" s="33"/>
      <c r="BA929" s="33"/>
      <c r="BB929" s="33"/>
      <c r="BC929" s="33"/>
      <c r="BD929" s="33"/>
      <c r="BE929" s="33"/>
      <c r="BF929" s="33"/>
      <c r="BG929" s="33"/>
      <c r="BH929" s="33"/>
      <c r="BI929" s="33"/>
      <c r="BJ929" s="33"/>
      <c r="BK929" s="33"/>
      <c r="BL929" s="33"/>
      <c r="BM929" s="33"/>
      <c r="BN929" s="33"/>
      <c r="BO929" s="33"/>
      <c r="BP929" s="33"/>
      <c r="BQ929" s="33"/>
      <c r="BR929" s="33"/>
      <c r="BS929" s="33"/>
      <c r="BT929" s="33"/>
      <c r="BU929" s="33"/>
      <c r="BV929" s="33"/>
      <c r="BW929" s="33"/>
      <c r="BX929" s="33"/>
      <c r="BY929" s="33"/>
      <c r="BZ929" s="33"/>
      <c r="CA929" s="33"/>
      <c r="CB929" s="33"/>
      <c r="CC929" s="33"/>
      <c r="CD929" s="33"/>
      <c r="CE929" s="33"/>
      <c r="CF929" s="33"/>
      <c r="CG929" s="33"/>
      <c r="CH929" s="33"/>
      <c r="CI929" s="33"/>
      <c r="CJ929" s="33"/>
      <c r="CK929" s="33"/>
      <c r="CL929" s="33"/>
      <c r="CM929" s="33"/>
      <c r="CN929" s="33"/>
      <c r="CO929" s="33"/>
      <c r="CP929" s="33"/>
      <c r="CQ929" s="33"/>
      <c r="CR929" s="33"/>
      <c r="CS929" s="33"/>
    </row>
    <row r="930" spans="1:97" ht="12.95" customHeight="1">
      <c r="A930" s="2" t="s">
        <v>854</v>
      </c>
      <c r="C930" s="2" t="s">
        <v>248</v>
      </c>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891"/>
      <c r="AM930" s="33"/>
      <c r="AN930" s="33"/>
      <c r="AO930" s="33"/>
      <c r="AP930" s="33"/>
      <c r="AQ930" s="33"/>
      <c r="AR930" s="33"/>
      <c r="AS930" s="33"/>
      <c r="AT930" s="33"/>
      <c r="AU930" s="33"/>
      <c r="AV930" s="33"/>
      <c r="AW930" s="33"/>
      <c r="AX930" s="33"/>
      <c r="AY930" s="33"/>
      <c r="AZ930" s="33"/>
      <c r="BA930" s="33"/>
      <c r="BB930" s="33"/>
      <c r="BC930" s="33"/>
      <c r="BD930" s="33"/>
      <c r="BE930" s="33"/>
      <c r="BF930" s="33"/>
      <c r="BG930" s="33"/>
      <c r="BH930" s="33"/>
      <c r="BI930" s="33"/>
      <c r="BJ930" s="33"/>
      <c r="BK930" s="33"/>
      <c r="BL930" s="33"/>
      <c r="BM930" s="33"/>
      <c r="BN930" s="33"/>
      <c r="BO930" s="33"/>
      <c r="BP930" s="33"/>
      <c r="BQ930" s="33"/>
      <c r="BR930" s="33"/>
      <c r="BS930" s="33"/>
      <c r="BT930" s="33"/>
      <c r="BU930" s="33"/>
      <c r="BV930" s="33"/>
      <c r="BW930" s="33"/>
      <c r="BX930" s="33"/>
      <c r="BY930" s="33"/>
      <c r="BZ930" s="33"/>
      <c r="CA930" s="33"/>
      <c r="CB930" s="33"/>
      <c r="CC930" s="33"/>
      <c r="CD930" s="33"/>
      <c r="CE930" s="33"/>
      <c r="CF930" s="33"/>
      <c r="CG930" s="33"/>
      <c r="CH930" s="33"/>
      <c r="CI930" s="33"/>
      <c r="CJ930" s="33"/>
      <c r="CK930" s="33"/>
      <c r="CL930" s="33"/>
      <c r="CM930" s="33"/>
      <c r="CN930" s="33"/>
      <c r="CO930" s="33"/>
      <c r="CP930" s="33"/>
      <c r="CQ930" s="33"/>
      <c r="CR930" s="33"/>
      <c r="CS930" s="33"/>
    </row>
    <row r="931" spans="1:97" ht="12.95" customHeight="1">
      <c r="A931" s="18"/>
      <c r="C931" s="2"/>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0"/>
      <c r="AL931" s="891"/>
      <c r="AM931" s="33"/>
      <c r="AO931" s="33"/>
      <c r="AP931" s="33"/>
      <c r="AQ931" s="33"/>
      <c r="AR931" s="33"/>
      <c r="AS931" s="33"/>
      <c r="AT931" s="33"/>
      <c r="AU931" s="33"/>
      <c r="AV931" s="33"/>
      <c r="AW931" s="33"/>
      <c r="AX931" s="33"/>
      <c r="AY931" s="33"/>
      <c r="AZ931" s="33"/>
      <c r="BA931" s="337">
        <f>IF(A1004="Yes",0.05,0)</f>
        <v>0</v>
      </c>
      <c r="BB931" s="33"/>
      <c r="BC931" s="33"/>
      <c r="BD931" s="33"/>
      <c r="BE931" s="33"/>
      <c r="BF931" s="33"/>
      <c r="BG931" s="33"/>
      <c r="BH931" s="33"/>
      <c r="BI931" s="33"/>
      <c r="BJ931" s="33"/>
      <c r="BK931" s="33"/>
      <c r="BL931" s="33"/>
      <c r="BM931" s="33"/>
      <c r="BN931" s="33"/>
      <c r="BO931" s="33"/>
      <c r="BP931" s="33"/>
      <c r="BQ931" s="33"/>
      <c r="BR931" s="33"/>
      <c r="BS931" s="33"/>
      <c r="BT931" s="33"/>
      <c r="BU931" s="33"/>
      <c r="BV931" s="33"/>
      <c r="BW931" s="33"/>
      <c r="BX931" s="33"/>
      <c r="BY931" s="33"/>
      <c r="BZ931" s="33"/>
      <c r="CA931" s="33"/>
      <c r="CB931" s="33"/>
      <c r="CC931" s="33"/>
      <c r="CD931" s="33"/>
      <c r="CE931" s="33"/>
      <c r="CF931" s="33"/>
      <c r="CG931" s="33"/>
      <c r="CH931" s="33"/>
      <c r="CI931" s="33"/>
      <c r="CJ931" s="33"/>
      <c r="CK931" s="33"/>
      <c r="CL931" s="33"/>
      <c r="CM931" s="33"/>
      <c r="CN931" s="33"/>
      <c r="CO931" s="33"/>
      <c r="CP931" s="33"/>
      <c r="CQ931" s="33"/>
      <c r="CR931" s="33"/>
      <c r="CS931" s="33"/>
    </row>
    <row r="932" spans="1:97" ht="12.95" customHeight="1">
      <c r="A932" s="18"/>
      <c r="B932" s="52"/>
      <c r="C932" s="664"/>
      <c r="D932" s="1342" t="s">
        <v>1656</v>
      </c>
      <c r="E932" s="1343"/>
      <c r="F932" s="1343"/>
      <c r="G932" s="1343"/>
      <c r="H932" s="1343"/>
      <c r="I932" s="1343"/>
      <c r="J932" s="1343"/>
      <c r="K932" s="1343"/>
      <c r="L932" s="1343"/>
      <c r="M932" s="1343"/>
      <c r="N932" s="1343"/>
      <c r="O932" s="1343"/>
      <c r="P932" s="1343"/>
      <c r="Q932" s="1344"/>
      <c r="R932" s="1342" t="s">
        <v>1657</v>
      </c>
      <c r="S932" s="1343"/>
      <c r="T932" s="1343"/>
      <c r="U932" s="1343"/>
      <c r="V932" s="1343"/>
      <c r="W932" s="1343"/>
      <c r="X932" s="1343"/>
      <c r="Y932" s="1343"/>
      <c r="Z932" s="1343"/>
      <c r="AA932" s="1344"/>
      <c r="AB932" s="1342" t="s">
        <v>1658</v>
      </c>
      <c r="AC932" s="1343"/>
      <c r="AD932" s="1343"/>
      <c r="AE932" s="1343"/>
      <c r="AF932" s="1343"/>
      <c r="AG932" s="1343"/>
      <c r="AH932" s="1343"/>
      <c r="AI932" s="1344"/>
      <c r="AJ932" s="1342" t="s">
        <v>1659</v>
      </c>
      <c r="AK932" s="1343"/>
      <c r="AL932" s="1343"/>
      <c r="AM932" s="1343"/>
      <c r="AN932" s="1343"/>
      <c r="AO932" s="1343"/>
      <c r="AP932" s="1343"/>
      <c r="AQ932" s="1344"/>
      <c r="AR932" s="33"/>
      <c r="AS932" s="33"/>
      <c r="AT932" s="33"/>
      <c r="AU932" s="33"/>
      <c r="AV932" s="33"/>
      <c r="AW932" s="33"/>
      <c r="AX932" s="33"/>
      <c r="AY932" s="33"/>
      <c r="AZ932" s="33"/>
      <c r="BA932" s="337">
        <f>IF(A1010="Yes",0.02,0)</f>
        <v>0</v>
      </c>
      <c r="BB932" s="33"/>
      <c r="BC932" s="33"/>
      <c r="BD932" s="33"/>
      <c r="BE932" s="33"/>
      <c r="BF932" s="33"/>
      <c r="BG932" s="33"/>
      <c r="BH932" s="33"/>
      <c r="BI932" s="33"/>
      <c r="BJ932" s="33"/>
      <c r="BK932" s="33"/>
      <c r="BL932" s="33"/>
      <c r="BM932" s="33"/>
      <c r="BN932" s="33"/>
      <c r="BO932" s="33"/>
      <c r="BP932" s="33"/>
      <c r="BQ932" s="33"/>
      <c r="BR932" s="33"/>
      <c r="BS932" s="33"/>
      <c r="BT932" s="33"/>
      <c r="BU932" s="33"/>
      <c r="BV932" s="33"/>
      <c r="BW932" s="33"/>
      <c r="BX932" s="33"/>
      <c r="BY932" s="33"/>
      <c r="BZ932" s="33"/>
      <c r="CA932" s="33"/>
      <c r="CB932" s="33"/>
      <c r="CC932" s="33"/>
      <c r="CD932" s="33"/>
      <c r="CE932" s="33"/>
      <c r="CF932" s="33"/>
      <c r="CG932" s="33"/>
      <c r="CH932" s="33"/>
      <c r="CI932" s="33"/>
      <c r="CJ932" s="33"/>
      <c r="CK932" s="33"/>
      <c r="CL932" s="33"/>
      <c r="CM932" s="33"/>
      <c r="CN932" s="33"/>
      <c r="CO932" s="33"/>
      <c r="CP932" s="33"/>
      <c r="CQ932" s="33"/>
      <c r="CR932" s="33"/>
      <c r="CS932" s="33"/>
    </row>
    <row r="933" spans="1:97" ht="12.95" customHeight="1">
      <c r="A933" s="18"/>
      <c r="B933" s="49"/>
      <c r="C933" s="665"/>
      <c r="D933" s="1007" t="s">
        <v>1420</v>
      </c>
      <c r="E933" s="1008"/>
      <c r="F933" s="1008"/>
      <c r="G933" s="1008"/>
      <c r="H933" s="1008"/>
      <c r="I933" s="1008"/>
      <c r="J933" s="1008"/>
      <c r="K933" s="1008"/>
      <c r="L933" s="1008"/>
      <c r="M933" s="1008"/>
      <c r="N933" s="1008"/>
      <c r="O933" s="1008"/>
      <c r="P933" s="1008"/>
      <c r="Q933" s="1009"/>
      <c r="R933" s="1003">
        <f>IF(ISNA(IF($BA$805="4%",(INDEX($BC$819:$BG$876,MATCH($BO$805,$BB$819:$BB$876,0),MATCH(D933,$BC$817:$BG$817,0))),(INDEX($BJ$819:$BN$876,MATCH($BO$805,$BI$819:$BI$876,0),MATCH(D933,$BJ$817:$BN$817,0))))),0,IF($BA$805="4%",(INDEX($BC$819:$BG$876,MATCH($BO$805,$BB$819:$BB$876,0),MATCH(D933,$BC$817:$BG$817,0))),(INDEX($BJ$819:$BN$876,MATCH($BO$805,$BI$819:$BI$876,0),MATCH(D933,$BJ$817:$BN$817,0)))))</f>
        <v>473390</v>
      </c>
      <c r="S933" s="1003"/>
      <c r="T933" s="1003"/>
      <c r="U933" s="1003"/>
      <c r="V933" s="1003"/>
      <c r="W933" s="1003"/>
      <c r="X933" s="1003"/>
      <c r="Y933" s="1003"/>
      <c r="Z933" s="1003"/>
      <c r="AA933" s="1003"/>
      <c r="AB933" s="1004">
        <f>BN638</f>
        <v>0</v>
      </c>
      <c r="AC933" s="1005"/>
      <c r="AD933" s="1005"/>
      <c r="AE933" s="1005"/>
      <c r="AF933" s="1005"/>
      <c r="AG933" s="1005"/>
      <c r="AH933" s="1005"/>
      <c r="AI933" s="1006"/>
      <c r="AJ933" s="1000">
        <f>IF(ISERROR((R933*AB933)),0,(R933*AB933))</f>
        <v>0</v>
      </c>
      <c r="AK933" s="1001"/>
      <c r="AL933" s="1001"/>
      <c r="AM933" s="1001"/>
      <c r="AN933" s="1001"/>
      <c r="AO933" s="1001"/>
      <c r="AP933" s="1001"/>
      <c r="AQ933" s="1002"/>
      <c r="AR933" s="33"/>
      <c r="AS933" s="33"/>
      <c r="AT933" s="33"/>
      <c r="AU933" s="33"/>
      <c r="AV933" s="33"/>
      <c r="AW933" s="33"/>
      <c r="AX933" s="33"/>
      <c r="AY933" s="33"/>
      <c r="AZ933" s="33"/>
      <c r="BA933" s="337">
        <f>IF(A1016="Yes",0.04,0)</f>
        <v>0</v>
      </c>
      <c r="BB933" s="33"/>
      <c r="BC933" s="33"/>
      <c r="BD933" s="33"/>
      <c r="BE933" s="33"/>
      <c r="BF933" s="33"/>
      <c r="BG933" s="33"/>
      <c r="BH933" s="33"/>
      <c r="BI933" s="33"/>
      <c r="BJ933" s="33"/>
      <c r="BK933" s="33"/>
      <c r="BL933" s="33"/>
      <c r="BM933" s="33"/>
      <c r="BN933" s="33"/>
      <c r="BO933" s="33"/>
      <c r="BP933" s="33"/>
      <c r="BQ933" s="33"/>
      <c r="BR933" s="33"/>
      <c r="BS933" s="33"/>
      <c r="BT933" s="33"/>
      <c r="BU933" s="33"/>
      <c r="BV933" s="33"/>
      <c r="BW933" s="33"/>
      <c r="BX933" s="33"/>
      <c r="BY933" s="33"/>
      <c r="BZ933" s="33"/>
      <c r="CA933" s="33"/>
      <c r="CB933" s="33"/>
      <c r="CC933" s="33"/>
      <c r="CD933" s="33"/>
      <c r="CE933" s="33"/>
      <c r="CF933" s="33"/>
      <c r="CG933" s="33"/>
      <c r="CH933" s="33"/>
      <c r="CI933" s="33"/>
      <c r="CJ933" s="33"/>
      <c r="CK933" s="33"/>
      <c r="CL933" s="33"/>
      <c r="CM933" s="33"/>
      <c r="CN933" s="33"/>
      <c r="CO933" s="33"/>
      <c r="CP933" s="33"/>
      <c r="CQ933" s="33"/>
      <c r="CR933" s="33"/>
      <c r="CS933" s="33"/>
    </row>
    <row r="934" spans="1:97" ht="12.95" customHeight="1">
      <c r="A934" s="18"/>
      <c r="B934" s="49"/>
      <c r="C934" s="53"/>
      <c r="D934" s="1007" t="s">
        <v>1421</v>
      </c>
      <c r="E934" s="1008"/>
      <c r="F934" s="1008"/>
      <c r="G934" s="1008"/>
      <c r="H934" s="1008"/>
      <c r="I934" s="1008"/>
      <c r="J934" s="1008"/>
      <c r="K934" s="1008"/>
      <c r="L934" s="1008"/>
      <c r="M934" s="1008"/>
      <c r="N934" s="1008"/>
      <c r="O934" s="1008"/>
      <c r="P934" s="1008"/>
      <c r="Q934" s="1009"/>
      <c r="R934" s="1003">
        <f>IF(ISNA(IF($BA$805="4%",(INDEX($BC$819:$BG$876,MATCH($BO$805,$BB$819:$BB$876,0),MATCH(D934,$BC$817:$BG$817,0))),(INDEX($BJ$819:$BN$876,MATCH($BO$805,$BI$819:$BI$876,0),MATCH(D934,$BJ$817:$BN$817,0))))),0,IF($BA$805="4%",(INDEX($BC$819:$BG$876,MATCH($BO$805,$BB$819:$BB$876,0),MATCH(D934,$BC$817:$BG$817,0))),(INDEX($BJ$819:$BN$876,MATCH($BO$805,$BI$819:$BI$876,0),MATCH(D934,$BJ$817:$BN$817,0)))))</f>
        <v>545814</v>
      </c>
      <c r="S934" s="1003"/>
      <c r="T934" s="1003"/>
      <c r="U934" s="1003"/>
      <c r="V934" s="1003"/>
      <c r="W934" s="1003"/>
      <c r="X934" s="1003"/>
      <c r="Y934" s="1003"/>
      <c r="Z934" s="1003"/>
      <c r="AA934" s="1003"/>
      <c r="AB934" s="1004">
        <f>BS638</f>
        <v>21</v>
      </c>
      <c r="AC934" s="1005"/>
      <c r="AD934" s="1005"/>
      <c r="AE934" s="1005"/>
      <c r="AF934" s="1005"/>
      <c r="AG934" s="1005"/>
      <c r="AH934" s="1005"/>
      <c r="AI934" s="1006"/>
      <c r="AJ934" s="1000">
        <f>IF(ISERROR((R934*AB934)),0,(R934*AB934))</f>
        <v>11462094</v>
      </c>
      <c r="AK934" s="1001"/>
      <c r="AL934" s="1001"/>
      <c r="AM934" s="1001"/>
      <c r="AN934" s="1001"/>
      <c r="AO934" s="1001"/>
      <c r="AP934" s="1001"/>
      <c r="AQ934" s="1002"/>
      <c r="AR934" s="33"/>
      <c r="AS934" s="33"/>
      <c r="AT934" s="33"/>
      <c r="AU934" s="33"/>
      <c r="AV934" s="33"/>
      <c r="AW934" s="33"/>
      <c r="AX934" s="33"/>
      <c r="AY934" s="33"/>
      <c r="AZ934" s="33"/>
      <c r="BA934" s="337">
        <f>IF(A1023="Yes",0.04,0)</f>
        <v>0</v>
      </c>
      <c r="BB934" s="33"/>
      <c r="BC934" s="33"/>
      <c r="BD934" s="33"/>
      <c r="BE934" s="33"/>
      <c r="BF934" s="33"/>
      <c r="BG934" s="33"/>
      <c r="BH934" s="33"/>
      <c r="BI934" s="33"/>
      <c r="BJ934" s="33"/>
      <c r="BK934" s="33"/>
      <c r="BL934" s="33"/>
      <c r="BM934" s="33"/>
      <c r="BN934" s="33"/>
      <c r="BO934" s="33"/>
      <c r="BP934" s="33"/>
      <c r="BQ934" s="33"/>
      <c r="BR934" s="33"/>
      <c r="BS934" s="33"/>
      <c r="BT934" s="33"/>
      <c r="BU934" s="33"/>
      <c r="BV934" s="33"/>
      <c r="BW934" s="33"/>
      <c r="BX934" s="33"/>
      <c r="BY934" s="33"/>
      <c r="BZ934" s="33"/>
      <c r="CA934" s="33"/>
      <c r="CB934" s="33"/>
      <c r="CC934" s="33"/>
      <c r="CD934" s="33"/>
      <c r="CE934" s="33"/>
      <c r="CF934" s="33"/>
      <c r="CG934" s="33"/>
      <c r="CH934" s="33"/>
      <c r="CI934" s="33"/>
      <c r="CJ934" s="33"/>
      <c r="CK934" s="33"/>
      <c r="CL934" s="33"/>
      <c r="CM934" s="33"/>
      <c r="CN934" s="33"/>
      <c r="CO934" s="33"/>
      <c r="CP934" s="33"/>
      <c r="CQ934" s="33"/>
      <c r="CR934" s="33"/>
      <c r="CS934" s="33"/>
    </row>
    <row r="935" spans="1:97" ht="12.95" customHeight="1">
      <c r="A935" s="18"/>
      <c r="B935" s="49"/>
      <c r="C935" s="53"/>
      <c r="D935" s="1007" t="s">
        <v>1422</v>
      </c>
      <c r="E935" s="1008"/>
      <c r="F935" s="1008"/>
      <c r="G935" s="1008"/>
      <c r="H935" s="1008"/>
      <c r="I935" s="1008"/>
      <c r="J935" s="1008"/>
      <c r="K935" s="1008"/>
      <c r="L935" s="1008"/>
      <c r="M935" s="1008"/>
      <c r="N935" s="1008"/>
      <c r="O935" s="1008"/>
      <c r="P935" s="1008"/>
      <c r="Q935" s="1009"/>
      <c r="R935" s="1003">
        <f>IF(ISNA(IF($BA$805="4%",(INDEX($BC$819:$BG$876,MATCH($BO$805,$BB$819:$BB$876,0),MATCH(D935,$BC$817:$BG$817,0))),(INDEX($BJ$819:$BN$876,MATCH($BO$805,$BI$819:$BI$876,0),MATCH(D935,$BJ$817:$BN$817,0))))),0,IF($BA$805="4%",(INDEX($BC$819:$BG$876,MATCH($BO$805,$BB$819:$BB$876,0),MATCH(D935,$BC$817:$BG$817,0))),(INDEX($BJ$819:$BN$876,MATCH($BO$805,$BI$819:$BI$876,0),MATCH(D935,$BJ$817:$BN$817,0)))))</f>
        <v>658400</v>
      </c>
      <c r="S935" s="1003"/>
      <c r="T935" s="1003"/>
      <c r="U935" s="1003"/>
      <c r="V935" s="1003"/>
      <c r="W935" s="1003"/>
      <c r="X935" s="1003"/>
      <c r="Y935" s="1003"/>
      <c r="Z935" s="1003"/>
      <c r="AA935" s="1003"/>
      <c r="AB935" s="1004">
        <f>BX638</f>
        <v>10</v>
      </c>
      <c r="AC935" s="1005"/>
      <c r="AD935" s="1005"/>
      <c r="AE935" s="1005"/>
      <c r="AF935" s="1005"/>
      <c r="AG935" s="1005"/>
      <c r="AH935" s="1005"/>
      <c r="AI935" s="1006"/>
      <c r="AJ935" s="1000">
        <f>IF(ISERROR((R935*AB935)),0,(R935*AB935))</f>
        <v>6584000</v>
      </c>
      <c r="AK935" s="1001"/>
      <c r="AL935" s="1001"/>
      <c r="AM935" s="1001"/>
      <c r="AN935" s="1001"/>
      <c r="AO935" s="1001"/>
      <c r="AP935" s="1001"/>
      <c r="AQ935" s="1002"/>
      <c r="AR935" s="33"/>
      <c r="AS935" s="33"/>
      <c r="AT935" s="33"/>
      <c r="AU935" s="33"/>
      <c r="AV935" s="33"/>
      <c r="AW935" s="33"/>
      <c r="AX935" s="33"/>
      <c r="AY935" s="33"/>
      <c r="AZ935" s="33"/>
      <c r="BA935" s="337">
        <f>IF(A1026="Yes",0.01,0)</f>
        <v>0</v>
      </c>
      <c r="BB935" s="33"/>
      <c r="BC935" s="33"/>
      <c r="BD935" s="33"/>
      <c r="BE935" s="33"/>
      <c r="BF935" s="33"/>
      <c r="BG935" s="33"/>
      <c r="BH935" s="33"/>
      <c r="BI935" s="33"/>
      <c r="BJ935" s="33"/>
      <c r="BK935" s="33"/>
      <c r="BL935" s="33"/>
      <c r="BM935" s="33"/>
      <c r="BN935" s="33"/>
      <c r="BO935" s="33"/>
      <c r="BP935" s="33"/>
      <c r="BQ935" s="33"/>
      <c r="BR935" s="33"/>
      <c r="BS935" s="33"/>
      <c r="BT935" s="33"/>
      <c r="BU935" s="33"/>
      <c r="BV935" s="33"/>
      <c r="BW935" s="33"/>
      <c r="BX935" s="33"/>
      <c r="BY935" s="33"/>
      <c r="BZ935" s="33"/>
      <c r="CA935" s="33"/>
      <c r="CB935" s="33"/>
      <c r="CC935" s="33"/>
      <c r="CD935" s="33"/>
      <c r="CE935" s="33"/>
      <c r="CF935" s="33"/>
      <c r="CG935" s="33"/>
      <c r="CH935" s="33"/>
      <c r="CI935" s="33"/>
      <c r="CJ935" s="33"/>
      <c r="CK935" s="33"/>
      <c r="CL935" s="33"/>
      <c r="CM935" s="33"/>
      <c r="CN935" s="33"/>
      <c r="CO935" s="33"/>
      <c r="CP935" s="33"/>
      <c r="CQ935" s="33"/>
      <c r="CR935" s="33"/>
      <c r="CS935" s="33"/>
    </row>
    <row r="936" spans="1:97" ht="12.95" customHeight="1">
      <c r="A936" s="18"/>
      <c r="B936" s="49"/>
      <c r="C936" s="53"/>
      <c r="D936" s="1007" t="s">
        <v>1423</v>
      </c>
      <c r="E936" s="1008"/>
      <c r="F936" s="1008"/>
      <c r="G936" s="1008"/>
      <c r="H936" s="1008"/>
      <c r="I936" s="1008"/>
      <c r="J936" s="1008"/>
      <c r="K936" s="1008"/>
      <c r="L936" s="1008"/>
      <c r="M936" s="1008"/>
      <c r="N936" s="1008"/>
      <c r="O936" s="1008"/>
      <c r="P936" s="1008"/>
      <c r="Q936" s="1009"/>
      <c r="R936" s="1003">
        <f>IF(ISNA(IF($BA$805="4%",(INDEX($BC$819:$BG$876,MATCH($BO$805,$BB$819:$BB$876,0),MATCH(D936,$BC$817:$BG$817,0))),(INDEX($BJ$819:$BN$876,MATCH($BO$805,$BI$819:$BI$876,0),MATCH(D936,$BJ$817:$BN$817,0))))),0,IF($BA$805="4%",(INDEX($BC$819:$BG$876,MATCH($BO$805,$BB$819:$BB$876,0),MATCH(D936,$BC$817:$BG$817,0))),(INDEX($BJ$819:$BN$876,MATCH($BO$805,$BI$819:$BI$876,0),MATCH(D936,$BJ$817:$BN$817,0)))))</f>
        <v>842752</v>
      </c>
      <c r="S936" s="1003"/>
      <c r="T936" s="1003"/>
      <c r="U936" s="1003"/>
      <c r="V936" s="1003"/>
      <c r="W936" s="1003"/>
      <c r="X936" s="1003"/>
      <c r="Y936" s="1003"/>
      <c r="Z936" s="1003"/>
      <c r="AA936" s="1003"/>
      <c r="AB936" s="1004">
        <f>CC638</f>
        <v>12</v>
      </c>
      <c r="AC936" s="1005"/>
      <c r="AD936" s="1005"/>
      <c r="AE936" s="1005"/>
      <c r="AF936" s="1005"/>
      <c r="AG936" s="1005"/>
      <c r="AH936" s="1005"/>
      <c r="AI936" s="1006"/>
      <c r="AJ936" s="1000">
        <f>IF(ISERROR((R936*AB936)),0,(R936*AB936))</f>
        <v>10113024</v>
      </c>
      <c r="AK936" s="1001"/>
      <c r="AL936" s="1001"/>
      <c r="AM936" s="1001"/>
      <c r="AN936" s="1001"/>
      <c r="AO936" s="1001"/>
      <c r="AP936" s="1001"/>
      <c r="AQ936" s="1002"/>
      <c r="AR936" s="33"/>
      <c r="AS936" s="33"/>
      <c r="AT936" s="33"/>
      <c r="AU936" s="33"/>
      <c r="AV936" s="33"/>
      <c r="AW936" s="33"/>
      <c r="AX936" s="33"/>
      <c r="AY936" s="33"/>
      <c r="AZ936" s="33"/>
      <c r="BA936" s="337">
        <f>IF(A1031="Yes",0.01,0)</f>
        <v>0</v>
      </c>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c r="CM936" s="33"/>
      <c r="CN936" s="33"/>
      <c r="CO936" s="33"/>
      <c r="CP936" s="33"/>
      <c r="CQ936" s="33"/>
      <c r="CR936" s="33"/>
      <c r="CS936" s="33"/>
    </row>
    <row r="937" spans="1:97" ht="12.95" customHeight="1">
      <c r="A937" s="18"/>
      <c r="B937" s="38"/>
      <c r="C937" s="51"/>
      <c r="D937" s="1007" t="s">
        <v>1424</v>
      </c>
      <c r="E937" s="1008"/>
      <c r="F937" s="1008"/>
      <c r="G937" s="1008"/>
      <c r="H937" s="1008"/>
      <c r="I937" s="1008"/>
      <c r="J937" s="1008"/>
      <c r="K937" s="1008"/>
      <c r="L937" s="1008"/>
      <c r="M937" s="1008"/>
      <c r="N937" s="1008"/>
      <c r="O937" s="1008"/>
      <c r="P937" s="1008"/>
      <c r="Q937" s="1009"/>
      <c r="R937" s="1003">
        <f>IF(ISNA(IF($BA$805="4%",(INDEX($BC$819:$BG$876,MATCH($BO$805,$BB$819:$BB$876,0),MATCH(D937,$BC$817:$BG$817,0))),(INDEX($BJ$819:$BN$876,MATCH($BO$805,$BI$819:$BI$876,0),MATCH(D937,$BJ$817:$BN$817,0))))),0,IF($BA$805="4%",(INDEX($BC$819:$BG$876,MATCH($BO$805,$BB$819:$BB$876,0),MATCH(D937,$BC$817:$BG$817,0))),(INDEX($BJ$819:$BN$876,MATCH($BO$805,$BI$819:$BI$876,0),MATCH(D937,$BJ$817:$BN$817,0)))))</f>
        <v>938878</v>
      </c>
      <c r="S937" s="1003"/>
      <c r="T937" s="1003"/>
      <c r="U937" s="1003"/>
      <c r="V937" s="1003"/>
      <c r="W937" s="1003"/>
      <c r="X937" s="1003"/>
      <c r="Y937" s="1003"/>
      <c r="Z937" s="1003"/>
      <c r="AA937" s="1003"/>
      <c r="AB937" s="1004">
        <f>CM638+CH638</f>
        <v>0</v>
      </c>
      <c r="AC937" s="1005"/>
      <c r="AD937" s="1005"/>
      <c r="AE937" s="1005"/>
      <c r="AF937" s="1005"/>
      <c r="AG937" s="1005"/>
      <c r="AH937" s="1005"/>
      <c r="AI937" s="1006"/>
      <c r="AJ937" s="1000">
        <f>IF(ISERROR((R937*AB937)),0,(R937*AB937))</f>
        <v>0</v>
      </c>
      <c r="AK937" s="1001"/>
      <c r="AL937" s="1001"/>
      <c r="AM937" s="1001"/>
      <c r="AN937" s="1001"/>
      <c r="AO937" s="1001"/>
      <c r="AP937" s="1001"/>
      <c r="AQ937" s="1002"/>
      <c r="AR937" s="33"/>
      <c r="AS937" s="33"/>
      <c r="AT937" s="33"/>
      <c r="AU937" s="33"/>
      <c r="AV937" s="33"/>
      <c r="AW937" s="33"/>
      <c r="AX937" s="33"/>
      <c r="AY937" s="33"/>
      <c r="AZ937" s="33"/>
      <c r="BA937" s="337">
        <f>IF(A1034="Yes",0.01,0)</f>
        <v>0</v>
      </c>
      <c r="BB937" s="33"/>
      <c r="BC937" s="33"/>
      <c r="BD937" s="33"/>
      <c r="BE937" s="33"/>
      <c r="BF937" s="33"/>
      <c r="BG937" s="33"/>
      <c r="BH937" s="33"/>
      <c r="BI937" s="33"/>
      <c r="BJ937" s="33"/>
      <c r="BK937" s="33"/>
      <c r="BL937" s="33"/>
      <c r="BM937" s="33"/>
      <c r="BN937" s="33"/>
      <c r="BO937" s="33"/>
      <c r="BP937" s="33"/>
      <c r="BQ937" s="33"/>
      <c r="BR937" s="33"/>
      <c r="BS937" s="33"/>
      <c r="BT937" s="33"/>
      <c r="BU937" s="33"/>
      <c r="BV937" s="33"/>
      <c r="BW937" s="33"/>
      <c r="BX937" s="33"/>
      <c r="BY937" s="33"/>
      <c r="BZ937" s="33"/>
      <c r="CA937" s="33"/>
      <c r="CB937" s="33"/>
      <c r="CC937" s="33"/>
      <c r="CD937" s="33"/>
      <c r="CE937" s="33"/>
      <c r="CF937" s="33"/>
      <c r="CG937" s="33"/>
      <c r="CH937" s="33"/>
      <c r="CI937" s="33"/>
      <c r="CJ937" s="33"/>
      <c r="CK937" s="33"/>
      <c r="CL937" s="33"/>
      <c r="CM937" s="33"/>
      <c r="CN937" s="33"/>
      <c r="CO937" s="33"/>
      <c r="CP937" s="33"/>
      <c r="CQ937" s="33"/>
      <c r="CR937" s="33"/>
      <c r="CS937" s="33"/>
    </row>
    <row r="938" spans="1:97" ht="12.95" customHeight="1">
      <c r="A938" s="18"/>
      <c r="B938" s="1017" t="s">
        <v>1660</v>
      </c>
      <c r="C938" s="1018"/>
      <c r="D938" s="1018"/>
      <c r="E938" s="1018"/>
      <c r="F938" s="1018"/>
      <c r="G938" s="1018"/>
      <c r="H938" s="1018"/>
      <c r="I938" s="1018"/>
      <c r="J938" s="1018"/>
      <c r="K938" s="1018"/>
      <c r="L938" s="1018"/>
      <c r="M938" s="1018"/>
      <c r="N938" s="1018"/>
      <c r="O938" s="1018"/>
      <c r="P938" s="1018"/>
      <c r="Q938" s="1018"/>
      <c r="R938" s="1018"/>
      <c r="S938" s="1018"/>
      <c r="T938" s="1018"/>
      <c r="U938" s="1018"/>
      <c r="V938" s="1018"/>
      <c r="W938" s="1018"/>
      <c r="X938" s="1018"/>
      <c r="Y938" s="1018"/>
      <c r="Z938" s="1018"/>
      <c r="AA938" s="1019"/>
      <c r="AB938" s="1004">
        <f>SUM(AB933:AI937)</f>
        <v>43</v>
      </c>
      <c r="AC938" s="1005"/>
      <c r="AD938" s="1005"/>
      <c r="AE938" s="1005"/>
      <c r="AF938" s="1005"/>
      <c r="AG938" s="1005"/>
      <c r="AH938" s="1005"/>
      <c r="AI938" s="1006"/>
      <c r="AJ938" s="1000"/>
      <c r="AK938" s="1001"/>
      <c r="AL938" s="1001"/>
      <c r="AM938" s="1001"/>
      <c r="AN938" s="1001"/>
      <c r="AO938" s="1001"/>
      <c r="AP938" s="1001"/>
      <c r="AQ938" s="1002"/>
      <c r="AR938" s="33"/>
      <c r="AS938" s="33"/>
      <c r="AT938" s="33"/>
      <c r="AU938" s="33"/>
      <c r="AV938" s="33"/>
      <c r="AW938" s="33"/>
      <c r="AX938" s="33"/>
      <c r="AY938" s="33"/>
      <c r="AZ938" s="33"/>
      <c r="BA938" s="337">
        <f>IF(A1038="Yes",0.02,0)</f>
        <v>0</v>
      </c>
      <c r="BB938" s="33"/>
      <c r="BC938" s="33"/>
      <c r="BD938" s="33"/>
      <c r="BE938" s="33"/>
      <c r="BF938" s="33"/>
      <c r="BG938" s="33"/>
      <c r="BH938" s="33"/>
      <c r="BI938" s="33"/>
      <c r="BJ938" s="33"/>
      <c r="BK938" s="33"/>
      <c r="BL938" s="33"/>
      <c r="BM938" s="33"/>
      <c r="BN938" s="33"/>
      <c r="BO938" s="33"/>
      <c r="BP938" s="33"/>
      <c r="BQ938" s="33"/>
      <c r="BR938" s="33"/>
      <c r="BS938" s="33"/>
      <c r="BT938" s="33"/>
      <c r="BU938" s="33"/>
      <c r="BV938" s="33"/>
      <c r="BW938" s="33"/>
      <c r="BX938" s="33"/>
      <c r="BY938" s="33"/>
      <c r="BZ938" s="33"/>
      <c r="CA938" s="33"/>
      <c r="CB938" s="33"/>
      <c r="CC938" s="33"/>
      <c r="CD938" s="33"/>
      <c r="CE938" s="33"/>
      <c r="CF938" s="33"/>
      <c r="CG938" s="33"/>
      <c r="CH938" s="33"/>
      <c r="CI938" s="33"/>
      <c r="CJ938" s="33"/>
      <c r="CK938" s="33"/>
      <c r="CL938" s="33"/>
      <c r="CM938" s="33"/>
      <c r="CN938" s="33"/>
      <c r="CO938" s="33"/>
      <c r="CP938" s="33"/>
      <c r="CQ938" s="33"/>
      <c r="CR938" s="33"/>
      <c r="CS938" s="33"/>
    </row>
    <row r="939" spans="1:97" ht="12.95" customHeight="1">
      <c r="A939" s="18"/>
      <c r="B939" s="1020" t="s">
        <v>1661</v>
      </c>
      <c r="C939" s="1021"/>
      <c r="D939" s="1021"/>
      <c r="E939" s="1021"/>
      <c r="F939" s="1021"/>
      <c r="G939" s="1021"/>
      <c r="H939" s="1021"/>
      <c r="I939" s="1021"/>
      <c r="J939" s="1021"/>
      <c r="K939" s="1021"/>
      <c r="L939" s="1021"/>
      <c r="M939" s="1021"/>
      <c r="N939" s="1021"/>
      <c r="O939" s="1021"/>
      <c r="P939" s="1021"/>
      <c r="Q939" s="1021"/>
      <c r="R939" s="1021"/>
      <c r="S939" s="1021"/>
      <c r="T939" s="1021"/>
      <c r="U939" s="1021"/>
      <c r="V939" s="1021"/>
      <c r="W939" s="1021"/>
      <c r="X939" s="1021"/>
      <c r="Y939" s="1021"/>
      <c r="Z939" s="1021"/>
      <c r="AA939" s="1021"/>
      <c r="AB939" s="1021"/>
      <c r="AC939" s="1021"/>
      <c r="AD939" s="1021"/>
      <c r="AE939" s="1021"/>
      <c r="AF939" s="1021"/>
      <c r="AG939" s="1021"/>
      <c r="AH939" s="1021"/>
      <c r="AI939" s="1022"/>
      <c r="AJ939" s="1000">
        <f>SUM(AJ933:AQ937)</f>
        <v>28159118</v>
      </c>
      <c r="AK939" s="1001"/>
      <c r="AL939" s="1001"/>
      <c r="AM939" s="1001"/>
      <c r="AN939" s="1001"/>
      <c r="AO939" s="1001"/>
      <c r="AP939" s="1001"/>
      <c r="AQ939" s="1002"/>
      <c r="AR939" s="33"/>
      <c r="AS939" s="33"/>
      <c r="AT939" s="33"/>
      <c r="AU939" s="33"/>
      <c r="AV939" s="33"/>
      <c r="AW939" s="33"/>
      <c r="AX939" s="33"/>
      <c r="AY939" s="33"/>
      <c r="AZ939" s="33"/>
      <c r="BA939" s="338">
        <f>IF(A1042="Yes",0.02,0)</f>
        <v>0</v>
      </c>
      <c r="BB939" s="33"/>
      <c r="BC939" s="33"/>
      <c r="BD939" s="33"/>
      <c r="BE939" s="33"/>
      <c r="BF939" s="33"/>
      <c r="BG939" s="33"/>
      <c r="BH939" s="33"/>
      <c r="BI939" s="33"/>
      <c r="BJ939" s="33"/>
      <c r="BK939" s="33"/>
      <c r="BL939" s="33"/>
      <c r="BM939" s="33"/>
      <c r="BN939" s="33"/>
      <c r="BO939" s="33"/>
      <c r="BP939" s="33"/>
      <c r="BQ939" s="33"/>
      <c r="BR939" s="33"/>
      <c r="BS939" s="33"/>
      <c r="BT939" s="33"/>
      <c r="BU939" s="33"/>
      <c r="BV939" s="33"/>
      <c r="BW939" s="33"/>
      <c r="BX939" s="33"/>
      <c r="BY939" s="33"/>
      <c r="BZ939" s="33"/>
      <c r="CA939" s="33"/>
      <c r="CB939" s="33"/>
      <c r="CC939" s="33"/>
      <c r="CD939" s="33"/>
      <c r="CE939" s="33"/>
      <c r="CF939" s="33"/>
      <c r="CG939" s="33"/>
      <c r="CH939" s="33"/>
      <c r="CI939" s="33"/>
      <c r="CJ939" s="33"/>
      <c r="CK939" s="33"/>
      <c r="CL939" s="33"/>
      <c r="CM939" s="33"/>
      <c r="CN939" s="33"/>
      <c r="CO939" s="33"/>
      <c r="CP939" s="33"/>
      <c r="CQ939" s="33"/>
      <c r="CR939" s="33"/>
      <c r="CS939" s="33"/>
    </row>
    <row r="940" spans="1:97" ht="12.95" customHeight="1">
      <c r="A940" s="18"/>
      <c r="B940" s="1023"/>
      <c r="C940" s="1024"/>
      <c r="D940" s="1024"/>
      <c r="E940" s="1024"/>
      <c r="F940" s="1024"/>
      <c r="G940" s="1024"/>
      <c r="H940" s="1024"/>
      <c r="I940" s="1024"/>
      <c r="J940" s="1024"/>
      <c r="K940" s="1024"/>
      <c r="L940" s="1024"/>
      <c r="M940" s="1024"/>
      <c r="N940" s="1024"/>
      <c r="O940" s="1024"/>
      <c r="P940" s="1024"/>
      <c r="Q940" s="1024"/>
      <c r="R940" s="1024"/>
      <c r="S940" s="1024"/>
      <c r="T940" s="1024"/>
      <c r="U940" s="1024"/>
      <c r="V940" s="1024"/>
      <c r="W940" s="1024"/>
      <c r="X940" s="1024"/>
      <c r="Y940" s="1024"/>
      <c r="Z940" s="1024"/>
      <c r="AA940" s="1024"/>
      <c r="AB940" s="1024"/>
      <c r="AC940" s="1024"/>
      <c r="AD940" s="1024"/>
      <c r="AE940" s="1025"/>
      <c r="AF940" s="1026" t="s">
        <v>1662</v>
      </c>
      <c r="AG940" s="1027"/>
      <c r="AH940" s="1027"/>
      <c r="AI940" s="1028"/>
      <c r="AJ940" s="1023"/>
      <c r="AK940" s="1024"/>
      <c r="AL940" s="1024"/>
      <c r="AM940" s="1024"/>
      <c r="AN940" s="1024"/>
      <c r="AO940" s="1024"/>
      <c r="AP940" s="1024"/>
      <c r="AQ940" s="1025"/>
      <c r="AR940" s="33"/>
      <c r="AS940" s="33"/>
      <c r="AT940" s="33"/>
      <c r="AU940" s="33"/>
      <c r="AV940" s="33"/>
      <c r="AW940" s="33"/>
      <c r="AX940" s="33"/>
      <c r="AY940" s="33"/>
      <c r="AZ940" s="33"/>
      <c r="BA940" s="33"/>
      <c r="BB940" s="33"/>
      <c r="BC940" s="33"/>
      <c r="BD940" s="33"/>
      <c r="BE940" s="33"/>
      <c r="BF940" s="33"/>
      <c r="BG940" s="33"/>
      <c r="BH940" s="33"/>
      <c r="BI940" s="33"/>
      <c r="BJ940" s="33"/>
      <c r="BK940" s="33"/>
      <c r="BL940" s="33"/>
      <c r="BM940" s="33"/>
      <c r="BN940" s="33"/>
      <c r="BO940" s="33"/>
      <c r="BP940" s="33"/>
      <c r="BQ940" s="33"/>
      <c r="BR940" s="33"/>
      <c r="BS940" s="33"/>
      <c r="BT940" s="33"/>
      <c r="BU940" s="33"/>
      <c r="BV940" s="33"/>
      <c r="BW940" s="33"/>
      <c r="BX940" s="33"/>
      <c r="BY940" s="33"/>
      <c r="BZ940" s="33"/>
      <c r="CA940" s="33"/>
      <c r="CB940" s="33"/>
      <c r="CC940" s="33"/>
      <c r="CD940" s="33"/>
      <c r="CE940" s="33"/>
      <c r="CF940" s="33"/>
      <c r="CG940" s="33"/>
      <c r="CH940" s="33"/>
      <c r="CI940" s="33"/>
      <c r="CJ940" s="33"/>
      <c r="CK940" s="33"/>
      <c r="CL940" s="33"/>
      <c r="CM940" s="33"/>
      <c r="CN940" s="33"/>
      <c r="CO940" s="33"/>
      <c r="CP940" s="33"/>
      <c r="CQ940" s="33"/>
      <c r="CR940" s="33"/>
      <c r="CS940" s="33"/>
    </row>
    <row r="941" spans="1:97" ht="12.95" customHeight="1">
      <c r="A941" s="18"/>
      <c r="B941" s="49"/>
      <c r="C941" s="666" t="s">
        <v>1663</v>
      </c>
      <c r="D941" s="1010" t="s">
        <v>1664</v>
      </c>
      <c r="E941" s="1011"/>
      <c r="F941" s="1011"/>
      <c r="G941" s="1011"/>
      <c r="H941" s="1011"/>
      <c r="I941" s="1011"/>
      <c r="J941" s="1011"/>
      <c r="K941" s="1011"/>
      <c r="L941" s="1011"/>
      <c r="M941" s="1011"/>
      <c r="N941" s="1011"/>
      <c r="O941" s="1011"/>
      <c r="P941" s="1011"/>
      <c r="Q941" s="1011"/>
      <c r="R941" s="1011"/>
      <c r="S941" s="1011"/>
      <c r="T941" s="1011"/>
      <c r="U941" s="1011"/>
      <c r="V941" s="1011"/>
      <c r="W941" s="1011"/>
      <c r="X941" s="1011"/>
      <c r="Y941" s="1011"/>
      <c r="Z941" s="1011"/>
      <c r="AA941" s="1011"/>
      <c r="AB941" s="1011"/>
      <c r="AC941" s="1011"/>
      <c r="AD941" s="1011"/>
      <c r="AE941" s="1012"/>
      <c r="AF941" s="52"/>
      <c r="AG941" s="1015" t="s">
        <v>712</v>
      </c>
      <c r="AH941" s="1016"/>
      <c r="AI941" s="55"/>
      <c r="AJ941" s="1032">
        <f>ROUND(IF(AND(AG941="yes",D943&lt;&gt;""),AJ939*0.2,0),0)</f>
        <v>5631824</v>
      </c>
      <c r="AK941" s="1033"/>
      <c r="AL941" s="1033"/>
      <c r="AM941" s="1033"/>
      <c r="AN941" s="1033"/>
      <c r="AO941" s="1033"/>
      <c r="AP941" s="1033"/>
      <c r="AQ941" s="1034"/>
      <c r="AR941" s="33"/>
      <c r="AS941" s="33"/>
      <c r="AT941" s="33"/>
      <c r="AU941" s="33"/>
      <c r="AV941" s="33"/>
      <c r="AW941" s="33"/>
      <c r="AX941" s="33"/>
      <c r="AY941" s="33"/>
      <c r="AZ941" s="33"/>
      <c r="BA941" s="33"/>
      <c r="BB941" s="33"/>
      <c r="BC941" s="33"/>
      <c r="BD941" s="33"/>
      <c r="BE941" s="33"/>
      <c r="BF941" s="33"/>
      <c r="BG941" s="33"/>
      <c r="BH941" s="33"/>
      <c r="BI941" s="33"/>
      <c r="BJ941" s="33"/>
      <c r="BK941" s="33"/>
      <c r="BL941" s="33"/>
      <c r="BM941" s="33"/>
      <c r="BN941" s="33"/>
      <c r="BO941" s="33"/>
      <c r="BP941" s="33"/>
      <c r="BQ941" s="33"/>
      <c r="BR941" s="33"/>
      <c r="BS941" s="33"/>
      <c r="BT941" s="33"/>
      <c r="BU941" s="33"/>
      <c r="BV941" s="33"/>
      <c r="BW941" s="33"/>
      <c r="BX941" s="33"/>
      <c r="BY941" s="33"/>
      <c r="BZ941" s="33"/>
      <c r="CA941" s="33"/>
      <c r="CB941" s="33"/>
      <c r="CC941" s="33"/>
      <c r="CD941" s="33"/>
      <c r="CE941" s="33"/>
      <c r="CF941" s="33"/>
      <c r="CG941" s="33"/>
      <c r="CH941" s="33"/>
      <c r="CI941" s="33"/>
      <c r="CJ941" s="33"/>
      <c r="CK941" s="33"/>
      <c r="CL941" s="33"/>
      <c r="CM941" s="33"/>
      <c r="CN941" s="33"/>
      <c r="CO941" s="33"/>
      <c r="CP941" s="33"/>
      <c r="CQ941" s="33"/>
      <c r="CR941" s="33"/>
      <c r="CS941" s="33"/>
    </row>
    <row r="942" spans="1:97" ht="68.25" customHeight="1">
      <c r="A942" s="18"/>
      <c r="B942" s="667"/>
      <c r="C942" s="668"/>
      <c r="D942" s="1339" t="s">
        <v>1665</v>
      </c>
      <c r="E942" s="1340"/>
      <c r="F942" s="1340"/>
      <c r="G942" s="1340"/>
      <c r="H942" s="1340"/>
      <c r="I942" s="1340"/>
      <c r="J942" s="1340"/>
      <c r="K942" s="1340"/>
      <c r="L942" s="1340"/>
      <c r="M942" s="1340"/>
      <c r="N942" s="1340"/>
      <c r="O942" s="1340"/>
      <c r="P942" s="1340"/>
      <c r="Q942" s="1340"/>
      <c r="R942" s="1340"/>
      <c r="S942" s="1340"/>
      <c r="T942" s="1340"/>
      <c r="U942" s="1340"/>
      <c r="V942" s="1340"/>
      <c r="W942" s="1340"/>
      <c r="X942" s="1340"/>
      <c r="Y942" s="1340"/>
      <c r="Z942" s="1340"/>
      <c r="AA942" s="1340"/>
      <c r="AB942" s="1340"/>
      <c r="AC942" s="1340"/>
      <c r="AD942" s="1340"/>
      <c r="AE942" s="1341"/>
      <c r="AF942" s="49"/>
      <c r="AG942" s="18"/>
      <c r="AH942" s="18"/>
      <c r="AI942" s="53"/>
      <c r="AJ942" s="1035"/>
      <c r="AK942" s="1036"/>
      <c r="AL942" s="1036"/>
      <c r="AM942" s="1036"/>
      <c r="AN942" s="1036"/>
      <c r="AO942" s="1036"/>
      <c r="AP942" s="1036"/>
      <c r="AQ942" s="1037"/>
      <c r="AR942" s="33"/>
      <c r="AS942" s="33"/>
      <c r="AT942" s="33"/>
      <c r="AU942" s="33"/>
      <c r="AV942" s="33"/>
      <c r="AW942" s="33"/>
      <c r="AX942" s="33"/>
      <c r="AY942" s="33"/>
      <c r="AZ942" s="33"/>
      <c r="BA942" s="33"/>
      <c r="BB942" s="33"/>
      <c r="BC942" s="33"/>
      <c r="BD942" s="33"/>
      <c r="BE942" s="33"/>
      <c r="BF942" s="33"/>
      <c r="BG942" s="33"/>
      <c r="BH942" s="33"/>
      <c r="BI942" s="33"/>
      <c r="BJ942" s="33"/>
      <c r="BK942" s="33"/>
      <c r="BL942" s="33"/>
      <c r="BM942" s="33"/>
      <c r="BN942" s="33"/>
      <c r="BO942" s="33"/>
      <c r="BP942" s="33"/>
      <c r="BQ942" s="33"/>
      <c r="BR942" s="33"/>
      <c r="BS942" s="33"/>
      <c r="BT942" s="33"/>
      <c r="BU942" s="33"/>
      <c r="BV942" s="33"/>
      <c r="BW942" s="33"/>
      <c r="BX942" s="33"/>
      <c r="BY942" s="33"/>
      <c r="BZ942" s="33"/>
      <c r="CA942" s="33"/>
      <c r="CB942" s="33"/>
      <c r="CC942" s="33"/>
      <c r="CD942" s="33"/>
      <c r="CE942" s="33"/>
      <c r="CF942" s="33"/>
      <c r="CG942" s="33"/>
      <c r="CH942" s="33"/>
      <c r="CI942" s="33"/>
      <c r="CJ942" s="33"/>
      <c r="CK942" s="33"/>
      <c r="CL942" s="33"/>
      <c r="CM942" s="33"/>
      <c r="CN942" s="33"/>
      <c r="CO942" s="33"/>
      <c r="CP942" s="33"/>
      <c r="CQ942" s="33"/>
      <c r="CR942" s="33"/>
      <c r="CS942" s="33"/>
    </row>
    <row r="943" spans="1:97" ht="12.95" customHeight="1">
      <c r="A943" s="18"/>
      <c r="B943" s="667"/>
      <c r="C943" s="668"/>
      <c r="D943" s="1398" t="s">
        <v>1385</v>
      </c>
      <c r="E943" s="1399"/>
      <c r="F943" s="1399"/>
      <c r="G943" s="1399"/>
      <c r="H943" s="1399"/>
      <c r="I943" s="1399"/>
      <c r="J943" s="1399"/>
      <c r="K943" s="1399"/>
      <c r="L943" s="1399"/>
      <c r="M943" s="1399"/>
      <c r="N943" s="1399"/>
      <c r="O943" s="1399"/>
      <c r="P943" s="1399"/>
      <c r="Q943" s="1399"/>
      <c r="R943" s="1399"/>
      <c r="S943" s="1399"/>
      <c r="T943" s="1399"/>
      <c r="U943" s="1399"/>
      <c r="V943" s="1399"/>
      <c r="W943" s="1399"/>
      <c r="X943" s="1399"/>
      <c r="Y943" s="1399"/>
      <c r="Z943" s="1399"/>
      <c r="AA943" s="1399"/>
      <c r="AB943" s="1399"/>
      <c r="AC943" s="1399"/>
      <c r="AD943" s="1399"/>
      <c r="AE943" s="1400"/>
      <c r="AF943" s="50"/>
      <c r="AG943" s="10"/>
      <c r="AH943" s="10"/>
      <c r="AI943" s="51"/>
      <c r="AJ943" s="1038"/>
      <c r="AK943" s="1039"/>
      <c r="AL943" s="1039"/>
      <c r="AM943" s="1039"/>
      <c r="AN943" s="1039"/>
      <c r="AO943" s="1039"/>
      <c r="AP943" s="1039"/>
      <c r="AQ943" s="1040"/>
      <c r="AR943" s="33"/>
      <c r="AS943" s="33"/>
      <c r="AT943" s="33"/>
      <c r="AU943" s="33"/>
      <c r="AV943" s="33"/>
      <c r="AW943" s="33"/>
      <c r="AX943" s="33"/>
      <c r="AY943" s="33"/>
      <c r="AZ943" s="33"/>
      <c r="BA943" s="33"/>
      <c r="BB943" s="33"/>
      <c r="BC943" s="33"/>
      <c r="BD943" s="33"/>
      <c r="BE943" s="33"/>
      <c r="BF943" s="33"/>
      <c r="BG943" s="33"/>
      <c r="BH943" s="33"/>
      <c r="BI943" s="33"/>
      <c r="BJ943" s="33"/>
      <c r="BK943" s="33"/>
      <c r="BL943" s="33"/>
      <c r="BM943" s="33"/>
      <c r="BN943" s="33"/>
      <c r="BO943" s="33"/>
      <c r="BP943" s="33"/>
      <c r="BQ943" s="33"/>
      <c r="BR943" s="33"/>
      <c r="BS943" s="33"/>
      <c r="BT943" s="33"/>
      <c r="BU943" s="33"/>
      <c r="BV943" s="33"/>
      <c r="BW943" s="33"/>
      <c r="BX943" s="33"/>
      <c r="BY943" s="33"/>
      <c r="BZ943" s="33"/>
      <c r="CA943" s="33"/>
      <c r="CB943" s="33"/>
      <c r="CC943" s="33"/>
      <c r="CD943" s="33"/>
      <c r="CE943" s="33"/>
      <c r="CF943" s="33"/>
      <c r="CG943" s="33"/>
      <c r="CH943" s="33"/>
      <c r="CI943" s="33"/>
      <c r="CJ943" s="33"/>
      <c r="CK943" s="33"/>
      <c r="CL943" s="33"/>
      <c r="CM943" s="33"/>
      <c r="CN943" s="33"/>
      <c r="CO943" s="33"/>
      <c r="CP943" s="33"/>
      <c r="CQ943" s="33"/>
      <c r="CR943" s="33"/>
      <c r="CS943" s="33"/>
    </row>
    <row r="944" spans="1:97" ht="12.95" customHeight="1">
      <c r="A944" s="18"/>
      <c r="B944" s="669"/>
      <c r="C944" s="670"/>
      <c r="D944" s="1029" t="s">
        <v>1666</v>
      </c>
      <c r="E944" s="1030"/>
      <c r="F944" s="1030"/>
      <c r="G944" s="1030"/>
      <c r="H944" s="1030"/>
      <c r="I944" s="1030"/>
      <c r="J944" s="1030"/>
      <c r="K944" s="1030"/>
      <c r="L944" s="1030"/>
      <c r="M944" s="1030"/>
      <c r="N944" s="1030"/>
      <c r="O944" s="1030"/>
      <c r="P944" s="1030"/>
      <c r="Q944" s="1030"/>
      <c r="R944" s="1030"/>
      <c r="S944" s="1030"/>
      <c r="T944" s="1030"/>
      <c r="U944" s="1030"/>
      <c r="V944" s="1030"/>
      <c r="W944" s="1030"/>
      <c r="X944" s="1030"/>
      <c r="Y944" s="1030"/>
      <c r="Z944" s="1030"/>
      <c r="AA944" s="1030"/>
      <c r="AB944" s="1030"/>
      <c r="AC944" s="1030"/>
      <c r="AD944" s="1030"/>
      <c r="AE944" s="1031"/>
      <c r="AF944" s="52"/>
      <c r="AG944" s="1013" t="s">
        <v>821</v>
      </c>
      <c r="AH944" s="1014"/>
      <c r="AI944" s="55"/>
      <c r="AJ944" s="1032">
        <f>ROUND(IF(AG944="yes",AJ939*0.05,0),0)</f>
        <v>0</v>
      </c>
      <c r="AK944" s="1033"/>
      <c r="AL944" s="1033"/>
      <c r="AM944" s="1033"/>
      <c r="AN944" s="1033"/>
      <c r="AO944" s="1033"/>
      <c r="AP944" s="1033"/>
      <c r="AQ944" s="1034"/>
      <c r="AR944" s="33"/>
      <c r="AS944" s="33"/>
      <c r="AT944" s="33"/>
      <c r="AU944" s="33"/>
      <c r="AV944" s="33"/>
      <c r="AW944" s="33"/>
      <c r="AX944" s="33"/>
      <c r="AY944" s="33"/>
      <c r="AZ944" s="33"/>
      <c r="BA944" s="33"/>
      <c r="BB944" s="33"/>
      <c r="BC944" s="33"/>
      <c r="BD944" s="33"/>
      <c r="BE944" s="33"/>
      <c r="BF944" s="33"/>
      <c r="BG944" s="33"/>
      <c r="BH944" s="33"/>
      <c r="BI944" s="33"/>
      <c r="BJ944" s="33"/>
      <c r="BK944" s="33"/>
      <c r="BL944" s="33"/>
      <c r="BM944" s="33"/>
      <c r="BN944" s="33"/>
      <c r="BO944" s="33"/>
      <c r="BP944" s="33"/>
      <c r="BQ944" s="33"/>
      <c r="BR944" s="33"/>
      <c r="BS944" s="33"/>
      <c r="BT944" s="33"/>
      <c r="BU944" s="33"/>
      <c r="BV944" s="33"/>
      <c r="BW944" s="33"/>
      <c r="BX944" s="33"/>
      <c r="BY944" s="33"/>
      <c r="BZ944" s="33"/>
      <c r="CA944" s="33"/>
      <c r="CB944" s="33"/>
      <c r="CC944" s="33"/>
      <c r="CD944" s="33"/>
      <c r="CE944" s="33"/>
      <c r="CF944" s="33"/>
      <c r="CG944" s="33"/>
      <c r="CH944" s="33"/>
      <c r="CI944" s="33"/>
      <c r="CJ944" s="33"/>
      <c r="CK944" s="33"/>
      <c r="CL944" s="33"/>
      <c r="CM944" s="33"/>
      <c r="CN944" s="33"/>
      <c r="CO944" s="33"/>
      <c r="CP944" s="33"/>
      <c r="CQ944" s="33"/>
      <c r="CR944" s="33"/>
      <c r="CS944" s="33"/>
    </row>
    <row r="945" spans="1:97" ht="12.95" customHeight="1">
      <c r="A945" s="18"/>
      <c r="B945" s="667"/>
      <c r="C945" s="671"/>
      <c r="D945" s="1339" t="s">
        <v>1667</v>
      </c>
      <c r="E945" s="1340"/>
      <c r="F945" s="1340"/>
      <c r="G945" s="1340"/>
      <c r="H945" s="1340"/>
      <c r="I945" s="1340"/>
      <c r="J945" s="1340"/>
      <c r="K945" s="1340"/>
      <c r="L945" s="1340"/>
      <c r="M945" s="1340"/>
      <c r="N945" s="1340"/>
      <c r="O945" s="1340"/>
      <c r="P945" s="1340"/>
      <c r="Q945" s="1340"/>
      <c r="R945" s="1340"/>
      <c r="S945" s="1340"/>
      <c r="T945" s="1340"/>
      <c r="U945" s="1340"/>
      <c r="V945" s="1340"/>
      <c r="W945" s="1340"/>
      <c r="X945" s="1340"/>
      <c r="Y945" s="1340"/>
      <c r="Z945" s="1340"/>
      <c r="AA945" s="1340"/>
      <c r="AB945" s="1340"/>
      <c r="AC945" s="1340"/>
      <c r="AD945" s="1340"/>
      <c r="AE945" s="1341"/>
      <c r="AF945" s="49"/>
      <c r="AG945" s="18"/>
      <c r="AH945" s="18"/>
      <c r="AI945" s="53"/>
      <c r="AJ945" s="1035"/>
      <c r="AK945" s="1036"/>
      <c r="AL945" s="1036"/>
      <c r="AM945" s="1036"/>
      <c r="AN945" s="1036"/>
      <c r="AO945" s="1036"/>
      <c r="AP945" s="1036"/>
      <c r="AQ945" s="1037"/>
      <c r="AR945" s="33"/>
      <c r="AS945" s="33"/>
      <c r="AT945" s="33"/>
      <c r="AU945" s="33"/>
      <c r="AV945" s="33"/>
      <c r="AW945" s="33"/>
      <c r="AX945" s="33"/>
      <c r="AY945" s="33"/>
      <c r="AZ945" s="33"/>
      <c r="BA945" s="33"/>
      <c r="BB945" s="33"/>
      <c r="BC945" s="33"/>
      <c r="BD945" s="33"/>
      <c r="BE945" s="33"/>
      <c r="BF945" s="33"/>
      <c r="BG945" s="33"/>
      <c r="BH945" s="33"/>
      <c r="BI945" s="33"/>
      <c r="BJ945" s="33"/>
      <c r="BK945" s="33"/>
      <c r="BL945" s="33"/>
      <c r="BM945" s="33"/>
      <c r="BN945" s="33"/>
      <c r="BO945" s="33"/>
      <c r="BP945" s="33"/>
      <c r="BQ945" s="33"/>
      <c r="BR945" s="33"/>
      <c r="BS945" s="33"/>
      <c r="BT945" s="33"/>
      <c r="BU945" s="33"/>
      <c r="BV945" s="33"/>
      <c r="BW945" s="33"/>
      <c r="BX945" s="33"/>
      <c r="BY945" s="33"/>
      <c r="BZ945" s="33"/>
      <c r="CA945" s="33"/>
      <c r="CB945" s="33"/>
      <c r="CC945" s="33"/>
      <c r="CD945" s="33"/>
      <c r="CE945" s="33"/>
      <c r="CF945" s="33"/>
      <c r="CG945" s="33"/>
      <c r="CH945" s="33"/>
      <c r="CI945" s="33"/>
      <c r="CJ945" s="33"/>
      <c r="CK945" s="33"/>
      <c r="CL945" s="33"/>
      <c r="CM945" s="33"/>
      <c r="CN945" s="33"/>
      <c r="CO945" s="33"/>
      <c r="CP945" s="33"/>
      <c r="CQ945" s="33"/>
      <c r="CR945" s="33"/>
      <c r="CS945" s="33"/>
    </row>
    <row r="946" spans="1:97" ht="12.95" customHeight="1">
      <c r="A946" s="18"/>
      <c r="B946" s="667"/>
      <c r="C946" s="671"/>
      <c r="D946" s="1339"/>
      <c r="E946" s="1340"/>
      <c r="F946" s="1340"/>
      <c r="G946" s="1340"/>
      <c r="H946" s="1340"/>
      <c r="I946" s="1340"/>
      <c r="J946" s="1340"/>
      <c r="K946" s="1340"/>
      <c r="L946" s="1340"/>
      <c r="M946" s="1340"/>
      <c r="N946" s="1340"/>
      <c r="O946" s="1340"/>
      <c r="P946" s="1340"/>
      <c r="Q946" s="1340"/>
      <c r="R946" s="1340"/>
      <c r="S946" s="1340"/>
      <c r="T946" s="1340"/>
      <c r="U946" s="1340"/>
      <c r="V946" s="1340"/>
      <c r="W946" s="1340"/>
      <c r="X946" s="1340"/>
      <c r="Y946" s="1340"/>
      <c r="Z946" s="1340"/>
      <c r="AA946" s="1340"/>
      <c r="AB946" s="1340"/>
      <c r="AC946" s="1340"/>
      <c r="AD946" s="1340"/>
      <c r="AE946" s="1341"/>
      <c r="AF946" s="49"/>
      <c r="AG946" s="18"/>
      <c r="AH946" s="18"/>
      <c r="AI946" s="53"/>
      <c r="AJ946" s="1035"/>
      <c r="AK946" s="1036"/>
      <c r="AL946" s="1036"/>
      <c r="AM946" s="1036"/>
      <c r="AN946" s="1036"/>
      <c r="AO946" s="1036"/>
      <c r="AP946" s="1036"/>
      <c r="AQ946" s="1037"/>
      <c r="AR946" s="33"/>
      <c r="AS946" s="33"/>
      <c r="AT946" s="33"/>
      <c r="AU946" s="33"/>
      <c r="AV946" s="33"/>
      <c r="AW946" s="33"/>
      <c r="AX946" s="33"/>
      <c r="AY946" s="33"/>
      <c r="AZ946" s="33"/>
      <c r="BA946" s="33"/>
      <c r="BB946" s="33"/>
      <c r="BC946" s="33"/>
      <c r="BD946" s="33"/>
      <c r="BE946" s="33"/>
      <c r="BF946" s="33"/>
      <c r="BG946" s="33"/>
      <c r="BH946" s="33"/>
      <c r="BI946" s="33"/>
      <c r="BJ946" s="33"/>
      <c r="BK946" s="33"/>
      <c r="BL946" s="33"/>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J946" s="33"/>
      <c r="CK946" s="33"/>
      <c r="CL946" s="33"/>
      <c r="CM946" s="33"/>
      <c r="CN946" s="33"/>
      <c r="CO946" s="33"/>
      <c r="CP946" s="33"/>
      <c r="CQ946" s="33"/>
      <c r="CR946" s="33"/>
      <c r="CS946" s="33"/>
    </row>
    <row r="947" spans="1:97" ht="12.95" customHeight="1">
      <c r="A947" s="18"/>
      <c r="B947" s="667"/>
      <c r="C947" s="671"/>
      <c r="D947" s="1339"/>
      <c r="E947" s="1340"/>
      <c r="F947" s="1340"/>
      <c r="G947" s="1340"/>
      <c r="H947" s="1340"/>
      <c r="I947" s="1340"/>
      <c r="J947" s="1340"/>
      <c r="K947" s="1340"/>
      <c r="L947" s="1340"/>
      <c r="M947" s="1340"/>
      <c r="N947" s="1340"/>
      <c r="O947" s="1340"/>
      <c r="P947" s="1340"/>
      <c r="Q947" s="1340"/>
      <c r="R947" s="1340"/>
      <c r="S947" s="1340"/>
      <c r="T947" s="1340"/>
      <c r="U947" s="1340"/>
      <c r="V947" s="1340"/>
      <c r="W947" s="1340"/>
      <c r="X947" s="1340"/>
      <c r="Y947" s="1340"/>
      <c r="Z947" s="1340"/>
      <c r="AA947" s="1340"/>
      <c r="AB947" s="1340"/>
      <c r="AC947" s="1340"/>
      <c r="AD947" s="1340"/>
      <c r="AE947" s="1341"/>
      <c r="AF947" s="49"/>
      <c r="AG947" s="18"/>
      <c r="AH947" s="18"/>
      <c r="AI947" s="53"/>
      <c r="AJ947" s="1035"/>
      <c r="AK947" s="1036"/>
      <c r="AL947" s="1036"/>
      <c r="AM947" s="1036"/>
      <c r="AN947" s="1036"/>
      <c r="AO947" s="1036"/>
      <c r="AP947" s="1036"/>
      <c r="AQ947" s="1037"/>
      <c r="AR947" s="33"/>
      <c r="AS947" s="33"/>
      <c r="AT947" s="33"/>
      <c r="AU947" s="33"/>
      <c r="AV947" s="33"/>
      <c r="AW947" s="33"/>
      <c r="AX947" s="33"/>
      <c r="AY947" s="33"/>
      <c r="AZ947" s="33"/>
      <c r="BA947" s="33"/>
      <c r="BB947" s="33"/>
      <c r="BC947" s="33"/>
      <c r="BD947" s="33"/>
      <c r="BE947" s="33"/>
      <c r="BF947" s="33"/>
      <c r="BG947" s="33"/>
      <c r="BH947" s="33"/>
      <c r="BI947" s="33"/>
      <c r="BJ947" s="33"/>
      <c r="BK947" s="33"/>
      <c r="BL947" s="33"/>
      <c r="BM947" s="33"/>
      <c r="BN947" s="33"/>
      <c r="BO947" s="33"/>
      <c r="BP947" s="33"/>
      <c r="BQ947" s="33"/>
      <c r="BR947" s="33"/>
      <c r="BS947" s="33"/>
      <c r="BT947" s="33"/>
      <c r="BU947" s="33"/>
      <c r="BV947" s="33"/>
      <c r="BW947" s="33"/>
      <c r="BX947" s="33"/>
      <c r="BY947" s="33"/>
      <c r="BZ947" s="33"/>
      <c r="CA947" s="33"/>
      <c r="CB947" s="33"/>
      <c r="CC947" s="33"/>
      <c r="CD947" s="33"/>
      <c r="CE947" s="33"/>
      <c r="CF947" s="33"/>
      <c r="CG947" s="33"/>
      <c r="CH947" s="33"/>
      <c r="CI947" s="33"/>
      <c r="CJ947" s="33"/>
      <c r="CK947" s="33"/>
      <c r="CL947" s="33"/>
      <c r="CM947" s="33"/>
      <c r="CN947" s="33"/>
      <c r="CO947" s="33"/>
      <c r="CP947" s="33"/>
      <c r="CQ947" s="33"/>
      <c r="CR947" s="33"/>
      <c r="CS947" s="33"/>
    </row>
    <row r="948" spans="1:97" ht="12.95" customHeight="1">
      <c r="A948" s="18"/>
      <c r="B948" s="667"/>
      <c r="C948" s="671"/>
      <c r="D948" s="1339"/>
      <c r="E948" s="1340"/>
      <c r="F948" s="1340"/>
      <c r="G948" s="1340"/>
      <c r="H948" s="1340"/>
      <c r="I948" s="1340"/>
      <c r="J948" s="1340"/>
      <c r="K948" s="1340"/>
      <c r="L948" s="1340"/>
      <c r="M948" s="1340"/>
      <c r="N948" s="1340"/>
      <c r="O948" s="1340"/>
      <c r="P948" s="1340"/>
      <c r="Q948" s="1340"/>
      <c r="R948" s="1340"/>
      <c r="S948" s="1340"/>
      <c r="T948" s="1340"/>
      <c r="U948" s="1340"/>
      <c r="V948" s="1340"/>
      <c r="W948" s="1340"/>
      <c r="X948" s="1340"/>
      <c r="Y948" s="1340"/>
      <c r="Z948" s="1340"/>
      <c r="AA948" s="1340"/>
      <c r="AB948" s="1340"/>
      <c r="AC948" s="1340"/>
      <c r="AD948" s="1340"/>
      <c r="AE948" s="1341"/>
      <c r="AF948" s="49"/>
      <c r="AG948" s="18"/>
      <c r="AH948" s="18"/>
      <c r="AI948" s="53"/>
      <c r="AJ948" s="1035"/>
      <c r="AK948" s="1036"/>
      <c r="AL948" s="1036"/>
      <c r="AM948" s="1036"/>
      <c r="AN948" s="1036"/>
      <c r="AO948" s="1036"/>
      <c r="AP948" s="1036"/>
      <c r="AQ948" s="1037"/>
      <c r="AR948" s="33"/>
      <c r="AS948" s="33"/>
      <c r="AT948" s="33"/>
      <c r="AU948" s="33"/>
      <c r="AV948" s="33"/>
      <c r="AW948" s="33"/>
      <c r="AX948" s="33"/>
      <c r="AY948" s="33"/>
      <c r="AZ948" s="33"/>
      <c r="BA948" s="33"/>
      <c r="BB948" s="33"/>
      <c r="BC948" s="33"/>
      <c r="BD948" s="33"/>
      <c r="BE948" s="33"/>
      <c r="BF948" s="33"/>
      <c r="BG948" s="33"/>
      <c r="BH948" s="33"/>
      <c r="BI948" s="33"/>
      <c r="BJ948" s="33"/>
      <c r="BK948" s="33"/>
      <c r="BL948" s="33"/>
      <c r="BM948" s="33"/>
      <c r="BN948" s="33"/>
      <c r="BO948" s="33"/>
      <c r="BP948" s="33"/>
      <c r="BQ948" s="33"/>
      <c r="BR948" s="33"/>
      <c r="BS948" s="33"/>
      <c r="BT948" s="33"/>
      <c r="BU948" s="33"/>
      <c r="BV948" s="33"/>
      <c r="BW948" s="33"/>
      <c r="BX948" s="33"/>
      <c r="BY948" s="33"/>
      <c r="BZ948" s="33"/>
      <c r="CA948" s="33"/>
      <c r="CB948" s="33"/>
      <c r="CC948" s="33"/>
      <c r="CD948" s="33"/>
      <c r="CE948" s="33"/>
      <c r="CF948" s="33"/>
      <c r="CG948" s="33"/>
      <c r="CH948" s="33"/>
      <c r="CI948" s="33"/>
      <c r="CJ948" s="33"/>
      <c r="CK948" s="33"/>
      <c r="CL948" s="33"/>
      <c r="CM948" s="33"/>
      <c r="CN948" s="33"/>
      <c r="CO948" s="33"/>
      <c r="CP948" s="33"/>
      <c r="CQ948" s="33"/>
      <c r="CR948" s="33"/>
      <c r="CS948" s="33"/>
    </row>
    <row r="949" spans="1:97" ht="12.95" customHeight="1">
      <c r="A949" s="18"/>
      <c r="B949" s="672"/>
      <c r="C949" s="673"/>
      <c r="D949" s="1413"/>
      <c r="E949" s="1414"/>
      <c r="F949" s="1414"/>
      <c r="G949" s="1414"/>
      <c r="H949" s="1414"/>
      <c r="I949" s="1414"/>
      <c r="J949" s="1414"/>
      <c r="K949" s="1414"/>
      <c r="L949" s="1414"/>
      <c r="M949" s="1414"/>
      <c r="N949" s="1414"/>
      <c r="O949" s="1414"/>
      <c r="P949" s="1414"/>
      <c r="Q949" s="1414"/>
      <c r="R949" s="1414"/>
      <c r="S949" s="1414"/>
      <c r="T949" s="1414"/>
      <c r="U949" s="1414"/>
      <c r="V949" s="1414"/>
      <c r="W949" s="1414"/>
      <c r="X949" s="1414"/>
      <c r="Y949" s="1414"/>
      <c r="Z949" s="1414"/>
      <c r="AA949" s="1414"/>
      <c r="AB949" s="1414"/>
      <c r="AC949" s="1414"/>
      <c r="AD949" s="1414"/>
      <c r="AE949" s="1415"/>
      <c r="AF949" s="50"/>
      <c r="AG949" s="10"/>
      <c r="AH949" s="10"/>
      <c r="AI949" s="51"/>
      <c r="AJ949" s="1038"/>
      <c r="AK949" s="1039"/>
      <c r="AL949" s="1039"/>
      <c r="AM949" s="1039"/>
      <c r="AN949" s="1039"/>
      <c r="AO949" s="1039"/>
      <c r="AP949" s="1039"/>
      <c r="AQ949" s="1040"/>
      <c r="AR949" s="33"/>
      <c r="AS949" s="33"/>
      <c r="AT949" s="33"/>
      <c r="AU949" s="33"/>
      <c r="AV949" s="33"/>
      <c r="AW949" s="33"/>
      <c r="AX949" s="33"/>
      <c r="AY949" s="33"/>
      <c r="AZ949" s="33"/>
      <c r="BA949" s="33"/>
      <c r="BB949" s="33"/>
      <c r="BC949" s="33"/>
      <c r="BD949" s="33"/>
      <c r="BE949" s="33"/>
      <c r="BF949" s="33"/>
      <c r="BG949" s="33"/>
      <c r="BH949" s="33"/>
      <c r="BI949" s="33"/>
      <c r="BJ949" s="33"/>
      <c r="BK949" s="33"/>
      <c r="BL949" s="33"/>
      <c r="BM949" s="33"/>
      <c r="BN949" s="33"/>
      <c r="BO949" s="33"/>
      <c r="BP949" s="33"/>
      <c r="BQ949" s="33"/>
      <c r="BR949" s="33"/>
      <c r="BS949" s="33"/>
      <c r="BT949" s="33"/>
      <c r="BU949" s="33"/>
      <c r="BV949" s="33"/>
      <c r="BW949" s="33"/>
      <c r="BX949" s="33"/>
      <c r="BY949" s="33"/>
      <c r="BZ949" s="33"/>
      <c r="CA949" s="33"/>
      <c r="CB949" s="33"/>
      <c r="CC949" s="33"/>
      <c r="CD949" s="33"/>
      <c r="CE949" s="33"/>
      <c r="CF949" s="33"/>
      <c r="CG949" s="33"/>
      <c r="CH949" s="33"/>
      <c r="CI949" s="33"/>
      <c r="CJ949" s="33"/>
      <c r="CK949" s="33"/>
      <c r="CL949" s="33"/>
      <c r="CM949" s="33"/>
      <c r="CN949" s="33"/>
      <c r="CO949" s="33"/>
      <c r="CP949" s="33"/>
      <c r="CQ949" s="33"/>
      <c r="CR949" s="33"/>
      <c r="CS949" s="33"/>
    </row>
    <row r="950" spans="1:97" ht="12.95" customHeight="1">
      <c r="A950" s="18"/>
      <c r="B950" s="669"/>
      <c r="C950" s="420" t="s">
        <v>1668</v>
      </c>
      <c r="D950" s="1029" t="s">
        <v>1669</v>
      </c>
      <c r="E950" s="1030"/>
      <c r="F950" s="1030"/>
      <c r="G950" s="1030"/>
      <c r="H950" s="1030"/>
      <c r="I950" s="1030"/>
      <c r="J950" s="1030"/>
      <c r="K950" s="1030"/>
      <c r="L950" s="1030"/>
      <c r="M950" s="1030"/>
      <c r="N950" s="1030"/>
      <c r="O950" s="1030"/>
      <c r="P950" s="1030"/>
      <c r="Q950" s="1030"/>
      <c r="R950" s="1030"/>
      <c r="S950" s="1030"/>
      <c r="T950" s="1030"/>
      <c r="U950" s="1030"/>
      <c r="V950" s="1030"/>
      <c r="W950" s="1030"/>
      <c r="X950" s="1030"/>
      <c r="Y950" s="1030"/>
      <c r="Z950" s="1030"/>
      <c r="AA950" s="1030"/>
      <c r="AB950" s="1030"/>
      <c r="AC950" s="1030"/>
      <c r="AD950" s="1030"/>
      <c r="AE950" s="1031"/>
      <c r="AF950" s="54"/>
      <c r="AG950" s="1013" t="s">
        <v>821</v>
      </c>
      <c r="AH950" s="1014"/>
      <c r="AI950" s="55"/>
      <c r="AJ950" s="1032">
        <f>ROUND(IF(AG950="yes",AJ939*0.1,0),0)</f>
        <v>0</v>
      </c>
      <c r="AK950" s="1033"/>
      <c r="AL950" s="1033"/>
      <c r="AM950" s="1033"/>
      <c r="AN950" s="1033"/>
      <c r="AO950" s="1033"/>
      <c r="AP950" s="1033"/>
      <c r="AQ950" s="1034"/>
      <c r="AR950" s="33"/>
      <c r="AS950" s="33"/>
      <c r="AT950" s="33"/>
      <c r="AU950" s="33"/>
      <c r="AV950" s="33"/>
      <c r="AW950" s="33"/>
      <c r="AX950" s="33"/>
      <c r="AY950" s="33"/>
      <c r="AZ950" s="33"/>
      <c r="BA950" s="33"/>
      <c r="BB950" s="33"/>
      <c r="BC950" s="33"/>
      <c r="BD950" s="33"/>
      <c r="BE950" s="33"/>
      <c r="BF950" s="33"/>
      <c r="BG950" s="33"/>
      <c r="BH950" s="33"/>
      <c r="BI950" s="33"/>
      <c r="BJ950" s="33"/>
      <c r="BK950" s="33"/>
      <c r="BL950" s="33"/>
      <c r="BM950" s="33"/>
      <c r="BN950" s="33"/>
      <c r="BO950" s="33"/>
      <c r="BP950" s="33"/>
      <c r="BQ950" s="33"/>
      <c r="BR950" s="33"/>
      <c r="BS950" s="33"/>
      <c r="BT950" s="33"/>
      <c r="BU950" s="33"/>
      <c r="BV950" s="33"/>
      <c r="BW950" s="33"/>
      <c r="BX950" s="33"/>
      <c r="BY950" s="33"/>
      <c r="BZ950" s="33"/>
      <c r="CA950" s="33"/>
      <c r="CB950" s="33"/>
      <c r="CC950" s="33"/>
      <c r="CD950" s="33"/>
      <c r="CE950" s="33"/>
      <c r="CF950" s="33"/>
      <c r="CG950" s="33"/>
      <c r="CH950" s="33"/>
      <c r="CI950" s="33"/>
      <c r="CJ950" s="33"/>
      <c r="CK950" s="33"/>
      <c r="CL950" s="33"/>
      <c r="CM950" s="33"/>
      <c r="CN950" s="33"/>
      <c r="CO950" s="33"/>
      <c r="CP950" s="33"/>
      <c r="CQ950" s="33"/>
      <c r="CR950" s="33"/>
      <c r="CS950" s="33"/>
    </row>
    <row r="951" spans="1:97" ht="12.95" customHeight="1">
      <c r="A951" s="18"/>
      <c r="B951" s="49"/>
      <c r="C951" s="421"/>
      <c r="D951" s="1041" t="s">
        <v>1670</v>
      </c>
      <c r="E951" s="1042"/>
      <c r="F951" s="1042"/>
      <c r="G951" s="1042"/>
      <c r="H951" s="1042"/>
      <c r="I951" s="1042"/>
      <c r="J951" s="1042"/>
      <c r="K951" s="1042"/>
      <c r="L951" s="1042"/>
      <c r="M951" s="1042"/>
      <c r="N951" s="1042"/>
      <c r="O951" s="1042"/>
      <c r="P951" s="1042"/>
      <c r="Q951" s="1042"/>
      <c r="R951" s="1042"/>
      <c r="S951" s="1042"/>
      <c r="T951" s="1042"/>
      <c r="U951" s="1042"/>
      <c r="V951" s="1042"/>
      <c r="W951" s="1042"/>
      <c r="X951" s="1042"/>
      <c r="Y951" s="1042"/>
      <c r="Z951" s="1042"/>
      <c r="AA951" s="1042"/>
      <c r="AB951" s="1042"/>
      <c r="AC951" s="1042"/>
      <c r="AD951" s="1042"/>
      <c r="AE951" s="1043"/>
      <c r="AF951" s="49"/>
      <c r="AI951" s="53"/>
      <c r="AJ951" s="1035"/>
      <c r="AK951" s="1036"/>
      <c r="AL951" s="1036"/>
      <c r="AM951" s="1036"/>
      <c r="AN951" s="1036"/>
      <c r="AO951" s="1036"/>
      <c r="AP951" s="1036"/>
      <c r="AQ951" s="1037"/>
      <c r="AR951" s="33"/>
      <c r="AS951" s="33"/>
      <c r="AT951" s="33"/>
      <c r="AU951" s="33"/>
      <c r="AV951" s="33"/>
      <c r="AW951" s="33"/>
      <c r="AX951" s="33"/>
      <c r="AY951" s="33"/>
      <c r="AZ951" s="33"/>
      <c r="BA951" s="33"/>
      <c r="BB951" s="33"/>
      <c r="BC951" s="33"/>
      <c r="BD951" s="33"/>
      <c r="BE951" s="33"/>
      <c r="BF951" s="33"/>
      <c r="BG951" s="33"/>
      <c r="BH951" s="33"/>
      <c r="BI951" s="33"/>
      <c r="BJ951" s="33"/>
      <c r="BK951" s="33"/>
      <c r="BL951" s="33"/>
      <c r="BM951" s="33"/>
      <c r="BN951" s="33"/>
      <c r="BO951" s="33"/>
      <c r="BP951" s="33"/>
      <c r="BQ951" s="33"/>
      <c r="BR951" s="33"/>
      <c r="BS951" s="33"/>
      <c r="BT951" s="33"/>
      <c r="BU951" s="33"/>
      <c r="BV951" s="33"/>
      <c r="BW951" s="33"/>
      <c r="BX951" s="33"/>
      <c r="BY951" s="33"/>
      <c r="BZ951" s="33"/>
      <c r="CA951" s="33"/>
      <c r="CB951" s="33"/>
      <c r="CC951" s="33"/>
      <c r="CD951" s="33"/>
      <c r="CE951" s="33"/>
      <c r="CF951" s="33"/>
      <c r="CG951" s="33"/>
      <c r="CH951" s="33"/>
      <c r="CI951" s="33"/>
      <c r="CJ951" s="33"/>
      <c r="CK951" s="33"/>
      <c r="CL951" s="33"/>
      <c r="CM951" s="33"/>
      <c r="CN951" s="33"/>
      <c r="CO951" s="33"/>
      <c r="CP951" s="33"/>
      <c r="CQ951" s="33"/>
      <c r="CR951" s="33"/>
      <c r="CS951" s="33"/>
    </row>
    <row r="952" spans="1:97" ht="12.95" customHeight="1">
      <c r="A952" s="18"/>
      <c r="B952" s="49"/>
      <c r="C952" s="421"/>
      <c r="D952" s="1041"/>
      <c r="E952" s="1042"/>
      <c r="F952" s="1042"/>
      <c r="G952" s="1042"/>
      <c r="H952" s="1042"/>
      <c r="I952" s="1042"/>
      <c r="J952" s="1042"/>
      <c r="K952" s="1042"/>
      <c r="L952" s="1042"/>
      <c r="M952" s="1042"/>
      <c r="N952" s="1042"/>
      <c r="O952" s="1042"/>
      <c r="P952" s="1042"/>
      <c r="Q952" s="1042"/>
      <c r="R952" s="1042"/>
      <c r="S952" s="1042"/>
      <c r="T952" s="1042"/>
      <c r="U952" s="1042"/>
      <c r="V952" s="1042"/>
      <c r="W952" s="1042"/>
      <c r="X952" s="1042"/>
      <c r="Y952" s="1042"/>
      <c r="Z952" s="1042"/>
      <c r="AA952" s="1042"/>
      <c r="AB952" s="1042"/>
      <c r="AC952" s="1042"/>
      <c r="AD952" s="1042"/>
      <c r="AE952" s="1043"/>
      <c r="AF952" s="49"/>
      <c r="AG952" s="18"/>
      <c r="AH952" s="18"/>
      <c r="AI952" s="53"/>
      <c r="AJ952" s="1035"/>
      <c r="AK952" s="1036"/>
      <c r="AL952" s="1036"/>
      <c r="AM952" s="1036"/>
      <c r="AN952" s="1036"/>
      <c r="AO952" s="1036"/>
      <c r="AP952" s="1036"/>
      <c r="AQ952" s="1037"/>
      <c r="AR952" s="33"/>
      <c r="AS952" s="33"/>
      <c r="AT952" s="33"/>
      <c r="AU952" s="33"/>
      <c r="AV952" s="33"/>
      <c r="AW952" s="33"/>
      <c r="AX952" s="33"/>
      <c r="AY952" s="33"/>
      <c r="AZ952" s="33"/>
      <c r="BA952" s="33"/>
      <c r="BB952" s="33"/>
      <c r="BC952" s="33"/>
      <c r="BD952" s="33"/>
      <c r="BE952" s="33"/>
      <c r="BF952" s="33"/>
      <c r="BG952" s="33"/>
      <c r="BH952" s="33"/>
      <c r="BI952" s="33"/>
      <c r="BJ952" s="33"/>
      <c r="BK952" s="33"/>
      <c r="BL952" s="33"/>
      <c r="BM952" s="33"/>
      <c r="BN952" s="33"/>
      <c r="BO952" s="33"/>
      <c r="BP952" s="33"/>
      <c r="BQ952" s="33"/>
      <c r="BR952" s="33"/>
      <c r="BS952" s="33"/>
      <c r="BT952" s="33"/>
      <c r="BU952" s="33"/>
      <c r="BV952" s="33"/>
      <c r="BW952" s="33"/>
      <c r="BX952" s="33"/>
      <c r="BY952" s="33"/>
      <c r="BZ952" s="33"/>
      <c r="CA952" s="33"/>
      <c r="CB952" s="33"/>
      <c r="CC952" s="33"/>
      <c r="CD952" s="33"/>
      <c r="CE952" s="33"/>
      <c r="CF952" s="33"/>
      <c r="CG952" s="33"/>
      <c r="CH952" s="33"/>
      <c r="CI952" s="33"/>
      <c r="CJ952" s="33"/>
      <c r="CK952" s="33"/>
      <c r="CL952" s="33"/>
      <c r="CM952" s="33"/>
      <c r="CN952" s="33"/>
      <c r="CO952" s="33"/>
      <c r="CP952" s="33"/>
      <c r="CQ952" s="33"/>
      <c r="CR952" s="33"/>
      <c r="CS952" s="33"/>
    </row>
    <row r="953" spans="1:97" ht="12.95" customHeight="1">
      <c r="A953" s="18"/>
      <c r="B953" s="674"/>
      <c r="C953" s="673"/>
      <c r="D953" s="1044"/>
      <c r="E953" s="1045"/>
      <c r="F953" s="1045"/>
      <c r="G953" s="1045"/>
      <c r="H953" s="1045"/>
      <c r="I953" s="1045"/>
      <c r="J953" s="1045"/>
      <c r="K953" s="1045"/>
      <c r="L953" s="1045"/>
      <c r="M953" s="1045"/>
      <c r="N953" s="1045"/>
      <c r="O953" s="1045"/>
      <c r="P953" s="1045"/>
      <c r="Q953" s="1045"/>
      <c r="R953" s="1045"/>
      <c r="S953" s="1045"/>
      <c r="T953" s="1045"/>
      <c r="U953" s="1045"/>
      <c r="V953" s="1045"/>
      <c r="W953" s="1045"/>
      <c r="X953" s="1045"/>
      <c r="Y953" s="1045"/>
      <c r="Z953" s="1045"/>
      <c r="AA953" s="1045"/>
      <c r="AB953" s="1045"/>
      <c r="AC953" s="1045"/>
      <c r="AD953" s="1045"/>
      <c r="AE953" s="1046"/>
      <c r="AF953" s="50"/>
      <c r="AG953" s="10"/>
      <c r="AH953" s="10"/>
      <c r="AI953" s="51"/>
      <c r="AJ953" s="1038"/>
      <c r="AK953" s="1039"/>
      <c r="AL953" s="1039"/>
      <c r="AM953" s="1039"/>
      <c r="AN953" s="1039"/>
      <c r="AO953" s="1039"/>
      <c r="AP953" s="1039"/>
      <c r="AQ953" s="1040"/>
      <c r="AR953" s="33"/>
      <c r="AS953" s="33"/>
      <c r="AT953" s="33"/>
      <c r="AU953" s="33"/>
      <c r="AV953" s="33"/>
      <c r="AW953" s="33"/>
      <c r="AX953" s="33"/>
      <c r="AY953" s="33"/>
      <c r="AZ953" s="33"/>
      <c r="BA953" s="33"/>
      <c r="BB953" s="33"/>
      <c r="BC953" s="33"/>
      <c r="BD953" s="33"/>
      <c r="BE953" s="33"/>
      <c r="BF953" s="33"/>
      <c r="BG953" s="33"/>
      <c r="BH953" s="33"/>
      <c r="BI953" s="33"/>
      <c r="BJ953" s="33"/>
      <c r="BK953" s="33"/>
      <c r="BL953" s="33"/>
      <c r="BM953" s="33"/>
      <c r="BN953" s="33"/>
      <c r="BO953" s="33"/>
      <c r="BP953" s="33"/>
      <c r="BQ953" s="33"/>
      <c r="BR953" s="33"/>
      <c r="BS953" s="33"/>
      <c r="BT953" s="33"/>
      <c r="BU953" s="33"/>
      <c r="BV953" s="33"/>
      <c r="BW953" s="33"/>
      <c r="BX953" s="33"/>
      <c r="BY953" s="33"/>
      <c r="BZ953" s="33"/>
      <c r="CA953" s="33"/>
      <c r="CB953" s="33"/>
      <c r="CC953" s="33"/>
      <c r="CD953" s="33"/>
      <c r="CE953" s="33"/>
      <c r="CF953" s="33"/>
      <c r="CG953" s="33"/>
      <c r="CH953" s="33"/>
      <c r="CI953" s="33"/>
      <c r="CJ953" s="33"/>
      <c r="CK953" s="33"/>
      <c r="CL953" s="33"/>
      <c r="CM953" s="33"/>
      <c r="CN953" s="33"/>
      <c r="CO953" s="33"/>
      <c r="CP953" s="33"/>
      <c r="CQ953" s="33"/>
      <c r="CR953" s="33"/>
      <c r="CS953" s="33"/>
    </row>
    <row r="954" spans="1:97" ht="12.95" customHeight="1">
      <c r="A954" s="18"/>
      <c r="B954" s="52"/>
      <c r="C954" s="420" t="s">
        <v>1671</v>
      </c>
      <c r="D954" s="1029" t="s">
        <v>1672</v>
      </c>
      <c r="E954" s="1030"/>
      <c r="F954" s="1030"/>
      <c r="G954" s="1030"/>
      <c r="H954" s="1030"/>
      <c r="I954" s="1030"/>
      <c r="J954" s="1030"/>
      <c r="K954" s="1030"/>
      <c r="L954" s="1030"/>
      <c r="M954" s="1030"/>
      <c r="N954" s="1030"/>
      <c r="O954" s="1030"/>
      <c r="P954" s="1030"/>
      <c r="Q954" s="1030"/>
      <c r="R954" s="1030"/>
      <c r="S954" s="1030"/>
      <c r="T954" s="1030"/>
      <c r="U954" s="1030"/>
      <c r="V954" s="1030"/>
      <c r="W954" s="1030"/>
      <c r="X954" s="1030"/>
      <c r="Y954" s="1030"/>
      <c r="Z954" s="1030"/>
      <c r="AA954" s="1030"/>
      <c r="AB954" s="1030"/>
      <c r="AC954" s="1030"/>
      <c r="AD954" s="1030"/>
      <c r="AE954" s="1031"/>
      <c r="AF954" s="52"/>
      <c r="AG954" s="1013" t="s">
        <v>821</v>
      </c>
      <c r="AH954" s="1014"/>
      <c r="AI954" s="55"/>
      <c r="AJ954" s="1032">
        <f>ROUND(IF(AG954="yes",AJ939*0.02,0),0)</f>
        <v>0</v>
      </c>
      <c r="AK954" s="1033"/>
      <c r="AL954" s="1033"/>
      <c r="AM954" s="1033"/>
      <c r="AN954" s="1033"/>
      <c r="AO954" s="1033"/>
      <c r="AP954" s="1033"/>
      <c r="AQ954" s="1034"/>
      <c r="AR954" s="33"/>
      <c r="AS954" s="33"/>
      <c r="AT954" s="33"/>
      <c r="AU954" s="33"/>
      <c r="AV954" s="33"/>
      <c r="AW954" s="33"/>
      <c r="AX954" s="33"/>
      <c r="AY954" s="33"/>
      <c r="AZ954" s="33"/>
      <c r="BA954" s="33"/>
      <c r="BB954" s="33"/>
      <c r="BC954" s="33"/>
      <c r="BD954" s="33"/>
      <c r="BE954" s="33"/>
      <c r="BF954" s="33"/>
      <c r="BG954" s="33"/>
      <c r="BH954" s="33"/>
      <c r="BI954" s="33"/>
      <c r="BJ954" s="33"/>
      <c r="BK954" s="33"/>
      <c r="BL954" s="33"/>
      <c r="BM954" s="33"/>
      <c r="BN954" s="33"/>
      <c r="BO954" s="33"/>
      <c r="BP954" s="33"/>
      <c r="BQ954" s="33"/>
      <c r="BR954" s="33"/>
      <c r="BS954" s="33"/>
      <c r="BT954" s="33"/>
      <c r="BU954" s="33"/>
      <c r="BV954" s="33"/>
      <c r="BW954" s="33"/>
      <c r="BX954" s="33"/>
      <c r="BY954" s="33"/>
      <c r="BZ954" s="33"/>
      <c r="CA954" s="33"/>
      <c r="CB954" s="33"/>
      <c r="CC954" s="33"/>
      <c r="CD954" s="33"/>
      <c r="CE954" s="33"/>
      <c r="CF954" s="33"/>
      <c r="CG954" s="33"/>
      <c r="CH954" s="33"/>
      <c r="CI954" s="33"/>
      <c r="CJ954" s="33"/>
      <c r="CK954" s="33"/>
      <c r="CL954" s="33"/>
      <c r="CM954" s="33"/>
      <c r="CN954" s="33"/>
      <c r="CO954" s="33"/>
      <c r="CP954" s="33"/>
      <c r="CQ954" s="33"/>
      <c r="CR954" s="33"/>
      <c r="CS954" s="33"/>
    </row>
    <row r="955" spans="1:97" ht="12.95" customHeight="1">
      <c r="A955" s="18"/>
      <c r="B955" s="49"/>
      <c r="C955" s="421"/>
      <c r="D955" s="1044" t="s">
        <v>1673</v>
      </c>
      <c r="E955" s="1045"/>
      <c r="F955" s="1045"/>
      <c r="G955" s="1045"/>
      <c r="H955" s="1045"/>
      <c r="I955" s="1045"/>
      <c r="J955" s="1045"/>
      <c r="K955" s="1045"/>
      <c r="L955" s="1045"/>
      <c r="M955" s="1045"/>
      <c r="N955" s="1045"/>
      <c r="O955" s="1045"/>
      <c r="P955" s="1045"/>
      <c r="Q955" s="1045"/>
      <c r="R955" s="1045"/>
      <c r="S955" s="1045"/>
      <c r="T955" s="1045"/>
      <c r="U955" s="1045"/>
      <c r="V955" s="1045"/>
      <c r="W955" s="1045"/>
      <c r="X955" s="1045"/>
      <c r="Y955" s="1045"/>
      <c r="Z955" s="1045"/>
      <c r="AA955" s="1045"/>
      <c r="AB955" s="1045"/>
      <c r="AC955" s="1045"/>
      <c r="AD955" s="1045"/>
      <c r="AE955" s="1046"/>
      <c r="AF955" s="50"/>
      <c r="AG955" s="10"/>
      <c r="AH955" s="10"/>
      <c r="AI955" s="51"/>
      <c r="AJ955" s="1038"/>
      <c r="AK955" s="1039"/>
      <c r="AL955" s="1039"/>
      <c r="AM955" s="1039"/>
      <c r="AN955" s="1039"/>
      <c r="AO955" s="1039"/>
      <c r="AP955" s="1039"/>
      <c r="AQ955" s="1040"/>
      <c r="AR955" s="33"/>
      <c r="AS955" s="33"/>
      <c r="AT955" s="33"/>
      <c r="AU955" s="33"/>
      <c r="AV955" s="33"/>
      <c r="AW955" s="33"/>
      <c r="AX955" s="33"/>
      <c r="AY955" s="33"/>
      <c r="AZ955" s="33"/>
      <c r="BA955" s="33"/>
      <c r="BB955" s="33"/>
      <c r="BC955" s="33"/>
      <c r="BD955" s="33"/>
      <c r="BE955" s="33"/>
      <c r="BF955" s="33"/>
      <c r="BG955" s="33"/>
      <c r="BH955" s="33"/>
      <c r="BI955" s="33"/>
      <c r="BJ955" s="33"/>
      <c r="BK955" s="33"/>
      <c r="BL955" s="33"/>
      <c r="BM955" s="33"/>
      <c r="BN955" s="33"/>
      <c r="BO955" s="33"/>
      <c r="BP955" s="33"/>
      <c r="BQ955" s="33"/>
      <c r="BR955" s="33"/>
      <c r="BS955" s="33"/>
      <c r="BT955" s="33"/>
      <c r="BU955" s="33"/>
      <c r="BV955" s="33"/>
      <c r="BW955" s="33"/>
      <c r="BX955" s="33"/>
      <c r="BY955" s="33"/>
      <c r="BZ955" s="33"/>
      <c r="CA955" s="33"/>
      <c r="CB955" s="33"/>
      <c r="CC955" s="33"/>
      <c r="CD955" s="33"/>
      <c r="CE955" s="33"/>
      <c r="CF955" s="33"/>
      <c r="CG955" s="33"/>
      <c r="CH955" s="33"/>
      <c r="CI955" s="33"/>
      <c r="CJ955" s="33"/>
      <c r="CK955" s="33"/>
      <c r="CL955" s="33"/>
      <c r="CM955" s="33"/>
      <c r="CN955" s="33"/>
      <c r="CO955" s="33"/>
      <c r="CP955" s="33"/>
      <c r="CQ955" s="33"/>
      <c r="CR955" s="33"/>
      <c r="CS955" s="33"/>
    </row>
    <row r="956" spans="1:97" ht="12.95" customHeight="1">
      <c r="A956" s="18"/>
      <c r="B956" s="52"/>
      <c r="C956" s="420" t="s">
        <v>1674</v>
      </c>
      <c r="D956" s="1029" t="s">
        <v>1675</v>
      </c>
      <c r="E956" s="1030"/>
      <c r="F956" s="1030"/>
      <c r="G956" s="1030"/>
      <c r="H956" s="1030"/>
      <c r="I956" s="1030"/>
      <c r="J956" s="1030"/>
      <c r="K956" s="1030"/>
      <c r="L956" s="1030"/>
      <c r="M956" s="1030"/>
      <c r="N956" s="1030"/>
      <c r="O956" s="1030"/>
      <c r="P956" s="1030"/>
      <c r="Q956" s="1030"/>
      <c r="R956" s="1030"/>
      <c r="S956" s="1030"/>
      <c r="T956" s="1030"/>
      <c r="U956" s="1030"/>
      <c r="V956" s="1030"/>
      <c r="W956" s="1030"/>
      <c r="X956" s="1030"/>
      <c r="Y956" s="1030"/>
      <c r="Z956" s="1030"/>
      <c r="AA956" s="1030"/>
      <c r="AB956" s="1030"/>
      <c r="AC956" s="1030"/>
      <c r="AD956" s="1030"/>
      <c r="AE956" s="1031"/>
      <c r="AF956" s="52"/>
      <c r="AG956" s="1013" t="s">
        <v>821</v>
      </c>
      <c r="AH956" s="1014"/>
      <c r="AI956" s="52"/>
      <c r="AJ956" s="1032">
        <f>ROUND(IF(AG956="yes",AJ939*0.02,0),0)</f>
        <v>0</v>
      </c>
      <c r="AK956" s="1033"/>
      <c r="AL956" s="1033"/>
      <c r="AM956" s="1033"/>
      <c r="AN956" s="1033"/>
      <c r="AO956" s="1033"/>
      <c r="AP956" s="1033"/>
      <c r="AQ956" s="1034"/>
      <c r="AR956" s="33"/>
      <c r="AS956" s="33"/>
      <c r="AT956" s="33"/>
      <c r="AU956" s="33"/>
      <c r="AV956" s="33"/>
      <c r="AW956" s="33"/>
      <c r="AX956" s="33"/>
      <c r="AY956" s="33"/>
      <c r="AZ956" s="33"/>
      <c r="BA956" s="33"/>
      <c r="BB956" s="33"/>
      <c r="BC956" s="33"/>
      <c r="BD956" s="33"/>
      <c r="BE956" s="33"/>
      <c r="BF956" s="33"/>
      <c r="BG956" s="33"/>
      <c r="BH956" s="33"/>
      <c r="BI956" s="33"/>
      <c r="BJ956" s="33"/>
      <c r="BK956" s="33"/>
      <c r="BL956" s="33"/>
      <c r="BM956" s="33"/>
      <c r="BN956" s="33"/>
      <c r="BO956" s="33"/>
      <c r="BP956" s="33"/>
      <c r="BQ956" s="33"/>
      <c r="BR956" s="33"/>
      <c r="BS956" s="33"/>
      <c r="BT956" s="33"/>
      <c r="BU956" s="33"/>
      <c r="BV956" s="33"/>
      <c r="BW956" s="33"/>
      <c r="BX956" s="33"/>
      <c r="BY956" s="33"/>
      <c r="BZ956" s="33"/>
      <c r="CA956" s="33"/>
      <c r="CB956" s="33"/>
      <c r="CC956" s="33"/>
      <c r="CD956" s="33"/>
      <c r="CE956" s="33"/>
      <c r="CF956" s="33"/>
      <c r="CG956" s="33"/>
      <c r="CH956" s="33"/>
      <c r="CI956" s="33"/>
      <c r="CJ956" s="33"/>
      <c r="CK956" s="33"/>
      <c r="CL956" s="33"/>
      <c r="CM956" s="33"/>
      <c r="CN956" s="33"/>
      <c r="CO956" s="33"/>
      <c r="CP956" s="33"/>
      <c r="CQ956" s="33"/>
      <c r="CR956" s="33"/>
      <c r="CS956" s="33"/>
    </row>
    <row r="957" spans="1:97" ht="12.95" customHeight="1">
      <c r="A957" s="18"/>
      <c r="B957" s="49"/>
      <c r="C957" s="421"/>
      <c r="D957" s="1041" t="s">
        <v>1676</v>
      </c>
      <c r="E957" s="1042"/>
      <c r="F957" s="1042"/>
      <c r="G957" s="1042"/>
      <c r="H957" s="1042"/>
      <c r="I957" s="1042"/>
      <c r="J957" s="1042"/>
      <c r="K957" s="1042"/>
      <c r="L957" s="1042"/>
      <c r="M957" s="1042"/>
      <c r="N957" s="1042"/>
      <c r="O957" s="1042"/>
      <c r="P957" s="1042"/>
      <c r="Q957" s="1042"/>
      <c r="R957" s="1042"/>
      <c r="S957" s="1042"/>
      <c r="T957" s="1042"/>
      <c r="U957" s="1042"/>
      <c r="V957" s="1042"/>
      <c r="W957" s="1042"/>
      <c r="X957" s="1042"/>
      <c r="Y957" s="1042"/>
      <c r="Z957" s="1042"/>
      <c r="AA957" s="1042"/>
      <c r="AB957" s="1042"/>
      <c r="AC957" s="1042"/>
      <c r="AD957" s="1042"/>
      <c r="AE957" s="1043"/>
      <c r="AF957" s="49"/>
      <c r="AI957" s="18"/>
      <c r="AJ957" s="1035"/>
      <c r="AK957" s="1036"/>
      <c r="AL957" s="1036"/>
      <c r="AM957" s="1036"/>
      <c r="AN957" s="1036"/>
      <c r="AO957" s="1036"/>
      <c r="AP957" s="1036"/>
      <c r="AQ957" s="1037"/>
      <c r="AR957" s="33"/>
      <c r="AS957" s="33"/>
      <c r="AT957" s="33"/>
      <c r="AU957" s="33"/>
      <c r="AV957" s="33"/>
      <c r="AW957" s="33"/>
      <c r="AX957" s="33"/>
      <c r="AY957" s="33"/>
      <c r="AZ957" s="33"/>
      <c r="BA957" s="33"/>
      <c r="BB957" s="33"/>
      <c r="BC957" s="33"/>
      <c r="BD957" s="33"/>
      <c r="BE957" s="33"/>
      <c r="BF957" s="33"/>
      <c r="BG957" s="33"/>
      <c r="BH957" s="33"/>
      <c r="BI957" s="33"/>
      <c r="BJ957" s="33"/>
      <c r="BK957" s="33"/>
      <c r="BL957" s="33"/>
      <c r="BM957" s="33"/>
      <c r="BN957" s="33"/>
      <c r="BO957" s="33"/>
      <c r="BP957" s="33"/>
      <c r="BQ957" s="33"/>
      <c r="BR957" s="33"/>
      <c r="BS957" s="33"/>
      <c r="BT957" s="33"/>
      <c r="BU957" s="33"/>
      <c r="BV957" s="33"/>
      <c r="BW957" s="33"/>
      <c r="BX957" s="33"/>
      <c r="BY957" s="33"/>
      <c r="BZ957" s="33"/>
      <c r="CA957" s="33"/>
      <c r="CB957" s="33"/>
      <c r="CC957" s="33"/>
      <c r="CD957" s="33"/>
      <c r="CE957" s="33"/>
      <c r="CF957" s="33"/>
      <c r="CG957" s="33"/>
      <c r="CH957" s="33"/>
      <c r="CI957" s="33"/>
      <c r="CJ957" s="33"/>
      <c r="CK957" s="33"/>
      <c r="CL957" s="33"/>
      <c r="CM957" s="33"/>
      <c r="CN957" s="33"/>
      <c r="CO957" s="33"/>
      <c r="CP957" s="33"/>
      <c r="CQ957" s="33"/>
      <c r="CR957" s="33"/>
      <c r="CS957" s="33"/>
    </row>
    <row r="958" spans="1:97" ht="12.95" customHeight="1">
      <c r="A958" s="18"/>
      <c r="B958" s="672"/>
      <c r="C958" s="673"/>
      <c r="D958" s="1044"/>
      <c r="E958" s="1045"/>
      <c r="F958" s="1045"/>
      <c r="G958" s="1045"/>
      <c r="H958" s="1045"/>
      <c r="I958" s="1045"/>
      <c r="J958" s="1045"/>
      <c r="K958" s="1045"/>
      <c r="L958" s="1045"/>
      <c r="M958" s="1045"/>
      <c r="N958" s="1045"/>
      <c r="O958" s="1045"/>
      <c r="P958" s="1045"/>
      <c r="Q958" s="1045"/>
      <c r="R958" s="1045"/>
      <c r="S958" s="1045"/>
      <c r="T958" s="1045"/>
      <c r="U958" s="1045"/>
      <c r="V958" s="1045"/>
      <c r="W958" s="1045"/>
      <c r="X958" s="1045"/>
      <c r="Y958" s="1045"/>
      <c r="Z958" s="1045"/>
      <c r="AA958" s="1045"/>
      <c r="AB958" s="1045"/>
      <c r="AC958" s="1045"/>
      <c r="AD958" s="1045"/>
      <c r="AE958" s="1046"/>
      <c r="AF958" s="50"/>
      <c r="AG958" s="10"/>
      <c r="AH958" s="10"/>
      <c r="AI958" s="51"/>
      <c r="AJ958" s="1038"/>
      <c r="AK958" s="1039"/>
      <c r="AL958" s="1039"/>
      <c r="AM958" s="1039"/>
      <c r="AN958" s="1039"/>
      <c r="AO958" s="1039"/>
      <c r="AP958" s="1039"/>
      <c r="AQ958" s="1040"/>
      <c r="AR958" s="33"/>
      <c r="AS958" s="33"/>
      <c r="AT958" s="33"/>
      <c r="AU958" s="33"/>
      <c r="AV958" s="33"/>
      <c r="AW958" s="33"/>
      <c r="AX958" s="33"/>
      <c r="AY958" s="33"/>
      <c r="AZ958" s="33"/>
      <c r="BA958" s="33"/>
      <c r="BB958" s="33"/>
      <c r="BC958" s="33"/>
      <c r="BD958" s="33"/>
      <c r="BE958" s="33"/>
      <c r="BF958" s="33"/>
      <c r="BG958" s="33"/>
      <c r="BH958" s="33"/>
      <c r="BI958" s="33"/>
      <c r="BJ958" s="33"/>
      <c r="BK958" s="33"/>
      <c r="BL958" s="33"/>
      <c r="BM958" s="33"/>
      <c r="BN958" s="33"/>
      <c r="BO958" s="33"/>
      <c r="BP958" s="33"/>
      <c r="BQ958" s="33"/>
      <c r="BR958" s="33"/>
      <c r="BS958" s="33"/>
      <c r="BT958" s="33"/>
      <c r="BU958" s="33"/>
      <c r="BV958" s="33"/>
      <c r="BW958" s="33"/>
      <c r="BX958" s="33"/>
      <c r="BY958" s="33"/>
      <c r="BZ958" s="33"/>
      <c r="CA958" s="33"/>
      <c r="CB958" s="33"/>
      <c r="CC958" s="33"/>
      <c r="CD958" s="33"/>
      <c r="CE958" s="33"/>
      <c r="CF958" s="33"/>
      <c r="CG958" s="33"/>
      <c r="CH958" s="33"/>
      <c r="CI958" s="33"/>
      <c r="CJ958" s="33"/>
      <c r="CK958" s="33"/>
      <c r="CL958" s="33"/>
      <c r="CM958" s="33"/>
      <c r="CN958" s="33"/>
      <c r="CO958" s="33"/>
      <c r="CP958" s="33"/>
      <c r="CQ958" s="33"/>
      <c r="CR958" s="33"/>
      <c r="CS958" s="33"/>
    </row>
    <row r="959" spans="1:97" ht="12.95" customHeight="1">
      <c r="A959" s="18"/>
      <c r="B959" s="52"/>
      <c r="C959" s="420" t="s">
        <v>1677</v>
      </c>
      <c r="D959" s="1010" t="s">
        <v>1678</v>
      </c>
      <c r="E959" s="1011"/>
      <c r="F959" s="1011"/>
      <c r="G959" s="1011"/>
      <c r="H959" s="1011"/>
      <c r="I959" s="1011"/>
      <c r="J959" s="1011"/>
      <c r="K959" s="1011"/>
      <c r="L959" s="1011"/>
      <c r="M959" s="1011"/>
      <c r="N959" s="1011"/>
      <c r="O959" s="1011"/>
      <c r="P959" s="1011"/>
      <c r="Q959" s="1011"/>
      <c r="R959" s="1011"/>
      <c r="S959" s="1011"/>
      <c r="T959" s="1011"/>
      <c r="U959" s="1011"/>
      <c r="V959" s="1011"/>
      <c r="W959" s="1011"/>
      <c r="X959" s="1011"/>
      <c r="Y959" s="1011"/>
      <c r="Z959" s="1011"/>
      <c r="AA959" s="1011"/>
      <c r="AB959" s="1011"/>
      <c r="AC959" s="1011"/>
      <c r="AD959" s="1011"/>
      <c r="AE959" s="1012"/>
      <c r="AF959" s="52"/>
      <c r="AG959" s="1013" t="s">
        <v>821</v>
      </c>
      <c r="AH959" s="1014"/>
      <c r="AI959" s="55"/>
      <c r="AJ959" s="1032">
        <f>IF(AG959="yes",AJ939*AY918,0)</f>
        <v>0</v>
      </c>
      <c r="AK959" s="1033"/>
      <c r="AL959" s="1033"/>
      <c r="AM959" s="1033"/>
      <c r="AN959" s="1033"/>
      <c r="AO959" s="1033"/>
      <c r="AP959" s="1033"/>
      <c r="AQ959" s="1034"/>
      <c r="AR959" s="33"/>
      <c r="AS959" s="33"/>
      <c r="AT959" s="33"/>
      <c r="AU959" s="33"/>
      <c r="AV959" s="33"/>
      <c r="AW959" s="33"/>
      <c r="AX959" s="33"/>
      <c r="AY959" s="33"/>
      <c r="AZ959" s="33"/>
      <c r="BA959" s="33"/>
      <c r="BB959" s="33"/>
      <c r="BC959" s="33"/>
      <c r="BD959" s="33"/>
      <c r="BE959" s="33"/>
      <c r="BF959" s="33"/>
      <c r="BG959" s="33"/>
      <c r="BH959" s="33"/>
      <c r="BI959" s="33"/>
      <c r="BJ959" s="33"/>
      <c r="BK959" s="33"/>
      <c r="BL959" s="33"/>
      <c r="BM959" s="33"/>
      <c r="BN959" s="33"/>
      <c r="BO959" s="33"/>
      <c r="BP959" s="33"/>
      <c r="BQ959" s="33"/>
      <c r="BR959" s="33"/>
      <c r="BS959" s="33"/>
      <c r="BT959" s="33"/>
      <c r="BU959" s="33"/>
      <c r="BV959" s="33"/>
      <c r="BW959" s="33"/>
      <c r="BX959" s="33"/>
      <c r="BY959" s="33"/>
      <c r="BZ959" s="33"/>
      <c r="CA959" s="33"/>
      <c r="CB959" s="33"/>
      <c r="CC959" s="33"/>
      <c r="CD959" s="33"/>
      <c r="CE959" s="33"/>
      <c r="CF959" s="33"/>
      <c r="CG959" s="33"/>
      <c r="CH959" s="33"/>
      <c r="CI959" s="33"/>
      <c r="CJ959" s="33"/>
      <c r="CK959" s="33"/>
      <c r="CL959" s="33"/>
      <c r="CM959" s="33"/>
      <c r="CN959" s="33"/>
      <c r="CO959" s="33"/>
      <c r="CP959" s="33"/>
      <c r="CQ959" s="33"/>
      <c r="CR959" s="33"/>
      <c r="CS959" s="33"/>
    </row>
    <row r="960" spans="1:97" ht="12.95" customHeight="1">
      <c r="A960" s="18"/>
      <c r="B960" s="49"/>
      <c r="C960" s="421"/>
      <c r="D960" s="1041" t="s">
        <v>1679</v>
      </c>
      <c r="E960" s="1042"/>
      <c r="F960" s="1042"/>
      <c r="G960" s="1042"/>
      <c r="H960" s="1042"/>
      <c r="I960" s="1042"/>
      <c r="J960" s="1042"/>
      <c r="K960" s="1042"/>
      <c r="L960" s="1042"/>
      <c r="M960" s="1042"/>
      <c r="N960" s="1042"/>
      <c r="O960" s="1042"/>
      <c r="P960" s="1042"/>
      <c r="Q960" s="1042"/>
      <c r="R960" s="1042"/>
      <c r="S960" s="1042"/>
      <c r="T960" s="1042"/>
      <c r="U960" s="1042"/>
      <c r="V960" s="1042"/>
      <c r="W960" s="1042"/>
      <c r="X960" s="1042"/>
      <c r="Y960" s="1042"/>
      <c r="Z960" s="1042"/>
      <c r="AA960" s="1042"/>
      <c r="AB960" s="1042"/>
      <c r="AC960" s="1042"/>
      <c r="AD960" s="1042"/>
      <c r="AE960" s="1043"/>
      <c r="AF960" s="49"/>
      <c r="AG960" s="18"/>
      <c r="AH960" s="18"/>
      <c r="AI960" s="53"/>
      <c r="AJ960" s="1035"/>
      <c r="AK960" s="1036"/>
      <c r="AL960" s="1036"/>
      <c r="AM960" s="1036"/>
      <c r="AN960" s="1036"/>
      <c r="AO960" s="1036"/>
      <c r="AP960" s="1036"/>
      <c r="AQ960" s="1037"/>
      <c r="AR960" s="33"/>
      <c r="AS960" s="33"/>
      <c r="AT960" s="33"/>
      <c r="AU960" s="33"/>
      <c r="AV960" s="33"/>
      <c r="AW960" s="33"/>
      <c r="AX960" s="33"/>
      <c r="AY960" s="33"/>
      <c r="AZ960" s="33"/>
      <c r="BA960" s="33"/>
      <c r="BB960" s="33"/>
      <c r="BC960" s="33"/>
      <c r="BD960" s="33"/>
      <c r="BE960" s="33"/>
      <c r="BF960" s="33"/>
      <c r="BG960" s="33"/>
      <c r="BH960" s="33"/>
      <c r="BI960" s="33"/>
      <c r="BJ960" s="33"/>
      <c r="BK960" s="33"/>
      <c r="BL960" s="33"/>
      <c r="BM960" s="33"/>
      <c r="BN960" s="33"/>
      <c r="BO960" s="33"/>
      <c r="BP960" s="33"/>
      <c r="BQ960" s="33"/>
      <c r="BR960" s="33"/>
      <c r="BS960" s="33"/>
      <c r="BT960" s="33"/>
      <c r="BU960" s="33"/>
      <c r="BV960" s="33"/>
      <c r="BW960" s="33"/>
      <c r="BX960" s="33"/>
      <c r="BY960" s="33"/>
      <c r="BZ960" s="33"/>
      <c r="CA960" s="33"/>
      <c r="CB960" s="33"/>
      <c r="CC960" s="33"/>
      <c r="CD960" s="33"/>
      <c r="CE960" s="33"/>
      <c r="CF960" s="33"/>
      <c r="CG960" s="33"/>
      <c r="CH960" s="33"/>
      <c r="CI960" s="33"/>
      <c r="CJ960" s="33"/>
      <c r="CK960" s="33"/>
      <c r="CL960" s="33"/>
      <c r="CM960" s="33"/>
      <c r="CN960" s="33"/>
      <c r="CO960" s="33"/>
      <c r="CP960" s="33"/>
      <c r="CQ960" s="33"/>
      <c r="CR960" s="33"/>
      <c r="CS960" s="33"/>
    </row>
    <row r="961" spans="1:97" ht="12.95" customHeight="1">
      <c r="A961" s="18"/>
      <c r="B961" s="49"/>
      <c r="C961" s="421"/>
      <c r="D961" s="1041"/>
      <c r="E961" s="1042"/>
      <c r="F961" s="1042"/>
      <c r="G961" s="1042"/>
      <c r="H961" s="1042"/>
      <c r="I961" s="1042"/>
      <c r="J961" s="1042"/>
      <c r="K961" s="1042"/>
      <c r="L961" s="1042"/>
      <c r="M961" s="1042"/>
      <c r="N961" s="1042"/>
      <c r="O961" s="1042"/>
      <c r="P961" s="1042"/>
      <c r="Q961" s="1042"/>
      <c r="R961" s="1042"/>
      <c r="S961" s="1042"/>
      <c r="T961" s="1042"/>
      <c r="U961" s="1042"/>
      <c r="V961" s="1042"/>
      <c r="W961" s="1042"/>
      <c r="X961" s="1042"/>
      <c r="Y961" s="1042"/>
      <c r="Z961" s="1042"/>
      <c r="AA961" s="1042"/>
      <c r="AB961" s="1042"/>
      <c r="AC961" s="1042"/>
      <c r="AD961" s="1042"/>
      <c r="AE961" s="1043"/>
      <c r="AF961" s="49"/>
      <c r="AG961" s="18"/>
      <c r="AH961" s="18"/>
      <c r="AI961" s="53"/>
      <c r="AJ961" s="1035"/>
      <c r="AK961" s="1036"/>
      <c r="AL961" s="1036"/>
      <c r="AM961" s="1036"/>
      <c r="AN961" s="1036"/>
      <c r="AO961" s="1036"/>
      <c r="AP961" s="1036"/>
      <c r="AQ961" s="1037"/>
      <c r="AR961" s="33"/>
      <c r="AS961" s="33"/>
      <c r="AT961" s="33"/>
      <c r="AU961" s="33"/>
      <c r="AV961" s="33"/>
      <c r="AW961" s="33"/>
      <c r="AX961" s="33"/>
      <c r="AY961" s="33"/>
      <c r="AZ961" s="33"/>
      <c r="BA961" s="33"/>
      <c r="BB961" s="33"/>
      <c r="BC961" s="33"/>
      <c r="BD961" s="33"/>
      <c r="BE961" s="33"/>
      <c r="BF961" s="33"/>
      <c r="BG961" s="33"/>
      <c r="BH961" s="33"/>
      <c r="BI961" s="33"/>
      <c r="BJ961" s="33"/>
      <c r="BK961" s="33"/>
      <c r="BL961" s="33"/>
      <c r="BM961" s="33"/>
      <c r="BN961" s="33"/>
      <c r="BO961" s="33"/>
      <c r="BP961" s="33"/>
      <c r="BQ961" s="33"/>
      <c r="BR961" s="33"/>
      <c r="BS961" s="33"/>
      <c r="BT961" s="33"/>
      <c r="BU961" s="33"/>
      <c r="BV961" s="33"/>
      <c r="BW961" s="33"/>
      <c r="BX961" s="33"/>
      <c r="BY961" s="33"/>
      <c r="BZ961" s="33"/>
      <c r="CA961" s="33"/>
      <c r="CB961" s="33"/>
      <c r="CC961" s="33"/>
      <c r="CD961" s="33"/>
      <c r="CE961" s="33"/>
      <c r="CF961" s="33"/>
      <c r="CG961" s="33"/>
      <c r="CH961" s="33"/>
      <c r="CI961" s="33"/>
      <c r="CJ961" s="33"/>
      <c r="CK961" s="33"/>
      <c r="CL961" s="33"/>
      <c r="CM961" s="33"/>
      <c r="CN961" s="33"/>
      <c r="CO961" s="33"/>
      <c r="CP961" s="33"/>
      <c r="CQ961" s="33"/>
      <c r="CR961" s="33"/>
      <c r="CS961" s="33"/>
    </row>
    <row r="962" spans="1:97" ht="12.95" customHeight="1">
      <c r="A962" s="18"/>
      <c r="B962" s="675"/>
      <c r="C962" s="671"/>
      <c r="D962" s="1044"/>
      <c r="E962" s="1045"/>
      <c r="F962" s="1045"/>
      <c r="G962" s="1045"/>
      <c r="H962" s="1045"/>
      <c r="I962" s="1045"/>
      <c r="J962" s="1045"/>
      <c r="K962" s="1045"/>
      <c r="L962" s="1045"/>
      <c r="M962" s="1045"/>
      <c r="N962" s="1045"/>
      <c r="O962" s="1045"/>
      <c r="P962" s="1045"/>
      <c r="Q962" s="1045"/>
      <c r="R962" s="1045"/>
      <c r="S962" s="1045"/>
      <c r="T962" s="1045"/>
      <c r="U962" s="1045"/>
      <c r="V962" s="1045"/>
      <c r="W962" s="1045"/>
      <c r="X962" s="1045"/>
      <c r="Y962" s="1045"/>
      <c r="Z962" s="1045"/>
      <c r="AA962" s="1045"/>
      <c r="AB962" s="1045"/>
      <c r="AC962" s="1045"/>
      <c r="AD962" s="1045"/>
      <c r="AE962" s="1046"/>
      <c r="AF962" s="50"/>
      <c r="AG962" s="10"/>
      <c r="AH962" s="10"/>
      <c r="AI962" s="51"/>
      <c r="AJ962" s="1038"/>
      <c r="AK962" s="1039"/>
      <c r="AL962" s="1039"/>
      <c r="AM962" s="1039"/>
      <c r="AN962" s="1039"/>
      <c r="AO962" s="1039"/>
      <c r="AP962" s="1039"/>
      <c r="AQ962" s="1040"/>
      <c r="AR962" s="33"/>
      <c r="AS962" s="33"/>
      <c r="AT962" s="33"/>
      <c r="AU962" s="33"/>
      <c r="AV962" s="33"/>
      <c r="AW962" s="33"/>
      <c r="AX962" s="33"/>
      <c r="AY962" s="33"/>
      <c r="AZ962" s="33"/>
      <c r="BA962" s="33"/>
      <c r="BB962" s="33"/>
      <c r="BC962" s="33"/>
      <c r="BD962" s="33"/>
      <c r="BE962" s="33"/>
      <c r="BF962" s="33"/>
      <c r="BG962" s="33"/>
      <c r="BH962" s="33"/>
      <c r="BI962" s="33"/>
      <c r="BJ962" s="33"/>
      <c r="BK962" s="33"/>
      <c r="BL962" s="33"/>
      <c r="BM962" s="33"/>
      <c r="BN962" s="33"/>
      <c r="BO962" s="33"/>
      <c r="BP962" s="33"/>
      <c r="BQ962" s="33"/>
      <c r="BR962" s="33"/>
      <c r="BS962" s="33"/>
      <c r="BT962" s="33"/>
      <c r="BU962" s="33"/>
      <c r="BV962" s="33"/>
      <c r="BW962" s="33"/>
      <c r="BX962" s="33"/>
      <c r="BY962" s="33"/>
      <c r="BZ962" s="33"/>
      <c r="CA962" s="33"/>
      <c r="CB962" s="33"/>
      <c r="CC962" s="33"/>
      <c r="CD962" s="33"/>
      <c r="CE962" s="33"/>
      <c r="CF962" s="33"/>
      <c r="CG962" s="33"/>
      <c r="CH962" s="33"/>
      <c r="CI962" s="33"/>
      <c r="CJ962" s="33"/>
      <c r="CK962" s="33"/>
      <c r="CL962" s="33"/>
      <c r="CM962" s="33"/>
      <c r="CN962" s="33"/>
      <c r="CO962" s="33"/>
      <c r="CP962" s="33"/>
      <c r="CQ962" s="33"/>
      <c r="CR962" s="33"/>
      <c r="CS962" s="33"/>
    </row>
    <row r="963" spans="1:97" ht="12.95" customHeight="1">
      <c r="A963" s="18"/>
      <c r="B963" s="52"/>
      <c r="C963" s="420" t="s">
        <v>1680</v>
      </c>
      <c r="D963" s="1066" t="s">
        <v>1681</v>
      </c>
      <c r="E963" s="1067"/>
      <c r="F963" s="1067"/>
      <c r="G963" s="1067"/>
      <c r="H963" s="1067"/>
      <c r="I963" s="1067"/>
      <c r="J963" s="1067"/>
      <c r="K963" s="1067"/>
      <c r="L963" s="1067"/>
      <c r="M963" s="1067"/>
      <c r="N963" s="1067"/>
      <c r="O963" s="1067"/>
      <c r="P963" s="1067"/>
      <c r="Q963" s="1067"/>
      <c r="R963" s="1067"/>
      <c r="S963" s="1067"/>
      <c r="T963" s="1067"/>
      <c r="U963" s="1067"/>
      <c r="V963" s="1067"/>
      <c r="W963" s="1067"/>
      <c r="X963" s="1067"/>
      <c r="Y963" s="1067"/>
      <c r="Z963" s="1067"/>
      <c r="AA963" s="1067"/>
      <c r="AB963" s="1067"/>
      <c r="AC963" s="1067"/>
      <c r="AD963" s="1067"/>
      <c r="AE963" s="1068"/>
      <c r="AF963" s="52"/>
      <c r="AG963" s="1013" t="s">
        <v>821</v>
      </c>
      <c r="AH963" s="1014"/>
      <c r="AI963" s="55"/>
      <c r="AJ963" s="1032">
        <f>ROUND(IF(AND(AG963="Yes",J967&lt;&gt;"",J967&lt;&gt;"N/A"),MIN(AF966,(0.15*AJ939)),0),0)</f>
        <v>0</v>
      </c>
      <c r="AK963" s="1033"/>
      <c r="AL963" s="1033"/>
      <c r="AM963" s="1033"/>
      <c r="AN963" s="1033"/>
      <c r="AO963" s="1033"/>
      <c r="AP963" s="1033"/>
      <c r="AQ963" s="1034"/>
      <c r="AR963" s="33"/>
      <c r="AS963" s="33"/>
      <c r="AT963" s="33"/>
      <c r="AU963" s="33"/>
      <c r="AV963" s="33"/>
      <c r="AW963" s="33"/>
      <c r="AX963" s="33"/>
      <c r="AY963" s="33"/>
      <c r="AZ963" s="33"/>
      <c r="BA963" s="33"/>
      <c r="BB963" s="33"/>
      <c r="BC963" s="33"/>
      <c r="BD963" s="33"/>
      <c r="BE963" s="33"/>
      <c r="BF963" s="33"/>
      <c r="BG963" s="33"/>
      <c r="BH963" s="33"/>
      <c r="BI963" s="33"/>
      <c r="BJ963" s="33"/>
      <c r="BK963" s="33"/>
      <c r="BL963" s="33"/>
      <c r="BM963" s="33"/>
      <c r="BN963" s="33"/>
      <c r="BO963" s="33"/>
      <c r="BP963" s="33"/>
      <c r="BQ963" s="33"/>
      <c r="BR963" s="33"/>
      <c r="BS963" s="33"/>
      <c r="BT963" s="33"/>
      <c r="BU963" s="33"/>
      <c r="BV963" s="33"/>
      <c r="BW963" s="33"/>
      <c r="BX963" s="33"/>
      <c r="BY963" s="33"/>
      <c r="BZ963" s="33"/>
      <c r="CA963" s="33"/>
      <c r="CB963" s="33"/>
      <c r="CC963" s="33"/>
      <c r="CD963" s="33"/>
      <c r="CE963" s="33"/>
      <c r="CF963" s="33"/>
      <c r="CG963" s="33"/>
      <c r="CH963" s="33"/>
      <c r="CI963" s="33"/>
      <c r="CJ963" s="33"/>
      <c r="CK963" s="33"/>
      <c r="CL963" s="33"/>
      <c r="CM963" s="33"/>
      <c r="CN963" s="33"/>
      <c r="CO963" s="33"/>
      <c r="CP963" s="33"/>
      <c r="CQ963" s="33"/>
      <c r="CR963" s="33"/>
      <c r="CS963" s="33"/>
    </row>
    <row r="964" spans="1:97" ht="12.95" customHeight="1">
      <c r="A964" s="18"/>
      <c r="B964" s="675"/>
      <c r="C964" s="676"/>
      <c r="D964" s="1069"/>
      <c r="E964" s="1070"/>
      <c r="F964" s="1070"/>
      <c r="G964" s="1070"/>
      <c r="H964" s="1070"/>
      <c r="I964" s="1070"/>
      <c r="J964" s="1070"/>
      <c r="K964" s="1070"/>
      <c r="L964" s="1070"/>
      <c r="M964" s="1070"/>
      <c r="N964" s="1070"/>
      <c r="O964" s="1070"/>
      <c r="P964" s="1070"/>
      <c r="Q964" s="1070"/>
      <c r="R964" s="1070"/>
      <c r="S964" s="1070"/>
      <c r="T964" s="1070"/>
      <c r="U964" s="1070"/>
      <c r="V964" s="1070"/>
      <c r="W964" s="1070"/>
      <c r="X964" s="1070"/>
      <c r="Y964" s="1070"/>
      <c r="Z964" s="1070"/>
      <c r="AA964" s="1070"/>
      <c r="AB964" s="1070"/>
      <c r="AC964" s="1070"/>
      <c r="AD964" s="1070"/>
      <c r="AE964" s="1071"/>
      <c r="AF964" s="1433" t="str">
        <f>IF(AG963="yes","Please Select Type and Enter Amount:","")</f>
        <v/>
      </c>
      <c r="AG964" s="1434"/>
      <c r="AH964" s="1434"/>
      <c r="AI964" s="1435"/>
      <c r="AJ964" s="1035"/>
      <c r="AK964" s="1036"/>
      <c r="AL964" s="1036"/>
      <c r="AM964" s="1036"/>
      <c r="AN964" s="1036"/>
      <c r="AO964" s="1036"/>
      <c r="AP964" s="1036"/>
      <c r="AQ964" s="1037"/>
      <c r="AR964" s="33"/>
      <c r="AS964" s="33"/>
      <c r="AT964" s="33"/>
      <c r="AU964" s="33"/>
      <c r="AV964" s="33"/>
      <c r="AW964" s="33"/>
      <c r="AX964" s="33"/>
      <c r="AY964" s="33"/>
      <c r="AZ964" s="33"/>
      <c r="BA964" s="33"/>
      <c r="BB964" s="33"/>
      <c r="BC964" s="33"/>
      <c r="BD964" s="33"/>
      <c r="BE964" s="33"/>
      <c r="BF964" s="33"/>
      <c r="BG964" s="33"/>
      <c r="BH964" s="33"/>
      <c r="BI964" s="33"/>
      <c r="BJ964" s="33"/>
      <c r="BK964" s="33"/>
      <c r="BL964" s="33"/>
      <c r="BM964" s="33"/>
      <c r="BN964" s="33"/>
      <c r="BO964" s="33"/>
      <c r="BP964" s="33"/>
      <c r="BQ964" s="33"/>
      <c r="BR964" s="33"/>
      <c r="BS964" s="33"/>
      <c r="BT964" s="33"/>
      <c r="BU964" s="33"/>
      <c r="BV964" s="33"/>
      <c r="BW964" s="33"/>
      <c r="BX964" s="33"/>
      <c r="BY964" s="33"/>
      <c r="BZ964" s="33"/>
      <c r="CA964" s="33"/>
      <c r="CB964" s="33"/>
      <c r="CC964" s="33"/>
      <c r="CD964" s="33"/>
      <c r="CE964" s="33"/>
      <c r="CF964" s="33"/>
      <c r="CG964" s="33"/>
      <c r="CH964" s="33"/>
      <c r="CI964" s="33"/>
      <c r="CJ964" s="33"/>
      <c r="CK964" s="33"/>
      <c r="CL964" s="33"/>
      <c r="CM964" s="33"/>
      <c r="CN964" s="33"/>
      <c r="CO964" s="33"/>
      <c r="CP964" s="33"/>
      <c r="CQ964" s="33"/>
      <c r="CR964" s="33"/>
      <c r="CS964" s="33"/>
    </row>
    <row r="965" spans="1:97" ht="12.95" customHeight="1">
      <c r="A965" s="18"/>
      <c r="B965" s="675"/>
      <c r="C965" s="676"/>
      <c r="D965" s="1041" t="s">
        <v>1682</v>
      </c>
      <c r="E965" s="1042"/>
      <c r="F965" s="1042"/>
      <c r="G965" s="1042"/>
      <c r="H965" s="1042"/>
      <c r="I965" s="1042"/>
      <c r="J965" s="1042"/>
      <c r="K965" s="1042"/>
      <c r="L965" s="1042"/>
      <c r="M965" s="1042"/>
      <c r="N965" s="1042"/>
      <c r="O965" s="1042"/>
      <c r="P965" s="1042"/>
      <c r="Q965" s="1042"/>
      <c r="R965" s="1042"/>
      <c r="S965" s="1042"/>
      <c r="T965" s="1042"/>
      <c r="U965" s="1042"/>
      <c r="V965" s="1042"/>
      <c r="W965" s="1042"/>
      <c r="X965" s="1042"/>
      <c r="Y965" s="1042"/>
      <c r="Z965" s="1042"/>
      <c r="AA965" s="1042"/>
      <c r="AB965" s="1042"/>
      <c r="AC965" s="1042"/>
      <c r="AD965" s="1042"/>
      <c r="AE965" s="1043"/>
      <c r="AF965" s="1433"/>
      <c r="AG965" s="1434"/>
      <c r="AH965" s="1434"/>
      <c r="AI965" s="1435"/>
      <c r="AJ965" s="1035"/>
      <c r="AK965" s="1036"/>
      <c r="AL965" s="1036"/>
      <c r="AM965" s="1036"/>
      <c r="AN965" s="1036"/>
      <c r="AO965" s="1036"/>
      <c r="AP965" s="1036"/>
      <c r="AQ965" s="1037"/>
      <c r="AR965" s="33"/>
      <c r="AS965" s="33"/>
      <c r="AT965" s="33"/>
      <c r="AU965" s="33"/>
      <c r="AV965" s="33"/>
      <c r="AW965" s="33"/>
      <c r="AX965" s="33"/>
      <c r="AY965" s="33"/>
      <c r="AZ965" s="33"/>
      <c r="BA965" s="33"/>
      <c r="BB965" s="33"/>
      <c r="BC965" s="33"/>
      <c r="BD965" s="33"/>
      <c r="BE965" s="33"/>
      <c r="BF965" s="33"/>
      <c r="BG965" s="33"/>
      <c r="BH965" s="33"/>
      <c r="BI965" s="33"/>
      <c r="BJ965" s="33"/>
      <c r="BK965" s="33"/>
      <c r="BL965" s="33"/>
      <c r="BM965" s="33"/>
      <c r="BN965" s="33"/>
      <c r="BO965" s="33"/>
      <c r="BP965" s="33"/>
      <c r="BQ965" s="33"/>
      <c r="BR965" s="33"/>
      <c r="BS965" s="33"/>
      <c r="BT965" s="33"/>
      <c r="BU965" s="33"/>
      <c r="BV965" s="33"/>
      <c r="BW965" s="33"/>
      <c r="BX965" s="33"/>
      <c r="BY965" s="33"/>
      <c r="BZ965" s="33"/>
      <c r="CA965" s="33"/>
      <c r="CB965" s="33"/>
      <c r="CC965" s="33"/>
      <c r="CD965" s="33"/>
      <c r="CE965" s="33"/>
      <c r="CF965" s="33"/>
      <c r="CG965" s="33"/>
      <c r="CH965" s="33"/>
      <c r="CI965" s="33"/>
      <c r="CJ965" s="33"/>
      <c r="CK965" s="33"/>
      <c r="CL965" s="33"/>
      <c r="CM965" s="33"/>
      <c r="CN965" s="33"/>
      <c r="CO965" s="33"/>
      <c r="CP965" s="33"/>
      <c r="CQ965" s="33"/>
      <c r="CR965" s="33"/>
      <c r="CS965" s="33"/>
    </row>
    <row r="966" spans="1:97" ht="12.95" customHeight="1">
      <c r="A966" s="18"/>
      <c r="B966" s="675"/>
      <c r="C966" s="676"/>
      <c r="D966" s="1041"/>
      <c r="E966" s="1042"/>
      <c r="F966" s="1042"/>
      <c r="G966" s="1042"/>
      <c r="H966" s="1042"/>
      <c r="I966" s="1042"/>
      <c r="J966" s="1042"/>
      <c r="K966" s="1042"/>
      <c r="L966" s="1042"/>
      <c r="M966" s="1042"/>
      <c r="N966" s="1042"/>
      <c r="O966" s="1042"/>
      <c r="P966" s="1042"/>
      <c r="Q966" s="1042"/>
      <c r="R966" s="1042"/>
      <c r="S966" s="1042"/>
      <c r="T966" s="1042"/>
      <c r="U966" s="1042"/>
      <c r="V966" s="1042"/>
      <c r="W966" s="1042"/>
      <c r="X966" s="1042"/>
      <c r="Y966" s="1042"/>
      <c r="Z966" s="1042"/>
      <c r="AA966" s="1042"/>
      <c r="AB966" s="1042"/>
      <c r="AC966" s="1042"/>
      <c r="AD966" s="1042"/>
      <c r="AE966" s="1043"/>
      <c r="AF966" s="1436"/>
      <c r="AG966" s="1436"/>
      <c r="AH966" s="1436"/>
      <c r="AI966" s="1436"/>
      <c r="AJ966" s="1035"/>
      <c r="AK966" s="1036"/>
      <c r="AL966" s="1036"/>
      <c r="AM966" s="1036"/>
      <c r="AN966" s="1036"/>
      <c r="AO966" s="1036"/>
      <c r="AP966" s="1036"/>
      <c r="AQ966" s="1037"/>
      <c r="AR966" s="33"/>
      <c r="AS966" s="33"/>
      <c r="AT966" s="33"/>
      <c r="AU966" s="33"/>
      <c r="AV966" s="33"/>
      <c r="AW966" s="33"/>
      <c r="AX966" s="33"/>
      <c r="AY966" s="33"/>
      <c r="AZ966" s="33"/>
      <c r="BA966" s="33"/>
      <c r="BB966" s="33"/>
      <c r="BC966" s="33"/>
      <c r="BD966" s="33"/>
      <c r="BE966" s="33"/>
      <c r="BF966" s="33"/>
      <c r="BG966" s="33"/>
      <c r="BH966" s="33"/>
      <c r="BI966" s="33"/>
      <c r="BJ966" s="33"/>
      <c r="BK966" s="33"/>
      <c r="BL966" s="33"/>
      <c r="BM966" s="33"/>
      <c r="BN966" s="33"/>
      <c r="BO966" s="33"/>
      <c r="BP966" s="33"/>
      <c r="BQ966" s="33"/>
      <c r="BR966" s="33"/>
      <c r="BS966" s="33"/>
      <c r="BT966" s="33"/>
      <c r="BU966" s="33"/>
      <c r="BV966" s="33"/>
      <c r="BW966" s="33"/>
      <c r="BX966" s="33"/>
      <c r="BY966" s="33"/>
      <c r="BZ966" s="33"/>
      <c r="CA966" s="33"/>
      <c r="CB966" s="33"/>
      <c r="CC966" s="33"/>
      <c r="CD966" s="33"/>
      <c r="CE966" s="33"/>
      <c r="CF966" s="33"/>
      <c r="CG966" s="33"/>
      <c r="CH966" s="33"/>
      <c r="CI966" s="33"/>
      <c r="CJ966" s="33"/>
      <c r="CK966" s="33"/>
      <c r="CL966" s="33"/>
      <c r="CM966" s="33"/>
      <c r="CN966" s="33"/>
      <c r="CO966" s="33"/>
      <c r="CP966" s="33"/>
      <c r="CQ966" s="33"/>
      <c r="CR966" s="33"/>
      <c r="CS966" s="33"/>
    </row>
    <row r="967" spans="1:97" ht="12.95" customHeight="1">
      <c r="A967" s="18"/>
      <c r="B967" s="675"/>
      <c r="C967" s="676"/>
      <c r="D967" s="677" t="s">
        <v>1683</v>
      </c>
      <c r="E967" s="57"/>
      <c r="F967" s="57"/>
      <c r="G967" s="301"/>
      <c r="H967" s="301"/>
      <c r="I967" s="40"/>
      <c r="J967" s="1072" t="s">
        <v>325</v>
      </c>
      <c r="K967" s="1073"/>
      <c r="L967" s="1073"/>
      <c r="M967" s="1073"/>
      <c r="N967" s="1073"/>
      <c r="O967" s="1073"/>
      <c r="P967" s="1073"/>
      <c r="Q967" s="1073"/>
      <c r="R967" s="1073"/>
      <c r="S967" s="1073"/>
      <c r="T967" s="1073"/>
      <c r="U967" s="1073"/>
      <c r="V967" s="1073"/>
      <c r="W967" s="1073"/>
      <c r="X967" s="1073"/>
      <c r="Y967" s="1073"/>
      <c r="Z967" s="1073"/>
      <c r="AA967" s="1073"/>
      <c r="AB967" s="1073"/>
      <c r="AC967" s="1073"/>
      <c r="AD967" s="1073"/>
      <c r="AE967" s="1074"/>
      <c r="AF967" s="1436"/>
      <c r="AG967" s="1436"/>
      <c r="AH967" s="1436"/>
      <c r="AI967" s="1436"/>
      <c r="AJ967" s="1038"/>
      <c r="AK967" s="1039"/>
      <c r="AL967" s="1039"/>
      <c r="AM967" s="1039"/>
      <c r="AN967" s="1039"/>
      <c r="AO967" s="1039"/>
      <c r="AP967" s="1039"/>
      <c r="AQ967" s="1040"/>
      <c r="AR967" s="33"/>
      <c r="AS967" s="33"/>
      <c r="AT967" s="33"/>
      <c r="AU967" s="33"/>
      <c r="AV967" s="33"/>
      <c r="AW967" s="33"/>
      <c r="AX967" s="33"/>
      <c r="AY967" s="33"/>
      <c r="AZ967" s="33"/>
      <c r="BA967" s="33"/>
      <c r="BB967" s="33"/>
      <c r="BC967" s="33"/>
      <c r="BD967" s="33"/>
      <c r="BE967" s="33"/>
      <c r="BF967" s="33"/>
      <c r="BG967" s="33"/>
      <c r="BH967" s="33"/>
      <c r="BI967" s="33"/>
      <c r="BJ967" s="33"/>
      <c r="BK967" s="33"/>
      <c r="BL967" s="33"/>
      <c r="BM967" s="33"/>
      <c r="BN967" s="33"/>
      <c r="BO967" s="33"/>
      <c r="BP967" s="33"/>
      <c r="BQ967" s="33"/>
      <c r="BR967" s="33"/>
      <c r="BS967" s="33"/>
      <c r="BT967" s="33"/>
      <c r="BU967" s="33"/>
      <c r="BV967" s="33"/>
      <c r="BW967" s="33"/>
      <c r="BX967" s="33"/>
      <c r="BY967" s="33"/>
      <c r="BZ967" s="33"/>
      <c r="CA967" s="33"/>
      <c r="CB967" s="33"/>
      <c r="CC967" s="33"/>
      <c r="CD967" s="33"/>
      <c r="CE967" s="33"/>
      <c r="CF967" s="33"/>
      <c r="CG967" s="33"/>
      <c r="CH967" s="33"/>
      <c r="CI967" s="33"/>
      <c r="CJ967" s="33"/>
      <c r="CK967" s="33"/>
      <c r="CL967" s="33"/>
      <c r="CM967" s="33"/>
      <c r="CN967" s="33"/>
      <c r="CO967" s="33"/>
      <c r="CP967" s="33"/>
      <c r="CQ967" s="33"/>
      <c r="CR967" s="33"/>
      <c r="CS967" s="33"/>
    </row>
    <row r="968" spans="1:97" ht="12.95" customHeight="1">
      <c r="A968" s="18"/>
      <c r="B968" s="52"/>
      <c r="C968" s="420" t="s">
        <v>1684</v>
      </c>
      <c r="D968" s="1029" t="s">
        <v>1685</v>
      </c>
      <c r="E968" s="1030"/>
      <c r="F968" s="1030"/>
      <c r="G968" s="1030"/>
      <c r="H968" s="1030"/>
      <c r="I968" s="1030"/>
      <c r="J968" s="1030"/>
      <c r="K968" s="1030"/>
      <c r="L968" s="1030"/>
      <c r="M968" s="1030"/>
      <c r="N968" s="1030"/>
      <c r="O968" s="1030"/>
      <c r="P968" s="1030"/>
      <c r="Q968" s="1030"/>
      <c r="R968" s="1030"/>
      <c r="S968" s="1030"/>
      <c r="T968" s="1030"/>
      <c r="U968" s="1030"/>
      <c r="V968" s="1030"/>
      <c r="W968" s="1030"/>
      <c r="X968" s="1030"/>
      <c r="Y968" s="1030"/>
      <c r="Z968" s="1030"/>
      <c r="AA968" s="1030"/>
      <c r="AB968" s="1030"/>
      <c r="AC968" s="1030"/>
      <c r="AD968" s="1030"/>
      <c r="AE968" s="1031"/>
      <c r="AF968" s="52"/>
      <c r="AG968" s="1013" t="s">
        <v>712</v>
      </c>
      <c r="AH968" s="1014"/>
      <c r="AI968" s="55"/>
      <c r="AJ968" s="1032">
        <f>ROUND(IF(AG968="Yes",AF970,0),0)</f>
        <v>1164320</v>
      </c>
      <c r="AK968" s="1033"/>
      <c r="AL968" s="1033"/>
      <c r="AM968" s="1033"/>
      <c r="AN968" s="1033"/>
      <c r="AO968" s="1033"/>
      <c r="AP968" s="1033"/>
      <c r="AQ968" s="1034"/>
      <c r="AR968" s="33"/>
      <c r="AS968" s="33"/>
      <c r="AT968" s="33"/>
      <c r="AU968" s="33"/>
      <c r="AV968" s="33"/>
      <c r="AW968" s="33"/>
      <c r="AX968" s="33"/>
      <c r="AY968" s="33"/>
      <c r="AZ968" s="33"/>
      <c r="BA968" s="33"/>
      <c r="BB968" s="33"/>
      <c r="BC968" s="33"/>
      <c r="BD968" s="33"/>
      <c r="BE968" s="33"/>
      <c r="BF968" s="33"/>
      <c r="BG968" s="33"/>
      <c r="BH968" s="33"/>
      <c r="BI968" s="33"/>
      <c r="BJ968" s="33"/>
      <c r="BK968" s="33"/>
      <c r="BL968" s="33"/>
      <c r="BM968" s="33"/>
      <c r="BN968" s="33"/>
      <c r="BO968" s="33"/>
      <c r="BP968" s="33"/>
      <c r="BQ968" s="33"/>
      <c r="BR968" s="33"/>
      <c r="BS968" s="33"/>
      <c r="BT968" s="33"/>
      <c r="BU968" s="33"/>
      <c r="BV968" s="33"/>
      <c r="BW968" s="33"/>
      <c r="BX968" s="33"/>
      <c r="BY968" s="33"/>
      <c r="BZ968" s="33"/>
      <c r="CA968" s="33"/>
      <c r="CB968" s="33"/>
      <c r="CC968" s="33"/>
      <c r="CD968" s="33"/>
      <c r="CE968" s="33"/>
      <c r="CF968" s="33"/>
      <c r="CG968" s="33"/>
      <c r="CH968" s="33"/>
      <c r="CI968" s="33"/>
      <c r="CJ968" s="33"/>
      <c r="CK968" s="33"/>
      <c r="CL968" s="33"/>
      <c r="CM968" s="33"/>
      <c r="CN968" s="33"/>
      <c r="CO968" s="33"/>
      <c r="CP968" s="33"/>
      <c r="CQ968" s="33"/>
      <c r="CR968" s="33"/>
      <c r="CS968" s="33"/>
    </row>
    <row r="969" spans="1:97" ht="12.95" customHeight="1">
      <c r="A969" s="18"/>
      <c r="B969" s="49"/>
      <c r="C969" s="421"/>
      <c r="D969" s="1041" t="s">
        <v>1686</v>
      </c>
      <c r="E969" s="1042"/>
      <c r="F969" s="1042"/>
      <c r="G969" s="1042"/>
      <c r="H969" s="1042"/>
      <c r="I969" s="1042"/>
      <c r="J969" s="1042"/>
      <c r="K969" s="1042"/>
      <c r="L969" s="1042"/>
      <c r="M969" s="1042"/>
      <c r="N969" s="1042"/>
      <c r="O969" s="1042"/>
      <c r="P969" s="1042"/>
      <c r="Q969" s="1042"/>
      <c r="R969" s="1042"/>
      <c r="S969" s="1042"/>
      <c r="T969" s="1042"/>
      <c r="U969" s="1042"/>
      <c r="V969" s="1042"/>
      <c r="W969" s="1042"/>
      <c r="X969" s="1042"/>
      <c r="Y969" s="1042"/>
      <c r="Z969" s="1042"/>
      <c r="AA969" s="1042"/>
      <c r="AB969" s="1042"/>
      <c r="AC969" s="1042"/>
      <c r="AD969" s="1042"/>
      <c r="AE969" s="1043"/>
      <c r="AF969" s="1437" t="str">
        <f>IF(AG968="yes","Please Enter Amount:","")</f>
        <v>Please Enter Amount:</v>
      </c>
      <c r="AG969" s="1438"/>
      <c r="AH969" s="1438"/>
      <c r="AI969" s="1439"/>
      <c r="AJ969" s="1035"/>
      <c r="AK969" s="1036"/>
      <c r="AL969" s="1036"/>
      <c r="AM969" s="1036"/>
      <c r="AN969" s="1036"/>
      <c r="AO969" s="1036"/>
      <c r="AP969" s="1036"/>
      <c r="AQ969" s="1037"/>
      <c r="AR969" s="33"/>
      <c r="AS969" s="33"/>
      <c r="AT969" s="33"/>
      <c r="AU969" s="33"/>
      <c r="AV969" s="33"/>
      <c r="AW969" s="33"/>
      <c r="AX969" s="33"/>
      <c r="AY969" s="33"/>
      <c r="AZ969" s="33"/>
      <c r="BA969" s="33"/>
      <c r="BB969" s="33"/>
      <c r="BC969" s="33"/>
      <c r="BD969" s="33"/>
      <c r="BE969" s="33"/>
      <c r="BF969" s="33"/>
      <c r="BG969" s="33"/>
      <c r="BH969" s="33"/>
      <c r="BI969" s="33"/>
      <c r="BJ969" s="33"/>
      <c r="BK969" s="33"/>
      <c r="BL969" s="33"/>
      <c r="BM969" s="33"/>
      <c r="BN969" s="33"/>
      <c r="BO969" s="33"/>
      <c r="BP969" s="33"/>
      <c r="BQ969" s="33"/>
      <c r="BR969" s="33"/>
      <c r="BS969" s="33"/>
      <c r="BT969" s="33"/>
      <c r="BU969" s="33"/>
      <c r="BV969" s="33"/>
      <c r="BW969" s="33"/>
      <c r="BX969" s="33"/>
      <c r="BY969" s="33"/>
      <c r="BZ969" s="33"/>
      <c r="CA969" s="33"/>
      <c r="CB969" s="33"/>
      <c r="CC969" s="33"/>
      <c r="CD969" s="33"/>
      <c r="CE969" s="33"/>
      <c r="CF969" s="33"/>
      <c r="CG969" s="33"/>
      <c r="CH969" s="33"/>
      <c r="CI969" s="33"/>
      <c r="CJ969" s="33"/>
      <c r="CK969" s="33"/>
      <c r="CL969" s="33"/>
      <c r="CM969" s="33"/>
      <c r="CN969" s="33"/>
      <c r="CO969" s="33"/>
      <c r="CP969" s="33"/>
      <c r="CQ969" s="33"/>
      <c r="CR969" s="33"/>
      <c r="CS969" s="33"/>
    </row>
    <row r="970" spans="1:97" ht="12.95" customHeight="1">
      <c r="A970" s="18"/>
      <c r="B970" s="49"/>
      <c r="C970" s="421"/>
      <c r="D970" s="1041"/>
      <c r="E970" s="1042"/>
      <c r="F970" s="1042"/>
      <c r="G970" s="1042"/>
      <c r="H970" s="1042"/>
      <c r="I970" s="1042"/>
      <c r="J970" s="1042"/>
      <c r="K970" s="1042"/>
      <c r="L970" s="1042"/>
      <c r="M970" s="1042"/>
      <c r="N970" s="1042"/>
      <c r="O970" s="1042"/>
      <c r="P970" s="1042"/>
      <c r="Q970" s="1042"/>
      <c r="R970" s="1042"/>
      <c r="S970" s="1042"/>
      <c r="T970" s="1042"/>
      <c r="U970" s="1042"/>
      <c r="V970" s="1042"/>
      <c r="W970" s="1042"/>
      <c r="X970" s="1042"/>
      <c r="Y970" s="1042"/>
      <c r="Z970" s="1042"/>
      <c r="AA970" s="1042"/>
      <c r="AB970" s="1042"/>
      <c r="AC970" s="1042"/>
      <c r="AD970" s="1042"/>
      <c r="AE970" s="1043"/>
      <c r="AF970" s="1436">
        <f>'Sources and Uses Budget'!B84</f>
        <v>1164320</v>
      </c>
      <c r="AG970" s="1436"/>
      <c r="AH970" s="1436"/>
      <c r="AI970" s="1436"/>
      <c r="AJ970" s="1035"/>
      <c r="AK970" s="1036"/>
      <c r="AL970" s="1036"/>
      <c r="AM970" s="1036"/>
      <c r="AN970" s="1036"/>
      <c r="AO970" s="1036"/>
      <c r="AP970" s="1036"/>
      <c r="AQ970" s="1037"/>
      <c r="AR970" s="33"/>
      <c r="AS970" s="33"/>
      <c r="AT970" s="33"/>
      <c r="AU970" s="33"/>
      <c r="AV970" s="33"/>
      <c r="AW970" s="33"/>
      <c r="AX970" s="33"/>
      <c r="AY970" s="33"/>
      <c r="AZ970" s="33"/>
      <c r="BA970" s="33"/>
      <c r="BB970" s="33"/>
      <c r="BC970" s="33"/>
      <c r="BD970" s="33"/>
      <c r="BE970" s="33"/>
      <c r="BF970" s="33"/>
      <c r="BG970" s="33"/>
      <c r="BH970" s="33"/>
      <c r="BI970" s="33"/>
      <c r="BJ970" s="33"/>
      <c r="BK970" s="33"/>
      <c r="BL970" s="33"/>
      <c r="BM970" s="33"/>
      <c r="BN970" s="33"/>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c r="CM970" s="33"/>
      <c r="CN970" s="33"/>
      <c r="CO970" s="33"/>
      <c r="CP970" s="33"/>
      <c r="CQ970" s="33"/>
      <c r="CR970" s="33"/>
      <c r="CS970" s="33"/>
    </row>
    <row r="971" spans="1:97" ht="12.95" customHeight="1">
      <c r="A971" s="18"/>
      <c r="B971" s="674"/>
      <c r="C971" s="676"/>
      <c r="D971" s="1044"/>
      <c r="E971" s="1045"/>
      <c r="F971" s="1045"/>
      <c r="G971" s="1045"/>
      <c r="H971" s="1045"/>
      <c r="I971" s="1045"/>
      <c r="J971" s="1045"/>
      <c r="K971" s="1045"/>
      <c r="L971" s="1045"/>
      <c r="M971" s="1045"/>
      <c r="N971" s="1045"/>
      <c r="O971" s="1045"/>
      <c r="P971" s="1045"/>
      <c r="Q971" s="1045"/>
      <c r="R971" s="1045"/>
      <c r="S971" s="1045"/>
      <c r="T971" s="1045"/>
      <c r="U971" s="1045"/>
      <c r="V971" s="1045"/>
      <c r="W971" s="1045"/>
      <c r="X971" s="1045"/>
      <c r="Y971" s="1045"/>
      <c r="Z971" s="1045"/>
      <c r="AA971" s="1045"/>
      <c r="AB971" s="1045"/>
      <c r="AC971" s="1045"/>
      <c r="AD971" s="1045"/>
      <c r="AE971" s="1046"/>
      <c r="AF971" s="1436"/>
      <c r="AG971" s="1436"/>
      <c r="AH971" s="1436"/>
      <c r="AI971" s="1436"/>
      <c r="AJ971" s="1038"/>
      <c r="AK971" s="1039"/>
      <c r="AL971" s="1039"/>
      <c r="AM971" s="1039"/>
      <c r="AN971" s="1039"/>
      <c r="AO971" s="1039"/>
      <c r="AP971" s="1039"/>
      <c r="AQ971" s="1040"/>
    </row>
    <row r="972" spans="1:97" ht="12.95" customHeight="1">
      <c r="A972" s="18"/>
      <c r="B972" s="52"/>
      <c r="C972" s="420" t="s">
        <v>1687</v>
      </c>
      <c r="D972" s="1010" t="s">
        <v>1688</v>
      </c>
      <c r="E972" s="1011"/>
      <c r="F972" s="1011"/>
      <c r="G972" s="1011"/>
      <c r="H972" s="1011"/>
      <c r="I972" s="1011"/>
      <c r="J972" s="1011"/>
      <c r="K972" s="1011"/>
      <c r="L972" s="1011"/>
      <c r="M972" s="1011"/>
      <c r="N972" s="1011"/>
      <c r="O972" s="1011"/>
      <c r="P972" s="1011"/>
      <c r="Q972" s="1011"/>
      <c r="R972" s="1011"/>
      <c r="S972" s="1011"/>
      <c r="T972" s="1011"/>
      <c r="U972" s="1011"/>
      <c r="V972" s="1011"/>
      <c r="W972" s="1011"/>
      <c r="X972" s="1011"/>
      <c r="Y972" s="1011"/>
      <c r="Z972" s="1011"/>
      <c r="AA972" s="1011"/>
      <c r="AB972" s="1011"/>
      <c r="AC972" s="1011"/>
      <c r="AD972" s="1011"/>
      <c r="AE972" s="1012"/>
      <c r="AF972" s="52"/>
      <c r="AG972" s="1013" t="s">
        <v>821</v>
      </c>
      <c r="AH972" s="1014"/>
      <c r="AI972" s="55"/>
      <c r="AJ972" s="1032">
        <f>ROUND(IF(AG972="yes",(AJ939*0.1),0),0)</f>
        <v>0</v>
      </c>
      <c r="AK972" s="1033"/>
      <c r="AL972" s="1033"/>
      <c r="AM972" s="1033"/>
      <c r="AN972" s="1033"/>
      <c r="AO972" s="1033"/>
      <c r="AP972" s="1033"/>
      <c r="AQ972" s="1034"/>
    </row>
    <row r="973" spans="1:97" ht="12.95" customHeight="1">
      <c r="A973" s="18"/>
      <c r="B973" s="49"/>
      <c r="C973" s="421"/>
      <c r="D973" s="1041" t="s">
        <v>1689</v>
      </c>
      <c r="E973" s="1042"/>
      <c r="F973" s="1042"/>
      <c r="G973" s="1042"/>
      <c r="H973" s="1042"/>
      <c r="I973" s="1042"/>
      <c r="J973" s="1042"/>
      <c r="K973" s="1042"/>
      <c r="L973" s="1042"/>
      <c r="M973" s="1042"/>
      <c r="N973" s="1042"/>
      <c r="O973" s="1042"/>
      <c r="P973" s="1042"/>
      <c r="Q973" s="1042"/>
      <c r="R973" s="1042"/>
      <c r="S973" s="1042"/>
      <c r="T973" s="1042"/>
      <c r="U973" s="1042"/>
      <c r="V973" s="1042"/>
      <c r="W973" s="1042"/>
      <c r="X973" s="1042"/>
      <c r="Y973" s="1042"/>
      <c r="Z973" s="1042"/>
      <c r="AA973" s="1042"/>
      <c r="AB973" s="1042"/>
      <c r="AC973" s="1042"/>
      <c r="AD973" s="1042"/>
      <c r="AE973" s="1043"/>
      <c r="AF973" s="49"/>
      <c r="AG973" s="18"/>
      <c r="AH973" s="18"/>
      <c r="AI973" s="53"/>
      <c r="AJ973" s="1035"/>
      <c r="AK973" s="1036"/>
      <c r="AL973" s="1036"/>
      <c r="AM973" s="1036"/>
      <c r="AN973" s="1036"/>
      <c r="AO973" s="1036"/>
      <c r="AP973" s="1036"/>
      <c r="AQ973" s="1037"/>
    </row>
    <row r="974" spans="1:97" ht="12.95" customHeight="1">
      <c r="A974" s="18"/>
      <c r="B974" s="50"/>
      <c r="C974" s="421"/>
      <c r="D974" s="1044"/>
      <c r="E974" s="1045"/>
      <c r="F974" s="1045"/>
      <c r="G974" s="1045"/>
      <c r="H974" s="1045"/>
      <c r="I974" s="1045"/>
      <c r="J974" s="1045"/>
      <c r="K974" s="1045"/>
      <c r="L974" s="1045"/>
      <c r="M974" s="1045"/>
      <c r="N974" s="1045"/>
      <c r="O974" s="1045"/>
      <c r="P974" s="1045"/>
      <c r="Q974" s="1045"/>
      <c r="R974" s="1045"/>
      <c r="S974" s="1045"/>
      <c r="T974" s="1045"/>
      <c r="U974" s="1045"/>
      <c r="V974" s="1045"/>
      <c r="W974" s="1045"/>
      <c r="X974" s="1045"/>
      <c r="Y974" s="1045"/>
      <c r="Z974" s="1045"/>
      <c r="AA974" s="1045"/>
      <c r="AB974" s="1045"/>
      <c r="AC974" s="1045"/>
      <c r="AD974" s="1045"/>
      <c r="AE974" s="1046"/>
      <c r="AF974" s="49"/>
      <c r="AG974" s="18"/>
      <c r="AH974" s="18"/>
      <c r="AI974" s="53"/>
      <c r="AJ974" s="1038"/>
      <c r="AK974" s="1039"/>
      <c r="AL974" s="1039"/>
      <c r="AM974" s="1039"/>
      <c r="AN974" s="1039"/>
      <c r="AO974" s="1039"/>
      <c r="AP974" s="1039"/>
      <c r="AQ974" s="1040"/>
    </row>
    <row r="975" spans="1:97" ht="12.95" customHeight="1">
      <c r="A975" s="18"/>
      <c r="B975" s="49"/>
      <c r="C975" s="420" t="s">
        <v>18</v>
      </c>
      <c r="D975" s="1029" t="s">
        <v>1690</v>
      </c>
      <c r="E975" s="1030"/>
      <c r="F975" s="1030"/>
      <c r="G975" s="1030"/>
      <c r="H975" s="1030"/>
      <c r="I975" s="1030"/>
      <c r="J975" s="1030"/>
      <c r="K975" s="1030"/>
      <c r="L975" s="1030"/>
      <c r="M975" s="1030"/>
      <c r="N975" s="1030"/>
      <c r="O975" s="1030"/>
      <c r="P975" s="1030"/>
      <c r="Q975" s="1030"/>
      <c r="R975" s="1030"/>
      <c r="S975" s="1030"/>
      <c r="T975" s="1030"/>
      <c r="U975" s="1030"/>
      <c r="V975" s="1030"/>
      <c r="W975" s="1030"/>
      <c r="X975" s="1030"/>
      <c r="Y975" s="1030"/>
      <c r="Z975" s="1030"/>
      <c r="AA975" s="1030"/>
      <c r="AB975" s="1030"/>
      <c r="AC975" s="1030"/>
      <c r="AD975" s="1030"/>
      <c r="AE975" s="1031"/>
      <c r="AF975" s="52"/>
      <c r="AG975" s="1013" t="s">
        <v>821</v>
      </c>
      <c r="AH975" s="1014"/>
      <c r="AI975" s="55"/>
      <c r="AJ975" s="1032">
        <f>ROUND(IF(AG975="yes",(AJ939*0.15),0),0)</f>
        <v>0</v>
      </c>
      <c r="AK975" s="1033"/>
      <c r="AL975" s="1033"/>
      <c r="AM975" s="1033"/>
      <c r="AN975" s="1033"/>
      <c r="AO975" s="1033"/>
      <c r="AP975" s="1033"/>
      <c r="AQ975" s="1034"/>
    </row>
    <row r="976" spans="1:97" ht="12.95" customHeight="1">
      <c r="A976" s="18"/>
      <c r="B976" s="49"/>
      <c r="C976" s="421"/>
      <c r="D976" s="1061" t="s">
        <v>1691</v>
      </c>
      <c r="E976" s="932"/>
      <c r="F976" s="932"/>
      <c r="G976" s="932"/>
      <c r="H976" s="932"/>
      <c r="I976" s="932"/>
      <c r="J976" s="932"/>
      <c r="K976" s="932"/>
      <c r="L976" s="932"/>
      <c r="M976" s="932"/>
      <c r="N976" s="932"/>
      <c r="O976" s="932"/>
      <c r="P976" s="932"/>
      <c r="Q976" s="932"/>
      <c r="R976" s="932"/>
      <c r="S976" s="932"/>
      <c r="T976" s="932"/>
      <c r="U976" s="932"/>
      <c r="V976" s="932"/>
      <c r="W976" s="932"/>
      <c r="X976" s="932"/>
      <c r="Y976" s="932"/>
      <c r="Z976" s="932"/>
      <c r="AA976" s="932"/>
      <c r="AB976" s="932"/>
      <c r="AC976" s="932"/>
      <c r="AD976" s="932"/>
      <c r="AE976" s="1062"/>
      <c r="AF976" s="678"/>
      <c r="AG976" s="679"/>
      <c r="AH976" s="679"/>
      <c r="AI976" s="680"/>
      <c r="AJ976" s="1035"/>
      <c r="AK976" s="1036"/>
      <c r="AL976" s="1036"/>
      <c r="AM976" s="1036"/>
      <c r="AN976" s="1036"/>
      <c r="AO976" s="1036"/>
      <c r="AP976" s="1036"/>
      <c r="AQ976" s="1037"/>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c r="CM976" s="33"/>
      <c r="CN976" s="33"/>
      <c r="CO976" s="33"/>
      <c r="CP976" s="33"/>
      <c r="CQ976" s="33"/>
      <c r="CR976" s="33"/>
      <c r="CS976" s="33"/>
    </row>
    <row r="977" spans="1:97" ht="12.95" customHeight="1">
      <c r="A977" s="18"/>
      <c r="B977" s="49"/>
      <c r="C977" s="421"/>
      <c r="D977" s="1061"/>
      <c r="E977" s="932"/>
      <c r="F977" s="932"/>
      <c r="G977" s="932"/>
      <c r="H977" s="932"/>
      <c r="I977" s="932"/>
      <c r="J977" s="932"/>
      <c r="K977" s="932"/>
      <c r="L977" s="932"/>
      <c r="M977" s="932"/>
      <c r="N977" s="932"/>
      <c r="O977" s="932"/>
      <c r="P977" s="932"/>
      <c r="Q977" s="932"/>
      <c r="R977" s="932"/>
      <c r="S977" s="932"/>
      <c r="T977" s="932"/>
      <c r="U977" s="932"/>
      <c r="V977" s="932"/>
      <c r="W977" s="932"/>
      <c r="X977" s="932"/>
      <c r="Y977" s="932"/>
      <c r="Z977" s="932"/>
      <c r="AA977" s="932"/>
      <c r="AB977" s="932"/>
      <c r="AC977" s="932"/>
      <c r="AD977" s="932"/>
      <c r="AE977" s="1062"/>
      <c r="AF977" s="678"/>
      <c r="AG977" s="679"/>
      <c r="AH977" s="679"/>
      <c r="AI977" s="680"/>
      <c r="AJ977" s="1035"/>
      <c r="AK977" s="1036"/>
      <c r="AL977" s="1036"/>
      <c r="AM977" s="1036"/>
      <c r="AN977" s="1036"/>
      <c r="AO977" s="1036"/>
      <c r="AP977" s="1036"/>
      <c r="AQ977" s="1037"/>
      <c r="AR977" s="33"/>
      <c r="AS977" s="33"/>
      <c r="AT977" s="33"/>
      <c r="AU977" s="33"/>
      <c r="AV977" s="33"/>
      <c r="AW977" s="33"/>
      <c r="AX977" s="33"/>
      <c r="AY977" s="33"/>
      <c r="AZ977" s="33"/>
      <c r="BA977" s="33"/>
      <c r="BB977" s="33"/>
      <c r="BC977" s="33"/>
      <c r="BD977" s="33"/>
      <c r="BE977" s="33"/>
      <c r="BF977" s="33"/>
      <c r="BG977" s="33"/>
      <c r="BH977" s="33"/>
      <c r="BI977" s="33"/>
      <c r="BJ977" s="33"/>
      <c r="BK977" s="33"/>
      <c r="BL977" s="33"/>
      <c r="BM977" s="33"/>
      <c r="BN977" s="33"/>
      <c r="BO977" s="33"/>
      <c r="BP977" s="33"/>
      <c r="BQ977" s="33"/>
      <c r="BR977" s="33"/>
      <c r="BS977" s="33"/>
      <c r="BT977" s="33"/>
      <c r="BU977" s="33"/>
      <c r="BV977" s="33"/>
      <c r="BW977" s="33"/>
      <c r="BX977" s="33"/>
      <c r="BY977" s="33"/>
      <c r="BZ977" s="33"/>
      <c r="CA977" s="33"/>
      <c r="CB977" s="33"/>
      <c r="CC977" s="33"/>
      <c r="CD977" s="33"/>
      <c r="CE977" s="33"/>
      <c r="CF977" s="33"/>
      <c r="CG977" s="33"/>
      <c r="CH977" s="33"/>
      <c r="CI977" s="33"/>
      <c r="CJ977" s="33"/>
      <c r="CK977" s="33"/>
      <c r="CL977" s="33"/>
      <c r="CM977" s="33"/>
      <c r="CN977" s="33"/>
      <c r="CO977" s="33"/>
      <c r="CP977" s="33"/>
      <c r="CQ977" s="33"/>
      <c r="CR977" s="33"/>
      <c r="CS977" s="33"/>
    </row>
    <row r="978" spans="1:97" ht="12.95" customHeight="1">
      <c r="A978" s="18"/>
      <c r="B978" s="49"/>
      <c r="C978" s="421"/>
      <c r="D978" s="1063"/>
      <c r="E978" s="1064"/>
      <c r="F978" s="1064"/>
      <c r="G978" s="1064"/>
      <c r="H978" s="1064"/>
      <c r="I978" s="1064"/>
      <c r="J978" s="1064"/>
      <c r="K978" s="1064"/>
      <c r="L978" s="1064"/>
      <c r="M978" s="1064"/>
      <c r="N978" s="1064"/>
      <c r="O978" s="1064"/>
      <c r="P978" s="1064"/>
      <c r="Q978" s="1064"/>
      <c r="R978" s="1064"/>
      <c r="S978" s="1064"/>
      <c r="T978" s="1064"/>
      <c r="U978" s="1064"/>
      <c r="V978" s="1064"/>
      <c r="W978" s="1064"/>
      <c r="X978" s="1064"/>
      <c r="Y978" s="1064"/>
      <c r="Z978" s="1064"/>
      <c r="AA978" s="1064"/>
      <c r="AB978" s="1064"/>
      <c r="AC978" s="1064"/>
      <c r="AD978" s="1064"/>
      <c r="AE978" s="1065"/>
      <c r="AF978" s="681"/>
      <c r="AG978" s="682"/>
      <c r="AH978" s="682"/>
      <c r="AI978" s="683"/>
      <c r="AJ978" s="1038"/>
      <c r="AK978" s="1039"/>
      <c r="AL978" s="1039"/>
      <c r="AM978" s="1039"/>
      <c r="AN978" s="1039"/>
      <c r="AO978" s="1039"/>
      <c r="AP978" s="1039"/>
      <c r="AQ978" s="1040"/>
      <c r="AR978" s="33"/>
      <c r="AS978" s="33"/>
      <c r="AT978" s="33"/>
      <c r="AU978" s="33"/>
      <c r="AV978" s="33"/>
      <c r="AW978" s="33"/>
      <c r="AX978" s="33"/>
      <c r="AY978" s="33"/>
      <c r="AZ978" s="33"/>
      <c r="BA978" s="33"/>
      <c r="BB978" s="33"/>
      <c r="BC978" s="33"/>
      <c r="BD978" s="33"/>
      <c r="BE978" s="33"/>
      <c r="BF978" s="33"/>
      <c r="BG978" s="33"/>
      <c r="BH978" s="33"/>
      <c r="BI978" s="33"/>
      <c r="BJ978" s="33"/>
      <c r="BK978" s="33"/>
      <c r="BL978" s="33"/>
      <c r="BM978" s="33"/>
      <c r="BN978" s="33"/>
      <c r="BO978" s="33"/>
      <c r="BP978" s="33"/>
      <c r="BQ978" s="33"/>
      <c r="BR978" s="33"/>
      <c r="BS978" s="33"/>
      <c r="BT978" s="33"/>
      <c r="BU978" s="33"/>
      <c r="BV978" s="33"/>
      <c r="BW978" s="33"/>
      <c r="BX978" s="33"/>
      <c r="BY978" s="33"/>
      <c r="BZ978" s="33"/>
      <c r="CA978" s="33"/>
      <c r="CB978" s="33"/>
      <c r="CC978" s="33"/>
      <c r="CD978" s="33"/>
      <c r="CE978" s="33"/>
      <c r="CF978" s="33"/>
      <c r="CG978" s="33"/>
      <c r="CH978" s="33"/>
      <c r="CI978" s="33"/>
      <c r="CJ978" s="33"/>
      <c r="CK978" s="33"/>
      <c r="CL978" s="33"/>
      <c r="CM978" s="33"/>
      <c r="CN978" s="33"/>
      <c r="CO978" s="33"/>
      <c r="CP978" s="33"/>
      <c r="CQ978" s="33"/>
      <c r="CR978" s="33"/>
      <c r="CS978" s="33"/>
    </row>
    <row r="979" spans="1:97" ht="12.95" customHeight="1">
      <c r="A979" s="894"/>
      <c r="B979" s="49"/>
      <c r="C979" s="420" t="s">
        <v>18</v>
      </c>
      <c r="D979" s="1010" t="s">
        <v>1692</v>
      </c>
      <c r="E979" s="1011"/>
      <c r="F979" s="1011"/>
      <c r="G979" s="1011"/>
      <c r="H979" s="1011"/>
      <c r="I979" s="1011"/>
      <c r="J979" s="1011"/>
      <c r="K979" s="1011"/>
      <c r="L979" s="1011"/>
      <c r="M979" s="1011"/>
      <c r="N979" s="1011"/>
      <c r="O979" s="1011"/>
      <c r="P979" s="1011"/>
      <c r="Q979" s="1011"/>
      <c r="R979" s="1011"/>
      <c r="S979" s="1011"/>
      <c r="T979" s="1011"/>
      <c r="U979" s="1011"/>
      <c r="V979" s="1011"/>
      <c r="W979" s="1011"/>
      <c r="X979" s="1011"/>
      <c r="Y979" s="1011"/>
      <c r="Z979" s="1011"/>
      <c r="AA979" s="1011"/>
      <c r="AB979" s="1011"/>
      <c r="AC979" s="1011"/>
      <c r="AD979" s="1011"/>
      <c r="AE979" s="1012"/>
      <c r="AF979" s="49"/>
      <c r="AG979" s="1406" t="s">
        <v>821</v>
      </c>
      <c r="AH979" s="1407"/>
      <c r="AI979" s="53"/>
      <c r="AJ979" s="1032">
        <f>ROUND(IF(AG979="yes",(AJ939*0.1),0),0)</f>
        <v>0</v>
      </c>
      <c r="AK979" s="1033"/>
      <c r="AL979" s="1033"/>
      <c r="AM979" s="1033"/>
      <c r="AN979" s="1033"/>
      <c r="AO979" s="1033"/>
      <c r="AP979" s="1033"/>
      <c r="AQ979" s="1034"/>
      <c r="AR979" s="33"/>
      <c r="AS979" s="33"/>
      <c r="AT979" s="33"/>
      <c r="AU979" s="33"/>
      <c r="AV979" s="33"/>
      <c r="AW979" s="33"/>
      <c r="AX979" s="33"/>
      <c r="AY979" s="33"/>
      <c r="AZ979" s="33"/>
      <c r="BA979" s="33"/>
      <c r="BB979" s="33"/>
      <c r="BC979" s="33"/>
      <c r="BD979" s="33"/>
      <c r="BE979" s="33"/>
      <c r="BF979" s="33"/>
      <c r="BG979" s="33"/>
      <c r="BH979" s="33"/>
      <c r="BI979" s="33"/>
      <c r="BJ979" s="33"/>
      <c r="BK979" s="33"/>
      <c r="BL979" s="33"/>
      <c r="BM979" s="33"/>
      <c r="BN979" s="33"/>
      <c r="BO979" s="33"/>
      <c r="BP979" s="33"/>
      <c r="BQ979" s="33"/>
      <c r="BR979" s="33"/>
      <c r="BS979" s="33"/>
      <c r="BT979" s="33"/>
      <c r="BU979" s="33"/>
      <c r="BV979" s="33"/>
      <c r="BW979" s="33"/>
      <c r="BX979" s="33"/>
      <c r="BY979" s="33"/>
      <c r="BZ979" s="33"/>
      <c r="CA979" s="33"/>
      <c r="CB979" s="33"/>
      <c r="CC979" s="33"/>
      <c r="CD979" s="33"/>
      <c r="CE979" s="33"/>
      <c r="CF979" s="33"/>
      <c r="CG979" s="33"/>
      <c r="CH979" s="33"/>
      <c r="CI979" s="33"/>
      <c r="CJ979" s="33"/>
      <c r="CK979" s="33"/>
      <c r="CL979" s="33"/>
      <c r="CM979" s="33"/>
      <c r="CN979" s="33"/>
      <c r="CO979" s="33"/>
      <c r="CP979" s="33"/>
      <c r="CQ979" s="33"/>
      <c r="CR979" s="33"/>
      <c r="CS979" s="33"/>
    </row>
    <row r="980" spans="1:97" ht="12.95" customHeight="1">
      <c r="A980" s="894"/>
      <c r="B980" s="49"/>
      <c r="C980" s="421"/>
      <c r="D980" s="1061" t="s">
        <v>1693</v>
      </c>
      <c r="E980" s="932"/>
      <c r="F980" s="932"/>
      <c r="G980" s="932"/>
      <c r="H980" s="932"/>
      <c r="I980" s="932"/>
      <c r="J980" s="932"/>
      <c r="K980" s="932"/>
      <c r="L980" s="932"/>
      <c r="M980" s="932"/>
      <c r="N980" s="932"/>
      <c r="O980" s="932"/>
      <c r="P980" s="932"/>
      <c r="Q980" s="932"/>
      <c r="R980" s="932"/>
      <c r="S980" s="932"/>
      <c r="T980" s="932"/>
      <c r="U980" s="932"/>
      <c r="V980" s="932"/>
      <c r="W980" s="932"/>
      <c r="X980" s="932"/>
      <c r="Y980" s="932"/>
      <c r="Z980" s="932"/>
      <c r="AA980" s="932"/>
      <c r="AB980" s="932"/>
      <c r="AC980" s="932"/>
      <c r="AD980" s="932"/>
      <c r="AE980" s="1062"/>
      <c r="AF980" s="49"/>
      <c r="AG980" s="18"/>
      <c r="AH980" s="18"/>
      <c r="AI980" s="53"/>
      <c r="AJ980" s="1035"/>
      <c r="AK980" s="1036"/>
      <c r="AL980" s="1036"/>
      <c r="AM980" s="1036"/>
      <c r="AN980" s="1036"/>
      <c r="AO980" s="1036"/>
      <c r="AP980" s="1036"/>
      <c r="AQ980" s="1037"/>
      <c r="AR980" s="33"/>
      <c r="AS980" s="33"/>
      <c r="AT980" s="33"/>
      <c r="AU980" s="33"/>
      <c r="AV980" s="33"/>
      <c r="AW980" s="33"/>
      <c r="AX980" s="33"/>
      <c r="AY980" s="33"/>
      <c r="AZ980" s="33"/>
      <c r="BA980" s="33"/>
      <c r="BB980" s="33"/>
      <c r="BC980" s="33"/>
      <c r="BD980" s="33"/>
      <c r="BE980" s="33"/>
      <c r="BF980" s="33"/>
      <c r="BG980" s="33"/>
      <c r="BH980" s="33"/>
      <c r="BI980" s="33"/>
      <c r="BJ980" s="33"/>
      <c r="BK980" s="33"/>
      <c r="BL980" s="33"/>
      <c r="BM980" s="33"/>
      <c r="BN980" s="33"/>
      <c r="BO980" s="33"/>
      <c r="BP980" s="33"/>
      <c r="BQ980" s="33"/>
      <c r="BR980" s="33"/>
      <c r="BS980" s="33"/>
      <c r="BT980" s="33"/>
      <c r="BU980" s="33"/>
      <c r="BV980" s="33"/>
      <c r="BW980" s="33"/>
      <c r="BX980" s="33"/>
      <c r="BY980" s="33"/>
      <c r="BZ980" s="33"/>
      <c r="CA980" s="33"/>
      <c r="CB980" s="33"/>
      <c r="CC980" s="33"/>
      <c r="CD980" s="33"/>
      <c r="CE980" s="33"/>
      <c r="CF980" s="33"/>
      <c r="CG980" s="33"/>
      <c r="CH980" s="33"/>
      <c r="CI980" s="33"/>
      <c r="CJ980" s="33"/>
      <c r="CK980" s="33"/>
      <c r="CL980" s="33"/>
      <c r="CM980" s="33"/>
      <c r="CN980" s="33"/>
      <c r="CO980" s="33"/>
      <c r="CP980" s="33"/>
      <c r="CQ980" s="33"/>
      <c r="CR980" s="33"/>
      <c r="CS980" s="33"/>
    </row>
    <row r="981" spans="1:97" ht="12.95" customHeight="1">
      <c r="A981" s="894"/>
      <c r="B981" s="49"/>
      <c r="C981" s="421"/>
      <c r="D981" s="1061"/>
      <c r="E981" s="932"/>
      <c r="F981" s="932"/>
      <c r="G981" s="932"/>
      <c r="H981" s="932"/>
      <c r="I981" s="932"/>
      <c r="J981" s="932"/>
      <c r="K981" s="932"/>
      <c r="L981" s="932"/>
      <c r="M981" s="932"/>
      <c r="N981" s="932"/>
      <c r="O981" s="932"/>
      <c r="P981" s="932"/>
      <c r="Q981" s="932"/>
      <c r="R981" s="932"/>
      <c r="S981" s="932"/>
      <c r="T981" s="932"/>
      <c r="U981" s="932"/>
      <c r="V981" s="932"/>
      <c r="W981" s="932"/>
      <c r="X981" s="932"/>
      <c r="Y981" s="932"/>
      <c r="Z981" s="932"/>
      <c r="AA981" s="932"/>
      <c r="AB981" s="932"/>
      <c r="AC981" s="932"/>
      <c r="AD981" s="932"/>
      <c r="AE981" s="1062"/>
      <c r="AF981" s="49"/>
      <c r="AG981" s="18"/>
      <c r="AH981" s="18"/>
      <c r="AI981" s="53"/>
      <c r="AJ981" s="1035"/>
      <c r="AK981" s="1036"/>
      <c r="AL981" s="1036"/>
      <c r="AM981" s="1036"/>
      <c r="AN981" s="1036"/>
      <c r="AO981" s="1036"/>
      <c r="AP981" s="1036"/>
      <c r="AQ981" s="1037"/>
      <c r="AR981" s="33"/>
      <c r="AS981" s="33"/>
      <c r="AT981" s="33"/>
      <c r="AU981" s="33"/>
      <c r="AV981" s="33"/>
      <c r="AW981" s="33"/>
      <c r="AX981" s="33"/>
      <c r="AY981" s="33"/>
      <c r="AZ981" s="33"/>
      <c r="BA981" s="33"/>
      <c r="BB981" s="33"/>
      <c r="BC981" s="33"/>
      <c r="BD981" s="33"/>
      <c r="BE981" s="33"/>
      <c r="BF981" s="33"/>
      <c r="BG981" s="33"/>
      <c r="BH981" s="33"/>
      <c r="BI981" s="33"/>
      <c r="BJ981" s="33"/>
      <c r="BK981" s="33"/>
      <c r="BL981" s="33"/>
      <c r="BM981" s="33"/>
      <c r="BN981" s="33"/>
      <c r="BO981" s="33"/>
      <c r="BP981" s="33"/>
      <c r="BQ981" s="33"/>
      <c r="BR981" s="33"/>
      <c r="BS981" s="33"/>
      <c r="BT981" s="33"/>
      <c r="BU981" s="33"/>
      <c r="BV981" s="33"/>
      <c r="BW981" s="33"/>
      <c r="BX981" s="33"/>
      <c r="BY981" s="33"/>
      <c r="BZ981" s="33"/>
      <c r="CA981" s="33"/>
      <c r="CB981" s="33"/>
      <c r="CC981" s="33"/>
      <c r="CD981" s="33"/>
      <c r="CE981" s="33"/>
      <c r="CF981" s="33"/>
      <c r="CG981" s="33"/>
      <c r="CH981" s="33"/>
      <c r="CI981" s="33"/>
      <c r="CJ981" s="33"/>
      <c r="CK981" s="33"/>
      <c r="CL981" s="33"/>
      <c r="CM981" s="33"/>
      <c r="CN981" s="33"/>
      <c r="CO981" s="33"/>
      <c r="CP981" s="33"/>
      <c r="CQ981" s="33"/>
      <c r="CR981" s="33"/>
      <c r="CS981" s="33"/>
    </row>
    <row r="982" spans="1:97" ht="12.95" customHeight="1">
      <c r="A982" s="894"/>
      <c r="B982" s="49"/>
      <c r="C982" s="421"/>
      <c r="D982" s="1061"/>
      <c r="E982" s="932"/>
      <c r="F982" s="932"/>
      <c r="G982" s="932"/>
      <c r="H982" s="932"/>
      <c r="I982" s="932"/>
      <c r="J982" s="932"/>
      <c r="K982" s="932"/>
      <c r="L982" s="932"/>
      <c r="M982" s="932"/>
      <c r="N982" s="932"/>
      <c r="O982" s="932"/>
      <c r="P982" s="932"/>
      <c r="Q982" s="932"/>
      <c r="R982" s="932"/>
      <c r="S982" s="932"/>
      <c r="T982" s="932"/>
      <c r="U982" s="932"/>
      <c r="V982" s="932"/>
      <c r="W982" s="932"/>
      <c r="X982" s="932"/>
      <c r="Y982" s="932"/>
      <c r="Z982" s="932"/>
      <c r="AA982" s="932"/>
      <c r="AB982" s="932"/>
      <c r="AC982" s="932"/>
      <c r="AD982" s="932"/>
      <c r="AE982" s="1062"/>
      <c r="AF982" s="49"/>
      <c r="AG982" s="18"/>
      <c r="AH982" s="18"/>
      <c r="AI982" s="53"/>
      <c r="AJ982" s="1035"/>
      <c r="AK982" s="1036"/>
      <c r="AL982" s="1036"/>
      <c r="AM982" s="1036"/>
      <c r="AN982" s="1036"/>
      <c r="AO982" s="1036"/>
      <c r="AP982" s="1036"/>
      <c r="AQ982" s="1037"/>
      <c r="AR982" s="33"/>
      <c r="AS982" s="33"/>
      <c r="AT982" s="33"/>
      <c r="AU982" s="33"/>
      <c r="AV982" s="33"/>
      <c r="AW982" s="33"/>
      <c r="AX982" s="33"/>
      <c r="AY982" s="33"/>
      <c r="AZ982" s="33"/>
      <c r="BA982" s="33"/>
      <c r="BB982" s="33"/>
      <c r="BC982" s="33"/>
      <c r="BD982" s="33"/>
      <c r="BE982" s="33"/>
      <c r="BF982" s="33"/>
      <c r="BG982" s="33"/>
      <c r="BH982" s="33"/>
      <c r="BI982" s="33"/>
      <c r="BJ982" s="33"/>
      <c r="BK982" s="33"/>
      <c r="BL982" s="33"/>
      <c r="BM982" s="33"/>
      <c r="BN982" s="33"/>
      <c r="BO982" s="33"/>
      <c r="BP982" s="33"/>
      <c r="BQ982" s="33"/>
      <c r="BR982" s="33"/>
      <c r="BS982" s="33"/>
      <c r="BT982" s="33"/>
      <c r="BU982" s="33"/>
      <c r="BV982" s="33"/>
      <c r="BW982" s="33"/>
      <c r="BX982" s="33"/>
      <c r="BY982" s="33"/>
      <c r="BZ982" s="33"/>
      <c r="CA982" s="33"/>
      <c r="CB982" s="33"/>
      <c r="CC982" s="33"/>
      <c r="CD982" s="33"/>
      <c r="CE982" s="33"/>
      <c r="CF982" s="33"/>
      <c r="CG982" s="33"/>
      <c r="CH982" s="33"/>
      <c r="CI982" s="33"/>
      <c r="CJ982" s="33"/>
      <c r="CK982" s="33"/>
      <c r="CL982" s="33"/>
      <c r="CM982" s="33"/>
      <c r="CN982" s="33"/>
      <c r="CO982" s="33"/>
      <c r="CP982" s="33"/>
      <c r="CQ982" s="33"/>
      <c r="CR982" s="33"/>
      <c r="CS982" s="33"/>
    </row>
    <row r="983" spans="1:97" ht="12.95" customHeight="1">
      <c r="A983" s="894"/>
      <c r="B983" s="49"/>
      <c r="C983" s="421"/>
      <c r="D983" s="1063"/>
      <c r="E983" s="1064"/>
      <c r="F983" s="1064"/>
      <c r="G983" s="1064"/>
      <c r="H983" s="1064"/>
      <c r="I983" s="1064"/>
      <c r="J983" s="1064"/>
      <c r="K983" s="1064"/>
      <c r="L983" s="1064"/>
      <c r="M983" s="1064"/>
      <c r="N983" s="1064"/>
      <c r="O983" s="1064"/>
      <c r="P983" s="1064"/>
      <c r="Q983" s="1064"/>
      <c r="R983" s="1064"/>
      <c r="S983" s="1064"/>
      <c r="T983" s="1064"/>
      <c r="U983" s="1064"/>
      <c r="V983" s="1064"/>
      <c r="W983" s="1064"/>
      <c r="X983" s="1064"/>
      <c r="Y983" s="1064"/>
      <c r="Z983" s="1064"/>
      <c r="AA983" s="1064"/>
      <c r="AB983" s="1064"/>
      <c r="AC983" s="1064"/>
      <c r="AD983" s="1064"/>
      <c r="AE983" s="1065"/>
      <c r="AF983" s="49"/>
      <c r="AG983" s="18"/>
      <c r="AH983" s="18"/>
      <c r="AI983" s="53"/>
      <c r="AJ983" s="1035"/>
      <c r="AK983" s="1036"/>
      <c r="AL983" s="1036"/>
      <c r="AM983" s="1036"/>
      <c r="AN983" s="1036"/>
      <c r="AO983" s="1036"/>
      <c r="AP983" s="1036"/>
      <c r="AQ983" s="1037"/>
      <c r="AR983" s="33"/>
      <c r="AS983" s="33"/>
      <c r="AT983" s="33"/>
      <c r="AU983" s="33"/>
      <c r="AV983" s="33"/>
      <c r="AW983" s="33"/>
      <c r="AX983" s="33"/>
      <c r="AY983" s="33"/>
      <c r="AZ983" s="33"/>
      <c r="BA983" s="33"/>
      <c r="BB983" s="33"/>
      <c r="BC983" s="33"/>
      <c r="BD983" s="33"/>
      <c r="BE983" s="33"/>
      <c r="BF983" s="33"/>
      <c r="BG983" s="33"/>
      <c r="BH983" s="33"/>
      <c r="BI983" s="33"/>
      <c r="BJ983" s="33"/>
      <c r="BK983" s="33"/>
      <c r="BL983" s="33"/>
      <c r="BM983" s="33"/>
      <c r="BN983" s="33"/>
      <c r="BO983" s="33"/>
      <c r="BP983" s="33"/>
      <c r="BQ983" s="33"/>
      <c r="BR983" s="33"/>
      <c r="BS983" s="33"/>
      <c r="BT983" s="33"/>
      <c r="BU983" s="33"/>
      <c r="BV983" s="33"/>
      <c r="BW983" s="33"/>
      <c r="BX983" s="33"/>
      <c r="BY983" s="33"/>
      <c r="BZ983" s="33"/>
      <c r="CA983" s="33"/>
      <c r="CB983" s="33"/>
      <c r="CC983" s="33"/>
      <c r="CD983" s="33"/>
      <c r="CE983" s="33"/>
      <c r="CF983" s="33"/>
      <c r="CG983" s="33"/>
      <c r="CH983" s="33"/>
      <c r="CI983" s="33"/>
      <c r="CJ983" s="33"/>
      <c r="CK983" s="33"/>
      <c r="CL983" s="33"/>
      <c r="CM983" s="33"/>
      <c r="CN983" s="33"/>
      <c r="CO983" s="33"/>
      <c r="CP983" s="33"/>
      <c r="CQ983" s="33"/>
      <c r="CR983" s="33"/>
      <c r="CS983" s="33"/>
    </row>
    <row r="984" spans="1:97" ht="12.95" customHeight="1">
      <c r="A984" s="894"/>
      <c r="B984" s="52"/>
      <c r="C984" s="784" t="s">
        <v>1694</v>
      </c>
      <c r="D984" s="1029" t="s">
        <v>1695</v>
      </c>
      <c r="E984" s="1030"/>
      <c r="F984" s="1030"/>
      <c r="G984" s="1030"/>
      <c r="H984" s="1030"/>
      <c r="I984" s="1030"/>
      <c r="J984" s="1030"/>
      <c r="K984" s="1030"/>
      <c r="L984" s="1030"/>
      <c r="M984" s="1030"/>
      <c r="N984" s="1030"/>
      <c r="O984" s="1030"/>
      <c r="P984" s="1030"/>
      <c r="Q984" s="1030"/>
      <c r="R984" s="1030"/>
      <c r="S984" s="1030"/>
      <c r="T984" s="1030"/>
      <c r="U984" s="1030"/>
      <c r="V984" s="1030"/>
      <c r="W984" s="1030"/>
      <c r="X984" s="1030"/>
      <c r="Y984" s="1030"/>
      <c r="Z984" s="1030"/>
      <c r="AA984" s="1030"/>
      <c r="AB984" s="1030"/>
      <c r="AC984" s="1030"/>
      <c r="AD984" s="1030"/>
      <c r="AE984" s="1031"/>
      <c r="AF984" s="52"/>
      <c r="AG984" s="1013" t="s">
        <v>821</v>
      </c>
      <c r="AH984" s="1014"/>
      <c r="AI984" s="55"/>
      <c r="AJ984" s="1032">
        <f>ROUND(IF(AG984="yes",(AJ939*0.1),0),0)</f>
        <v>0</v>
      </c>
      <c r="AK984" s="1033"/>
      <c r="AL984" s="1033"/>
      <c r="AM984" s="1033"/>
      <c r="AN984" s="1033"/>
      <c r="AO984" s="1033"/>
      <c r="AP984" s="1033"/>
      <c r="AQ984" s="1034"/>
      <c r="AR984" s="33"/>
      <c r="AS984" s="33"/>
      <c r="AT984" s="33"/>
      <c r="AU984" s="33"/>
      <c r="AV984" s="33"/>
      <c r="AW984" s="33"/>
      <c r="AX984" s="33"/>
      <c r="AY984" s="33"/>
      <c r="AZ984" s="33"/>
      <c r="BA984" s="33"/>
      <c r="BB984" s="33"/>
      <c r="BC984" s="33"/>
      <c r="BD984" s="33"/>
      <c r="BE984" s="33"/>
      <c r="BF984" s="33"/>
      <c r="BG984" s="33"/>
      <c r="BH984" s="33"/>
      <c r="BI984" s="33"/>
      <c r="BJ984" s="33"/>
      <c r="BK984" s="33"/>
      <c r="BL984" s="33"/>
      <c r="BM984" s="33"/>
      <c r="BN984" s="33"/>
      <c r="BO984" s="33"/>
      <c r="BP984" s="33"/>
      <c r="BQ984" s="33"/>
      <c r="BR984" s="33"/>
      <c r="BS984" s="33"/>
      <c r="BT984" s="33"/>
      <c r="BU984" s="33"/>
      <c r="BV984" s="33"/>
      <c r="BW984" s="33"/>
      <c r="BX984" s="33"/>
      <c r="BY984" s="33"/>
      <c r="BZ984" s="33"/>
      <c r="CA984" s="33"/>
      <c r="CB984" s="33"/>
      <c r="CC984" s="33"/>
      <c r="CD984" s="33"/>
      <c r="CE984" s="33"/>
      <c r="CF984" s="33"/>
      <c r="CG984" s="33"/>
      <c r="CH984" s="33"/>
      <c r="CI984" s="33"/>
      <c r="CJ984" s="33"/>
      <c r="CK984" s="33"/>
      <c r="CL984" s="33"/>
      <c r="CM984" s="33"/>
      <c r="CN984" s="33"/>
      <c r="CO984" s="33"/>
      <c r="CP984" s="33"/>
      <c r="CQ984" s="33"/>
      <c r="CR984" s="33"/>
      <c r="CS984" s="33"/>
    </row>
    <row r="985" spans="1:97" ht="12.95" customHeight="1">
      <c r="A985" s="894"/>
      <c r="B985" s="49"/>
      <c r="C985" s="421"/>
      <c r="D985" s="1041" t="s">
        <v>1696</v>
      </c>
      <c r="E985" s="1042"/>
      <c r="F985" s="1042"/>
      <c r="G985" s="1042"/>
      <c r="H985" s="1042"/>
      <c r="I985" s="1042"/>
      <c r="J985" s="1042"/>
      <c r="K985" s="1042"/>
      <c r="L985" s="1042"/>
      <c r="M985" s="1042"/>
      <c r="N985" s="1042"/>
      <c r="O985" s="1042"/>
      <c r="P985" s="1042"/>
      <c r="Q985" s="1042"/>
      <c r="R985" s="1042"/>
      <c r="S985" s="1042"/>
      <c r="T985" s="1042"/>
      <c r="U985" s="1042"/>
      <c r="V985" s="1042"/>
      <c r="W985" s="1042"/>
      <c r="X985" s="1042"/>
      <c r="Y985" s="1042"/>
      <c r="Z985" s="1042"/>
      <c r="AA985" s="1042"/>
      <c r="AB985" s="1042"/>
      <c r="AC985" s="1042"/>
      <c r="AD985" s="1042"/>
      <c r="AE985" s="1043"/>
      <c r="AF985" s="49"/>
      <c r="AG985" s="18"/>
      <c r="AH985" s="18"/>
      <c r="AI985" s="53"/>
      <c r="AJ985" s="1035"/>
      <c r="AK985" s="1036"/>
      <c r="AL985" s="1036"/>
      <c r="AM985" s="1036"/>
      <c r="AN985" s="1036"/>
      <c r="AO985" s="1036"/>
      <c r="AP985" s="1036"/>
      <c r="AQ985" s="1037"/>
      <c r="AR985" s="33"/>
      <c r="AS985" s="33"/>
      <c r="AT985" s="33"/>
      <c r="AU985" s="33"/>
      <c r="AV985" s="33"/>
      <c r="AW985" s="33"/>
      <c r="AX985" s="33"/>
      <c r="AY985" s="33"/>
      <c r="AZ985" s="33"/>
      <c r="BA985" s="33"/>
      <c r="BB985" s="33"/>
      <c r="BC985" s="33"/>
      <c r="BD985" s="33"/>
      <c r="BE985" s="33"/>
      <c r="BF985" s="33"/>
      <c r="BG985" s="33"/>
      <c r="BH985" s="33"/>
      <c r="BI985" s="33"/>
      <c r="BJ985" s="33"/>
      <c r="BK985" s="33"/>
      <c r="BL985" s="33"/>
      <c r="BM985" s="33"/>
      <c r="BN985" s="33"/>
      <c r="BO985" s="33"/>
      <c r="BP985" s="33"/>
      <c r="BQ985" s="33"/>
      <c r="BR985" s="33"/>
      <c r="BS985" s="33"/>
      <c r="BT985" s="33"/>
      <c r="BU985" s="33"/>
      <c r="BV985" s="33"/>
      <c r="BW985" s="33"/>
      <c r="BX985" s="33"/>
      <c r="BY985" s="33"/>
      <c r="BZ985" s="33"/>
      <c r="CA985" s="33"/>
      <c r="CB985" s="33"/>
      <c r="CC985" s="33"/>
      <c r="CD985" s="33"/>
      <c r="CE985" s="33"/>
      <c r="CF985" s="33"/>
      <c r="CG985" s="33"/>
      <c r="CH985" s="33"/>
      <c r="CI985" s="33"/>
      <c r="CJ985" s="33"/>
      <c r="CK985" s="33"/>
      <c r="CL985" s="33"/>
      <c r="CM985" s="33"/>
      <c r="CN985" s="33"/>
      <c r="CO985" s="33"/>
      <c r="CP985" s="33"/>
      <c r="CQ985" s="33"/>
      <c r="CR985" s="33"/>
      <c r="CS985" s="33"/>
    </row>
    <row r="986" spans="1:97" ht="12.95" customHeight="1">
      <c r="A986" s="894"/>
      <c r="B986" s="49"/>
      <c r="C986" s="421"/>
      <c r="D986" s="1041"/>
      <c r="E986" s="1042"/>
      <c r="F986" s="1042"/>
      <c r="G986" s="1042"/>
      <c r="H986" s="1042"/>
      <c r="I986" s="1042"/>
      <c r="J986" s="1042"/>
      <c r="K986" s="1042"/>
      <c r="L986" s="1042"/>
      <c r="M986" s="1042"/>
      <c r="N986" s="1042"/>
      <c r="O986" s="1042"/>
      <c r="P986" s="1042"/>
      <c r="Q986" s="1042"/>
      <c r="R986" s="1042"/>
      <c r="S986" s="1042"/>
      <c r="T986" s="1042"/>
      <c r="U986" s="1042"/>
      <c r="V986" s="1042"/>
      <c r="W986" s="1042"/>
      <c r="X986" s="1042"/>
      <c r="Y986" s="1042"/>
      <c r="Z986" s="1042"/>
      <c r="AA986" s="1042"/>
      <c r="AB986" s="1042"/>
      <c r="AC986" s="1042"/>
      <c r="AD986" s="1042"/>
      <c r="AE986" s="1043"/>
      <c r="AF986" s="49"/>
      <c r="AG986" s="18"/>
      <c r="AH986" s="18"/>
      <c r="AI986" s="53"/>
      <c r="AJ986" s="1035"/>
      <c r="AK986" s="1036"/>
      <c r="AL986" s="1036"/>
      <c r="AM986" s="1036"/>
      <c r="AN986" s="1036"/>
      <c r="AO986" s="1036"/>
      <c r="AP986" s="1036"/>
      <c r="AQ986" s="1037"/>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c r="CM986" s="33"/>
      <c r="CN986" s="33"/>
      <c r="CO986" s="33"/>
      <c r="CP986" s="33"/>
      <c r="CQ986" s="33"/>
      <c r="CR986" s="33"/>
      <c r="CS986" s="33"/>
    </row>
    <row r="987" spans="1:97" ht="12.95" customHeight="1">
      <c r="A987" s="894"/>
      <c r="B987" s="49"/>
      <c r="C987" s="421"/>
      <c r="D987" s="1044"/>
      <c r="E987" s="1045"/>
      <c r="F987" s="1045"/>
      <c r="G987" s="1045"/>
      <c r="H987" s="1045"/>
      <c r="I987" s="1045"/>
      <c r="J987" s="1045"/>
      <c r="K987" s="1045"/>
      <c r="L987" s="1045"/>
      <c r="M987" s="1045"/>
      <c r="N987" s="1045"/>
      <c r="O987" s="1045"/>
      <c r="P987" s="1045"/>
      <c r="Q987" s="1045"/>
      <c r="R987" s="1045"/>
      <c r="S987" s="1045"/>
      <c r="T987" s="1045"/>
      <c r="U987" s="1045"/>
      <c r="V987" s="1045"/>
      <c r="W987" s="1045"/>
      <c r="X987" s="1045"/>
      <c r="Y987" s="1045"/>
      <c r="Z987" s="1045"/>
      <c r="AA987" s="1045"/>
      <c r="AB987" s="1045"/>
      <c r="AC987" s="1045"/>
      <c r="AD987" s="1045"/>
      <c r="AE987" s="1046"/>
      <c r="AF987" s="49"/>
      <c r="AG987" s="18"/>
      <c r="AH987" s="18"/>
      <c r="AI987" s="53"/>
      <c r="AJ987" s="1038"/>
      <c r="AK987" s="1039"/>
      <c r="AL987" s="1039"/>
      <c r="AM987" s="1039"/>
      <c r="AN987" s="1039"/>
      <c r="AO987" s="1039"/>
      <c r="AP987" s="1039"/>
      <c r="AQ987" s="1040"/>
      <c r="AR987" s="33"/>
      <c r="AS987" s="33"/>
      <c r="AT987" s="33"/>
      <c r="AU987" s="33"/>
      <c r="AV987" s="33"/>
      <c r="AW987" s="33"/>
      <c r="AX987" s="33"/>
      <c r="AY987" s="33"/>
      <c r="AZ987" s="33"/>
      <c r="BA987" s="33"/>
      <c r="BB987" s="33"/>
      <c r="BC987" s="33"/>
      <c r="BD987" s="33"/>
      <c r="BE987" s="33"/>
      <c r="BF987" s="33"/>
      <c r="BG987" s="33"/>
      <c r="BH987" s="33"/>
      <c r="BI987" s="33"/>
      <c r="BJ987" s="33"/>
      <c r="BK987" s="33"/>
      <c r="BL987" s="33"/>
      <c r="BM987" s="33"/>
      <c r="BN987" s="33"/>
      <c r="BO987" s="33"/>
      <c r="BP987" s="33"/>
      <c r="BQ987" s="33"/>
      <c r="BR987" s="33"/>
      <c r="BS987" s="33"/>
      <c r="BT987" s="33"/>
      <c r="BU987" s="33"/>
      <c r="BV987" s="33"/>
      <c r="BW987" s="33"/>
      <c r="BX987" s="33"/>
      <c r="BY987" s="33"/>
      <c r="BZ987" s="33"/>
      <c r="CA987" s="33"/>
      <c r="CB987" s="33"/>
      <c r="CC987" s="33"/>
      <c r="CD987" s="33"/>
      <c r="CE987" s="33"/>
      <c r="CF987" s="33"/>
      <c r="CG987" s="33"/>
      <c r="CH987" s="33"/>
      <c r="CI987" s="33"/>
      <c r="CJ987" s="33"/>
      <c r="CK987" s="33"/>
      <c r="CL987" s="33"/>
      <c r="CM987" s="33"/>
      <c r="CN987" s="33"/>
      <c r="CO987" s="33"/>
      <c r="CP987" s="33"/>
      <c r="CQ987" s="33"/>
      <c r="CR987" s="33"/>
      <c r="CS987" s="33"/>
    </row>
    <row r="988" spans="1:97" ht="12.95" customHeight="1">
      <c r="A988" s="894"/>
      <c r="B988" s="128"/>
      <c r="C988" s="684"/>
      <c r="D988" s="1401" t="s">
        <v>1697</v>
      </c>
      <c r="E988" s="1401"/>
      <c r="F988" s="1401"/>
      <c r="G988" s="1401"/>
      <c r="H988" s="1401"/>
      <c r="I988" s="1401"/>
      <c r="J988" s="1401"/>
      <c r="K988" s="1401"/>
      <c r="L988" s="1401"/>
      <c r="M988" s="1401"/>
      <c r="N988" s="1401"/>
      <c r="O988" s="1401"/>
      <c r="P988" s="1401"/>
      <c r="Q988" s="1401"/>
      <c r="R988" s="1401"/>
      <c r="S988" s="1401"/>
      <c r="T988" s="1401"/>
      <c r="U988" s="1401"/>
      <c r="V988" s="1401"/>
      <c r="W988" s="1401"/>
      <c r="X988" s="1401"/>
      <c r="Y988" s="1401"/>
      <c r="Z988" s="1401"/>
      <c r="AA988" s="1401"/>
      <c r="AB988" s="1401"/>
      <c r="AC988" s="1401"/>
      <c r="AD988" s="1401"/>
      <c r="AE988" s="1401"/>
      <c r="AF988" s="1401"/>
      <c r="AG988" s="1401"/>
      <c r="AH988" s="1401"/>
      <c r="AI988" s="1402"/>
      <c r="AJ988" s="1403">
        <f>SUM(AJ939:AQ987)</f>
        <v>34955262</v>
      </c>
      <c r="AK988" s="1404"/>
      <c r="AL988" s="1404"/>
      <c r="AM988" s="1404"/>
      <c r="AN988" s="1404"/>
      <c r="AO988" s="1404"/>
      <c r="AP988" s="1404"/>
      <c r="AQ988" s="1405"/>
      <c r="AR988" s="33"/>
      <c r="AS988" s="33"/>
      <c r="AT988" s="33"/>
      <c r="AU988" s="33"/>
      <c r="AV988" s="33"/>
      <c r="AW988" s="33"/>
      <c r="AX988" s="33"/>
      <c r="AY988" s="33"/>
      <c r="AZ988" s="33"/>
      <c r="BA988" s="33"/>
      <c r="BB988" s="33"/>
      <c r="BC988" s="33"/>
      <c r="BD988" s="33"/>
      <c r="BE988" s="33"/>
      <c r="BF988" s="33"/>
      <c r="BG988" s="33"/>
      <c r="BH988" s="33"/>
      <c r="BI988" s="33"/>
      <c r="BJ988" s="33"/>
      <c r="BK988" s="33"/>
      <c r="BL988" s="33"/>
      <c r="BM988" s="33"/>
      <c r="BN988" s="33"/>
      <c r="BO988" s="33"/>
      <c r="BP988" s="33"/>
      <c r="BQ988" s="33"/>
      <c r="BR988" s="33"/>
      <c r="BS988" s="33"/>
      <c r="BT988" s="33"/>
      <c r="BU988" s="33"/>
      <c r="BV988" s="33"/>
      <c r="BW988" s="33"/>
      <c r="BX988" s="33"/>
      <c r="BY988" s="33"/>
      <c r="BZ988" s="33"/>
      <c r="CA988" s="33"/>
      <c r="CB988" s="33"/>
      <c r="CC988" s="33"/>
      <c r="CD988" s="33"/>
      <c r="CE988" s="33"/>
      <c r="CF988" s="33"/>
      <c r="CG988" s="33"/>
      <c r="CH988" s="33"/>
      <c r="CI988" s="33"/>
      <c r="CJ988" s="33"/>
      <c r="CK988" s="33"/>
      <c r="CL988" s="33"/>
      <c r="CM988" s="33"/>
      <c r="CN988" s="33"/>
      <c r="CO988" s="33"/>
      <c r="CP988" s="33"/>
      <c r="CQ988" s="33"/>
      <c r="CR988" s="33"/>
      <c r="CS988" s="33"/>
    </row>
    <row r="989" spans="1:97" ht="12.95" customHeight="1">
      <c r="A989" s="894"/>
      <c r="B989" s="18"/>
      <c r="C989" s="895"/>
      <c r="D989" s="262"/>
      <c r="E989" s="262"/>
      <c r="F989" s="262"/>
      <c r="G989" s="262"/>
      <c r="H989" s="262"/>
      <c r="I989" s="262"/>
      <c r="J989" s="262"/>
      <c r="K989" s="262"/>
      <c r="L989" s="262"/>
      <c r="M989" s="262"/>
      <c r="N989" s="262"/>
      <c r="O989" s="262"/>
      <c r="P989" s="262"/>
      <c r="Q989" s="262"/>
      <c r="R989" s="262"/>
      <c r="S989" s="262"/>
      <c r="T989" s="262"/>
      <c r="U989" s="262"/>
      <c r="V989" s="262"/>
      <c r="W989" s="262"/>
      <c r="X989" s="262"/>
      <c r="Y989" s="262"/>
      <c r="Z989" s="262"/>
      <c r="AA989" s="262"/>
      <c r="AB989" s="262"/>
      <c r="AC989" s="262"/>
      <c r="AD989" s="260"/>
      <c r="AE989" s="260"/>
      <c r="AF989" s="260"/>
      <c r="AG989" s="260"/>
      <c r="AH989" s="260"/>
      <c r="AI989" s="260"/>
      <c r="AJ989" s="260"/>
      <c r="AK989" s="260"/>
      <c r="AM989" s="33"/>
      <c r="AN989" s="33"/>
      <c r="AO989" s="33"/>
      <c r="AP989" s="33"/>
      <c r="AQ989" s="33"/>
      <c r="AR989" s="33"/>
      <c r="AS989" s="33"/>
      <c r="AT989" s="33"/>
      <c r="AU989" s="33"/>
      <c r="AV989" s="33"/>
      <c r="AW989" s="33"/>
      <c r="AX989" s="33"/>
      <c r="AY989" s="33"/>
      <c r="AZ989" s="33"/>
      <c r="BA989" s="33"/>
      <c r="BB989" s="33"/>
      <c r="BC989" s="33"/>
      <c r="BD989" s="33"/>
      <c r="BE989" s="33"/>
      <c r="BF989" s="33"/>
      <c r="BG989" s="33"/>
      <c r="BH989" s="33"/>
      <c r="BI989" s="33"/>
      <c r="BJ989" s="33"/>
      <c r="BK989" s="33"/>
      <c r="BL989" s="33"/>
      <c r="BM989" s="33"/>
      <c r="BN989" s="33"/>
      <c r="BO989" s="33"/>
      <c r="BP989" s="33"/>
      <c r="BQ989" s="33"/>
      <c r="BR989" s="33"/>
      <c r="BS989" s="33"/>
      <c r="BT989" s="33"/>
      <c r="BU989" s="33"/>
      <c r="BV989" s="33"/>
      <c r="BW989" s="33"/>
      <c r="BX989" s="33"/>
      <c r="BY989" s="33"/>
      <c r="BZ989" s="33"/>
      <c r="CA989" s="33"/>
      <c r="CB989" s="33"/>
      <c r="CC989" s="33"/>
      <c r="CD989" s="33"/>
      <c r="CE989" s="33"/>
      <c r="CF989" s="33"/>
      <c r="CG989" s="33"/>
      <c r="CH989" s="33"/>
      <c r="CI989" s="33"/>
      <c r="CJ989" s="33"/>
      <c r="CK989" s="33"/>
      <c r="CL989" s="33"/>
      <c r="CM989" s="33"/>
      <c r="CN989" s="33"/>
      <c r="CO989" s="33"/>
      <c r="CP989" s="33"/>
      <c r="CQ989" s="33"/>
      <c r="CR989" s="33"/>
      <c r="CS989" s="33"/>
    </row>
    <row r="990" spans="1:97" ht="12.95" customHeight="1">
      <c r="A990" s="894"/>
      <c r="B990" s="18"/>
      <c r="C990" s="895"/>
      <c r="D990" s="262"/>
      <c r="E990" s="262"/>
      <c r="F990" s="262"/>
      <c r="G990" s="262"/>
      <c r="H990" s="262"/>
      <c r="I990" s="262"/>
      <c r="J990" s="262"/>
      <c r="K990" s="262"/>
      <c r="L990" s="262"/>
      <c r="M990" s="262"/>
      <c r="N990" s="262"/>
      <c r="O990" s="262"/>
      <c r="P990" s="262"/>
      <c r="Q990" s="262"/>
      <c r="R990" s="262"/>
      <c r="S990" s="262"/>
      <c r="T990" s="262"/>
      <c r="U990" s="262"/>
      <c r="V990" s="262"/>
      <c r="W990" s="262"/>
      <c r="X990" s="262"/>
      <c r="Y990" s="262"/>
      <c r="Z990" s="262"/>
      <c r="AA990" s="262"/>
      <c r="AB990" s="262"/>
      <c r="AC990" s="262"/>
      <c r="AD990" s="260"/>
      <c r="AE990" s="260"/>
      <c r="AF990" s="260"/>
      <c r="AG990" s="260"/>
      <c r="AH990" s="260"/>
      <c r="AI990" s="260"/>
      <c r="AJ990" s="260"/>
      <c r="AK990" s="260"/>
      <c r="AM990" s="33"/>
      <c r="AN990" s="33"/>
      <c r="AO990" s="33"/>
      <c r="AP990" s="33"/>
      <c r="AQ990" s="33"/>
      <c r="AR990" s="33"/>
      <c r="AS990" s="33"/>
      <c r="AT990" s="33"/>
      <c r="AU990" s="33"/>
      <c r="AV990" s="33"/>
      <c r="AW990" s="33"/>
      <c r="AX990" s="33"/>
      <c r="AY990" s="33"/>
      <c r="AZ990" s="33"/>
      <c r="BA990" s="33"/>
      <c r="BB990" s="33"/>
      <c r="BC990" s="33"/>
      <c r="BD990" s="33"/>
      <c r="BE990" s="33"/>
      <c r="BF990" s="33"/>
      <c r="BG990" s="33"/>
      <c r="BH990" s="33"/>
      <c r="BI990" s="33"/>
      <c r="BJ990" s="33"/>
      <c r="BK990" s="33"/>
      <c r="BL990" s="33"/>
      <c r="BM990" s="33"/>
      <c r="BN990" s="33"/>
      <c r="BO990" s="33"/>
      <c r="BP990" s="33"/>
      <c r="BQ990" s="33"/>
      <c r="BR990" s="33"/>
      <c r="BS990" s="33"/>
      <c r="BT990" s="33"/>
      <c r="BU990" s="33"/>
      <c r="BV990" s="33"/>
      <c r="BW990" s="33"/>
      <c r="BX990" s="33"/>
      <c r="BY990" s="33"/>
      <c r="BZ990" s="33"/>
      <c r="CA990" s="33"/>
      <c r="CB990" s="33"/>
      <c r="CC990" s="33"/>
      <c r="CD990" s="33"/>
      <c r="CE990" s="33"/>
      <c r="CF990" s="33"/>
      <c r="CG990" s="33"/>
      <c r="CH990" s="33"/>
      <c r="CI990" s="33"/>
      <c r="CJ990" s="33"/>
      <c r="CK990" s="33"/>
      <c r="CL990" s="33"/>
      <c r="CM990" s="33"/>
      <c r="CN990" s="33"/>
      <c r="CO990" s="33"/>
      <c r="CP990" s="33"/>
      <c r="CQ990" s="33"/>
      <c r="CR990" s="33"/>
      <c r="CS990" s="33"/>
    </row>
    <row r="991" spans="1:97" ht="12.95" customHeight="1">
      <c r="A991" s="894"/>
      <c r="B991" s="18"/>
      <c r="C991" s="895"/>
      <c r="D991" s="261" t="s">
        <v>1698</v>
      </c>
      <c r="E991" s="262"/>
      <c r="F991" s="262"/>
      <c r="G991" s="262"/>
      <c r="H991" s="262"/>
      <c r="I991" s="262"/>
      <c r="J991" s="262"/>
      <c r="K991" s="262"/>
      <c r="L991" s="262"/>
      <c r="M991" s="262"/>
      <c r="N991" s="262"/>
      <c r="O991" s="262"/>
      <c r="P991" s="262"/>
      <c r="Q991" s="262"/>
      <c r="R991" s="262"/>
      <c r="S991" s="262"/>
      <c r="T991" s="262"/>
      <c r="U991" s="262"/>
      <c r="V991" s="262"/>
      <c r="W991" s="262"/>
      <c r="X991" s="262"/>
      <c r="Y991" s="262"/>
      <c r="Z991" s="262"/>
      <c r="AA991" s="262"/>
      <c r="AB991" s="262"/>
      <c r="AC991" s="262"/>
      <c r="AD991" s="260"/>
      <c r="AE991" s="260"/>
      <c r="AF991" s="260"/>
      <c r="AG991" s="260"/>
      <c r="AH991" s="260"/>
      <c r="AI991" s="260"/>
      <c r="AJ991" s="260"/>
      <c r="AK991" s="260"/>
      <c r="AM991" s="33"/>
      <c r="AN991" s="33"/>
      <c r="AO991" s="33"/>
      <c r="AP991" s="33"/>
      <c r="AQ991" s="33"/>
      <c r="AR991" s="33"/>
      <c r="AS991" s="33"/>
      <c r="AT991" s="33"/>
      <c r="AU991" s="33"/>
      <c r="AV991" s="33"/>
      <c r="AW991" s="33"/>
      <c r="AX991" s="33"/>
      <c r="AY991" s="33"/>
      <c r="AZ991" s="33"/>
      <c r="BA991" s="33"/>
      <c r="BB991" s="33"/>
      <c r="BC991" s="33"/>
      <c r="BD991" s="33"/>
      <c r="BE991" s="33"/>
      <c r="BF991" s="33"/>
      <c r="BG991" s="33"/>
      <c r="BH991" s="33"/>
      <c r="BI991" s="33"/>
      <c r="BJ991" s="33"/>
      <c r="BK991" s="33"/>
      <c r="BL991" s="33"/>
      <c r="BM991" s="33"/>
      <c r="BN991" s="33"/>
      <c r="BO991" s="33"/>
      <c r="BP991" s="33"/>
      <c r="BQ991" s="33"/>
      <c r="BR991" s="33"/>
      <c r="BS991" s="33"/>
      <c r="BT991" s="33"/>
      <c r="BU991" s="33"/>
      <c r="BV991" s="33"/>
      <c r="BW991" s="33"/>
      <c r="BX991" s="33"/>
      <c r="BY991" s="33"/>
      <c r="BZ991" s="33"/>
      <c r="CA991" s="33"/>
      <c r="CB991" s="33"/>
      <c r="CC991" s="33"/>
      <c r="CD991" s="33"/>
      <c r="CE991" s="33"/>
      <c r="CF991" s="33"/>
      <c r="CG991" s="33"/>
      <c r="CH991" s="33"/>
      <c r="CI991" s="33"/>
      <c r="CJ991" s="33"/>
      <c r="CK991" s="33"/>
      <c r="CL991" s="33"/>
      <c r="CM991" s="33"/>
      <c r="CN991" s="33"/>
      <c r="CO991" s="33"/>
      <c r="CP991" s="33"/>
      <c r="CQ991" s="33"/>
      <c r="CR991" s="33"/>
      <c r="CS991" s="33"/>
    </row>
    <row r="992" spans="1:97" ht="12.95" customHeight="1">
      <c r="A992" s="894"/>
      <c r="B992" s="18"/>
      <c r="C992" s="895"/>
      <c r="D992" s="896" t="s">
        <v>1699</v>
      </c>
      <c r="E992" s="897"/>
      <c r="F992" s="897"/>
      <c r="G992" s="897"/>
      <c r="H992" s="897"/>
      <c r="I992" s="897"/>
      <c r="J992" s="897"/>
      <c r="K992" s="897"/>
      <c r="L992" s="897"/>
      <c r="M992" s="897"/>
      <c r="N992" s="897"/>
      <c r="O992" s="897"/>
      <c r="P992" s="897"/>
      <c r="Q992" s="897"/>
      <c r="R992" s="897"/>
      <c r="S992" s="897"/>
      <c r="T992" s="897"/>
      <c r="U992" s="897"/>
      <c r="V992" s="897"/>
      <c r="W992" s="897"/>
      <c r="X992" s="1428">
        <f>'Sources and Uses Budget'!S106+'Sources and Uses Budget'!T106</f>
        <v>36181864.604807153</v>
      </c>
      <c r="Y992" s="1428"/>
      <c r="Z992" s="1428"/>
      <c r="AA992" s="1428"/>
      <c r="AB992" s="1428"/>
      <c r="AC992" s="1428"/>
      <c r="AD992" s="260"/>
      <c r="AE992" s="260"/>
      <c r="AF992" s="260"/>
      <c r="AG992" s="260"/>
      <c r="AH992" s="260"/>
      <c r="AI992" s="260"/>
      <c r="AJ992" s="260"/>
      <c r="AK992" s="260"/>
      <c r="AM992" s="33"/>
      <c r="AN992" s="33"/>
      <c r="AO992" s="33"/>
      <c r="AP992" s="33"/>
      <c r="AQ992" s="33"/>
      <c r="AR992" s="33"/>
      <c r="AS992" s="33"/>
      <c r="AT992" s="33"/>
      <c r="AU992" s="33"/>
      <c r="AV992" s="33"/>
      <c r="AW992" s="33"/>
      <c r="AX992" s="33"/>
      <c r="AY992" s="33"/>
      <c r="AZ992" s="33"/>
      <c r="BA992" s="33"/>
      <c r="BB992" s="33"/>
      <c r="BC992" s="33"/>
      <c r="BD992" s="33"/>
      <c r="BE992" s="33"/>
      <c r="BF992" s="33"/>
      <c r="BG992" s="33"/>
      <c r="BH992" s="33"/>
      <c r="BI992" s="33"/>
      <c r="BJ992" s="33"/>
      <c r="BK992" s="33"/>
      <c r="BL992" s="33"/>
      <c r="BM992" s="33"/>
      <c r="BN992" s="33"/>
      <c r="BO992" s="33"/>
      <c r="BP992" s="33"/>
      <c r="BQ992" s="33"/>
      <c r="BR992" s="33"/>
      <c r="BS992" s="33"/>
      <c r="BT992" s="33"/>
      <c r="BU992" s="33"/>
      <c r="BV992" s="33"/>
      <c r="BW992" s="33"/>
      <c r="BX992" s="33"/>
      <c r="BY992" s="33"/>
      <c r="BZ992" s="33"/>
      <c r="CA992" s="33"/>
      <c r="CB992" s="33"/>
      <c r="CC992" s="33"/>
      <c r="CD992" s="33"/>
      <c r="CE992" s="33"/>
      <c r="CF992" s="33"/>
      <c r="CG992" s="33"/>
      <c r="CH992" s="33"/>
      <c r="CI992" s="33"/>
      <c r="CJ992" s="33"/>
      <c r="CK992" s="33"/>
      <c r="CL992" s="33"/>
      <c r="CM992" s="33"/>
      <c r="CN992" s="33"/>
      <c r="CO992" s="33"/>
      <c r="CP992" s="33"/>
      <c r="CQ992" s="33"/>
      <c r="CR992" s="33"/>
      <c r="CS992" s="33"/>
    </row>
    <row r="993" spans="1:97" ht="12.95" customHeight="1">
      <c r="A993" s="894"/>
      <c r="B993" s="18"/>
      <c r="C993" s="895"/>
      <c r="D993" s="896"/>
      <c r="E993" s="896" t="s">
        <v>1700</v>
      </c>
      <c r="F993" s="897"/>
      <c r="G993" s="897"/>
      <c r="H993" s="897"/>
      <c r="I993" s="897"/>
      <c r="J993" s="897"/>
      <c r="K993" s="897"/>
      <c r="L993" s="897"/>
      <c r="M993" s="897"/>
      <c r="N993" s="897"/>
      <c r="O993" s="897"/>
      <c r="P993" s="897"/>
      <c r="Q993" s="897"/>
      <c r="R993" s="897"/>
      <c r="S993" s="897"/>
      <c r="T993" s="897"/>
      <c r="U993" s="897"/>
      <c r="V993" s="897"/>
      <c r="W993" s="897"/>
      <c r="X993" s="1422">
        <f>IFERROR(X992/AJ988,"")</f>
        <v>1.0350906425706994</v>
      </c>
      <c r="Y993" s="1423"/>
      <c r="Z993" s="1423"/>
      <c r="AA993" s="1423"/>
      <c r="AB993" s="1423"/>
      <c r="AC993" s="1424"/>
      <c r="AD993" s="260"/>
      <c r="AE993" s="260"/>
      <c r="AF993" s="260"/>
      <c r="AG993" s="260"/>
      <c r="AH993" s="260"/>
      <c r="AI993" s="260"/>
      <c r="AJ993" s="260"/>
      <c r="AK993" s="260"/>
      <c r="AM993" s="33"/>
      <c r="AN993" s="33"/>
      <c r="AO993" s="33"/>
      <c r="AP993" s="33"/>
      <c r="AQ993" s="33"/>
      <c r="AR993" s="33"/>
      <c r="AS993" s="33"/>
      <c r="AT993" s="33"/>
      <c r="AU993" s="33"/>
      <c r="AV993" s="33"/>
      <c r="AW993" s="33"/>
      <c r="AX993" s="33"/>
      <c r="AY993" s="33"/>
      <c r="AZ993" s="33"/>
      <c r="BA993" s="33"/>
      <c r="BB993" s="33"/>
      <c r="BC993" s="33"/>
      <c r="BD993" s="33"/>
      <c r="BE993" s="33"/>
      <c r="BF993" s="33"/>
      <c r="BG993" s="33"/>
      <c r="BH993" s="33"/>
      <c r="BI993" s="33"/>
      <c r="BJ993" s="33"/>
      <c r="BK993" s="33"/>
      <c r="BL993" s="33"/>
      <c r="BM993" s="33"/>
      <c r="BN993" s="33"/>
      <c r="BO993" s="33"/>
      <c r="BP993" s="33"/>
      <c r="BQ993" s="33"/>
      <c r="BR993" s="33"/>
      <c r="BS993" s="33"/>
      <c r="BT993" s="33"/>
      <c r="BU993" s="33"/>
      <c r="BV993" s="33"/>
      <c r="BW993" s="33"/>
      <c r="BX993" s="33"/>
      <c r="BY993" s="33"/>
      <c r="BZ993" s="33"/>
      <c r="CA993" s="33"/>
      <c r="CB993" s="33"/>
      <c r="CC993" s="33"/>
      <c r="CD993" s="33"/>
      <c r="CE993" s="33"/>
      <c r="CF993" s="33"/>
      <c r="CG993" s="33"/>
      <c r="CH993" s="33"/>
      <c r="CI993" s="33"/>
      <c r="CJ993" s="33"/>
      <c r="CK993" s="33"/>
      <c r="CL993" s="33"/>
      <c r="CM993" s="33"/>
      <c r="CN993" s="33"/>
      <c r="CO993" s="33"/>
      <c r="CP993" s="33"/>
      <c r="CQ993" s="33"/>
      <c r="CR993" s="33"/>
      <c r="CS993" s="33"/>
    </row>
    <row r="994" spans="1:97" ht="12.95" customHeight="1">
      <c r="A994" s="894"/>
      <c r="B994" s="18"/>
      <c r="C994" s="895"/>
      <c r="D994" s="1030"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30"/>
      <c r="F994" s="1030"/>
      <c r="G994" s="1030"/>
      <c r="H994" s="1030"/>
      <c r="I994" s="1030"/>
      <c r="J994" s="1030"/>
      <c r="K994" s="1030"/>
      <c r="L994" s="1030"/>
      <c r="M994" s="1030"/>
      <c r="N994" s="1030"/>
      <c r="O994" s="1030"/>
      <c r="P994" s="1030"/>
      <c r="Q994" s="1030"/>
      <c r="R994" s="1030"/>
      <c r="S994" s="1030"/>
      <c r="T994" s="1030"/>
      <c r="U994" s="1030"/>
      <c r="V994" s="1030"/>
      <c r="W994" s="1030"/>
      <c r="X994" s="1030"/>
      <c r="Y994" s="1030"/>
      <c r="Z994" s="1030"/>
      <c r="AA994" s="1030"/>
      <c r="AB994" s="1030"/>
      <c r="AC994" s="1030"/>
      <c r="AD994" s="1030"/>
      <c r="AE994" s="1030"/>
      <c r="AF994" s="1030"/>
      <c r="AG994" s="1030"/>
      <c r="AH994" s="1030"/>
      <c r="AI994" s="1030"/>
      <c r="AJ994" s="1030"/>
      <c r="AK994" s="1030"/>
      <c r="AM994" s="33"/>
      <c r="AN994" s="33"/>
      <c r="AO994" s="33"/>
      <c r="AP994" s="33"/>
      <c r="AQ994" s="33"/>
      <c r="AR994" s="33"/>
      <c r="AS994" s="33"/>
      <c r="AT994" s="33"/>
      <c r="AU994" s="33"/>
      <c r="AV994" s="33"/>
      <c r="AW994" s="33"/>
      <c r="AX994" s="33"/>
      <c r="AY994" s="33"/>
      <c r="AZ994" s="33"/>
      <c r="BA994" s="33"/>
      <c r="BB994" s="33"/>
      <c r="BC994" s="33"/>
      <c r="BD994" s="33"/>
      <c r="BE994" s="33"/>
      <c r="BF994" s="33"/>
      <c r="BG994" s="33"/>
      <c r="BH994" s="33"/>
      <c r="BI994" s="33"/>
      <c r="BJ994" s="33"/>
      <c r="BK994" s="33"/>
      <c r="BL994" s="33"/>
      <c r="BM994" s="33"/>
      <c r="BN994" s="33"/>
      <c r="BO994" s="33"/>
      <c r="BP994" s="33"/>
      <c r="BQ994" s="33"/>
      <c r="BR994" s="33"/>
      <c r="BS994" s="33"/>
      <c r="BT994" s="33"/>
      <c r="BU994" s="33"/>
      <c r="BV994" s="33"/>
      <c r="BW994" s="33"/>
      <c r="BX994" s="33"/>
      <c r="BY994" s="33"/>
      <c r="BZ994" s="33"/>
      <c r="CA994" s="33"/>
      <c r="CB994" s="33"/>
      <c r="CC994" s="33"/>
      <c r="CD994" s="33"/>
      <c r="CE994" s="33"/>
      <c r="CF994" s="33"/>
      <c r="CG994" s="33"/>
      <c r="CH994" s="33"/>
      <c r="CI994" s="33"/>
      <c r="CJ994" s="33"/>
      <c r="CK994" s="33"/>
      <c r="CL994" s="33"/>
      <c r="CM994" s="33"/>
      <c r="CN994" s="33"/>
      <c r="CO994" s="33"/>
      <c r="CP994" s="33"/>
      <c r="CQ994" s="33"/>
      <c r="CR994" s="33"/>
      <c r="CS994" s="33"/>
    </row>
    <row r="995" spans="1:97" ht="12.95" customHeight="1">
      <c r="A995" s="894"/>
      <c r="B995" s="18"/>
      <c r="C995" s="895"/>
      <c r="D995" s="1030"/>
      <c r="E995" s="1030"/>
      <c r="F995" s="1030"/>
      <c r="G995" s="1030"/>
      <c r="H995" s="1030"/>
      <c r="I995" s="1030"/>
      <c r="J995" s="1030"/>
      <c r="K995" s="1030"/>
      <c r="L995" s="1030"/>
      <c r="M995" s="1030"/>
      <c r="N995" s="1030"/>
      <c r="O995" s="1030"/>
      <c r="P995" s="1030"/>
      <c r="Q995" s="1030"/>
      <c r="R995" s="1030"/>
      <c r="S995" s="1030"/>
      <c r="T995" s="1030"/>
      <c r="U995" s="1030"/>
      <c r="V995" s="1030"/>
      <c r="W995" s="1030"/>
      <c r="X995" s="1030"/>
      <c r="Y995" s="1030"/>
      <c r="Z995" s="1030"/>
      <c r="AA995" s="1030"/>
      <c r="AB995" s="1030"/>
      <c r="AC995" s="1030"/>
      <c r="AD995" s="1030"/>
      <c r="AE995" s="1030"/>
      <c r="AF995" s="1030"/>
      <c r="AG995" s="1030"/>
      <c r="AH995" s="1030"/>
      <c r="AI995" s="1030"/>
      <c r="AJ995" s="1030"/>
      <c r="AK995" s="1030"/>
      <c r="AM995" s="33"/>
      <c r="AN995" s="33"/>
      <c r="AO995" s="33"/>
      <c r="AP995" s="33"/>
      <c r="AQ995" s="33"/>
      <c r="AR995" s="33"/>
      <c r="AS995" s="33"/>
      <c r="AT995" s="33"/>
      <c r="AU995" s="33"/>
      <c r="AV995" s="33"/>
      <c r="AW995" s="33"/>
      <c r="AX995" s="33"/>
      <c r="AY995" s="33"/>
      <c r="AZ995" s="33"/>
      <c r="BA995" s="33"/>
      <c r="BB995" s="33"/>
      <c r="BC995" s="33"/>
      <c r="BD995" s="33"/>
      <c r="BE995" s="33"/>
      <c r="BF995" s="33"/>
      <c r="BG995" s="33"/>
      <c r="BH995" s="33"/>
      <c r="BI995" s="33"/>
      <c r="BJ995" s="33"/>
      <c r="BK995" s="33"/>
      <c r="BL995" s="33"/>
      <c r="BM995" s="33"/>
      <c r="BN995" s="33"/>
      <c r="BO995" s="33"/>
      <c r="BP995" s="33"/>
      <c r="BQ995" s="33"/>
      <c r="BR995" s="33"/>
      <c r="BS995" s="33"/>
      <c r="BT995" s="33"/>
      <c r="BU995" s="33"/>
      <c r="BV995" s="33"/>
      <c r="BW995" s="33"/>
      <c r="BX995" s="33"/>
      <c r="BY995" s="33"/>
      <c r="BZ995" s="33"/>
      <c r="CA995" s="33"/>
      <c r="CB995" s="33"/>
      <c r="CC995" s="33"/>
      <c r="CD995" s="33"/>
      <c r="CE995" s="33"/>
      <c r="CF995" s="33"/>
      <c r="CG995" s="33"/>
      <c r="CH995" s="33"/>
      <c r="CI995" s="33"/>
      <c r="CJ995" s="33"/>
      <c r="CK995" s="33"/>
      <c r="CL995" s="33"/>
      <c r="CM995" s="33"/>
      <c r="CN995" s="33"/>
      <c r="CO995" s="33"/>
      <c r="CP995" s="33"/>
      <c r="CQ995" s="33"/>
      <c r="CR995" s="33"/>
      <c r="CS995" s="33"/>
    </row>
    <row r="996" spans="1:97" ht="12.95" customHeight="1">
      <c r="A996" s="894"/>
      <c r="C996" s="895"/>
      <c r="D996" s="1030"/>
      <c r="E996" s="1030"/>
      <c r="F996" s="1030"/>
      <c r="G996" s="1030"/>
      <c r="H996" s="1030"/>
      <c r="I996" s="1030"/>
      <c r="J996" s="1030"/>
      <c r="K996" s="1030"/>
      <c r="L996" s="1030"/>
      <c r="M996" s="1030"/>
      <c r="N996" s="1030"/>
      <c r="O996" s="1030"/>
      <c r="P996" s="1030"/>
      <c r="Q996" s="1030"/>
      <c r="R996" s="1030"/>
      <c r="S996" s="1030"/>
      <c r="T996" s="1030"/>
      <c r="U996" s="1030"/>
      <c r="V996" s="1030"/>
      <c r="W996" s="1030"/>
      <c r="X996" s="1030"/>
      <c r="Y996" s="1030"/>
      <c r="Z996" s="1030"/>
      <c r="AA996" s="1030"/>
      <c r="AB996" s="1030"/>
      <c r="AC996" s="1030"/>
      <c r="AD996" s="1030"/>
      <c r="AE996" s="1030"/>
      <c r="AF996" s="1030"/>
      <c r="AG996" s="1030"/>
      <c r="AH996" s="1030"/>
      <c r="AI996" s="1030"/>
      <c r="AJ996" s="1030"/>
      <c r="AK996" s="1030"/>
      <c r="AM996" s="33"/>
      <c r="AN996" s="33"/>
      <c r="AO996" s="33"/>
      <c r="AP996" s="33"/>
      <c r="AQ996" s="33"/>
      <c r="AR996" s="33"/>
      <c r="AS996" s="33"/>
      <c r="AT996" s="33"/>
      <c r="AU996" s="33"/>
      <c r="AV996" s="33"/>
      <c r="AW996" s="33"/>
      <c r="AX996" s="33"/>
      <c r="AY996" s="33"/>
      <c r="AZ996" s="33"/>
      <c r="BA996" s="33"/>
      <c r="BB996" s="33"/>
      <c r="BC996" s="33"/>
      <c r="BD996" s="33"/>
      <c r="BE996" s="33"/>
      <c r="BF996" s="33"/>
      <c r="BG996" s="33"/>
      <c r="BH996" s="33"/>
      <c r="BI996" s="33"/>
      <c r="BJ996" s="33"/>
      <c r="BK996" s="33"/>
      <c r="BL996" s="33"/>
      <c r="BM996" s="33"/>
      <c r="BN996" s="33"/>
      <c r="BO996" s="33"/>
      <c r="BP996" s="33"/>
      <c r="BQ996" s="33"/>
      <c r="BR996" s="33"/>
      <c r="BS996" s="33"/>
      <c r="BT996" s="33"/>
      <c r="BU996" s="33"/>
      <c r="BV996" s="33"/>
      <c r="BW996" s="33"/>
      <c r="BX996" s="33"/>
      <c r="BY996" s="33"/>
      <c r="BZ996" s="33"/>
      <c r="CA996" s="33"/>
      <c r="CB996" s="33"/>
      <c r="CC996" s="33"/>
      <c r="CD996" s="33"/>
      <c r="CE996" s="33"/>
      <c r="CF996" s="33"/>
      <c r="CG996" s="33"/>
      <c r="CH996" s="33"/>
      <c r="CI996" s="33"/>
      <c r="CJ996" s="33"/>
      <c r="CK996" s="33"/>
      <c r="CL996" s="33"/>
      <c r="CM996" s="33"/>
      <c r="CN996" s="33"/>
      <c r="CO996" s="33"/>
      <c r="CP996" s="33"/>
      <c r="CQ996" s="33"/>
      <c r="CR996" s="33"/>
      <c r="CS996" s="33"/>
    </row>
    <row r="997" spans="1:97" ht="12.95" hidden="1" customHeight="1">
      <c r="A997" s="894"/>
      <c r="B997" s="746"/>
      <c r="C997" s="746"/>
      <c r="D997" s="746"/>
      <c r="E997" s="746"/>
      <c r="F997" s="746"/>
      <c r="G997" s="746"/>
      <c r="H997" s="746"/>
      <c r="I997" s="746"/>
      <c r="J997" s="746"/>
      <c r="K997" s="746"/>
      <c r="L997" s="746"/>
      <c r="M997" s="746"/>
      <c r="N997" s="746"/>
      <c r="O997" s="746"/>
      <c r="P997" s="746"/>
      <c r="Q997" s="746"/>
      <c r="R997" s="746"/>
      <c r="S997" s="746"/>
      <c r="T997" s="746"/>
      <c r="U997" s="746"/>
      <c r="V997" s="746"/>
      <c r="W997" s="746"/>
      <c r="X997" s="746"/>
      <c r="Y997" s="746"/>
      <c r="Z997" s="746"/>
      <c r="AA997" s="746"/>
      <c r="AB997" s="746"/>
      <c r="AC997" s="746"/>
      <c r="AD997" s="746"/>
      <c r="AE997" s="746"/>
      <c r="AF997" s="746"/>
      <c r="AG997" s="746"/>
      <c r="AH997" s="746"/>
      <c r="AI997" s="746"/>
      <c r="AJ997" s="746"/>
      <c r="AK997" s="746"/>
      <c r="AM997" s="33"/>
      <c r="AN997" s="33"/>
      <c r="AO997" s="33"/>
      <c r="AP997" s="33"/>
      <c r="AQ997" s="33"/>
      <c r="AR997" s="33"/>
      <c r="AS997" s="33"/>
      <c r="AT997" s="33"/>
      <c r="AU997" s="33"/>
      <c r="AV997" s="33"/>
      <c r="AW997" s="33"/>
      <c r="AX997" s="33"/>
      <c r="AY997" s="33"/>
      <c r="AZ997" s="33"/>
      <c r="BA997" s="33"/>
      <c r="BB997" s="33"/>
      <c r="BC997" s="33"/>
      <c r="BD997" s="33"/>
      <c r="BE997" s="33"/>
      <c r="BF997" s="33"/>
      <c r="BG997" s="33"/>
      <c r="BH997" s="33"/>
      <c r="BI997" s="33"/>
      <c r="BJ997" s="33"/>
      <c r="BK997" s="33"/>
      <c r="BL997" s="33"/>
      <c r="BM997" s="33"/>
      <c r="BN997" s="33"/>
      <c r="BO997" s="33"/>
      <c r="BP997" s="33"/>
      <c r="BQ997" s="33"/>
      <c r="BR997" s="33"/>
      <c r="BS997" s="33"/>
      <c r="BT997" s="33"/>
      <c r="BU997" s="33"/>
      <c r="BV997" s="33"/>
      <c r="BW997" s="33"/>
      <c r="BX997" s="33"/>
      <c r="BY997" s="33"/>
      <c r="BZ997" s="33"/>
      <c r="CA997" s="33"/>
      <c r="CB997" s="33"/>
      <c r="CC997" s="33"/>
      <c r="CD997" s="33"/>
      <c r="CE997" s="33"/>
      <c r="CF997" s="33"/>
      <c r="CG997" s="33"/>
      <c r="CH997" s="33"/>
      <c r="CI997" s="33"/>
      <c r="CJ997" s="33"/>
      <c r="CK997" s="33"/>
      <c r="CL997" s="33"/>
      <c r="CM997" s="33"/>
      <c r="CN997" s="33"/>
      <c r="CO997" s="33"/>
      <c r="CP997" s="33"/>
      <c r="CQ997" s="33"/>
      <c r="CR997" s="33"/>
      <c r="CS997" s="33"/>
    </row>
    <row r="998" spans="1:97" ht="12.95" hidden="1" customHeight="1">
      <c r="A998" s="894"/>
      <c r="B998" s="746"/>
      <c r="C998" s="746"/>
      <c r="D998" s="746"/>
      <c r="E998" s="746"/>
      <c r="F998" s="746"/>
      <c r="G998" s="746"/>
      <c r="H998" s="746"/>
      <c r="I998" s="746"/>
      <c r="J998" s="746"/>
      <c r="K998" s="746"/>
      <c r="L998" s="746"/>
      <c r="M998" s="746"/>
      <c r="N998" s="746"/>
      <c r="O998" s="746"/>
      <c r="P998" s="746"/>
      <c r="Q998" s="746"/>
      <c r="R998" s="746"/>
      <c r="S998" s="746"/>
      <c r="T998" s="746"/>
      <c r="U998" s="746"/>
      <c r="V998" s="746"/>
      <c r="W998" s="746"/>
      <c r="X998" s="746"/>
      <c r="Y998" s="746"/>
      <c r="Z998" s="746"/>
      <c r="AA998" s="746"/>
      <c r="AB998" s="746"/>
      <c r="AC998" s="746"/>
      <c r="AD998" s="746"/>
      <c r="AE998" s="746"/>
      <c r="AF998" s="746"/>
      <c r="AG998" s="746"/>
      <c r="AH998" s="746"/>
      <c r="AI998" s="746"/>
      <c r="AJ998" s="746"/>
      <c r="AK998" s="746"/>
      <c r="AM998" s="33"/>
      <c r="AN998" s="33"/>
      <c r="AO998" s="33"/>
      <c r="AP998" s="33"/>
      <c r="AQ998" s="33"/>
      <c r="AR998" s="33"/>
      <c r="AS998" s="33"/>
      <c r="AT998" s="33"/>
      <c r="AU998" s="33"/>
      <c r="AV998" s="33"/>
      <c r="AW998" s="33"/>
      <c r="AX998" s="33"/>
      <c r="AY998" s="33"/>
      <c r="AZ998" s="33"/>
      <c r="BA998" s="33"/>
      <c r="BB998" s="33"/>
      <c r="BC998" s="33"/>
      <c r="BD998" s="33"/>
      <c r="BE998" s="33"/>
      <c r="BF998" s="33"/>
      <c r="BG998" s="33"/>
      <c r="BH998" s="33"/>
      <c r="BI998" s="33"/>
      <c r="BJ998" s="33"/>
      <c r="BK998" s="33"/>
      <c r="BL998" s="33"/>
      <c r="BM998" s="33"/>
      <c r="BN998" s="33"/>
      <c r="BO998" s="33"/>
      <c r="BP998" s="33"/>
      <c r="BQ998" s="33"/>
      <c r="BR998" s="33"/>
      <c r="BS998" s="33"/>
      <c r="BT998" s="33"/>
      <c r="BU998" s="33"/>
      <c r="BV998" s="33"/>
      <c r="BW998" s="33"/>
      <c r="BX998" s="33"/>
      <c r="BY998" s="33"/>
      <c r="BZ998" s="33"/>
      <c r="CA998" s="33"/>
      <c r="CB998" s="33"/>
      <c r="CC998" s="33"/>
      <c r="CD998" s="33"/>
      <c r="CE998" s="33"/>
      <c r="CF998" s="33"/>
      <c r="CG998" s="33"/>
      <c r="CH998" s="33"/>
      <c r="CI998" s="33"/>
      <c r="CJ998" s="33"/>
      <c r="CK998" s="33"/>
      <c r="CL998" s="33"/>
      <c r="CM998" s="33"/>
      <c r="CN998" s="33"/>
      <c r="CO998" s="33"/>
      <c r="CP998" s="33"/>
      <c r="CQ998" s="33"/>
      <c r="CR998" s="33"/>
      <c r="CS998" s="33"/>
    </row>
    <row r="999" spans="1:97" ht="12.95" customHeight="1">
      <c r="B999" s="1425"/>
      <c r="C999" s="1425"/>
      <c r="D999" s="1425"/>
      <c r="E999" s="1425"/>
      <c r="F999" s="1425"/>
      <c r="G999" s="1425"/>
      <c r="H999" s="1425"/>
      <c r="I999" s="1425"/>
      <c r="J999" s="1425"/>
      <c r="K999" s="1425"/>
      <c r="L999" s="1425"/>
      <c r="M999" s="1425"/>
      <c r="N999" s="1425"/>
      <c r="O999" s="1425"/>
      <c r="P999" s="1425"/>
      <c r="Q999" s="1425"/>
      <c r="R999" s="1425"/>
      <c r="S999" s="1425"/>
      <c r="T999" s="1425"/>
      <c r="U999" s="1425"/>
      <c r="V999" s="1425"/>
      <c r="W999" s="1425"/>
      <c r="X999" s="1425"/>
      <c r="Y999" s="1425"/>
      <c r="Z999" s="1425"/>
      <c r="AA999" s="1425"/>
      <c r="AB999" s="1425"/>
      <c r="AC999" s="1425"/>
      <c r="AD999" s="1425"/>
      <c r="AE999" s="1425"/>
      <c r="AF999" s="1425"/>
      <c r="AG999" s="1425"/>
      <c r="AH999" s="1425"/>
      <c r="AI999" s="1425"/>
      <c r="AJ999" s="1425"/>
      <c r="AK999" s="1425"/>
      <c r="AM999" s="33"/>
      <c r="AN999" s="33"/>
      <c r="AO999" s="33"/>
      <c r="AP999" s="33"/>
      <c r="AQ999" s="33"/>
      <c r="AR999" s="33"/>
      <c r="AS999" s="33"/>
      <c r="AT999" s="33"/>
      <c r="AU999" s="33"/>
      <c r="AV999" s="33"/>
      <c r="AW999" s="33"/>
      <c r="AX999" s="33"/>
      <c r="AY999" s="33"/>
      <c r="AZ999" s="33"/>
      <c r="BA999" s="33"/>
      <c r="BB999" s="33"/>
      <c r="BC999" s="33"/>
      <c r="BD999" s="33"/>
      <c r="BE999" s="33"/>
      <c r="BF999" s="33"/>
      <c r="BG999" s="33"/>
      <c r="BH999" s="33"/>
      <c r="BI999" s="33"/>
      <c r="BJ999" s="33"/>
      <c r="BK999" s="33"/>
      <c r="BL999" s="33"/>
      <c r="BM999" s="33"/>
      <c r="BN999" s="33"/>
      <c r="BO999" s="33"/>
      <c r="BP999" s="33"/>
      <c r="BQ999" s="33"/>
      <c r="BR999" s="33"/>
      <c r="BS999" s="33"/>
      <c r="BT999" s="33"/>
      <c r="BU999" s="33"/>
      <c r="BV999" s="33"/>
      <c r="BW999" s="33"/>
      <c r="BX999" s="33"/>
      <c r="BY999" s="33"/>
      <c r="BZ999" s="33"/>
      <c r="CA999" s="33"/>
      <c r="CB999" s="33"/>
      <c r="CC999" s="33"/>
      <c r="CD999" s="33"/>
      <c r="CE999" s="33"/>
      <c r="CF999" s="33"/>
      <c r="CG999" s="33"/>
      <c r="CH999" s="33"/>
      <c r="CI999" s="33"/>
      <c r="CJ999" s="33"/>
      <c r="CK999" s="33"/>
      <c r="CL999" s="33"/>
      <c r="CM999" s="33"/>
      <c r="CN999" s="33"/>
      <c r="CO999" s="33"/>
      <c r="CP999" s="33"/>
      <c r="CQ999" s="33"/>
      <c r="CR999" s="33"/>
      <c r="CS999" s="33"/>
    </row>
    <row r="1000" spans="1:97" ht="12.95" customHeight="1" thickBot="1">
      <c r="A1000" s="1421" t="s">
        <v>1701</v>
      </c>
      <c r="B1000" s="1421"/>
      <c r="C1000" s="1421"/>
      <c r="D1000" s="1421"/>
      <c r="E1000" s="1421"/>
      <c r="F1000" s="1421"/>
      <c r="G1000" s="1421"/>
      <c r="H1000" s="1421"/>
      <c r="I1000" s="1421"/>
      <c r="J1000" s="1421"/>
      <c r="K1000" s="1421"/>
      <c r="L1000" s="1421"/>
      <c r="M1000" s="1421"/>
      <c r="N1000" s="1421"/>
      <c r="O1000" s="1421"/>
      <c r="P1000" s="1421"/>
      <c r="Q1000" s="1421"/>
      <c r="R1000" s="1421"/>
      <c r="S1000" s="1421"/>
      <c r="T1000" s="1421"/>
      <c r="U1000" s="1421"/>
      <c r="V1000" s="1421"/>
      <c r="W1000" s="1421"/>
      <c r="X1000" s="1421"/>
      <c r="Y1000" s="1421"/>
      <c r="Z1000" s="1421"/>
      <c r="AA1000" s="1421"/>
      <c r="AB1000" s="1421"/>
      <c r="AC1000" s="1421"/>
      <c r="AD1000" s="1421"/>
      <c r="AE1000" s="1421"/>
      <c r="AF1000" s="1421"/>
      <c r="AG1000" s="1421"/>
      <c r="AH1000" s="1421"/>
      <c r="AI1000" s="1421"/>
      <c r="AJ1000" s="1421"/>
      <c r="AK1000" s="1421"/>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G1000" s="33"/>
      <c r="BH1000" s="33"/>
      <c r="BI1000" s="33"/>
      <c r="BJ1000" s="33"/>
      <c r="BK1000" s="33"/>
      <c r="BL1000" s="33"/>
      <c r="BM1000" s="33"/>
      <c r="BN1000" s="33"/>
      <c r="BO1000" s="33"/>
      <c r="BP1000" s="33"/>
      <c r="BQ1000" s="33"/>
      <c r="BR1000" s="33"/>
      <c r="BS1000" s="33"/>
      <c r="BT1000" s="33"/>
      <c r="BU1000" s="33"/>
      <c r="BV1000" s="33"/>
      <c r="BW1000" s="33"/>
      <c r="BX1000" s="33"/>
      <c r="BY1000" s="33"/>
      <c r="BZ1000" s="33"/>
      <c r="CA1000" s="33"/>
      <c r="CB1000" s="33"/>
      <c r="CC1000" s="33"/>
      <c r="CD1000" s="33"/>
      <c r="CE1000" s="33"/>
      <c r="CF1000" s="33"/>
      <c r="CG1000" s="33"/>
      <c r="CH1000" s="33"/>
      <c r="CI1000" s="33"/>
      <c r="CJ1000" s="33"/>
      <c r="CK1000" s="33"/>
      <c r="CL1000" s="33"/>
      <c r="CM1000" s="33"/>
      <c r="CN1000" s="33"/>
      <c r="CO1000" s="33"/>
      <c r="CP1000" s="33"/>
      <c r="CQ1000" s="33"/>
      <c r="CR1000" s="33"/>
      <c r="CS1000" s="33"/>
    </row>
    <row r="1001" spans="1:97" ht="12.95" customHeight="1" thickTop="1">
      <c r="A1001" s="815"/>
      <c r="B1001" s="815"/>
      <c r="C1001" s="815"/>
      <c r="D1001" s="815"/>
      <c r="E1001" s="815"/>
      <c r="F1001" s="815"/>
      <c r="G1001" s="815"/>
      <c r="H1001" s="815"/>
      <c r="I1001" s="815"/>
      <c r="J1001" s="815"/>
      <c r="K1001" s="815"/>
      <c r="L1001" s="815"/>
      <c r="M1001" s="815"/>
      <c r="N1001" s="815"/>
      <c r="O1001" s="815"/>
      <c r="P1001" s="815"/>
      <c r="Q1001" s="815"/>
      <c r="R1001" s="815"/>
      <c r="S1001" s="815"/>
      <c r="T1001" s="815"/>
      <c r="U1001" s="815"/>
      <c r="V1001" s="815"/>
      <c r="W1001" s="815"/>
      <c r="X1001" s="815"/>
      <c r="Y1001" s="815"/>
      <c r="Z1001" s="815"/>
      <c r="AA1001" s="815"/>
      <c r="AB1001" s="815"/>
      <c r="AC1001" s="815"/>
      <c r="AD1001" s="815"/>
      <c r="AE1001" s="815"/>
      <c r="AF1001" s="815"/>
      <c r="AG1001" s="815"/>
      <c r="AH1001" s="815"/>
      <c r="AI1001" s="815"/>
      <c r="AJ1001" s="815"/>
      <c r="AK1001" s="815"/>
      <c r="AM1001" s="33"/>
      <c r="AN1001" s="33"/>
      <c r="AO1001" s="33"/>
      <c r="AP1001" s="33"/>
      <c r="AQ1001" s="33"/>
      <c r="AR1001" s="33"/>
      <c r="AS1001" s="33"/>
      <c r="AT1001" s="33"/>
      <c r="AU1001" s="33"/>
      <c r="AV1001" s="33"/>
      <c r="AW1001" s="33"/>
      <c r="AX1001" s="33"/>
      <c r="AY1001" s="33"/>
      <c r="AZ1001" s="33"/>
      <c r="BA1001" s="33"/>
      <c r="BB1001" s="33"/>
      <c r="BC1001" s="33"/>
      <c r="BD1001" s="33"/>
      <c r="BE1001" s="33"/>
      <c r="BF1001" s="33"/>
      <c r="BG1001" s="33"/>
      <c r="BH1001" s="33"/>
      <c r="BI1001" s="33"/>
      <c r="BJ1001" s="33"/>
      <c r="BK1001" s="33"/>
      <c r="BL1001" s="33"/>
      <c r="BM1001" s="33"/>
      <c r="BN1001" s="33"/>
      <c r="BO1001" s="33"/>
      <c r="BP1001" s="33"/>
      <c r="BQ1001" s="33"/>
      <c r="BR1001" s="33"/>
      <c r="BS1001" s="33"/>
      <c r="BT1001" s="33"/>
      <c r="BU1001" s="33"/>
      <c r="BV1001" s="33"/>
      <c r="BW1001" s="33"/>
      <c r="BX1001" s="33"/>
      <c r="BY1001" s="33"/>
      <c r="BZ1001" s="33"/>
      <c r="CA1001" s="33"/>
      <c r="CB1001" s="33"/>
      <c r="CC1001" s="33"/>
      <c r="CD1001" s="33"/>
      <c r="CE1001" s="33"/>
      <c r="CF1001" s="33"/>
      <c r="CG1001" s="33"/>
      <c r="CH1001" s="33"/>
      <c r="CI1001" s="33"/>
      <c r="CJ1001" s="33"/>
      <c r="CK1001" s="33"/>
      <c r="CL1001" s="33"/>
      <c r="CM1001" s="33"/>
      <c r="CN1001" s="33"/>
      <c r="CO1001" s="33"/>
      <c r="CP1001" s="33"/>
      <c r="CQ1001" s="33"/>
      <c r="CR1001" s="33"/>
      <c r="CS1001" s="33"/>
    </row>
    <row r="1002" spans="1:97" ht="12.95" customHeight="1">
      <c r="A1002" s="769" t="s">
        <v>1702</v>
      </c>
      <c r="B1002" s="815"/>
      <c r="C1002" s="815"/>
      <c r="D1002" s="815"/>
      <c r="E1002" s="815"/>
      <c r="F1002" s="815"/>
      <c r="G1002" s="815"/>
      <c r="H1002" s="815"/>
      <c r="I1002" s="815"/>
      <c r="J1002" s="815"/>
      <c r="K1002" s="815"/>
      <c r="L1002" s="815"/>
      <c r="M1002" s="815"/>
      <c r="N1002" s="815"/>
      <c r="O1002" s="815"/>
      <c r="P1002" s="815"/>
      <c r="Q1002" s="815"/>
      <c r="R1002" s="815"/>
      <c r="S1002" s="815"/>
      <c r="T1002" s="815"/>
      <c r="U1002" s="815"/>
      <c r="V1002" s="815"/>
      <c r="W1002" s="815"/>
      <c r="X1002" s="815"/>
      <c r="Y1002" s="815"/>
      <c r="Z1002" s="815"/>
      <c r="AA1002" s="815"/>
      <c r="AB1002" s="815"/>
      <c r="AC1002" s="815"/>
      <c r="AD1002" s="815"/>
      <c r="AE1002" s="815"/>
      <c r="AF1002" s="815"/>
      <c r="AG1002" s="815"/>
      <c r="AH1002" s="815"/>
      <c r="AI1002" s="815"/>
      <c r="AJ1002" s="815"/>
      <c r="AK1002" s="815"/>
      <c r="AM1002" s="33"/>
      <c r="AN1002" s="33"/>
      <c r="AO1002" s="33"/>
      <c r="AP1002" s="33"/>
      <c r="AQ1002" s="33"/>
      <c r="AR1002" s="33"/>
      <c r="AS1002" s="33"/>
      <c r="AT1002" s="33"/>
      <c r="AU1002" s="33"/>
      <c r="AV1002" s="33"/>
      <c r="AW1002" s="33"/>
      <c r="AX1002" s="33"/>
      <c r="AY1002" s="33"/>
      <c r="AZ1002" s="33"/>
      <c r="BA1002" s="33"/>
      <c r="BB1002" s="33"/>
      <c r="BC1002" s="33"/>
      <c r="BD1002" s="33"/>
      <c r="BE1002" s="33"/>
      <c r="BF1002" s="33"/>
      <c r="BG1002" s="33"/>
      <c r="BH1002" s="33"/>
      <c r="BI1002" s="33"/>
      <c r="BJ1002" s="33"/>
      <c r="BK1002" s="33"/>
      <c r="BL1002" s="33"/>
      <c r="BM1002" s="33"/>
      <c r="BN1002" s="33"/>
      <c r="BO1002" s="33"/>
      <c r="BP1002" s="33"/>
      <c r="BQ1002" s="33"/>
      <c r="BR1002" s="33"/>
      <c r="BS1002" s="33"/>
      <c r="BT1002" s="33"/>
      <c r="BU1002" s="33"/>
      <c r="BV1002" s="33"/>
      <c r="BW1002" s="33"/>
      <c r="BX1002" s="33"/>
      <c r="BY1002" s="33"/>
      <c r="BZ1002" s="33"/>
      <c r="CA1002" s="33"/>
      <c r="CB1002" s="33"/>
      <c r="CC1002" s="33"/>
      <c r="CD1002" s="33"/>
      <c r="CE1002" s="33"/>
      <c r="CF1002" s="33"/>
      <c r="CG1002" s="33"/>
      <c r="CH1002" s="33"/>
      <c r="CI1002" s="33"/>
      <c r="CJ1002" s="33"/>
      <c r="CK1002" s="33"/>
      <c r="CL1002" s="33"/>
      <c r="CM1002" s="33"/>
      <c r="CN1002" s="33"/>
      <c r="CO1002" s="33"/>
      <c r="CP1002" s="33"/>
      <c r="CQ1002" s="33"/>
      <c r="CR1002" s="33"/>
      <c r="CS1002" s="33"/>
    </row>
    <row r="1003" spans="1:97" ht="12.95" customHeight="1">
      <c r="A1003" s="197" t="s">
        <v>1703</v>
      </c>
      <c r="B1003" s="18"/>
      <c r="C1003" s="18"/>
      <c r="D1003" s="18"/>
      <c r="E1003" s="18"/>
      <c r="F1003" s="18"/>
      <c r="G1003" s="18"/>
      <c r="H1003" s="18"/>
      <c r="I1003" s="18"/>
      <c r="J1003" s="18"/>
      <c r="K1003" s="18"/>
      <c r="L1003" s="18"/>
      <c r="M1003" s="18"/>
      <c r="N1003" s="18"/>
      <c r="O1003" s="18"/>
      <c r="P1003" s="18"/>
      <c r="Q1003" s="815"/>
      <c r="R1003" s="815"/>
      <c r="S1003" s="815"/>
      <c r="T1003" s="815"/>
      <c r="U1003" s="815"/>
      <c r="V1003" s="815"/>
      <c r="W1003" s="815"/>
      <c r="X1003" s="815"/>
      <c r="Y1003" s="815"/>
      <c r="Z1003" s="815"/>
      <c r="AA1003" s="815"/>
      <c r="AB1003" s="815"/>
      <c r="AC1003" s="815"/>
      <c r="AJ1003" s="18"/>
      <c r="AK1003" s="18"/>
      <c r="AM1003" s="33"/>
      <c r="AN1003" s="33"/>
      <c r="AO1003" s="33"/>
      <c r="AP1003" s="33"/>
      <c r="AQ1003" s="33"/>
      <c r="AR1003" s="33"/>
      <c r="AS1003" s="33"/>
      <c r="AT1003" s="33"/>
      <c r="AU1003" s="33"/>
      <c r="AV1003" s="33"/>
      <c r="AW1003" s="33"/>
      <c r="AX1003" s="33"/>
      <c r="AY1003" s="33"/>
      <c r="AZ1003" s="33"/>
      <c r="BA1003" s="33"/>
      <c r="BB1003" s="33"/>
      <c r="BC1003" s="33"/>
      <c r="BD1003" s="33"/>
      <c r="BE1003" s="33"/>
      <c r="BF1003" s="33"/>
      <c r="BG1003" s="33"/>
      <c r="BH1003" s="33"/>
      <c r="BI1003" s="33"/>
      <c r="BJ1003" s="33"/>
      <c r="BK1003" s="33"/>
      <c r="BL1003" s="33"/>
      <c r="BM1003" s="33"/>
      <c r="BN1003" s="33"/>
      <c r="BO1003" s="33"/>
      <c r="BP1003" s="33"/>
      <c r="BQ1003" s="33"/>
      <c r="BR1003" s="33"/>
      <c r="BS1003" s="33"/>
      <c r="BT1003" s="33"/>
      <c r="BU1003" s="33"/>
      <c r="BV1003" s="33"/>
      <c r="BW1003" s="33"/>
      <c r="BX1003" s="33"/>
      <c r="BY1003" s="33"/>
      <c r="BZ1003" s="33"/>
      <c r="CA1003" s="33"/>
      <c r="CB1003" s="33"/>
      <c r="CC1003" s="33"/>
      <c r="CD1003" s="33"/>
      <c r="CE1003" s="33"/>
      <c r="CF1003" s="33"/>
      <c r="CG1003" s="33"/>
      <c r="CH1003" s="33"/>
      <c r="CI1003" s="33"/>
      <c r="CJ1003" s="33"/>
      <c r="CK1003" s="33"/>
      <c r="CL1003" s="33"/>
      <c r="CM1003" s="33"/>
      <c r="CN1003" s="33"/>
      <c r="CO1003" s="33"/>
      <c r="CP1003" s="33"/>
      <c r="CQ1003" s="33"/>
      <c r="CR1003" s="33"/>
      <c r="CS1003" s="33"/>
    </row>
    <row r="1004" spans="1:97" s="18" customFormat="1" ht="12.95" customHeight="1">
      <c r="A1004" s="1180" t="s">
        <v>325</v>
      </c>
      <c r="B1004" s="1180"/>
      <c r="C1004" s="11">
        <v>1</v>
      </c>
      <c r="D1004" s="928" t="s">
        <v>1704</v>
      </c>
      <c r="E1004" s="928"/>
      <c r="F1004" s="928"/>
      <c r="G1004" s="928"/>
      <c r="H1004" s="928"/>
      <c r="I1004" s="928"/>
      <c r="J1004" s="928"/>
      <c r="K1004" s="928"/>
      <c r="L1004" s="928"/>
      <c r="M1004" s="928"/>
      <c r="N1004" s="928"/>
      <c r="O1004" s="928"/>
      <c r="P1004" s="928"/>
      <c r="Q1004" s="928"/>
      <c r="R1004" s="928"/>
      <c r="S1004" s="928"/>
      <c r="T1004" s="928"/>
      <c r="U1004" s="928"/>
      <c r="V1004" s="928"/>
      <c r="W1004" s="928"/>
      <c r="X1004" s="928"/>
      <c r="Y1004" s="928"/>
      <c r="Z1004" s="928"/>
      <c r="AA1004" s="928"/>
      <c r="AB1004" s="928"/>
      <c r="AC1004" s="928"/>
      <c r="AD1004" s="928"/>
      <c r="AE1004" s="928"/>
      <c r="AF1004" s="928"/>
      <c r="AG1004" s="928"/>
      <c r="AH1004" s="928"/>
      <c r="AI1004" s="928"/>
      <c r="AJ1004" s="928"/>
      <c r="AK1004" s="928"/>
      <c r="AL1004"/>
      <c r="AM1004" s="30"/>
      <c r="AN1004" s="30"/>
    </row>
    <row r="1005" spans="1:97" s="18" customFormat="1" ht="12.95" customHeight="1">
      <c r="A1005" s="781"/>
      <c r="B1005" s="781"/>
      <c r="C1005" s="11"/>
      <c r="D1005" s="928"/>
      <c r="E1005" s="928"/>
      <c r="F1005" s="928"/>
      <c r="G1005" s="928"/>
      <c r="H1005" s="928"/>
      <c r="I1005" s="928"/>
      <c r="J1005" s="928"/>
      <c r="K1005" s="928"/>
      <c r="L1005" s="928"/>
      <c r="M1005" s="928"/>
      <c r="N1005" s="928"/>
      <c r="O1005" s="928"/>
      <c r="P1005" s="928"/>
      <c r="Q1005" s="928"/>
      <c r="R1005" s="928"/>
      <c r="S1005" s="928"/>
      <c r="T1005" s="928"/>
      <c r="U1005" s="928"/>
      <c r="V1005" s="928"/>
      <c r="W1005" s="928"/>
      <c r="X1005" s="928"/>
      <c r="Y1005" s="928"/>
      <c r="Z1005" s="928"/>
      <c r="AA1005" s="928"/>
      <c r="AB1005" s="928"/>
      <c r="AC1005" s="928"/>
      <c r="AD1005" s="928"/>
      <c r="AE1005" s="928"/>
      <c r="AF1005" s="928"/>
      <c r="AG1005" s="928"/>
      <c r="AH1005" s="928"/>
      <c r="AI1005" s="928"/>
      <c r="AJ1005" s="928"/>
      <c r="AK1005" s="928"/>
      <c r="AL1005"/>
      <c r="AM1005" s="30"/>
      <c r="AN1005" s="30"/>
    </row>
    <row r="1006" spans="1:97" s="18" customFormat="1" ht="12.95" customHeight="1">
      <c r="A1006" s="781"/>
      <c r="B1006" s="781"/>
      <c r="C1006" s="11"/>
      <c r="D1006" s="928"/>
      <c r="E1006" s="928"/>
      <c r="F1006" s="928"/>
      <c r="G1006" s="928"/>
      <c r="H1006" s="928"/>
      <c r="I1006" s="928"/>
      <c r="J1006" s="928"/>
      <c r="K1006" s="928"/>
      <c r="L1006" s="928"/>
      <c r="M1006" s="928"/>
      <c r="N1006" s="928"/>
      <c r="O1006" s="928"/>
      <c r="P1006" s="928"/>
      <c r="Q1006" s="928"/>
      <c r="R1006" s="928"/>
      <c r="S1006" s="928"/>
      <c r="T1006" s="928"/>
      <c r="U1006" s="928"/>
      <c r="V1006" s="928"/>
      <c r="W1006" s="928"/>
      <c r="X1006" s="928"/>
      <c r="Y1006" s="928"/>
      <c r="Z1006" s="928"/>
      <c r="AA1006" s="928"/>
      <c r="AB1006" s="928"/>
      <c r="AC1006" s="928"/>
      <c r="AD1006" s="928"/>
      <c r="AE1006" s="928"/>
      <c r="AF1006" s="928"/>
      <c r="AG1006" s="928"/>
      <c r="AH1006" s="928"/>
      <c r="AI1006" s="928"/>
      <c r="AJ1006" s="928"/>
      <c r="AK1006" s="928"/>
      <c r="AL1006"/>
      <c r="AM1006" s="30"/>
      <c r="AN1006" s="30"/>
    </row>
    <row r="1007" spans="1:97" s="18" customFormat="1" ht="12.95" customHeight="1">
      <c r="A1007" s="781"/>
      <c r="B1007" s="781"/>
      <c r="C1007" s="11"/>
      <c r="D1007" s="928"/>
      <c r="E1007" s="928"/>
      <c r="F1007" s="928"/>
      <c r="G1007" s="928"/>
      <c r="H1007" s="928"/>
      <c r="I1007" s="928"/>
      <c r="J1007" s="928"/>
      <c r="K1007" s="928"/>
      <c r="L1007" s="928"/>
      <c r="M1007" s="928"/>
      <c r="N1007" s="928"/>
      <c r="O1007" s="928"/>
      <c r="P1007" s="928"/>
      <c r="Q1007" s="928"/>
      <c r="R1007" s="928"/>
      <c r="S1007" s="928"/>
      <c r="T1007" s="928"/>
      <c r="U1007" s="928"/>
      <c r="V1007" s="928"/>
      <c r="W1007" s="928"/>
      <c r="X1007" s="928"/>
      <c r="Y1007" s="928"/>
      <c r="Z1007" s="928"/>
      <c r="AA1007" s="928"/>
      <c r="AB1007" s="928"/>
      <c r="AC1007" s="928"/>
      <c r="AD1007" s="928"/>
      <c r="AE1007" s="928"/>
      <c r="AF1007" s="928"/>
      <c r="AG1007" s="928"/>
      <c r="AH1007" s="928"/>
      <c r="AI1007" s="928"/>
      <c r="AJ1007" s="928"/>
      <c r="AK1007" s="928"/>
      <c r="AL1007"/>
      <c r="AM1007" s="30"/>
      <c r="AN1007" s="30"/>
    </row>
    <row r="1008" spans="1:97" s="18" customFormat="1" ht="12.95" customHeight="1">
      <c r="A1008" s="781"/>
      <c r="B1008" s="781"/>
      <c r="C1008" s="11"/>
      <c r="D1008" s="928"/>
      <c r="E1008" s="928"/>
      <c r="F1008" s="928"/>
      <c r="G1008" s="928"/>
      <c r="H1008" s="928"/>
      <c r="I1008" s="928"/>
      <c r="J1008" s="928"/>
      <c r="K1008" s="928"/>
      <c r="L1008" s="928"/>
      <c r="M1008" s="928"/>
      <c r="N1008" s="928"/>
      <c r="O1008" s="928"/>
      <c r="P1008" s="928"/>
      <c r="Q1008" s="928"/>
      <c r="R1008" s="928"/>
      <c r="S1008" s="928"/>
      <c r="T1008" s="928"/>
      <c r="U1008" s="928"/>
      <c r="V1008" s="928"/>
      <c r="W1008" s="928"/>
      <c r="X1008" s="928"/>
      <c r="Y1008" s="928"/>
      <c r="Z1008" s="928"/>
      <c r="AA1008" s="928"/>
      <c r="AB1008" s="928"/>
      <c r="AC1008" s="928"/>
      <c r="AD1008" s="928"/>
      <c r="AE1008" s="928"/>
      <c r="AF1008" s="928"/>
      <c r="AG1008" s="928"/>
      <c r="AH1008" s="928"/>
      <c r="AI1008" s="928"/>
      <c r="AJ1008" s="928"/>
      <c r="AK1008" s="928"/>
      <c r="AL1008"/>
      <c r="AM1008" s="30"/>
      <c r="AN1008" s="30"/>
    </row>
    <row r="1009" spans="1:97" s="18" customFormat="1" ht="12.95" customHeight="1">
      <c r="A1009" s="2"/>
      <c r="B1009" s="25"/>
      <c r="C1009" s="11"/>
      <c r="D1009" s="928"/>
      <c r="E1009" s="928"/>
      <c r="F1009" s="928"/>
      <c r="G1009" s="928"/>
      <c r="H1009" s="928"/>
      <c r="I1009" s="928"/>
      <c r="J1009" s="928"/>
      <c r="K1009" s="928"/>
      <c r="L1009" s="928"/>
      <c r="M1009" s="928"/>
      <c r="N1009" s="928"/>
      <c r="O1009" s="928"/>
      <c r="P1009" s="928"/>
      <c r="Q1009" s="928"/>
      <c r="R1009" s="928"/>
      <c r="S1009" s="928"/>
      <c r="T1009" s="928"/>
      <c r="U1009" s="928"/>
      <c r="V1009" s="928"/>
      <c r="W1009" s="928"/>
      <c r="X1009" s="928"/>
      <c r="Y1009" s="928"/>
      <c r="Z1009" s="928"/>
      <c r="AA1009" s="928"/>
      <c r="AB1009" s="928"/>
      <c r="AC1009" s="928"/>
      <c r="AD1009" s="928"/>
      <c r="AE1009" s="928"/>
      <c r="AF1009" s="928"/>
      <c r="AG1009" s="928"/>
      <c r="AH1009" s="928"/>
      <c r="AI1009" s="928"/>
      <c r="AJ1009" s="928"/>
      <c r="AK1009" s="928"/>
      <c r="AL1009"/>
      <c r="AM1009" s="30"/>
      <c r="AN1009" s="30"/>
    </row>
    <row r="1010" spans="1:97" s="18" customFormat="1" ht="12.95" customHeight="1">
      <c r="A1010" s="1180" t="s">
        <v>325</v>
      </c>
      <c r="B1010" s="1180"/>
      <c r="C1010" s="11">
        <v>2</v>
      </c>
      <c r="D1010" s="928" t="s">
        <v>1705</v>
      </c>
      <c r="E1010" s="928"/>
      <c r="F1010" s="928"/>
      <c r="G1010" s="928"/>
      <c r="H1010" s="928"/>
      <c r="I1010" s="928"/>
      <c r="J1010" s="928"/>
      <c r="K1010" s="928"/>
      <c r="L1010" s="928"/>
      <c r="M1010" s="928"/>
      <c r="N1010" s="928"/>
      <c r="O1010" s="928"/>
      <c r="P1010" s="928"/>
      <c r="Q1010" s="928"/>
      <c r="R1010" s="928"/>
      <c r="S1010" s="928"/>
      <c r="T1010" s="928"/>
      <c r="U1010" s="928"/>
      <c r="V1010" s="928"/>
      <c r="W1010" s="928"/>
      <c r="X1010" s="928"/>
      <c r="Y1010" s="928"/>
      <c r="Z1010" s="928"/>
      <c r="AA1010" s="928"/>
      <c r="AB1010" s="928"/>
      <c r="AC1010" s="928"/>
      <c r="AD1010" s="928"/>
      <c r="AE1010" s="928"/>
      <c r="AF1010" s="928"/>
      <c r="AG1010" s="928"/>
      <c r="AH1010" s="928"/>
      <c r="AI1010" s="928"/>
      <c r="AJ1010" s="928"/>
      <c r="AK1010" s="928"/>
      <c r="AL1010"/>
      <c r="AM1010" s="30"/>
      <c r="AN1010" s="30"/>
    </row>
    <row r="1011" spans="1:97" s="18" customFormat="1" ht="12.95" customHeight="1">
      <c r="A1011" s="781"/>
      <c r="B1011" s="781"/>
      <c r="C1011" s="11"/>
      <c r="D1011" s="928"/>
      <c r="E1011" s="928"/>
      <c r="F1011" s="928"/>
      <c r="G1011" s="928"/>
      <c r="H1011" s="928"/>
      <c r="I1011" s="928"/>
      <c r="J1011" s="928"/>
      <c r="K1011" s="928"/>
      <c r="L1011" s="928"/>
      <c r="M1011" s="928"/>
      <c r="N1011" s="928"/>
      <c r="O1011" s="928"/>
      <c r="P1011" s="928"/>
      <c r="Q1011" s="928"/>
      <c r="R1011" s="928"/>
      <c r="S1011" s="928"/>
      <c r="T1011" s="928"/>
      <c r="U1011" s="928"/>
      <c r="V1011" s="928"/>
      <c r="W1011" s="928"/>
      <c r="X1011" s="928"/>
      <c r="Y1011" s="928"/>
      <c r="Z1011" s="928"/>
      <c r="AA1011" s="928"/>
      <c r="AB1011" s="928"/>
      <c r="AC1011" s="928"/>
      <c r="AD1011" s="928"/>
      <c r="AE1011" s="928"/>
      <c r="AF1011" s="928"/>
      <c r="AG1011" s="928"/>
      <c r="AH1011" s="928"/>
      <c r="AI1011" s="928"/>
      <c r="AJ1011" s="928"/>
      <c r="AK1011" s="928"/>
      <c r="AL1011"/>
      <c r="AM1011" s="30"/>
      <c r="AN1011" s="30"/>
    </row>
    <row r="1012" spans="1:97" s="18" customFormat="1" ht="12.95" customHeight="1">
      <c r="A1012" s="781"/>
      <c r="B1012" s="781"/>
      <c r="C1012" s="11"/>
      <c r="D1012" s="928"/>
      <c r="E1012" s="928"/>
      <c r="F1012" s="928"/>
      <c r="G1012" s="928"/>
      <c r="H1012" s="928"/>
      <c r="I1012" s="928"/>
      <c r="J1012" s="928"/>
      <c r="K1012" s="928"/>
      <c r="L1012" s="928"/>
      <c r="M1012" s="928"/>
      <c r="N1012" s="928"/>
      <c r="O1012" s="928"/>
      <c r="P1012" s="928"/>
      <c r="Q1012" s="928"/>
      <c r="R1012" s="928"/>
      <c r="S1012" s="928"/>
      <c r="T1012" s="928"/>
      <c r="U1012" s="928"/>
      <c r="V1012" s="928"/>
      <c r="W1012" s="928"/>
      <c r="X1012" s="928"/>
      <c r="Y1012" s="928"/>
      <c r="Z1012" s="928"/>
      <c r="AA1012" s="928"/>
      <c r="AB1012" s="928"/>
      <c r="AC1012" s="928"/>
      <c r="AD1012" s="928"/>
      <c r="AE1012" s="928"/>
      <c r="AF1012" s="928"/>
      <c r="AG1012" s="928"/>
      <c r="AH1012" s="928"/>
      <c r="AI1012" s="928"/>
      <c r="AJ1012" s="928"/>
      <c r="AK1012" s="928"/>
      <c r="AL1012"/>
    </row>
    <row r="1013" spans="1:97" s="18" customFormat="1" ht="12.95" customHeight="1">
      <c r="A1013" s="781"/>
      <c r="B1013" s="781"/>
      <c r="C1013" s="11"/>
      <c r="D1013" s="928"/>
      <c r="E1013" s="928"/>
      <c r="F1013" s="928"/>
      <c r="G1013" s="928"/>
      <c r="H1013" s="928"/>
      <c r="I1013" s="928"/>
      <c r="J1013" s="928"/>
      <c r="K1013" s="928"/>
      <c r="L1013" s="928"/>
      <c r="M1013" s="928"/>
      <c r="N1013" s="928"/>
      <c r="O1013" s="928"/>
      <c r="P1013" s="928"/>
      <c r="Q1013" s="928"/>
      <c r="R1013" s="928"/>
      <c r="S1013" s="928"/>
      <c r="T1013" s="928"/>
      <c r="U1013" s="928"/>
      <c r="V1013" s="928"/>
      <c r="W1013" s="928"/>
      <c r="X1013" s="928"/>
      <c r="Y1013" s="928"/>
      <c r="Z1013" s="928"/>
      <c r="AA1013" s="928"/>
      <c r="AB1013" s="928"/>
      <c r="AC1013" s="928"/>
      <c r="AD1013" s="928"/>
      <c r="AE1013" s="928"/>
      <c r="AF1013" s="928"/>
      <c r="AG1013" s="928"/>
      <c r="AH1013" s="928"/>
      <c r="AI1013" s="928"/>
      <c r="AJ1013" s="928"/>
      <c r="AK1013" s="928"/>
      <c r="AL1013"/>
    </row>
    <row r="1014" spans="1:97" s="18" customFormat="1" ht="12.95" customHeight="1">
      <c r="A1014" s="781"/>
      <c r="B1014" s="781"/>
      <c r="C1014" s="11"/>
      <c r="D1014" s="928"/>
      <c r="E1014" s="928"/>
      <c r="F1014" s="928"/>
      <c r="G1014" s="928"/>
      <c r="H1014" s="928"/>
      <c r="I1014" s="928"/>
      <c r="J1014" s="928"/>
      <c r="K1014" s="928"/>
      <c r="L1014" s="928"/>
      <c r="M1014" s="928"/>
      <c r="N1014" s="928"/>
      <c r="O1014" s="928"/>
      <c r="P1014" s="928"/>
      <c r="Q1014" s="928"/>
      <c r="R1014" s="928"/>
      <c r="S1014" s="928"/>
      <c r="T1014" s="928"/>
      <c r="U1014" s="928"/>
      <c r="V1014" s="928"/>
      <c r="W1014" s="928"/>
      <c r="X1014" s="928"/>
      <c r="Y1014" s="928"/>
      <c r="Z1014" s="928"/>
      <c r="AA1014" s="928"/>
      <c r="AB1014" s="928"/>
      <c r="AC1014" s="928"/>
      <c r="AD1014" s="928"/>
      <c r="AE1014" s="928"/>
      <c r="AF1014" s="928"/>
      <c r="AG1014" s="928"/>
      <c r="AH1014" s="928"/>
      <c r="AI1014" s="928"/>
      <c r="AJ1014" s="928"/>
      <c r="AK1014" s="928"/>
      <c r="AL1014"/>
    </row>
    <row r="1015" spans="1:97" ht="12.95" customHeight="1">
      <c r="A1015" s="781"/>
      <c r="B1015" s="781"/>
      <c r="C1015" s="11"/>
      <c r="D1015" s="928"/>
      <c r="E1015" s="928"/>
      <c r="F1015" s="928"/>
      <c r="G1015" s="928"/>
      <c r="H1015" s="928"/>
      <c r="I1015" s="928"/>
      <c r="J1015" s="928"/>
      <c r="K1015" s="928"/>
      <c r="L1015" s="928"/>
      <c r="M1015" s="928"/>
      <c r="N1015" s="928"/>
      <c r="O1015" s="928"/>
      <c r="P1015" s="928"/>
      <c r="Q1015" s="928"/>
      <c r="R1015" s="928"/>
      <c r="S1015" s="928"/>
      <c r="T1015" s="928"/>
      <c r="U1015" s="928"/>
      <c r="V1015" s="928"/>
      <c r="W1015" s="928"/>
      <c r="X1015" s="928"/>
      <c r="Y1015" s="928"/>
      <c r="Z1015" s="928"/>
      <c r="AA1015" s="928"/>
      <c r="AB1015" s="928"/>
      <c r="AC1015" s="928"/>
      <c r="AD1015" s="928"/>
      <c r="AE1015" s="928"/>
      <c r="AF1015" s="928"/>
      <c r="AG1015" s="928"/>
      <c r="AH1015" s="928"/>
      <c r="AI1015" s="928"/>
      <c r="AJ1015" s="928"/>
      <c r="AK1015" s="928"/>
      <c r="AM1015" s="30"/>
      <c r="AN1015" s="30"/>
      <c r="AO1015" s="18"/>
      <c r="AP1015" s="18"/>
      <c r="AQ1015" s="18"/>
      <c r="AR1015" s="18"/>
      <c r="AS1015" s="18"/>
      <c r="AT1015" s="18"/>
      <c r="AU1015" s="18"/>
      <c r="AV1015" s="18"/>
      <c r="AW1015" s="18"/>
      <c r="AX1015" s="18"/>
      <c r="AY1015" s="18"/>
      <c r="AZ1015" s="18"/>
      <c r="BA1015" s="18"/>
      <c r="BO1015" s="33"/>
      <c r="BP1015" s="33"/>
      <c r="BQ1015" s="33"/>
      <c r="BR1015" s="33"/>
      <c r="BS1015" s="33"/>
      <c r="BT1015" s="33"/>
      <c r="BU1015" s="33"/>
      <c r="BV1015" s="33"/>
      <c r="BW1015" s="33"/>
      <c r="BX1015" s="33"/>
      <c r="BY1015" s="33"/>
      <c r="BZ1015" s="33"/>
      <c r="CA1015" s="33"/>
      <c r="CB1015" s="33"/>
      <c r="CC1015" s="33"/>
      <c r="CD1015" s="33"/>
      <c r="CE1015" s="33"/>
      <c r="CF1015" s="33"/>
      <c r="CG1015" s="33"/>
      <c r="CH1015" s="33"/>
      <c r="CI1015" s="33"/>
      <c r="CJ1015" s="33"/>
      <c r="CK1015" s="33"/>
      <c r="CL1015" s="33"/>
      <c r="CM1015" s="33"/>
      <c r="CN1015" s="33"/>
      <c r="CO1015" s="33"/>
      <c r="CP1015" s="33"/>
      <c r="CQ1015" s="33"/>
      <c r="CR1015" s="33"/>
      <c r="CS1015" s="33"/>
    </row>
    <row r="1016" spans="1:97" ht="12.95" customHeight="1">
      <c r="A1016" s="1180" t="s">
        <v>325</v>
      </c>
      <c r="B1016" s="1180"/>
      <c r="C1016" s="11">
        <v>3</v>
      </c>
      <c r="D1016" s="928" t="s">
        <v>1706</v>
      </c>
      <c r="E1016" s="928"/>
      <c r="F1016" s="928"/>
      <c r="G1016" s="928"/>
      <c r="H1016" s="928"/>
      <c r="I1016" s="928"/>
      <c r="J1016" s="928"/>
      <c r="K1016" s="928"/>
      <c r="L1016" s="928"/>
      <c r="M1016" s="928"/>
      <c r="N1016" s="928"/>
      <c r="O1016" s="928"/>
      <c r="P1016" s="928"/>
      <c r="Q1016" s="928"/>
      <c r="R1016" s="928"/>
      <c r="S1016" s="928"/>
      <c r="T1016" s="928"/>
      <c r="U1016" s="928"/>
      <c r="V1016" s="928"/>
      <c r="W1016" s="928"/>
      <c r="X1016" s="928"/>
      <c r="Y1016" s="928"/>
      <c r="Z1016" s="928"/>
      <c r="AA1016" s="928"/>
      <c r="AB1016" s="928"/>
      <c r="AC1016" s="928"/>
      <c r="AD1016" s="928"/>
      <c r="AE1016" s="928"/>
      <c r="AF1016" s="928"/>
      <c r="AG1016" s="928"/>
      <c r="AH1016" s="928"/>
      <c r="AI1016" s="928"/>
      <c r="AJ1016" s="928"/>
      <c r="AK1016" s="928"/>
      <c r="AM1016" s="30"/>
      <c r="AN1016" s="30"/>
      <c r="AO1016" s="18"/>
      <c r="AP1016" s="18"/>
      <c r="AQ1016" s="18"/>
      <c r="AR1016" s="18"/>
      <c r="AS1016" s="18"/>
      <c r="AT1016" s="18"/>
      <c r="AU1016" s="18"/>
      <c r="AV1016" s="18"/>
      <c r="AW1016" s="18"/>
      <c r="AX1016" s="18"/>
      <c r="AY1016" s="18"/>
      <c r="AZ1016" s="18"/>
      <c r="BA1016" s="18"/>
      <c r="BO1016" s="33"/>
      <c r="BP1016" s="33"/>
      <c r="BQ1016" s="33"/>
      <c r="BR1016" s="33"/>
      <c r="BS1016" s="33"/>
      <c r="BT1016" s="33"/>
      <c r="BU1016" s="33"/>
      <c r="BV1016" s="33"/>
      <c r="BW1016" s="33"/>
      <c r="BX1016" s="33"/>
      <c r="BY1016" s="33"/>
      <c r="BZ1016" s="33"/>
      <c r="CA1016" s="33"/>
      <c r="CB1016" s="33"/>
      <c r="CC1016" s="33"/>
      <c r="CD1016" s="33"/>
      <c r="CE1016" s="33"/>
      <c r="CF1016" s="33"/>
      <c r="CG1016" s="33"/>
      <c r="CH1016" s="33"/>
      <c r="CI1016" s="33"/>
      <c r="CJ1016" s="33"/>
      <c r="CK1016" s="33"/>
      <c r="CL1016" s="33"/>
      <c r="CM1016" s="33"/>
      <c r="CN1016" s="33"/>
      <c r="CO1016" s="33"/>
      <c r="CP1016" s="33"/>
      <c r="CQ1016" s="33"/>
      <c r="CR1016" s="33"/>
      <c r="CS1016" s="33"/>
    </row>
    <row r="1017" spans="1:97" ht="12.95" customHeight="1">
      <c r="A1017" s="33"/>
      <c r="B1017" s="33"/>
      <c r="C1017" s="11"/>
      <c r="D1017" s="928"/>
      <c r="E1017" s="928"/>
      <c r="F1017" s="928"/>
      <c r="G1017" s="928"/>
      <c r="H1017" s="928"/>
      <c r="I1017" s="928"/>
      <c r="J1017" s="928"/>
      <c r="K1017" s="928"/>
      <c r="L1017" s="928"/>
      <c r="M1017" s="928"/>
      <c r="N1017" s="928"/>
      <c r="O1017" s="928"/>
      <c r="P1017" s="928"/>
      <c r="Q1017" s="928"/>
      <c r="R1017" s="928"/>
      <c r="S1017" s="928"/>
      <c r="T1017" s="928"/>
      <c r="U1017" s="928"/>
      <c r="V1017" s="928"/>
      <c r="W1017" s="928"/>
      <c r="X1017" s="928"/>
      <c r="Y1017" s="928"/>
      <c r="Z1017" s="928"/>
      <c r="AA1017" s="928"/>
      <c r="AB1017" s="928"/>
      <c r="AC1017" s="928"/>
      <c r="AD1017" s="928"/>
      <c r="AE1017" s="928"/>
      <c r="AF1017" s="928"/>
      <c r="AG1017" s="928"/>
      <c r="AH1017" s="928"/>
      <c r="AI1017" s="928"/>
      <c r="AJ1017" s="928"/>
      <c r="AK1017" s="928"/>
      <c r="AM1017" s="30"/>
      <c r="AN1017" s="30"/>
      <c r="AO1017" s="18"/>
      <c r="AP1017" s="18"/>
      <c r="AQ1017" s="18"/>
      <c r="AR1017" s="18"/>
      <c r="AS1017" s="18"/>
      <c r="AT1017" s="18"/>
      <c r="AU1017" s="18"/>
      <c r="AV1017" s="18"/>
      <c r="AW1017" s="18"/>
      <c r="AX1017" s="18"/>
      <c r="AY1017" s="18"/>
      <c r="AZ1017" s="18"/>
      <c r="BA1017" s="18"/>
      <c r="BO1017" s="33"/>
      <c r="BP1017" s="33"/>
      <c r="BQ1017" s="33"/>
      <c r="BR1017" s="33"/>
      <c r="BS1017" s="33"/>
      <c r="BT1017" s="33"/>
      <c r="BU1017" s="33"/>
      <c r="BV1017" s="33"/>
      <c r="BW1017" s="33"/>
      <c r="BX1017" s="33"/>
      <c r="BY1017" s="33"/>
      <c r="BZ1017" s="33"/>
      <c r="CA1017" s="33"/>
      <c r="CB1017" s="33"/>
      <c r="CC1017" s="33"/>
      <c r="CD1017" s="33"/>
      <c r="CE1017" s="33"/>
      <c r="CF1017" s="33"/>
      <c r="CG1017" s="33"/>
      <c r="CH1017" s="33"/>
      <c r="CI1017" s="33"/>
      <c r="CJ1017" s="33"/>
      <c r="CK1017" s="33"/>
      <c r="CL1017" s="33"/>
      <c r="CM1017" s="33"/>
      <c r="CN1017" s="33"/>
      <c r="CO1017" s="33"/>
      <c r="CP1017" s="33"/>
      <c r="CQ1017" s="33"/>
      <c r="CR1017" s="33"/>
      <c r="CS1017" s="33"/>
    </row>
    <row r="1018" spans="1:97" ht="12.95" customHeight="1">
      <c r="A1018" s="760"/>
      <c r="B1018" s="25"/>
      <c r="C1018" s="11"/>
      <c r="D1018" s="928"/>
      <c r="E1018" s="928"/>
      <c r="F1018" s="928"/>
      <c r="G1018" s="928"/>
      <c r="H1018" s="928"/>
      <c r="I1018" s="928"/>
      <c r="J1018" s="928"/>
      <c r="K1018" s="928"/>
      <c r="L1018" s="928"/>
      <c r="M1018" s="928"/>
      <c r="N1018" s="928"/>
      <c r="O1018" s="928"/>
      <c r="P1018" s="928"/>
      <c r="Q1018" s="928"/>
      <c r="R1018" s="928"/>
      <c r="S1018" s="928"/>
      <c r="T1018" s="928"/>
      <c r="U1018" s="928"/>
      <c r="V1018" s="928"/>
      <c r="W1018" s="928"/>
      <c r="X1018" s="928"/>
      <c r="Y1018" s="928"/>
      <c r="Z1018" s="928"/>
      <c r="AA1018" s="928"/>
      <c r="AB1018" s="928"/>
      <c r="AC1018" s="928"/>
      <c r="AD1018" s="928"/>
      <c r="AE1018" s="928"/>
      <c r="AF1018" s="928"/>
      <c r="AG1018" s="928"/>
      <c r="AH1018" s="928"/>
      <c r="AI1018" s="928"/>
      <c r="AJ1018" s="928"/>
      <c r="AK1018" s="928"/>
      <c r="AM1018" s="30"/>
      <c r="AN1018" s="30"/>
      <c r="AO1018" s="18"/>
      <c r="AP1018" s="18"/>
      <c r="AQ1018" s="18"/>
      <c r="AR1018" s="18"/>
      <c r="AS1018" s="18"/>
      <c r="AT1018" s="18"/>
      <c r="AU1018" s="18"/>
      <c r="AV1018" s="18"/>
      <c r="AW1018" s="18"/>
      <c r="AX1018" s="18"/>
      <c r="AY1018" s="18"/>
      <c r="AZ1018" s="18"/>
      <c r="BA1018" s="18"/>
      <c r="BO1018" s="33"/>
      <c r="BP1018" s="33"/>
      <c r="BQ1018" s="33"/>
      <c r="BR1018" s="33"/>
      <c r="BS1018" s="33"/>
      <c r="BT1018" s="33"/>
      <c r="BU1018" s="33"/>
      <c r="BV1018" s="33"/>
      <c r="BW1018" s="33"/>
      <c r="BX1018" s="33"/>
      <c r="BY1018" s="33"/>
      <c r="BZ1018" s="33"/>
      <c r="CA1018" s="33"/>
      <c r="CB1018" s="33"/>
      <c r="CC1018" s="33"/>
      <c r="CD1018" s="33"/>
      <c r="CE1018" s="33"/>
      <c r="CF1018" s="33"/>
      <c r="CG1018" s="33"/>
      <c r="CH1018" s="33"/>
      <c r="CI1018" s="33"/>
      <c r="CJ1018" s="33"/>
      <c r="CK1018" s="33"/>
      <c r="CL1018" s="33"/>
      <c r="CM1018" s="33"/>
      <c r="CN1018" s="33"/>
      <c r="CO1018" s="33"/>
      <c r="CP1018" s="33"/>
      <c r="CQ1018" s="33"/>
      <c r="CR1018" s="33"/>
      <c r="CS1018" s="33"/>
    </row>
    <row r="1019" spans="1:97" ht="12.95" customHeight="1">
      <c r="A1019" s="760"/>
      <c r="B1019" s="25"/>
      <c r="C1019" s="11"/>
      <c r="D1019" s="928"/>
      <c r="E1019" s="928"/>
      <c r="F1019" s="928"/>
      <c r="G1019" s="928"/>
      <c r="H1019" s="928"/>
      <c r="I1019" s="928"/>
      <c r="J1019" s="928"/>
      <c r="K1019" s="928"/>
      <c r="L1019" s="928"/>
      <c r="M1019" s="928"/>
      <c r="N1019" s="928"/>
      <c r="O1019" s="928"/>
      <c r="P1019" s="928"/>
      <c r="Q1019" s="928"/>
      <c r="R1019" s="928"/>
      <c r="S1019" s="928"/>
      <c r="T1019" s="928"/>
      <c r="U1019" s="928"/>
      <c r="V1019" s="928"/>
      <c r="W1019" s="928"/>
      <c r="X1019" s="928"/>
      <c r="Y1019" s="928"/>
      <c r="Z1019" s="928"/>
      <c r="AA1019" s="928"/>
      <c r="AB1019" s="928"/>
      <c r="AC1019" s="928"/>
      <c r="AD1019" s="928"/>
      <c r="AE1019" s="928"/>
      <c r="AF1019" s="928"/>
      <c r="AG1019" s="928"/>
      <c r="AH1019" s="928"/>
      <c r="AI1019" s="928"/>
      <c r="AJ1019" s="928"/>
      <c r="AK1019" s="928"/>
      <c r="AM1019" s="30"/>
      <c r="AN1019" s="30"/>
      <c r="AO1019" s="18"/>
      <c r="AP1019" s="18"/>
      <c r="AQ1019" s="18"/>
      <c r="AR1019" s="18"/>
      <c r="AS1019" s="18"/>
      <c r="AT1019" s="18"/>
      <c r="AU1019" s="18"/>
      <c r="AV1019" s="18"/>
      <c r="AW1019" s="18"/>
      <c r="AX1019" s="18"/>
      <c r="AY1019" s="18"/>
      <c r="AZ1019" s="18"/>
      <c r="BA1019" s="18"/>
      <c r="BO1019" s="33"/>
      <c r="BP1019" s="33"/>
      <c r="BQ1019" s="33"/>
      <c r="BR1019" s="33"/>
      <c r="BS1019" s="33"/>
      <c r="BT1019" s="33"/>
      <c r="BU1019" s="33"/>
      <c r="BV1019" s="33"/>
      <c r="BW1019" s="33"/>
      <c r="BX1019" s="33"/>
      <c r="BY1019" s="33"/>
      <c r="BZ1019" s="33"/>
      <c r="CA1019" s="33"/>
      <c r="CB1019" s="33"/>
      <c r="CC1019" s="33"/>
      <c r="CD1019" s="33"/>
      <c r="CE1019" s="33"/>
      <c r="CF1019" s="33"/>
      <c r="CG1019" s="33"/>
      <c r="CH1019" s="33"/>
      <c r="CI1019" s="33"/>
      <c r="CJ1019" s="33"/>
      <c r="CK1019" s="33"/>
      <c r="CL1019" s="33"/>
      <c r="CM1019" s="33"/>
      <c r="CN1019" s="33"/>
      <c r="CO1019" s="33"/>
      <c r="CP1019" s="33"/>
      <c r="CQ1019" s="33"/>
      <c r="CR1019" s="33"/>
      <c r="CS1019" s="33"/>
    </row>
    <row r="1020" spans="1:97" ht="12.95" customHeight="1">
      <c r="A1020" s="760"/>
      <c r="B1020" s="25"/>
      <c r="C1020" s="11"/>
      <c r="D1020" s="928"/>
      <c r="E1020" s="928"/>
      <c r="F1020" s="928"/>
      <c r="G1020" s="928"/>
      <c r="H1020" s="928"/>
      <c r="I1020" s="928"/>
      <c r="J1020" s="928"/>
      <c r="K1020" s="928"/>
      <c r="L1020" s="928"/>
      <c r="M1020" s="928"/>
      <c r="N1020" s="928"/>
      <c r="O1020" s="928"/>
      <c r="P1020" s="928"/>
      <c r="Q1020" s="928"/>
      <c r="R1020" s="928"/>
      <c r="S1020" s="928"/>
      <c r="T1020" s="928"/>
      <c r="U1020" s="928"/>
      <c r="V1020" s="928"/>
      <c r="W1020" s="928"/>
      <c r="X1020" s="928"/>
      <c r="Y1020" s="928"/>
      <c r="Z1020" s="928"/>
      <c r="AA1020" s="928"/>
      <c r="AB1020" s="928"/>
      <c r="AC1020" s="928"/>
      <c r="AD1020" s="928"/>
      <c r="AE1020" s="928"/>
      <c r="AF1020" s="928"/>
      <c r="AG1020" s="928"/>
      <c r="AH1020" s="928"/>
      <c r="AI1020" s="928"/>
      <c r="AJ1020" s="928"/>
      <c r="AK1020" s="928"/>
      <c r="AM1020" s="30"/>
      <c r="AN1020" s="30"/>
      <c r="AO1020" s="18"/>
      <c r="AP1020" s="18"/>
      <c r="AQ1020" s="18"/>
      <c r="AR1020" s="18"/>
      <c r="AS1020" s="18"/>
      <c r="AT1020" s="18"/>
      <c r="AU1020" s="18"/>
      <c r="AV1020" s="18"/>
      <c r="AW1020" s="18"/>
      <c r="AX1020" s="18"/>
      <c r="AY1020" s="18"/>
      <c r="AZ1020" s="18"/>
      <c r="BA1020" s="18"/>
      <c r="BO1020" s="33"/>
      <c r="BP1020" s="33"/>
      <c r="BQ1020" s="33"/>
      <c r="BR1020" s="33"/>
      <c r="BS1020" s="33"/>
      <c r="BT1020" s="33"/>
      <c r="BU1020" s="33"/>
      <c r="BV1020" s="33"/>
      <c r="BW1020" s="33"/>
      <c r="BX1020" s="33"/>
      <c r="BY1020" s="33"/>
      <c r="BZ1020" s="33"/>
      <c r="CA1020" s="33"/>
      <c r="CB1020" s="33"/>
      <c r="CC1020" s="33"/>
      <c r="CD1020" s="33"/>
      <c r="CE1020" s="33"/>
      <c r="CF1020" s="33"/>
      <c r="CG1020" s="33"/>
      <c r="CH1020" s="33"/>
      <c r="CI1020" s="33"/>
      <c r="CJ1020" s="33"/>
      <c r="CK1020" s="33"/>
      <c r="CL1020" s="33"/>
      <c r="CM1020" s="33"/>
      <c r="CN1020" s="33"/>
      <c r="CO1020" s="33"/>
      <c r="CP1020" s="33"/>
      <c r="CQ1020" s="33"/>
      <c r="CR1020" s="33"/>
      <c r="CS1020" s="33"/>
    </row>
    <row r="1021" spans="1:97" ht="14.25" customHeight="1">
      <c r="A1021" s="760"/>
      <c r="B1021" s="25"/>
      <c r="C1021" s="11"/>
      <c r="D1021" s="928"/>
      <c r="E1021" s="928"/>
      <c r="F1021" s="928"/>
      <c r="G1021" s="928"/>
      <c r="H1021" s="928"/>
      <c r="I1021" s="928"/>
      <c r="J1021" s="928"/>
      <c r="K1021" s="928"/>
      <c r="L1021" s="928"/>
      <c r="M1021" s="928"/>
      <c r="N1021" s="928"/>
      <c r="O1021" s="928"/>
      <c r="P1021" s="928"/>
      <c r="Q1021" s="928"/>
      <c r="R1021" s="928"/>
      <c r="S1021" s="928"/>
      <c r="T1021" s="928"/>
      <c r="U1021" s="928"/>
      <c r="V1021" s="928"/>
      <c r="W1021" s="928"/>
      <c r="X1021" s="928"/>
      <c r="Y1021" s="928"/>
      <c r="Z1021" s="928"/>
      <c r="AA1021" s="928"/>
      <c r="AB1021" s="928"/>
      <c r="AC1021" s="928"/>
      <c r="AD1021" s="928"/>
      <c r="AE1021" s="928"/>
      <c r="AF1021" s="928"/>
      <c r="AG1021" s="928"/>
      <c r="AH1021" s="928"/>
      <c r="AI1021" s="928"/>
      <c r="AJ1021" s="928"/>
      <c r="AK1021" s="928"/>
      <c r="AM1021" s="30"/>
      <c r="AN1021" s="30"/>
      <c r="AO1021" s="18"/>
      <c r="AP1021" s="18"/>
      <c r="AQ1021" s="18"/>
      <c r="AR1021" s="18"/>
      <c r="AS1021" s="18"/>
      <c r="AT1021" s="18"/>
      <c r="AU1021" s="18"/>
      <c r="AV1021" s="18"/>
      <c r="AW1021" s="18"/>
      <c r="AX1021" s="18"/>
      <c r="AY1021" s="18"/>
      <c r="AZ1021" s="18"/>
      <c r="BA1021" s="18"/>
      <c r="BO1021" s="33"/>
      <c r="BP1021" s="33"/>
      <c r="BQ1021" s="33"/>
      <c r="BR1021" s="33"/>
      <c r="BS1021" s="33"/>
      <c r="BT1021" s="33"/>
      <c r="BU1021" s="33"/>
      <c r="BV1021" s="33"/>
      <c r="BW1021" s="33"/>
      <c r="BX1021" s="33"/>
      <c r="BY1021" s="33"/>
      <c r="BZ1021" s="33"/>
      <c r="CA1021" s="33"/>
      <c r="CB1021" s="33"/>
      <c r="CC1021" s="33"/>
      <c r="CD1021" s="33"/>
      <c r="CE1021" s="33"/>
      <c r="CF1021" s="33"/>
      <c r="CG1021" s="33"/>
      <c r="CH1021" s="33"/>
      <c r="CI1021" s="33"/>
      <c r="CJ1021" s="33"/>
      <c r="CK1021" s="33"/>
      <c r="CL1021" s="33"/>
      <c r="CM1021" s="33"/>
      <c r="CN1021" s="33"/>
      <c r="CO1021" s="33"/>
      <c r="CP1021" s="33"/>
      <c r="CQ1021" s="33"/>
      <c r="CR1021" s="33"/>
      <c r="CS1021" s="33"/>
    </row>
    <row r="1022" spans="1:97" ht="15" customHeight="1">
      <c r="A1022" s="760"/>
      <c r="B1022" s="25"/>
      <c r="C1022" s="11"/>
      <c r="D1022" s="753"/>
      <c r="E1022" s="753"/>
      <c r="F1022" s="753"/>
      <c r="G1022" s="753"/>
      <c r="H1022" s="753"/>
      <c r="I1022" s="753"/>
      <c r="J1022" s="753"/>
      <c r="K1022" s="753"/>
      <c r="L1022" s="753"/>
      <c r="M1022" s="753"/>
      <c r="N1022" s="753"/>
      <c r="O1022" s="753"/>
      <c r="P1022" s="753"/>
      <c r="Q1022" s="753"/>
      <c r="R1022" s="753"/>
      <c r="S1022" s="753"/>
      <c r="T1022" s="753"/>
      <c r="U1022" s="753"/>
      <c r="V1022" s="753"/>
      <c r="W1022" s="753"/>
      <c r="X1022" s="753"/>
      <c r="Y1022" s="753"/>
      <c r="Z1022" s="753"/>
      <c r="AA1022" s="753"/>
      <c r="AB1022" s="753"/>
      <c r="AC1022" s="753"/>
      <c r="AD1022" s="753"/>
      <c r="AE1022" s="753"/>
      <c r="AF1022" s="753"/>
      <c r="AG1022" s="753"/>
      <c r="AH1022" s="753"/>
      <c r="AI1022" s="753"/>
      <c r="AJ1022" s="753"/>
      <c r="AK1022" s="753"/>
      <c r="AM1022" s="30"/>
      <c r="AN1022" s="30"/>
      <c r="AO1022" s="18"/>
      <c r="AP1022" s="18"/>
      <c r="AQ1022" s="18"/>
      <c r="AR1022" s="18"/>
      <c r="AS1022" s="18"/>
      <c r="AT1022" s="18"/>
      <c r="AU1022" s="18"/>
      <c r="AV1022" s="18"/>
      <c r="AW1022" s="18"/>
      <c r="AX1022" s="18"/>
      <c r="AY1022" s="18"/>
      <c r="AZ1022" s="18"/>
      <c r="BA1022" s="18"/>
      <c r="BO1022" s="33"/>
      <c r="BP1022" s="33"/>
      <c r="BQ1022" s="33"/>
      <c r="BR1022" s="33"/>
      <c r="BS1022" s="33"/>
      <c r="BT1022" s="33"/>
      <c r="BU1022" s="33"/>
      <c r="BV1022" s="33"/>
      <c r="BW1022" s="33"/>
      <c r="BX1022" s="33"/>
      <c r="BY1022" s="33"/>
      <c r="BZ1022" s="33"/>
      <c r="CA1022" s="33"/>
      <c r="CB1022" s="33"/>
      <c r="CC1022" s="33"/>
      <c r="CD1022" s="33"/>
      <c r="CE1022" s="33"/>
      <c r="CF1022" s="33"/>
      <c r="CG1022" s="33"/>
      <c r="CH1022" s="33"/>
      <c r="CI1022" s="33"/>
      <c r="CJ1022" s="33"/>
      <c r="CK1022" s="33"/>
      <c r="CL1022" s="33"/>
      <c r="CM1022" s="33"/>
      <c r="CN1022" s="33"/>
      <c r="CO1022" s="33"/>
      <c r="CP1022" s="33"/>
      <c r="CQ1022" s="33"/>
      <c r="CR1022" s="33"/>
      <c r="CS1022" s="33"/>
    </row>
    <row r="1023" spans="1:97" ht="12.95" customHeight="1">
      <c r="A1023" s="1180" t="s">
        <v>325</v>
      </c>
      <c r="B1023" s="1180"/>
      <c r="C1023" s="11">
        <v>4</v>
      </c>
      <c r="D1023" s="928" t="s">
        <v>1707</v>
      </c>
      <c r="E1023" s="928"/>
      <c r="F1023" s="928"/>
      <c r="G1023" s="928"/>
      <c r="H1023" s="928"/>
      <c r="I1023" s="928"/>
      <c r="J1023" s="928"/>
      <c r="K1023" s="928"/>
      <c r="L1023" s="928"/>
      <c r="M1023" s="928"/>
      <c r="N1023" s="928"/>
      <c r="O1023" s="928"/>
      <c r="P1023" s="928"/>
      <c r="Q1023" s="928"/>
      <c r="R1023" s="928"/>
      <c r="S1023" s="928"/>
      <c r="T1023" s="928"/>
      <c r="U1023" s="928"/>
      <c r="V1023" s="928"/>
      <c r="W1023" s="928"/>
      <c r="X1023" s="928"/>
      <c r="Y1023" s="928"/>
      <c r="Z1023" s="928"/>
      <c r="AA1023" s="928"/>
      <c r="AB1023" s="928"/>
      <c r="AC1023" s="928"/>
      <c r="AD1023" s="928"/>
      <c r="AE1023" s="928"/>
      <c r="AF1023" s="928"/>
      <c r="AG1023" s="928"/>
      <c r="AH1023" s="928"/>
      <c r="AI1023" s="928"/>
      <c r="AJ1023" s="928"/>
      <c r="AK1023" s="928"/>
      <c r="AM1023" s="30"/>
      <c r="AN1023" s="30"/>
      <c r="AO1023" s="18"/>
      <c r="AP1023" s="18"/>
      <c r="AQ1023" s="18"/>
      <c r="AR1023" s="18"/>
      <c r="AS1023" s="18"/>
      <c r="AT1023" s="18"/>
      <c r="AU1023" s="18"/>
      <c r="AV1023" s="18"/>
      <c r="AW1023" s="18"/>
      <c r="AX1023" s="18"/>
      <c r="AY1023" s="18"/>
      <c r="AZ1023" s="18"/>
      <c r="BA1023" s="18"/>
      <c r="BO1023" s="33"/>
      <c r="BP1023" s="33"/>
      <c r="BQ1023" s="33"/>
      <c r="BR1023" s="33"/>
      <c r="BS1023" s="33"/>
      <c r="BT1023" s="33"/>
      <c r="BU1023" s="33"/>
      <c r="BV1023" s="33"/>
      <c r="BW1023" s="33"/>
      <c r="BX1023" s="33"/>
      <c r="BY1023" s="33"/>
      <c r="BZ1023" s="33"/>
      <c r="CA1023" s="33"/>
      <c r="CB1023" s="33"/>
      <c r="CC1023" s="33"/>
      <c r="CD1023" s="33"/>
      <c r="CE1023" s="33"/>
      <c r="CF1023" s="33"/>
      <c r="CG1023" s="33"/>
      <c r="CH1023" s="33"/>
      <c r="CI1023" s="33"/>
      <c r="CJ1023" s="33"/>
      <c r="CK1023" s="33"/>
      <c r="CL1023" s="33"/>
      <c r="CM1023" s="33"/>
      <c r="CN1023" s="33"/>
      <c r="CO1023" s="33"/>
      <c r="CP1023" s="33"/>
      <c r="CQ1023" s="33"/>
      <c r="CR1023" s="33"/>
      <c r="CS1023" s="33"/>
    </row>
    <row r="1024" spans="1:97" ht="12.95" customHeight="1">
      <c r="A1024" s="781"/>
      <c r="B1024" s="781"/>
      <c r="C1024" s="11"/>
      <c r="D1024" s="928"/>
      <c r="E1024" s="928"/>
      <c r="F1024" s="928"/>
      <c r="G1024" s="928"/>
      <c r="H1024" s="928"/>
      <c r="I1024" s="928"/>
      <c r="J1024" s="928"/>
      <c r="K1024" s="928"/>
      <c r="L1024" s="928"/>
      <c r="M1024" s="928"/>
      <c r="N1024" s="928"/>
      <c r="O1024" s="928"/>
      <c r="P1024" s="928"/>
      <c r="Q1024" s="928"/>
      <c r="R1024" s="928"/>
      <c r="S1024" s="928"/>
      <c r="T1024" s="928"/>
      <c r="U1024" s="928"/>
      <c r="V1024" s="928"/>
      <c r="W1024" s="928"/>
      <c r="X1024" s="928"/>
      <c r="Y1024" s="928"/>
      <c r="Z1024" s="928"/>
      <c r="AA1024" s="928"/>
      <c r="AB1024" s="928"/>
      <c r="AC1024" s="928"/>
      <c r="AD1024" s="928"/>
      <c r="AE1024" s="928"/>
      <c r="AF1024" s="928"/>
      <c r="AG1024" s="928"/>
      <c r="AH1024" s="928"/>
      <c r="AI1024" s="928"/>
      <c r="AJ1024" s="928"/>
      <c r="AK1024" s="928"/>
      <c r="AM1024" s="30"/>
      <c r="AN1024" s="30"/>
      <c r="AO1024" s="18"/>
      <c r="AP1024" s="18"/>
      <c r="AQ1024" s="18"/>
      <c r="AR1024" s="18"/>
      <c r="AS1024" s="18"/>
      <c r="AT1024" s="18"/>
      <c r="AU1024" s="18"/>
      <c r="AV1024" s="18"/>
      <c r="AW1024" s="18"/>
      <c r="AX1024" s="18"/>
      <c r="AY1024" s="18"/>
      <c r="AZ1024" s="18"/>
      <c r="BA1024" s="18"/>
      <c r="BO1024" s="33"/>
      <c r="BP1024" s="33"/>
      <c r="BQ1024" s="33"/>
      <c r="BR1024" s="33"/>
      <c r="BS1024" s="33"/>
      <c r="BT1024" s="33"/>
      <c r="BU1024" s="33"/>
      <c r="BV1024" s="33"/>
      <c r="BW1024" s="33"/>
      <c r="BX1024" s="33"/>
      <c r="BY1024" s="33"/>
      <c r="BZ1024" s="33"/>
      <c r="CA1024" s="33"/>
      <c r="CB1024" s="33"/>
      <c r="CC1024" s="33"/>
      <c r="CD1024" s="33"/>
      <c r="CE1024" s="33"/>
      <c r="CF1024" s="33"/>
      <c r="CG1024" s="33"/>
      <c r="CH1024" s="33"/>
      <c r="CI1024" s="33"/>
      <c r="CJ1024" s="33"/>
      <c r="CK1024" s="33"/>
      <c r="CL1024" s="33"/>
      <c r="CM1024" s="33"/>
      <c r="CN1024" s="33"/>
      <c r="CO1024" s="33"/>
      <c r="CP1024" s="33"/>
      <c r="CQ1024" s="33"/>
      <c r="CR1024" s="33"/>
      <c r="CS1024" s="33"/>
    </row>
    <row r="1025" spans="1:97" ht="23.25" customHeight="1">
      <c r="A1025" s="760"/>
      <c r="B1025" s="25"/>
      <c r="C1025" s="11"/>
      <c r="D1025" s="928"/>
      <c r="E1025" s="928"/>
      <c r="F1025" s="928"/>
      <c r="G1025" s="928"/>
      <c r="H1025" s="928"/>
      <c r="I1025" s="928"/>
      <c r="J1025" s="928"/>
      <c r="K1025" s="928"/>
      <c r="L1025" s="928"/>
      <c r="M1025" s="928"/>
      <c r="N1025" s="928"/>
      <c r="O1025" s="928"/>
      <c r="P1025" s="928"/>
      <c r="Q1025" s="928"/>
      <c r="R1025" s="928"/>
      <c r="S1025" s="928"/>
      <c r="T1025" s="928"/>
      <c r="U1025" s="928"/>
      <c r="V1025" s="928"/>
      <c r="W1025" s="928"/>
      <c r="X1025" s="928"/>
      <c r="Y1025" s="928"/>
      <c r="Z1025" s="928"/>
      <c r="AA1025" s="928"/>
      <c r="AB1025" s="928"/>
      <c r="AC1025" s="928"/>
      <c r="AD1025" s="928"/>
      <c r="AE1025" s="928"/>
      <c r="AF1025" s="928"/>
      <c r="AG1025" s="928"/>
      <c r="AH1025" s="928"/>
      <c r="AI1025" s="928"/>
      <c r="AJ1025" s="928"/>
      <c r="AK1025" s="928"/>
      <c r="AM1025" s="30"/>
      <c r="AN1025" s="30"/>
      <c r="AO1025" s="18"/>
      <c r="AP1025" s="18"/>
      <c r="AQ1025" s="18"/>
      <c r="AR1025" s="18"/>
      <c r="AS1025" s="18"/>
      <c r="AT1025" s="18"/>
      <c r="AU1025" s="18"/>
      <c r="AV1025" s="18"/>
      <c r="AW1025" s="18"/>
      <c r="AX1025" s="18"/>
      <c r="AY1025" s="18"/>
      <c r="AZ1025" s="18"/>
      <c r="BA1025" s="18"/>
      <c r="BO1025" s="33"/>
      <c r="BP1025" s="33"/>
      <c r="BQ1025" s="33"/>
      <c r="BR1025" s="33"/>
      <c r="BS1025" s="33"/>
      <c r="BT1025" s="33"/>
      <c r="BU1025" s="33"/>
      <c r="BV1025" s="33"/>
      <c r="BW1025" s="33"/>
      <c r="BX1025" s="33"/>
      <c r="BY1025" s="33"/>
      <c r="BZ1025" s="33"/>
      <c r="CA1025" s="33"/>
      <c r="CB1025" s="33"/>
      <c r="CC1025" s="33"/>
      <c r="CD1025" s="33"/>
      <c r="CE1025" s="33"/>
      <c r="CF1025" s="33"/>
      <c r="CG1025" s="33"/>
      <c r="CH1025" s="33"/>
      <c r="CI1025" s="33"/>
      <c r="CJ1025" s="33"/>
      <c r="CK1025" s="33"/>
      <c r="CL1025" s="33"/>
      <c r="CM1025" s="33"/>
      <c r="CN1025" s="33"/>
      <c r="CO1025" s="33"/>
      <c r="CP1025" s="33"/>
      <c r="CQ1025" s="33"/>
      <c r="CR1025" s="33"/>
      <c r="CS1025" s="33"/>
    </row>
    <row r="1026" spans="1:97" ht="12.95" customHeight="1">
      <c r="A1026" s="1180" t="s">
        <v>325</v>
      </c>
      <c r="B1026" s="1180"/>
      <c r="C1026" s="11">
        <v>5</v>
      </c>
      <c r="D1026" s="928" t="s">
        <v>1708</v>
      </c>
      <c r="E1026" s="928"/>
      <c r="F1026" s="928"/>
      <c r="G1026" s="928"/>
      <c r="H1026" s="928"/>
      <c r="I1026" s="928"/>
      <c r="J1026" s="928"/>
      <c r="K1026" s="928"/>
      <c r="L1026" s="928"/>
      <c r="M1026" s="928"/>
      <c r="N1026" s="928"/>
      <c r="O1026" s="928"/>
      <c r="P1026" s="928"/>
      <c r="Q1026" s="928"/>
      <c r="R1026" s="928"/>
      <c r="S1026" s="928"/>
      <c r="T1026" s="928"/>
      <c r="U1026" s="928"/>
      <c r="V1026" s="928"/>
      <c r="W1026" s="928"/>
      <c r="X1026" s="928"/>
      <c r="Y1026" s="928"/>
      <c r="Z1026" s="928"/>
      <c r="AA1026" s="928"/>
      <c r="AB1026" s="928"/>
      <c r="AC1026" s="928"/>
      <c r="AD1026" s="928"/>
      <c r="AE1026" s="928"/>
      <c r="AF1026" s="928"/>
      <c r="AG1026" s="928"/>
      <c r="AH1026" s="928"/>
      <c r="AI1026" s="928"/>
      <c r="AJ1026" s="928"/>
      <c r="AK1026" s="928"/>
      <c r="AM1026" s="30"/>
      <c r="AN1026" s="30"/>
      <c r="AO1026" s="18"/>
      <c r="AP1026" s="18"/>
      <c r="AQ1026" s="18"/>
      <c r="AR1026" s="18"/>
      <c r="AS1026" s="18"/>
      <c r="AT1026" s="18"/>
      <c r="AU1026" s="18"/>
      <c r="AV1026" s="18"/>
      <c r="AW1026" s="18"/>
      <c r="AX1026" s="18"/>
      <c r="AY1026" s="18"/>
      <c r="AZ1026" s="18"/>
      <c r="BA1026" s="18"/>
      <c r="BO1026" s="33"/>
      <c r="BP1026" s="33"/>
      <c r="BQ1026" s="33"/>
      <c r="BR1026" s="33"/>
      <c r="BS1026" s="33"/>
      <c r="BT1026" s="33"/>
      <c r="BU1026" s="33"/>
      <c r="BV1026" s="33"/>
      <c r="BW1026" s="33"/>
      <c r="BX1026" s="33"/>
      <c r="BY1026" s="33"/>
      <c r="BZ1026" s="33"/>
      <c r="CA1026" s="33"/>
      <c r="CB1026" s="33"/>
      <c r="CC1026" s="33"/>
      <c r="CD1026" s="33"/>
      <c r="CE1026" s="33"/>
      <c r="CF1026" s="33"/>
      <c r="CG1026" s="33"/>
      <c r="CH1026" s="33"/>
      <c r="CI1026" s="33"/>
      <c r="CJ1026" s="33"/>
      <c r="CK1026" s="33"/>
      <c r="CL1026" s="33"/>
      <c r="CM1026" s="33"/>
      <c r="CN1026" s="33"/>
      <c r="CO1026" s="33"/>
      <c r="CP1026" s="33"/>
      <c r="CQ1026" s="33"/>
      <c r="CR1026" s="33"/>
      <c r="CS1026" s="33"/>
    </row>
    <row r="1027" spans="1:97" ht="12.95" customHeight="1">
      <c r="A1027" s="781"/>
      <c r="B1027" s="781"/>
      <c r="C1027" s="11"/>
      <c r="D1027" s="928"/>
      <c r="E1027" s="928"/>
      <c r="F1027" s="928"/>
      <c r="G1027" s="928"/>
      <c r="H1027" s="928"/>
      <c r="I1027" s="928"/>
      <c r="J1027" s="928"/>
      <c r="K1027" s="928"/>
      <c r="L1027" s="928"/>
      <c r="M1027" s="928"/>
      <c r="N1027" s="928"/>
      <c r="O1027" s="928"/>
      <c r="P1027" s="928"/>
      <c r="Q1027" s="928"/>
      <c r="R1027" s="928"/>
      <c r="S1027" s="928"/>
      <c r="T1027" s="928"/>
      <c r="U1027" s="928"/>
      <c r="V1027" s="928"/>
      <c r="W1027" s="928"/>
      <c r="X1027" s="928"/>
      <c r="Y1027" s="928"/>
      <c r="Z1027" s="928"/>
      <c r="AA1027" s="928"/>
      <c r="AB1027" s="928"/>
      <c r="AC1027" s="928"/>
      <c r="AD1027" s="928"/>
      <c r="AE1027" s="928"/>
      <c r="AF1027" s="928"/>
      <c r="AG1027" s="928"/>
      <c r="AH1027" s="928"/>
      <c r="AI1027" s="928"/>
      <c r="AJ1027" s="928"/>
      <c r="AK1027" s="928"/>
      <c r="AM1027" s="33"/>
      <c r="AN1027" s="33"/>
      <c r="AO1027" s="33"/>
      <c r="AP1027" s="33"/>
      <c r="AQ1027" s="33"/>
      <c r="AR1027" s="33"/>
      <c r="AS1027" s="33"/>
      <c r="AT1027" s="33"/>
      <c r="AU1027" s="33"/>
      <c r="AV1027" s="33"/>
      <c r="AW1027" s="33"/>
      <c r="AX1027" s="33"/>
      <c r="AY1027" s="33"/>
      <c r="AZ1027" s="33"/>
      <c r="BA1027" s="33"/>
      <c r="BB1027" s="33"/>
      <c r="BC1027" s="33"/>
      <c r="BD1027" s="33"/>
      <c r="BE1027" s="33"/>
      <c r="BF1027" s="33"/>
      <c r="BG1027" s="33"/>
      <c r="BH1027" s="33"/>
      <c r="BI1027" s="33"/>
      <c r="BJ1027" s="33"/>
      <c r="BK1027" s="33"/>
      <c r="BL1027" s="33"/>
      <c r="BM1027" s="33"/>
      <c r="BN1027" s="33"/>
      <c r="BO1027" s="33"/>
      <c r="BP1027" s="33"/>
      <c r="BQ1027" s="33"/>
      <c r="BR1027" s="33"/>
      <c r="BS1027" s="33"/>
      <c r="BT1027" s="33"/>
      <c r="BU1027" s="33"/>
      <c r="BV1027" s="33"/>
      <c r="BW1027" s="33"/>
      <c r="BX1027" s="33"/>
      <c r="BY1027" s="33"/>
      <c r="BZ1027" s="33"/>
      <c r="CA1027" s="33"/>
      <c r="CB1027" s="33"/>
      <c r="CC1027" s="33"/>
      <c r="CD1027" s="33"/>
      <c r="CE1027" s="33"/>
      <c r="CF1027" s="33"/>
      <c r="CG1027" s="33"/>
      <c r="CH1027" s="33"/>
      <c r="CI1027" s="33"/>
      <c r="CJ1027" s="33"/>
      <c r="CK1027" s="33"/>
      <c r="CL1027" s="33"/>
      <c r="CM1027" s="33"/>
      <c r="CN1027" s="33"/>
      <c r="CO1027" s="33"/>
      <c r="CP1027" s="33"/>
      <c r="CQ1027" s="33"/>
      <c r="CR1027" s="33"/>
      <c r="CS1027" s="33"/>
    </row>
    <row r="1028" spans="1:97" ht="12.95" customHeight="1">
      <c r="A1028" s="781"/>
      <c r="B1028" s="781"/>
      <c r="C1028" s="11"/>
      <c r="D1028" s="928"/>
      <c r="E1028" s="928"/>
      <c r="F1028" s="928"/>
      <c r="G1028" s="928"/>
      <c r="H1028" s="928"/>
      <c r="I1028" s="928"/>
      <c r="J1028" s="928"/>
      <c r="K1028" s="928"/>
      <c r="L1028" s="928"/>
      <c r="M1028" s="928"/>
      <c r="N1028" s="928"/>
      <c r="O1028" s="928"/>
      <c r="P1028" s="928"/>
      <c r="Q1028" s="928"/>
      <c r="R1028" s="928"/>
      <c r="S1028" s="928"/>
      <c r="T1028" s="928"/>
      <c r="U1028" s="928"/>
      <c r="V1028" s="928"/>
      <c r="W1028" s="928"/>
      <c r="X1028" s="928"/>
      <c r="Y1028" s="928"/>
      <c r="Z1028" s="928"/>
      <c r="AA1028" s="928"/>
      <c r="AB1028" s="928"/>
      <c r="AC1028" s="928"/>
      <c r="AD1028" s="928"/>
      <c r="AE1028" s="928"/>
      <c r="AF1028" s="928"/>
      <c r="AG1028" s="928"/>
      <c r="AH1028" s="928"/>
      <c r="AI1028" s="928"/>
      <c r="AJ1028" s="928"/>
      <c r="AK1028" s="928"/>
      <c r="AM1028" s="33"/>
      <c r="AN1028" s="33"/>
      <c r="AO1028" s="33"/>
      <c r="AP1028" s="33"/>
      <c r="AQ1028" s="33"/>
      <c r="AR1028" s="33"/>
      <c r="AS1028" s="33"/>
      <c r="AT1028" s="33"/>
      <c r="AU1028" s="33"/>
      <c r="AV1028" s="33"/>
      <c r="AW1028" s="33"/>
      <c r="AX1028" s="33"/>
      <c r="AY1028" s="33"/>
      <c r="AZ1028" s="33"/>
      <c r="BA1028" s="33"/>
      <c r="BB1028" s="33"/>
      <c r="BC1028" s="33"/>
      <c r="BD1028" s="33"/>
      <c r="BE1028" s="33"/>
      <c r="BF1028" s="33"/>
      <c r="BG1028" s="33"/>
      <c r="BH1028" s="33"/>
      <c r="BI1028" s="33"/>
      <c r="BJ1028" s="33"/>
      <c r="BK1028" s="33"/>
      <c r="BL1028" s="33"/>
      <c r="BM1028" s="33"/>
      <c r="BN1028" s="33"/>
      <c r="BO1028" s="33"/>
      <c r="BP1028" s="33"/>
      <c r="BQ1028" s="33"/>
      <c r="BR1028" s="33"/>
      <c r="BS1028" s="33"/>
      <c r="BT1028" s="33"/>
      <c r="BU1028" s="33"/>
      <c r="BV1028" s="33"/>
      <c r="BW1028" s="33"/>
      <c r="BX1028" s="33"/>
      <c r="BY1028" s="33"/>
      <c r="BZ1028" s="33"/>
      <c r="CA1028" s="33"/>
      <c r="CB1028" s="33"/>
      <c r="CC1028" s="33"/>
      <c r="CD1028" s="33"/>
      <c r="CE1028" s="33"/>
      <c r="CF1028" s="33"/>
      <c r="CG1028" s="33"/>
      <c r="CH1028" s="33"/>
      <c r="CI1028" s="33"/>
      <c r="CJ1028" s="33"/>
      <c r="CK1028" s="33"/>
      <c r="CL1028" s="33"/>
      <c r="CM1028" s="33"/>
      <c r="CN1028" s="33"/>
      <c r="CO1028" s="33"/>
      <c r="CP1028" s="33"/>
      <c r="CQ1028" s="33"/>
      <c r="CR1028" s="33"/>
      <c r="CS1028" s="33"/>
    </row>
    <row r="1029" spans="1:97" ht="12.95" hidden="1" customHeight="1">
      <c r="A1029" s="781"/>
      <c r="B1029" s="781"/>
      <c r="C1029" s="11"/>
      <c r="D1029" s="928"/>
      <c r="E1029" s="928"/>
      <c r="F1029" s="928"/>
      <c r="G1029" s="928"/>
      <c r="H1029" s="928"/>
      <c r="I1029" s="928"/>
      <c r="J1029" s="928"/>
      <c r="K1029" s="928"/>
      <c r="L1029" s="928"/>
      <c r="M1029" s="928"/>
      <c r="N1029" s="928"/>
      <c r="O1029" s="928"/>
      <c r="P1029" s="928"/>
      <c r="Q1029" s="928"/>
      <c r="R1029" s="928"/>
      <c r="S1029" s="928"/>
      <c r="T1029" s="928"/>
      <c r="U1029" s="928"/>
      <c r="V1029" s="928"/>
      <c r="W1029" s="928"/>
      <c r="X1029" s="928"/>
      <c r="Y1029" s="928"/>
      <c r="Z1029" s="928"/>
      <c r="AA1029" s="928"/>
      <c r="AB1029" s="928"/>
      <c r="AC1029" s="928"/>
      <c r="AD1029" s="928"/>
      <c r="AE1029" s="928"/>
      <c r="AF1029" s="928"/>
      <c r="AG1029" s="928"/>
      <c r="AH1029" s="928"/>
      <c r="AI1029" s="928"/>
      <c r="AJ1029" s="928"/>
      <c r="AK1029" s="928"/>
      <c r="AM1029" s="33"/>
      <c r="AN1029" s="33"/>
      <c r="AO1029" s="33"/>
      <c r="AP1029" s="33"/>
      <c r="AQ1029" s="33"/>
      <c r="AR1029" s="33"/>
      <c r="AS1029" s="33"/>
      <c r="AT1029" s="33"/>
      <c r="AU1029" s="33"/>
      <c r="AV1029" s="33"/>
      <c r="AW1029" s="33"/>
      <c r="AX1029" s="33"/>
      <c r="AY1029" s="33"/>
      <c r="AZ1029" s="33"/>
      <c r="BA1029" s="33"/>
      <c r="BB1029" s="33"/>
      <c r="BC1029" s="33"/>
      <c r="BD1029" s="33"/>
      <c r="BE1029" s="33"/>
      <c r="BF1029" s="33"/>
      <c r="BG1029" s="33"/>
      <c r="BH1029" s="33"/>
      <c r="BI1029" s="33"/>
      <c r="BJ1029" s="33"/>
      <c r="BK1029" s="33"/>
      <c r="BL1029" s="33"/>
      <c r="BM1029" s="33"/>
      <c r="BN1029" s="33"/>
      <c r="BO1029" s="33"/>
      <c r="BP1029" s="33"/>
      <c r="BQ1029" s="33"/>
      <c r="BR1029" s="33"/>
      <c r="BS1029" s="33"/>
      <c r="BT1029" s="33"/>
      <c r="BU1029" s="33"/>
      <c r="BV1029" s="33"/>
      <c r="BW1029" s="33"/>
      <c r="BX1029" s="33"/>
      <c r="BY1029" s="33"/>
      <c r="BZ1029" s="33"/>
      <c r="CA1029" s="33"/>
      <c r="CB1029" s="33"/>
      <c r="CC1029" s="33"/>
      <c r="CD1029" s="33"/>
      <c r="CE1029" s="33"/>
      <c r="CF1029" s="33"/>
      <c r="CG1029" s="33"/>
      <c r="CH1029" s="33"/>
      <c r="CI1029" s="33"/>
      <c r="CJ1029" s="33"/>
      <c r="CK1029" s="33"/>
      <c r="CL1029" s="33"/>
      <c r="CM1029" s="33"/>
      <c r="CN1029" s="33"/>
      <c r="CO1029" s="33"/>
      <c r="CP1029" s="33"/>
      <c r="CQ1029" s="33"/>
      <c r="CR1029" s="33"/>
      <c r="CS1029" s="33"/>
    </row>
    <row r="1030" spans="1:97" ht="12.95" customHeight="1">
      <c r="A1030" s="760"/>
      <c r="B1030" s="25"/>
      <c r="C1030" s="11"/>
      <c r="D1030" s="928"/>
      <c r="E1030" s="928"/>
      <c r="F1030" s="928"/>
      <c r="G1030" s="928"/>
      <c r="H1030" s="928"/>
      <c r="I1030" s="928"/>
      <c r="J1030" s="928"/>
      <c r="K1030" s="928"/>
      <c r="L1030" s="928"/>
      <c r="M1030" s="928"/>
      <c r="N1030" s="928"/>
      <c r="O1030" s="928"/>
      <c r="P1030" s="928"/>
      <c r="Q1030" s="928"/>
      <c r="R1030" s="928"/>
      <c r="S1030" s="928"/>
      <c r="T1030" s="928"/>
      <c r="U1030" s="928"/>
      <c r="V1030" s="928"/>
      <c r="W1030" s="928"/>
      <c r="X1030" s="928"/>
      <c r="Y1030" s="928"/>
      <c r="Z1030" s="928"/>
      <c r="AA1030" s="928"/>
      <c r="AB1030" s="928"/>
      <c r="AC1030" s="928"/>
      <c r="AD1030" s="928"/>
      <c r="AE1030" s="928"/>
      <c r="AF1030" s="928"/>
      <c r="AG1030" s="928"/>
      <c r="AH1030" s="928"/>
      <c r="AI1030" s="928"/>
      <c r="AJ1030" s="928"/>
      <c r="AK1030" s="928"/>
      <c r="AM1030" s="33"/>
      <c r="AN1030" s="33"/>
      <c r="AO1030" s="33"/>
      <c r="AP1030" s="33"/>
      <c r="AQ1030" s="33"/>
      <c r="AR1030" s="33"/>
      <c r="AS1030" s="33"/>
      <c r="AT1030" s="33"/>
      <c r="AU1030" s="33"/>
      <c r="AV1030" s="33"/>
      <c r="AW1030" s="33"/>
      <c r="AX1030" s="33"/>
      <c r="AY1030" s="33"/>
      <c r="AZ1030" s="33"/>
      <c r="BA1030" s="33"/>
      <c r="BB1030" s="33"/>
      <c r="BC1030" s="33"/>
      <c r="BD1030" s="33"/>
      <c r="BE1030" s="33"/>
      <c r="BF1030" s="33"/>
      <c r="BG1030" s="33"/>
      <c r="BH1030" s="33"/>
      <c r="BI1030" s="33"/>
      <c r="BJ1030" s="33"/>
      <c r="BK1030" s="33"/>
      <c r="BL1030" s="33"/>
      <c r="BM1030" s="33"/>
      <c r="BN1030" s="33"/>
      <c r="BO1030" s="33"/>
      <c r="BP1030" s="33"/>
      <c r="BQ1030" s="33"/>
      <c r="BR1030" s="33"/>
      <c r="BS1030" s="33"/>
      <c r="BT1030" s="33"/>
      <c r="BU1030" s="33"/>
      <c r="BV1030" s="33"/>
      <c r="BW1030" s="33"/>
      <c r="BX1030" s="33"/>
      <c r="BY1030" s="33"/>
      <c r="BZ1030" s="33"/>
      <c r="CA1030" s="33"/>
      <c r="CB1030" s="33"/>
      <c r="CC1030" s="33"/>
      <c r="CD1030" s="33"/>
      <c r="CE1030" s="33"/>
      <c r="CF1030" s="33"/>
      <c r="CG1030" s="33"/>
      <c r="CH1030" s="33"/>
      <c r="CI1030" s="33"/>
      <c r="CJ1030" s="33"/>
      <c r="CK1030" s="33"/>
      <c r="CL1030" s="33"/>
      <c r="CM1030" s="33"/>
      <c r="CN1030" s="33"/>
      <c r="CO1030" s="33"/>
      <c r="CP1030" s="33"/>
      <c r="CQ1030" s="33"/>
      <c r="CR1030" s="33"/>
      <c r="CS1030" s="33"/>
    </row>
    <row r="1031" spans="1:97" ht="12.95" customHeight="1">
      <c r="A1031" s="1180" t="s">
        <v>325</v>
      </c>
      <c r="B1031" s="1180"/>
      <c r="C1031" s="11">
        <v>6</v>
      </c>
      <c r="D1031" s="928" t="s">
        <v>1709</v>
      </c>
      <c r="E1031" s="928"/>
      <c r="F1031" s="928"/>
      <c r="G1031" s="928"/>
      <c r="H1031" s="928"/>
      <c r="I1031" s="928"/>
      <c r="J1031" s="928"/>
      <c r="K1031" s="928"/>
      <c r="L1031" s="928"/>
      <c r="M1031" s="928"/>
      <c r="N1031" s="928"/>
      <c r="O1031" s="928"/>
      <c r="P1031" s="928"/>
      <c r="Q1031" s="928"/>
      <c r="R1031" s="928"/>
      <c r="S1031" s="928"/>
      <c r="T1031" s="928"/>
      <c r="U1031" s="928"/>
      <c r="V1031" s="928"/>
      <c r="W1031" s="928"/>
      <c r="X1031" s="928"/>
      <c r="Y1031" s="928"/>
      <c r="Z1031" s="928"/>
      <c r="AA1031" s="928"/>
      <c r="AB1031" s="928"/>
      <c r="AC1031" s="928"/>
      <c r="AD1031" s="928"/>
      <c r="AE1031" s="928"/>
      <c r="AF1031" s="928"/>
      <c r="AG1031" s="928"/>
      <c r="AH1031" s="928"/>
      <c r="AI1031" s="928"/>
      <c r="AJ1031" s="928"/>
      <c r="AK1031" s="928"/>
      <c r="AM1031" s="33"/>
      <c r="AN1031" s="33"/>
      <c r="AO1031" s="33"/>
      <c r="AP1031" s="33"/>
      <c r="AQ1031" s="33"/>
      <c r="AR1031" s="33"/>
      <c r="AS1031" s="33"/>
      <c r="AT1031" s="33"/>
      <c r="AU1031" s="33"/>
      <c r="AV1031" s="33"/>
      <c r="AW1031" s="33"/>
      <c r="AX1031" s="33"/>
      <c r="AY1031" s="33"/>
      <c r="AZ1031" s="33"/>
      <c r="BA1031" s="33"/>
      <c r="BB1031" s="33"/>
      <c r="BC1031" s="33"/>
      <c r="BD1031" s="33"/>
      <c r="BE1031" s="33"/>
      <c r="BF1031" s="33"/>
      <c r="BG1031" s="33"/>
      <c r="BH1031" s="33"/>
      <c r="BI1031" s="33"/>
      <c r="BJ1031" s="33"/>
      <c r="BK1031" s="33"/>
      <c r="BL1031" s="33"/>
      <c r="BM1031" s="33"/>
      <c r="BN1031" s="33"/>
      <c r="BO1031" s="33"/>
      <c r="BP1031" s="33"/>
      <c r="BQ1031" s="33"/>
      <c r="BR1031" s="33"/>
      <c r="BS1031" s="33"/>
      <c r="BT1031" s="33"/>
      <c r="BU1031" s="33"/>
      <c r="BV1031" s="33"/>
      <c r="BW1031" s="33"/>
      <c r="BX1031" s="33"/>
      <c r="BY1031" s="33"/>
      <c r="BZ1031" s="33"/>
      <c r="CA1031" s="33"/>
      <c r="CB1031" s="33"/>
      <c r="CC1031" s="33"/>
      <c r="CD1031" s="33"/>
      <c r="CE1031" s="33"/>
      <c r="CF1031" s="33"/>
      <c r="CG1031" s="33"/>
      <c r="CH1031" s="33"/>
      <c r="CI1031" s="33"/>
      <c r="CJ1031" s="33"/>
      <c r="CK1031" s="33"/>
      <c r="CL1031" s="33"/>
      <c r="CM1031" s="33"/>
      <c r="CN1031" s="33"/>
      <c r="CO1031" s="33"/>
      <c r="CP1031" s="33"/>
      <c r="CQ1031" s="33"/>
      <c r="CR1031" s="33"/>
      <c r="CS1031" s="33"/>
    </row>
    <row r="1032" spans="1:97" ht="12.95" customHeight="1">
      <c r="A1032" s="760"/>
      <c r="B1032" s="25"/>
      <c r="C1032" s="11"/>
      <c r="D1032" s="928"/>
      <c r="E1032" s="928"/>
      <c r="F1032" s="928"/>
      <c r="G1032" s="928"/>
      <c r="H1032" s="928"/>
      <c r="I1032" s="928"/>
      <c r="J1032" s="928"/>
      <c r="K1032" s="928"/>
      <c r="L1032" s="928"/>
      <c r="M1032" s="928"/>
      <c r="N1032" s="928"/>
      <c r="O1032" s="928"/>
      <c r="P1032" s="928"/>
      <c r="Q1032" s="928"/>
      <c r="R1032" s="928"/>
      <c r="S1032" s="928"/>
      <c r="T1032" s="928"/>
      <c r="U1032" s="928"/>
      <c r="V1032" s="928"/>
      <c r="W1032" s="928"/>
      <c r="X1032" s="928"/>
      <c r="Y1032" s="928"/>
      <c r="Z1032" s="928"/>
      <c r="AA1032" s="928"/>
      <c r="AB1032" s="928"/>
      <c r="AC1032" s="928"/>
      <c r="AD1032" s="928"/>
      <c r="AE1032" s="928"/>
      <c r="AF1032" s="928"/>
      <c r="AG1032" s="928"/>
      <c r="AH1032" s="928"/>
      <c r="AI1032" s="928"/>
      <c r="AJ1032" s="928"/>
      <c r="AK1032" s="928"/>
      <c r="AM1032" s="33"/>
      <c r="AN1032" s="33"/>
      <c r="AO1032" s="33"/>
      <c r="AP1032" s="33"/>
      <c r="AQ1032" s="33"/>
      <c r="AR1032" s="33"/>
      <c r="AS1032" s="33"/>
      <c r="AT1032" s="33"/>
      <c r="AU1032" s="33"/>
      <c r="AV1032" s="33"/>
      <c r="AW1032" s="33"/>
      <c r="AX1032" s="33"/>
      <c r="AY1032" s="33"/>
      <c r="AZ1032" s="33"/>
      <c r="BA1032" s="33"/>
      <c r="BB1032" s="33"/>
      <c r="BC1032" s="33"/>
      <c r="BD1032" s="33"/>
      <c r="BE1032" s="33"/>
      <c r="BF1032" s="33"/>
      <c r="BG1032" s="33"/>
      <c r="BH1032" s="33"/>
      <c r="BI1032" s="33"/>
      <c r="BJ1032" s="33"/>
      <c r="BK1032" s="33"/>
      <c r="BL1032" s="33"/>
      <c r="BM1032" s="33"/>
      <c r="BN1032" s="33"/>
      <c r="BO1032" s="33"/>
      <c r="BP1032" s="33"/>
      <c r="BQ1032" s="33"/>
      <c r="BR1032" s="33"/>
      <c r="BS1032" s="33"/>
      <c r="BT1032" s="33"/>
      <c r="BU1032" s="33"/>
      <c r="BV1032" s="33"/>
      <c r="BW1032" s="33"/>
      <c r="BX1032" s="33"/>
      <c r="BY1032" s="33"/>
      <c r="BZ1032" s="33"/>
      <c r="CA1032" s="33"/>
      <c r="CB1032" s="33"/>
      <c r="CC1032" s="33"/>
      <c r="CD1032" s="33"/>
      <c r="CE1032" s="33"/>
      <c r="CF1032" s="33"/>
      <c r="CG1032" s="33"/>
      <c r="CH1032" s="33"/>
      <c r="CI1032" s="33"/>
      <c r="CJ1032" s="33"/>
      <c r="CK1032" s="33"/>
      <c r="CL1032" s="33"/>
      <c r="CM1032" s="33"/>
      <c r="CN1032" s="33"/>
      <c r="CO1032" s="33"/>
      <c r="CP1032" s="33"/>
      <c r="CQ1032" s="33"/>
      <c r="CR1032" s="33"/>
      <c r="CS1032" s="33"/>
    </row>
    <row r="1033" spans="1:97" ht="12.95" customHeight="1">
      <c r="A1033" s="760"/>
      <c r="B1033" s="25"/>
      <c r="C1033" s="11"/>
      <c r="D1033" s="928"/>
      <c r="E1033" s="928"/>
      <c r="F1033" s="928"/>
      <c r="G1033" s="928"/>
      <c r="H1033" s="928"/>
      <c r="I1033" s="928"/>
      <c r="J1033" s="928"/>
      <c r="K1033" s="928"/>
      <c r="L1033" s="928"/>
      <c r="M1033" s="928"/>
      <c r="N1033" s="928"/>
      <c r="O1033" s="928"/>
      <c r="P1033" s="928"/>
      <c r="Q1033" s="928"/>
      <c r="R1033" s="928"/>
      <c r="S1033" s="928"/>
      <c r="T1033" s="928"/>
      <c r="U1033" s="928"/>
      <c r="V1033" s="928"/>
      <c r="W1033" s="928"/>
      <c r="X1033" s="928"/>
      <c r="Y1033" s="928"/>
      <c r="Z1033" s="928"/>
      <c r="AA1033" s="928"/>
      <c r="AB1033" s="928"/>
      <c r="AC1033" s="928"/>
      <c r="AD1033" s="928"/>
      <c r="AE1033" s="928"/>
      <c r="AF1033" s="928"/>
      <c r="AG1033" s="928"/>
      <c r="AH1033" s="928"/>
      <c r="AI1033" s="928"/>
      <c r="AJ1033" s="928"/>
      <c r="AK1033" s="928"/>
      <c r="AM1033" s="33"/>
      <c r="AN1033" s="33"/>
      <c r="AO1033" s="33"/>
      <c r="AP1033" s="33"/>
      <c r="AQ1033" s="33"/>
      <c r="AR1033" s="33"/>
      <c r="AS1033" s="33"/>
      <c r="AT1033" s="33"/>
      <c r="AU1033" s="33"/>
      <c r="AV1033" s="33"/>
      <c r="AW1033" s="33"/>
      <c r="AX1033" s="33"/>
      <c r="AY1033" s="33"/>
      <c r="AZ1033" s="33"/>
      <c r="BA1033" s="33"/>
      <c r="BB1033" s="33"/>
      <c r="BC1033" s="33"/>
      <c r="BD1033" s="33"/>
      <c r="BE1033" s="33"/>
      <c r="BF1033" s="33"/>
      <c r="BG1033" s="33"/>
      <c r="BH1033" s="33"/>
      <c r="BI1033" s="33"/>
      <c r="BJ1033" s="33"/>
      <c r="BK1033" s="33"/>
      <c r="BL1033" s="33"/>
      <c r="BM1033" s="33"/>
      <c r="BN1033" s="33"/>
      <c r="BO1033" s="33"/>
      <c r="BP1033" s="33"/>
      <c r="BQ1033" s="33"/>
      <c r="BR1033" s="33"/>
      <c r="BS1033" s="33"/>
      <c r="BT1033" s="33"/>
      <c r="BU1033" s="33"/>
      <c r="BV1033" s="33"/>
      <c r="BW1033" s="33"/>
      <c r="BX1033" s="33"/>
      <c r="BY1033" s="33"/>
      <c r="BZ1033" s="33"/>
      <c r="CA1033" s="33"/>
      <c r="CB1033" s="33"/>
      <c r="CC1033" s="33"/>
      <c r="CD1033" s="33"/>
      <c r="CE1033" s="33"/>
      <c r="CF1033" s="33"/>
      <c r="CG1033" s="33"/>
      <c r="CH1033" s="33"/>
      <c r="CI1033" s="33"/>
      <c r="CJ1033" s="33"/>
      <c r="CK1033" s="33"/>
      <c r="CL1033" s="33"/>
      <c r="CM1033" s="33"/>
      <c r="CN1033" s="33"/>
      <c r="CO1033" s="33"/>
      <c r="CP1033" s="33"/>
      <c r="CQ1033" s="33"/>
      <c r="CR1033" s="33"/>
      <c r="CS1033" s="33"/>
    </row>
    <row r="1034" spans="1:97" ht="12.95" customHeight="1">
      <c r="A1034" s="1180" t="s">
        <v>325</v>
      </c>
      <c r="B1034" s="1180"/>
      <c r="C1034" s="898">
        <v>7</v>
      </c>
      <c r="D1034" s="928" t="s">
        <v>1710</v>
      </c>
      <c r="E1034" s="928"/>
      <c r="F1034" s="928"/>
      <c r="G1034" s="928"/>
      <c r="H1034" s="928"/>
      <c r="I1034" s="928"/>
      <c r="J1034" s="928"/>
      <c r="K1034" s="928"/>
      <c r="L1034" s="928"/>
      <c r="M1034" s="928"/>
      <c r="N1034" s="928"/>
      <c r="O1034" s="928"/>
      <c r="P1034" s="928"/>
      <c r="Q1034" s="928"/>
      <c r="R1034" s="928"/>
      <c r="S1034" s="928"/>
      <c r="T1034" s="928"/>
      <c r="U1034" s="928"/>
      <c r="V1034" s="928"/>
      <c r="W1034" s="928"/>
      <c r="X1034" s="928"/>
      <c r="Y1034" s="928"/>
      <c r="Z1034" s="928"/>
      <c r="AA1034" s="928"/>
      <c r="AB1034" s="928"/>
      <c r="AC1034" s="928"/>
      <c r="AD1034" s="928"/>
      <c r="AE1034" s="928"/>
      <c r="AF1034" s="928"/>
      <c r="AG1034" s="928"/>
      <c r="AH1034" s="928"/>
      <c r="AI1034" s="928"/>
      <c r="AJ1034" s="928"/>
      <c r="AK1034" s="928"/>
      <c r="AM1034" s="33"/>
      <c r="AN1034" s="33"/>
      <c r="AO1034" s="33"/>
      <c r="AP1034" s="33"/>
      <c r="AQ1034" s="33"/>
      <c r="AR1034" s="33"/>
      <c r="AS1034" s="33"/>
      <c r="AT1034" s="33"/>
      <c r="AU1034" s="33"/>
      <c r="AV1034" s="33"/>
      <c r="AW1034" s="33"/>
      <c r="AX1034" s="33"/>
      <c r="AY1034" s="33"/>
      <c r="AZ1034" s="33"/>
      <c r="BA1034" s="33"/>
      <c r="BB1034" s="33"/>
      <c r="BC1034" s="33"/>
      <c r="BD1034" s="33"/>
      <c r="BE1034" s="33"/>
      <c r="BF1034" s="33"/>
      <c r="BG1034" s="33"/>
      <c r="BH1034" s="33"/>
      <c r="BI1034" s="33"/>
      <c r="BJ1034" s="33"/>
      <c r="BK1034" s="33"/>
      <c r="BL1034" s="33"/>
      <c r="BM1034" s="33"/>
      <c r="BN1034" s="33"/>
      <c r="BO1034" s="33"/>
      <c r="BP1034" s="33"/>
      <c r="BQ1034" s="33"/>
      <c r="BR1034" s="33"/>
      <c r="BS1034" s="33"/>
      <c r="BT1034" s="33"/>
      <c r="BU1034" s="33"/>
      <c r="BV1034" s="33"/>
      <c r="BW1034" s="33"/>
      <c r="BX1034" s="33"/>
      <c r="BY1034" s="33"/>
      <c r="BZ1034" s="33"/>
      <c r="CA1034" s="33"/>
      <c r="CB1034" s="33"/>
      <c r="CC1034" s="33"/>
      <c r="CD1034" s="33"/>
      <c r="CE1034" s="33"/>
      <c r="CF1034" s="33"/>
      <c r="CG1034" s="33"/>
      <c r="CH1034" s="33"/>
      <c r="CI1034" s="33"/>
      <c r="CJ1034" s="33"/>
      <c r="CK1034" s="33"/>
      <c r="CL1034" s="33"/>
      <c r="CM1034" s="33"/>
      <c r="CN1034" s="33"/>
      <c r="CO1034" s="33"/>
      <c r="CP1034" s="33"/>
      <c r="CQ1034" s="33"/>
      <c r="CR1034" s="33"/>
      <c r="CS1034" s="33"/>
    </row>
    <row r="1035" spans="1:97" ht="12.95" customHeight="1">
      <c r="A1035" s="781"/>
      <c r="B1035" s="781"/>
      <c r="C1035" s="898"/>
      <c r="D1035" s="928"/>
      <c r="E1035" s="928"/>
      <c r="F1035" s="928"/>
      <c r="G1035" s="928"/>
      <c r="H1035" s="928"/>
      <c r="I1035" s="928"/>
      <c r="J1035" s="928"/>
      <c r="K1035" s="928"/>
      <c r="L1035" s="928"/>
      <c r="M1035" s="928"/>
      <c r="N1035" s="928"/>
      <c r="O1035" s="928"/>
      <c r="P1035" s="928"/>
      <c r="Q1035" s="928"/>
      <c r="R1035" s="928"/>
      <c r="S1035" s="928"/>
      <c r="T1035" s="928"/>
      <c r="U1035" s="928"/>
      <c r="V1035" s="928"/>
      <c r="W1035" s="928"/>
      <c r="X1035" s="928"/>
      <c r="Y1035" s="928"/>
      <c r="Z1035" s="928"/>
      <c r="AA1035" s="928"/>
      <c r="AB1035" s="928"/>
      <c r="AC1035" s="928"/>
      <c r="AD1035" s="928"/>
      <c r="AE1035" s="928"/>
      <c r="AF1035" s="928"/>
      <c r="AG1035" s="928"/>
      <c r="AH1035" s="928"/>
      <c r="AI1035" s="928"/>
      <c r="AJ1035" s="928"/>
      <c r="AK1035" s="928"/>
      <c r="AM1035" s="33"/>
      <c r="AN1035" s="33"/>
      <c r="AO1035" s="33"/>
      <c r="AP1035" s="33"/>
      <c r="AQ1035" s="33"/>
      <c r="AR1035" s="33"/>
      <c r="AS1035" s="33"/>
      <c r="AT1035" s="33"/>
      <c r="AU1035" s="33"/>
      <c r="AV1035" s="33"/>
      <c r="AW1035" s="33"/>
      <c r="AX1035" s="33"/>
      <c r="AY1035" s="33"/>
      <c r="AZ1035" s="33"/>
      <c r="BA1035" s="33"/>
      <c r="BB1035" s="33"/>
      <c r="BC1035" s="33"/>
      <c r="BD1035" s="33"/>
      <c r="BE1035" s="33"/>
      <c r="BF1035" s="33"/>
      <c r="BG1035" s="33"/>
      <c r="BH1035" s="33"/>
      <c r="BI1035" s="33"/>
      <c r="BJ1035" s="33"/>
      <c r="BK1035" s="33"/>
      <c r="BL1035" s="33"/>
      <c r="BM1035" s="33"/>
      <c r="BN1035" s="33"/>
      <c r="BO1035" s="33"/>
      <c r="BP1035" s="33"/>
      <c r="BQ1035" s="33"/>
      <c r="BR1035" s="33"/>
      <c r="BS1035" s="33"/>
      <c r="BT1035" s="33"/>
      <c r="BU1035" s="33"/>
      <c r="BV1035" s="33"/>
      <c r="BW1035" s="33"/>
      <c r="BX1035" s="33"/>
      <c r="BY1035" s="33"/>
      <c r="BZ1035" s="33"/>
      <c r="CA1035" s="33"/>
      <c r="CB1035" s="33"/>
      <c r="CC1035" s="33"/>
      <c r="CD1035" s="33"/>
      <c r="CE1035" s="33"/>
      <c r="CF1035" s="33"/>
      <c r="CG1035" s="33"/>
      <c r="CH1035" s="33"/>
      <c r="CI1035" s="33"/>
      <c r="CJ1035" s="33"/>
      <c r="CK1035" s="33"/>
      <c r="CL1035" s="33"/>
      <c r="CM1035" s="33"/>
      <c r="CN1035" s="33"/>
      <c r="CO1035" s="33"/>
      <c r="CP1035" s="33"/>
      <c r="CQ1035" s="33"/>
      <c r="CR1035" s="33"/>
      <c r="CS1035" s="33"/>
    </row>
    <row r="1036" spans="1:97" ht="12.95" customHeight="1">
      <c r="A1036" s="781"/>
      <c r="B1036" s="781"/>
      <c r="C1036" s="898"/>
      <c r="D1036" s="928"/>
      <c r="E1036" s="928"/>
      <c r="F1036" s="928"/>
      <c r="G1036" s="928"/>
      <c r="H1036" s="928"/>
      <c r="I1036" s="928"/>
      <c r="J1036" s="928"/>
      <c r="K1036" s="928"/>
      <c r="L1036" s="928"/>
      <c r="M1036" s="928"/>
      <c r="N1036" s="928"/>
      <c r="O1036" s="928"/>
      <c r="P1036" s="928"/>
      <c r="Q1036" s="928"/>
      <c r="R1036" s="928"/>
      <c r="S1036" s="928"/>
      <c r="T1036" s="928"/>
      <c r="U1036" s="928"/>
      <c r="V1036" s="928"/>
      <c r="W1036" s="928"/>
      <c r="X1036" s="928"/>
      <c r="Y1036" s="928"/>
      <c r="Z1036" s="928"/>
      <c r="AA1036" s="928"/>
      <c r="AB1036" s="928"/>
      <c r="AC1036" s="928"/>
      <c r="AD1036" s="928"/>
      <c r="AE1036" s="928"/>
      <c r="AF1036" s="928"/>
      <c r="AG1036" s="928"/>
      <c r="AH1036" s="928"/>
      <c r="AI1036" s="928"/>
      <c r="AJ1036" s="928"/>
      <c r="AK1036" s="928"/>
      <c r="AM1036" s="33"/>
      <c r="AN1036" s="33"/>
      <c r="AO1036" s="33"/>
      <c r="AP1036" s="33"/>
      <c r="AQ1036" s="33"/>
      <c r="AR1036" s="33"/>
      <c r="AS1036" s="33"/>
      <c r="AT1036" s="33"/>
      <c r="AU1036" s="33"/>
      <c r="AV1036" s="33"/>
      <c r="AW1036" s="33"/>
      <c r="AX1036" s="33"/>
      <c r="AY1036" s="33"/>
      <c r="AZ1036" s="33"/>
      <c r="BA1036" s="33"/>
      <c r="BB1036" s="33"/>
      <c r="BC1036" s="33"/>
      <c r="BD1036" s="33"/>
      <c r="BE1036" s="33"/>
      <c r="BF1036" s="33"/>
      <c r="BG1036" s="33"/>
      <c r="BH1036" s="33"/>
      <c r="BI1036" s="33"/>
      <c r="BJ1036" s="33"/>
      <c r="BK1036" s="33"/>
      <c r="BL1036" s="33"/>
      <c r="BM1036" s="33"/>
      <c r="BN1036" s="33"/>
      <c r="BO1036" s="33"/>
      <c r="BP1036" s="33"/>
      <c r="BQ1036" s="33"/>
      <c r="BR1036" s="33"/>
      <c r="BS1036" s="33"/>
      <c r="BT1036" s="33"/>
      <c r="BU1036" s="33"/>
      <c r="BV1036" s="33"/>
      <c r="BW1036" s="33"/>
      <c r="BX1036" s="33"/>
      <c r="BY1036" s="33"/>
      <c r="BZ1036" s="33"/>
      <c r="CA1036" s="33"/>
      <c r="CB1036" s="33"/>
      <c r="CC1036" s="33"/>
      <c r="CD1036" s="33"/>
      <c r="CE1036" s="33"/>
      <c r="CF1036" s="33"/>
      <c r="CG1036" s="33"/>
      <c r="CH1036" s="33"/>
      <c r="CI1036" s="33"/>
      <c r="CJ1036" s="33"/>
      <c r="CK1036" s="33"/>
      <c r="CL1036" s="33"/>
      <c r="CM1036" s="33"/>
      <c r="CN1036" s="33"/>
      <c r="CO1036" s="33"/>
      <c r="CP1036" s="33"/>
      <c r="CQ1036" s="33"/>
      <c r="CR1036" s="33"/>
      <c r="CS1036" s="33"/>
    </row>
    <row r="1037" spans="1:97" ht="12.95" customHeight="1">
      <c r="A1037" s="760"/>
      <c r="B1037" s="25"/>
      <c r="C1037" s="898"/>
      <c r="D1037" s="928"/>
      <c r="E1037" s="928"/>
      <c r="F1037" s="928"/>
      <c r="G1037" s="928"/>
      <c r="H1037" s="928"/>
      <c r="I1037" s="928"/>
      <c r="J1037" s="928"/>
      <c r="K1037" s="928"/>
      <c r="L1037" s="928"/>
      <c r="M1037" s="928"/>
      <c r="N1037" s="928"/>
      <c r="O1037" s="928"/>
      <c r="P1037" s="928"/>
      <c r="Q1037" s="928"/>
      <c r="R1037" s="928"/>
      <c r="S1037" s="928"/>
      <c r="T1037" s="928"/>
      <c r="U1037" s="928"/>
      <c r="V1037" s="928"/>
      <c r="W1037" s="928"/>
      <c r="X1037" s="928"/>
      <c r="Y1037" s="928"/>
      <c r="Z1037" s="928"/>
      <c r="AA1037" s="928"/>
      <c r="AB1037" s="928"/>
      <c r="AC1037" s="928"/>
      <c r="AD1037" s="928"/>
      <c r="AE1037" s="928"/>
      <c r="AF1037" s="928"/>
      <c r="AG1037" s="928"/>
      <c r="AH1037" s="928"/>
      <c r="AI1037" s="928"/>
      <c r="AJ1037" s="928"/>
      <c r="AK1037" s="928"/>
      <c r="AM1037" s="33"/>
      <c r="AN1037" s="33"/>
      <c r="AO1037" s="33"/>
      <c r="AP1037" s="33"/>
      <c r="AQ1037" s="33"/>
      <c r="AR1037" s="33"/>
      <c r="AS1037" s="33"/>
      <c r="AT1037" s="33"/>
      <c r="AU1037" s="33"/>
      <c r="AV1037" s="33"/>
      <c r="AW1037" s="33"/>
      <c r="AX1037" s="33"/>
      <c r="AY1037" s="33"/>
      <c r="AZ1037" s="33"/>
      <c r="BA1037" s="33"/>
      <c r="BB1037" s="33"/>
      <c r="BC1037" s="33"/>
      <c r="BD1037" s="33"/>
      <c r="BE1037" s="33"/>
      <c r="BF1037" s="33"/>
      <c r="BG1037" s="33"/>
      <c r="BH1037" s="33"/>
      <c r="BI1037" s="33"/>
      <c r="BJ1037" s="33"/>
      <c r="BK1037" s="33"/>
      <c r="BL1037" s="33"/>
      <c r="BM1037" s="33"/>
      <c r="BN1037" s="33"/>
      <c r="BO1037" s="33"/>
      <c r="BP1037" s="33"/>
      <c r="BQ1037" s="33"/>
      <c r="BR1037" s="33"/>
      <c r="BS1037" s="33"/>
      <c r="BT1037" s="33"/>
      <c r="BU1037" s="33"/>
      <c r="BV1037" s="33"/>
      <c r="BW1037" s="33"/>
      <c r="BX1037" s="33"/>
      <c r="BY1037" s="33"/>
      <c r="BZ1037" s="33"/>
      <c r="CA1037" s="33"/>
      <c r="CB1037" s="33"/>
      <c r="CC1037" s="33"/>
      <c r="CD1037" s="33"/>
      <c r="CE1037" s="33"/>
      <c r="CF1037" s="33"/>
      <c r="CG1037" s="33"/>
      <c r="CH1037" s="33"/>
      <c r="CI1037" s="33"/>
      <c r="CJ1037" s="33"/>
      <c r="CK1037" s="33"/>
      <c r="CL1037" s="33"/>
      <c r="CM1037" s="33"/>
      <c r="CN1037" s="33"/>
      <c r="CO1037" s="33"/>
      <c r="CP1037" s="33"/>
      <c r="CQ1037" s="33"/>
      <c r="CR1037" s="33"/>
      <c r="CS1037" s="33"/>
    </row>
    <row r="1038" spans="1:97" ht="12.95" customHeight="1">
      <c r="A1038" s="1180" t="s">
        <v>325</v>
      </c>
      <c r="B1038" s="1180"/>
      <c r="C1038" s="898">
        <v>8</v>
      </c>
      <c r="D1038" s="928" t="s">
        <v>1711</v>
      </c>
      <c r="E1038" s="928"/>
      <c r="F1038" s="928"/>
      <c r="G1038" s="928"/>
      <c r="H1038" s="928"/>
      <c r="I1038" s="928"/>
      <c r="J1038" s="928"/>
      <c r="K1038" s="928"/>
      <c r="L1038" s="928"/>
      <c r="M1038" s="928"/>
      <c r="N1038" s="928"/>
      <c r="O1038" s="928"/>
      <c r="P1038" s="928"/>
      <c r="Q1038" s="928"/>
      <c r="R1038" s="928"/>
      <c r="S1038" s="928"/>
      <c r="T1038" s="928"/>
      <c r="U1038" s="928"/>
      <c r="V1038" s="928"/>
      <c r="W1038" s="928"/>
      <c r="X1038" s="928"/>
      <c r="Y1038" s="928"/>
      <c r="Z1038" s="928"/>
      <c r="AA1038" s="928"/>
      <c r="AB1038" s="928"/>
      <c r="AC1038" s="928"/>
      <c r="AD1038" s="928"/>
      <c r="AE1038" s="928"/>
      <c r="AF1038" s="928"/>
      <c r="AG1038" s="928"/>
      <c r="AH1038" s="928"/>
      <c r="AI1038" s="928"/>
      <c r="AJ1038" s="928"/>
      <c r="AK1038" s="928"/>
    </row>
    <row r="1039" spans="1:97" ht="12.95" customHeight="1">
      <c r="A1039" s="781"/>
      <c r="B1039" s="781"/>
      <c r="C1039" s="898"/>
      <c r="D1039" s="928"/>
      <c r="E1039" s="928"/>
      <c r="F1039" s="928"/>
      <c r="G1039" s="928"/>
      <c r="H1039" s="928"/>
      <c r="I1039" s="928"/>
      <c r="J1039" s="928"/>
      <c r="K1039" s="928"/>
      <c r="L1039" s="928"/>
      <c r="M1039" s="928"/>
      <c r="N1039" s="928"/>
      <c r="O1039" s="928"/>
      <c r="P1039" s="928"/>
      <c r="Q1039" s="928"/>
      <c r="R1039" s="928"/>
      <c r="S1039" s="928"/>
      <c r="T1039" s="928"/>
      <c r="U1039" s="928"/>
      <c r="V1039" s="928"/>
      <c r="W1039" s="928"/>
      <c r="X1039" s="928"/>
      <c r="Y1039" s="928"/>
      <c r="Z1039" s="928"/>
      <c r="AA1039" s="928"/>
      <c r="AB1039" s="928"/>
      <c r="AC1039" s="928"/>
      <c r="AD1039" s="928"/>
      <c r="AE1039" s="928"/>
      <c r="AF1039" s="928"/>
      <c r="AG1039" s="928"/>
      <c r="AH1039" s="928"/>
      <c r="AI1039" s="928"/>
      <c r="AJ1039" s="928"/>
      <c r="AK1039" s="928"/>
    </row>
    <row r="1040" spans="1:97" ht="12.95" customHeight="1">
      <c r="A1040" s="781"/>
      <c r="B1040" s="781"/>
      <c r="C1040" s="898"/>
      <c r="D1040" s="928"/>
      <c r="E1040" s="928"/>
      <c r="F1040" s="928"/>
      <c r="G1040" s="928"/>
      <c r="H1040" s="928"/>
      <c r="I1040" s="928"/>
      <c r="J1040" s="928"/>
      <c r="K1040" s="928"/>
      <c r="L1040" s="928"/>
      <c r="M1040" s="928"/>
      <c r="N1040" s="928"/>
      <c r="O1040" s="928"/>
      <c r="P1040" s="928"/>
      <c r="Q1040" s="928"/>
      <c r="R1040" s="928"/>
      <c r="S1040" s="928"/>
      <c r="T1040" s="928"/>
      <c r="U1040" s="928"/>
      <c r="V1040" s="928"/>
      <c r="W1040" s="928"/>
      <c r="X1040" s="928"/>
      <c r="Y1040" s="928"/>
      <c r="Z1040" s="928"/>
      <c r="AA1040" s="928"/>
      <c r="AB1040" s="928"/>
      <c r="AC1040" s="928"/>
      <c r="AD1040" s="928"/>
      <c r="AE1040" s="928"/>
      <c r="AF1040" s="928"/>
      <c r="AG1040" s="928"/>
      <c r="AH1040" s="928"/>
      <c r="AI1040" s="928"/>
      <c r="AJ1040" s="928"/>
      <c r="AK1040" s="928"/>
    </row>
    <row r="1041" spans="1:38" ht="12.95" customHeight="1">
      <c r="A1041" s="760"/>
      <c r="B1041" s="25"/>
      <c r="C1041" s="898"/>
      <c r="D1041" s="928"/>
      <c r="E1041" s="928"/>
      <c r="F1041" s="928"/>
      <c r="G1041" s="928"/>
      <c r="H1041" s="928"/>
      <c r="I1041" s="928"/>
      <c r="J1041" s="928"/>
      <c r="K1041" s="928"/>
      <c r="L1041" s="928"/>
      <c r="M1041" s="928"/>
      <c r="N1041" s="928"/>
      <c r="O1041" s="928"/>
      <c r="P1041" s="928"/>
      <c r="Q1041" s="928"/>
      <c r="R1041" s="928"/>
      <c r="S1041" s="928"/>
      <c r="T1041" s="928"/>
      <c r="U1041" s="928"/>
      <c r="V1041" s="928"/>
      <c r="W1041" s="928"/>
      <c r="X1041" s="928"/>
      <c r="Y1041" s="928"/>
      <c r="Z1041" s="928"/>
      <c r="AA1041" s="928"/>
      <c r="AB1041" s="928"/>
      <c r="AC1041" s="928"/>
      <c r="AD1041" s="928"/>
      <c r="AE1041" s="928"/>
      <c r="AF1041" s="928"/>
      <c r="AG1041" s="928"/>
      <c r="AH1041" s="928"/>
      <c r="AI1041" s="928"/>
      <c r="AJ1041" s="928"/>
      <c r="AK1041" s="928"/>
    </row>
    <row r="1042" spans="1:38" ht="12.95" customHeight="1">
      <c r="A1042" s="1420" t="s">
        <v>325</v>
      </c>
      <c r="B1042" s="1420"/>
      <c r="C1042" s="898">
        <v>9</v>
      </c>
      <c r="D1042" s="928" t="s">
        <v>1712</v>
      </c>
      <c r="E1042" s="928"/>
      <c r="F1042" s="928"/>
      <c r="G1042" s="928"/>
      <c r="H1042" s="928"/>
      <c r="I1042" s="928"/>
      <c r="J1042" s="928"/>
      <c r="K1042" s="928"/>
      <c r="L1042" s="928"/>
      <c r="M1042" s="928"/>
      <c r="N1042" s="928"/>
      <c r="O1042" s="928"/>
      <c r="P1042" s="928"/>
      <c r="Q1042" s="928"/>
      <c r="R1042" s="928"/>
      <c r="S1042" s="928"/>
      <c r="T1042" s="928"/>
      <c r="U1042" s="928"/>
      <c r="V1042" s="928"/>
      <c r="W1042" s="928"/>
      <c r="X1042" s="928"/>
      <c r="Y1042" s="928"/>
      <c r="Z1042" s="928"/>
      <c r="AA1042" s="928"/>
      <c r="AB1042" s="928"/>
      <c r="AC1042" s="928"/>
      <c r="AD1042" s="928"/>
      <c r="AE1042" s="928"/>
      <c r="AF1042" s="928"/>
      <c r="AG1042" s="928"/>
      <c r="AH1042" s="928"/>
      <c r="AI1042" s="928"/>
      <c r="AJ1042" s="928"/>
      <c r="AK1042" s="928"/>
    </row>
    <row r="1043" spans="1:38" ht="12.95" customHeight="1">
      <c r="A1043" s="760"/>
      <c r="B1043" s="25"/>
      <c r="C1043" s="898"/>
      <c r="D1043" s="928"/>
      <c r="E1043" s="928"/>
      <c r="F1043" s="928"/>
      <c r="G1043" s="928"/>
      <c r="H1043" s="928"/>
      <c r="I1043" s="928"/>
      <c r="J1043" s="928"/>
      <c r="K1043" s="928"/>
      <c r="L1043" s="928"/>
      <c r="M1043" s="928"/>
      <c r="N1043" s="928"/>
      <c r="O1043" s="928"/>
      <c r="P1043" s="928"/>
      <c r="Q1043" s="928"/>
      <c r="R1043" s="928"/>
      <c r="S1043" s="928"/>
      <c r="T1043" s="928"/>
      <c r="U1043" s="928"/>
      <c r="V1043" s="928"/>
      <c r="W1043" s="928"/>
      <c r="X1043" s="928"/>
      <c r="Y1043" s="928"/>
      <c r="Z1043" s="928"/>
      <c r="AA1043" s="928"/>
      <c r="AB1043" s="928"/>
      <c r="AC1043" s="928"/>
      <c r="AD1043" s="928"/>
      <c r="AE1043" s="928"/>
      <c r="AF1043" s="928"/>
      <c r="AG1043" s="928"/>
      <c r="AH1043" s="928"/>
      <c r="AI1043" s="928"/>
      <c r="AJ1043" s="928"/>
      <c r="AK1043" s="928"/>
    </row>
    <row r="1044" spans="1:38" ht="12.95" customHeight="1">
      <c r="D1044" s="928"/>
      <c r="E1044" s="928"/>
      <c r="F1044" s="928"/>
      <c r="G1044" s="928"/>
      <c r="H1044" s="928"/>
      <c r="I1044" s="928"/>
      <c r="J1044" s="928"/>
      <c r="K1044" s="928"/>
      <c r="L1044" s="928"/>
      <c r="M1044" s="928"/>
      <c r="N1044" s="928"/>
      <c r="O1044" s="928"/>
      <c r="P1044" s="928"/>
      <c r="Q1044" s="928"/>
      <c r="R1044" s="928"/>
      <c r="S1044" s="928"/>
      <c r="T1044" s="928"/>
      <c r="U1044" s="928"/>
      <c r="V1044" s="928"/>
      <c r="W1044" s="928"/>
      <c r="X1044" s="928"/>
      <c r="Y1044" s="928"/>
      <c r="Z1044" s="928"/>
      <c r="AA1044" s="928"/>
      <c r="AB1044" s="928"/>
      <c r="AC1044" s="928"/>
      <c r="AD1044" s="928"/>
      <c r="AE1044" s="928"/>
      <c r="AF1044" s="928"/>
      <c r="AG1044" s="928"/>
      <c r="AH1044" s="928"/>
      <c r="AI1044" s="928"/>
      <c r="AJ1044" s="928"/>
      <c r="AK1044" s="928"/>
    </row>
    <row r="1045" spans="1:38" ht="12.95" customHeight="1">
      <c r="A1045" s="39"/>
      <c r="B1045" s="39"/>
      <c r="C1045" s="39"/>
      <c r="D1045" s="39"/>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48">
    <mergeCell ref="W615:Y617"/>
    <mergeCell ref="Q615:S617"/>
    <mergeCell ref="T615:V617"/>
    <mergeCell ref="M620:P620"/>
    <mergeCell ref="AC624:AE624"/>
    <mergeCell ref="T620:V620"/>
    <mergeCell ref="T621:V621"/>
    <mergeCell ref="T622:V622"/>
    <mergeCell ref="Q623:S623"/>
    <mergeCell ref="Q624:S624"/>
    <mergeCell ref="Q625:S625"/>
    <mergeCell ref="C625:L625"/>
    <mergeCell ref="AE556:AH556"/>
    <mergeCell ref="AI556:AL556"/>
    <mergeCell ref="T623:V623"/>
    <mergeCell ref="Z604:AE604"/>
    <mergeCell ref="Z576:AK576"/>
    <mergeCell ref="G579:R579"/>
    <mergeCell ref="G602:R602"/>
    <mergeCell ref="G603:R603"/>
    <mergeCell ref="G593:R593"/>
    <mergeCell ref="P596:R596"/>
    <mergeCell ref="G595:R595"/>
    <mergeCell ref="G594:R594"/>
    <mergeCell ref="C618:L618"/>
    <mergeCell ref="C619:L619"/>
    <mergeCell ref="C620:L620"/>
    <mergeCell ref="C621:L621"/>
    <mergeCell ref="C622:L622"/>
    <mergeCell ref="C623:L623"/>
    <mergeCell ref="C624:L624"/>
    <mergeCell ref="G577:R577"/>
    <mergeCell ref="Q384:U384"/>
    <mergeCell ref="M352:N35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AK624:AN624"/>
    <mergeCell ref="AI604:AK604"/>
    <mergeCell ref="Z596:AE596"/>
    <mergeCell ref="Z562:AK562"/>
    <mergeCell ref="Q480:AK480"/>
    <mergeCell ref="Q387:U387"/>
    <mergeCell ref="AF621:AJ621"/>
    <mergeCell ref="AC615:AE617"/>
    <mergeCell ref="AF615:AJ617"/>
    <mergeCell ref="AC619:AE619"/>
    <mergeCell ref="AF619:AJ619"/>
    <mergeCell ref="W619:Y619"/>
    <mergeCell ref="Q620:S620"/>
    <mergeCell ref="Q621:S621"/>
    <mergeCell ref="Q622:S622"/>
    <mergeCell ref="AI382:AJ382"/>
    <mergeCell ref="AK621:AN621"/>
    <mergeCell ref="AE543:AH545"/>
    <mergeCell ref="H581:R581"/>
    <mergeCell ref="H573:R573"/>
    <mergeCell ref="M625:P625"/>
    <mergeCell ref="M626:P626"/>
    <mergeCell ref="M627:P627"/>
    <mergeCell ref="P580:R580"/>
    <mergeCell ref="G587:R587"/>
    <mergeCell ref="H589:R589"/>
    <mergeCell ref="N582:O582"/>
    <mergeCell ref="N590:O590"/>
    <mergeCell ref="N574:O574"/>
    <mergeCell ref="G600:R600"/>
    <mergeCell ref="N598:O598"/>
    <mergeCell ref="B615:L617"/>
    <mergeCell ref="Q543:S545"/>
    <mergeCell ref="T543:V545"/>
    <mergeCell ref="AI580:AK580"/>
    <mergeCell ref="AG582:AH582"/>
    <mergeCell ref="Z579:AK579"/>
    <mergeCell ref="G578:R578"/>
    <mergeCell ref="G562:R562"/>
    <mergeCell ref="H565:R565"/>
    <mergeCell ref="G601:R601"/>
    <mergeCell ref="C551:L551"/>
    <mergeCell ref="M551:P551"/>
    <mergeCell ref="C552:L552"/>
    <mergeCell ref="M552:P552"/>
    <mergeCell ref="AA565:AK565"/>
    <mergeCell ref="Z561:AK561"/>
    <mergeCell ref="N566:O566"/>
    <mergeCell ref="Z570:AK570"/>
    <mergeCell ref="G564:L564"/>
    <mergeCell ref="AA309:AF309"/>
    <mergeCell ref="AA294:AF294"/>
    <mergeCell ref="AA310:AF310"/>
    <mergeCell ref="Y358:Z358"/>
    <mergeCell ref="AI333:AK333"/>
    <mergeCell ref="AI341:AK341"/>
    <mergeCell ref="AA342:AF342"/>
    <mergeCell ref="AJ350:AK350"/>
    <mergeCell ref="N357:O357"/>
    <mergeCell ref="H343:R343"/>
    <mergeCell ref="N363:Q363"/>
    <mergeCell ref="V374:W374"/>
    <mergeCell ref="N371:P371"/>
    <mergeCell ref="AG373:AH373"/>
    <mergeCell ref="AD370:AE370"/>
    <mergeCell ref="S370:T370"/>
    <mergeCell ref="AC363:AF363"/>
    <mergeCell ref="H311:R311"/>
    <mergeCell ref="AA305:AK305"/>
    <mergeCell ref="A345:AL346"/>
    <mergeCell ref="AA343:AK343"/>
    <mergeCell ref="M351:N351"/>
    <mergeCell ref="H323:R323"/>
    <mergeCell ref="AA323:AK323"/>
    <mergeCell ref="AA330:AK330"/>
    <mergeCell ref="AA339:AK339"/>
    <mergeCell ref="H335:R335"/>
    <mergeCell ref="H338:R338"/>
    <mergeCell ref="E361:AH362"/>
    <mergeCell ref="AC364:AF364"/>
    <mergeCell ref="H333:M333"/>
    <mergeCell ref="AA338:AK338"/>
    <mergeCell ref="H316:R316"/>
    <mergeCell ref="H308:R308"/>
    <mergeCell ref="AA299:AK299"/>
    <mergeCell ref="H299:R299"/>
    <mergeCell ref="H303:R303"/>
    <mergeCell ref="P309:R309"/>
    <mergeCell ref="H309:M309"/>
    <mergeCell ref="H294:M294"/>
    <mergeCell ref="AA311:AK311"/>
    <mergeCell ref="P301:R301"/>
    <mergeCell ref="AA322:AK322"/>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Z543:AD545"/>
    <mergeCell ref="AA316:AK316"/>
    <mergeCell ref="H306:R306"/>
    <mergeCell ref="N606:O606"/>
    <mergeCell ref="Q618:S618"/>
    <mergeCell ref="Q619:S619"/>
    <mergeCell ref="G596:L596"/>
    <mergeCell ref="AG566:AH566"/>
    <mergeCell ref="AA573:AK573"/>
    <mergeCell ref="G585:R585"/>
    <mergeCell ref="AA581:AK581"/>
    <mergeCell ref="Z587:AK587"/>
    <mergeCell ref="G580:L580"/>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AY906:AZ906"/>
    <mergeCell ref="X992:AC992"/>
    <mergeCell ref="U897:Z897"/>
    <mergeCell ref="L905:S905"/>
    <mergeCell ref="L904:S904"/>
    <mergeCell ref="U898:Z898"/>
    <mergeCell ref="M919:S919"/>
    <mergeCell ref="AA918:AG918"/>
    <mergeCell ref="M918:S918"/>
    <mergeCell ref="AA916:AG916"/>
    <mergeCell ref="Z773:AE773"/>
    <mergeCell ref="Y764:AC764"/>
    <mergeCell ref="P780:Y780"/>
    <mergeCell ref="AF964:AI965"/>
    <mergeCell ref="AF966:AI967"/>
    <mergeCell ref="AF970:AI971"/>
    <mergeCell ref="AF969:AI969"/>
    <mergeCell ref="O922:P922"/>
    <mergeCell ref="U892:Z892"/>
    <mergeCell ref="M839:V839"/>
    <mergeCell ref="M920:S920"/>
    <mergeCell ref="U877:Z879"/>
    <mergeCell ref="AG794:AJ794"/>
    <mergeCell ref="U794:X794"/>
    <mergeCell ref="Z781:AE781"/>
    <mergeCell ref="U792:X792"/>
    <mergeCell ref="AB936:AI936"/>
    <mergeCell ref="AJ936:AQ936"/>
    <mergeCell ref="D954:AE954"/>
    <mergeCell ref="AG954:AH954"/>
    <mergeCell ref="AJ954:AQ95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AA887:AF887"/>
    <mergeCell ref="W833:AC833"/>
    <mergeCell ref="W840:AC840"/>
    <mergeCell ref="X993:AC993"/>
    <mergeCell ref="B999:AK999"/>
    <mergeCell ref="A1023:B1023"/>
    <mergeCell ref="A1031:B1031"/>
    <mergeCell ref="A1016:B1016"/>
    <mergeCell ref="D1031:AK1033"/>
    <mergeCell ref="AJ941:AQ943"/>
    <mergeCell ref="D960:AE962"/>
    <mergeCell ref="D943:AE943"/>
    <mergeCell ref="D988:AI988"/>
    <mergeCell ref="AJ988:AQ988"/>
    <mergeCell ref="D979:AE979"/>
    <mergeCell ref="AJ959:AQ962"/>
    <mergeCell ref="AG979:AH979"/>
    <mergeCell ref="AJ979:AQ98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W628:Y628"/>
    <mergeCell ref="W629:Y629"/>
    <mergeCell ref="C553:L553"/>
    <mergeCell ref="BN612:BR612"/>
    <mergeCell ref="BK595:BL595"/>
    <mergeCell ref="BI595:BJ595"/>
    <mergeCell ref="BK597:BL597"/>
    <mergeCell ref="BI596:BJ596"/>
    <mergeCell ref="BI598:BJ598"/>
    <mergeCell ref="AC759:AG759"/>
    <mergeCell ref="Z770:AE770"/>
    <mergeCell ref="T761:W761"/>
    <mergeCell ref="O739:S739"/>
    <mergeCell ref="J738:N738"/>
    <mergeCell ref="O734:S737"/>
    <mergeCell ref="B716:F716"/>
    <mergeCell ref="B714:F714"/>
    <mergeCell ref="O716:S716"/>
    <mergeCell ref="K714:N714"/>
    <mergeCell ref="O714:S714"/>
    <mergeCell ref="X761:AB761"/>
    <mergeCell ref="K716:N716"/>
    <mergeCell ref="O762:S762"/>
    <mergeCell ref="O754:S754"/>
    <mergeCell ref="G713:J713"/>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622:P622"/>
    <mergeCell ref="M623:P623"/>
    <mergeCell ref="M624:P624"/>
    <mergeCell ref="Y692:AB692"/>
    <mergeCell ref="AC692:AG692"/>
    <mergeCell ref="AH692:AL692"/>
    <mergeCell ref="AG648:AH648"/>
    <mergeCell ref="Z650:AK650"/>
    <mergeCell ref="Z584:AK584"/>
    <mergeCell ref="X741:AB741"/>
    <mergeCell ref="O742:S742"/>
    <mergeCell ref="AC761:AG761"/>
    <mergeCell ref="T754:W754"/>
    <mergeCell ref="T714:X714"/>
    <mergeCell ref="J760:N760"/>
    <mergeCell ref="O760:S760"/>
    <mergeCell ref="O748:S751"/>
    <mergeCell ref="O740:S740"/>
    <mergeCell ref="Y714:AB714"/>
    <mergeCell ref="G716:J716"/>
    <mergeCell ref="O752:S752"/>
    <mergeCell ref="J753:N753"/>
    <mergeCell ref="Y793:AB793"/>
    <mergeCell ref="Y765:AC765"/>
    <mergeCell ref="U787:X788"/>
    <mergeCell ref="J744:K744"/>
    <mergeCell ref="J755:N755"/>
    <mergeCell ref="J759:N759"/>
    <mergeCell ref="O759:S759"/>
    <mergeCell ref="Z772:AE772"/>
    <mergeCell ref="O715:S715"/>
    <mergeCell ref="J758:N758"/>
    <mergeCell ref="X754:AB754"/>
    <mergeCell ref="AC754:AG754"/>
    <mergeCell ref="T755:W755"/>
    <mergeCell ref="X755:AB755"/>
    <mergeCell ref="AC755:AG755"/>
    <mergeCell ref="AC714:AG714"/>
    <mergeCell ref="AG787:AJ788"/>
    <mergeCell ref="M792:P792"/>
    <mergeCell ref="AC758:AG758"/>
    <mergeCell ref="B708:F708"/>
    <mergeCell ref="B710:F710"/>
    <mergeCell ref="AG720:AJ720"/>
    <mergeCell ref="B713:F713"/>
    <mergeCell ref="G712:J712"/>
    <mergeCell ref="J742:N742"/>
    <mergeCell ref="B711:F711"/>
    <mergeCell ref="J734:N737"/>
    <mergeCell ref="O738:S738"/>
    <mergeCell ref="U796:X796"/>
    <mergeCell ref="G708:J708"/>
    <mergeCell ref="O758:S758"/>
    <mergeCell ref="C726:AM733"/>
    <mergeCell ref="AC787:AF788"/>
    <mergeCell ref="K710:N710"/>
    <mergeCell ref="O710:S710"/>
    <mergeCell ref="T710:X710"/>
    <mergeCell ref="Y710:AB710"/>
    <mergeCell ref="AC710:AG710"/>
    <mergeCell ref="J748:N751"/>
    <mergeCell ref="G717:J717"/>
    <mergeCell ref="O753:S753"/>
    <mergeCell ref="J741:N741"/>
    <mergeCell ref="O741:S741"/>
    <mergeCell ref="B712:F712"/>
    <mergeCell ref="G709:J709"/>
    <mergeCell ref="G710:J710"/>
    <mergeCell ref="C718:AH719"/>
    <mergeCell ref="B717:F717"/>
    <mergeCell ref="G711:J711"/>
    <mergeCell ref="B715:F715"/>
    <mergeCell ref="Z777:AE777"/>
    <mergeCell ref="M256:AE256"/>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T822:V822"/>
    <mergeCell ref="B709:F70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M266:AE266"/>
    <mergeCell ref="M254:AE254"/>
    <mergeCell ref="M264:AE264"/>
    <mergeCell ref="AI301:AK301"/>
    <mergeCell ref="L277:AD277"/>
    <mergeCell ref="W255:X255"/>
    <mergeCell ref="AA289:AK289"/>
    <mergeCell ref="AC215:AD215"/>
    <mergeCell ref="AA267:AK267"/>
    <mergeCell ref="H290:R290"/>
    <mergeCell ref="AA302:AF302"/>
    <mergeCell ref="AB278:AD278"/>
    <mergeCell ref="U265:W265"/>
    <mergeCell ref="A284:AL285"/>
    <mergeCell ref="L280:Q280"/>
    <mergeCell ref="AC255:AE255"/>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M255:T255"/>
    <mergeCell ref="O156:AH156"/>
    <mergeCell ref="W162:X162"/>
    <mergeCell ref="M263:T263"/>
    <mergeCell ref="D272:H272"/>
    <mergeCell ref="AA314:AK314"/>
    <mergeCell ref="AA318:AF318"/>
    <mergeCell ref="M261:AE261"/>
    <mergeCell ref="J379:U379"/>
    <mergeCell ref="AA340:AK340"/>
    <mergeCell ref="V370:W370"/>
    <mergeCell ref="J378:U378"/>
    <mergeCell ref="P325:R325"/>
    <mergeCell ref="AA341:AF341"/>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M350:N350"/>
    <mergeCell ref="AJ351:AK351"/>
    <mergeCell ref="T280:V280"/>
    <mergeCell ref="H298:R298"/>
    <mergeCell ref="T269:X269"/>
    <mergeCell ref="AC263:AE263"/>
    <mergeCell ref="N366:AF367"/>
    <mergeCell ref="Q383:U383"/>
    <mergeCell ref="AG383:AJ383"/>
    <mergeCell ref="H334:M334"/>
    <mergeCell ref="AA337:AK337"/>
    <mergeCell ref="AJ349:AK349"/>
    <mergeCell ref="H337:R337"/>
    <mergeCell ref="AI596:AK596"/>
    <mergeCell ref="AA605:AK605"/>
    <mergeCell ref="G678:L678"/>
    <mergeCell ref="AH706:AL706"/>
    <mergeCell ref="B702:F702"/>
    <mergeCell ref="B700:F700"/>
    <mergeCell ref="B695:F695"/>
    <mergeCell ref="AC378:AJ378"/>
    <mergeCell ref="V375:W375"/>
    <mergeCell ref="B703:F703"/>
    <mergeCell ref="AA334:AF334"/>
    <mergeCell ref="AG372:AH372"/>
    <mergeCell ref="G700:J700"/>
    <mergeCell ref="P588:R588"/>
    <mergeCell ref="Z592:AK592"/>
    <mergeCell ref="M547:P547"/>
    <mergeCell ref="C548:L548"/>
    <mergeCell ref="B694:F694"/>
    <mergeCell ref="B699:F699"/>
    <mergeCell ref="Z653:AK653"/>
    <mergeCell ref="G653:R653"/>
    <mergeCell ref="H655:R655"/>
    <mergeCell ref="H647:R647"/>
    <mergeCell ref="G698:J698"/>
    <mergeCell ref="B696:F696"/>
    <mergeCell ref="Z635:AK635"/>
    <mergeCell ref="G634:R634"/>
    <mergeCell ref="G604:L604"/>
    <mergeCell ref="H597:R597"/>
    <mergeCell ref="Z634:AK634"/>
    <mergeCell ref="G586:R586"/>
    <mergeCell ref="G584:R584"/>
    <mergeCell ref="Z594:AK594"/>
    <mergeCell ref="AA589:AK589"/>
    <mergeCell ref="Z618:AB618"/>
    <mergeCell ref="Z619:AB619"/>
    <mergeCell ref="Z620:AB620"/>
    <mergeCell ref="Z621:AB621"/>
    <mergeCell ref="Z622:AB622"/>
    <mergeCell ref="G714:J714"/>
    <mergeCell ref="T713:X713"/>
    <mergeCell ref="G588:L588"/>
    <mergeCell ref="G592:R592"/>
    <mergeCell ref="G688:J691"/>
    <mergeCell ref="Z603:AK603"/>
    <mergeCell ref="G637:R637"/>
    <mergeCell ref="Z645:AK645"/>
    <mergeCell ref="G694:J694"/>
    <mergeCell ref="G706:J706"/>
    <mergeCell ref="G705:J705"/>
    <mergeCell ref="G699:J699"/>
    <mergeCell ref="Y695:AB695"/>
    <mergeCell ref="AC695:AG695"/>
    <mergeCell ref="AH695:AL695"/>
    <mergeCell ref="K696:N696"/>
    <mergeCell ref="O696:S696"/>
    <mergeCell ref="T696:X696"/>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Y913:AZ913"/>
    <mergeCell ref="AY908:AZ908"/>
    <mergeCell ref="L908:S908"/>
    <mergeCell ref="M915:S915"/>
    <mergeCell ref="AY909:AZ909"/>
    <mergeCell ref="AE905:AK905"/>
    <mergeCell ref="AA920:AG920"/>
    <mergeCell ref="D944:AE944"/>
    <mergeCell ref="AY912:BA912"/>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O697:S697"/>
    <mergeCell ref="T697:X697"/>
    <mergeCell ref="Y697:AB697"/>
    <mergeCell ref="G693:J693"/>
    <mergeCell ref="B693:F693"/>
    <mergeCell ref="Y791:AB791"/>
    <mergeCell ref="U880:Z880"/>
    <mergeCell ref="AA884:AF884"/>
    <mergeCell ref="U795:X795"/>
    <mergeCell ref="W809:AC809"/>
    <mergeCell ref="AO615:AS617"/>
    <mergeCell ref="AO618:AS618"/>
    <mergeCell ref="M621:P621"/>
    <mergeCell ref="AO619:AS619"/>
    <mergeCell ref="AO623:AS623"/>
    <mergeCell ref="AO624:AS624"/>
    <mergeCell ref="Z636:AK636"/>
    <mergeCell ref="B632:AN632"/>
    <mergeCell ref="AC618:AE618"/>
    <mergeCell ref="AF618:AJ618"/>
    <mergeCell ref="C626:L626"/>
    <mergeCell ref="C627:L627"/>
    <mergeCell ref="C628:L628"/>
    <mergeCell ref="C629:L629"/>
    <mergeCell ref="Z615:AB617"/>
    <mergeCell ref="T625:V625"/>
    <mergeCell ref="W624:Y624"/>
    <mergeCell ref="T618:V618"/>
    <mergeCell ref="T619:V619"/>
    <mergeCell ref="T626:V626"/>
    <mergeCell ref="T627:V627"/>
    <mergeCell ref="W627:Y627"/>
    <mergeCell ref="AF624:AJ624"/>
    <mergeCell ref="AC625:AE625"/>
    <mergeCell ref="AO625:AS625"/>
    <mergeCell ref="AC626:AE626"/>
    <mergeCell ref="AF626:AJ626"/>
    <mergeCell ref="AK626:AN626"/>
    <mergeCell ref="AO626:AS626"/>
    <mergeCell ref="AC627:AE627"/>
    <mergeCell ref="AF627:AJ627"/>
    <mergeCell ref="AK627:AN627"/>
    <mergeCell ref="G561:R561"/>
    <mergeCell ref="G560:R560"/>
    <mergeCell ref="M553:P553"/>
    <mergeCell ref="C554:L554"/>
    <mergeCell ref="M554:P554"/>
    <mergeCell ref="M555:P555"/>
    <mergeCell ref="C556:L556"/>
    <mergeCell ref="M556:P556"/>
    <mergeCell ref="C557:L557"/>
    <mergeCell ref="M557:P557"/>
    <mergeCell ref="G570:R570"/>
    <mergeCell ref="Q556:S556"/>
    <mergeCell ref="B558:AL558"/>
    <mergeCell ref="P572:R572"/>
    <mergeCell ref="Z563:AK563"/>
    <mergeCell ref="P564:R564"/>
    <mergeCell ref="G571:R571"/>
    <mergeCell ref="Q557:S557"/>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P333:R333"/>
    <mergeCell ref="N365:Q365"/>
    <mergeCell ref="AI309:AK309"/>
    <mergeCell ref="AA308:AK308"/>
    <mergeCell ref="AC502:AF502"/>
    <mergeCell ref="D211:P211"/>
    <mergeCell ref="D214:Z214"/>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L278:S278"/>
    <mergeCell ref="AF261:AK261"/>
    <mergeCell ref="P317:R317"/>
    <mergeCell ref="H302:M302"/>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C379:AJ379"/>
    <mergeCell ref="J380:U380"/>
    <mergeCell ref="AC380:AJ380"/>
    <mergeCell ref="J381:U381"/>
    <mergeCell ref="V381:AJ381"/>
    <mergeCell ref="D430:AF430"/>
    <mergeCell ref="P418:Q418"/>
    <mergeCell ref="E413:AJ413"/>
    <mergeCell ref="D458:V458"/>
    <mergeCell ref="S394:U394"/>
    <mergeCell ref="K396:AJ396"/>
    <mergeCell ref="P411:R411"/>
    <mergeCell ref="W411:Y411"/>
    <mergeCell ref="AC505:AF505"/>
    <mergeCell ref="S395:U395"/>
    <mergeCell ref="AE395:AJ395"/>
    <mergeCell ref="AG387:AJ387"/>
    <mergeCell ref="Z427:AA427"/>
    <mergeCell ref="Z560:AK560"/>
    <mergeCell ref="AC512:AF512"/>
    <mergeCell ref="AC513:AF513"/>
    <mergeCell ref="AH511:AK511"/>
    <mergeCell ref="O512:AA512"/>
    <mergeCell ref="AC494:AF494"/>
    <mergeCell ref="W551:Y551"/>
    <mergeCell ref="AE551:AH551"/>
    <mergeCell ref="AI551:AL551"/>
    <mergeCell ref="AH505:AK505"/>
    <mergeCell ref="AG443:AJ443"/>
    <mergeCell ref="AG388:AJ388"/>
    <mergeCell ref="F420:AH421"/>
    <mergeCell ref="D399:AJ400"/>
    <mergeCell ref="I414:K414"/>
    <mergeCell ref="D444:AJ445"/>
    <mergeCell ref="AI543:AL545"/>
    <mergeCell ref="AG442:AJ442"/>
    <mergeCell ref="Q551:S551"/>
    <mergeCell ref="T551:V551"/>
    <mergeCell ref="AH493:AK493"/>
    <mergeCell ref="AC520:AF520"/>
    <mergeCell ref="AH533:AK533"/>
    <mergeCell ref="AH528:AK528"/>
    <mergeCell ref="O527:AA527"/>
    <mergeCell ref="AH526:AK526"/>
    <mergeCell ref="AC530:AF530"/>
    <mergeCell ref="AH517:AK517"/>
    <mergeCell ref="C546:L546"/>
    <mergeCell ref="M546:P546"/>
    <mergeCell ref="C549:L549"/>
    <mergeCell ref="M549:P549"/>
    <mergeCell ref="C550:L550"/>
    <mergeCell ref="M550:P550"/>
    <mergeCell ref="D459:V459"/>
    <mergeCell ref="AC515:AF515"/>
    <mergeCell ref="AC524:AF524"/>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9:AK569"/>
    <mergeCell ref="Z568:AK568"/>
    <mergeCell ref="G568:R568"/>
    <mergeCell ref="Z571:AK571"/>
    <mergeCell ref="G572:L572"/>
    <mergeCell ref="Z572:AE572"/>
    <mergeCell ref="G563:R563"/>
    <mergeCell ref="G569:R569"/>
    <mergeCell ref="T556:V556"/>
    <mergeCell ref="BK591:BL591"/>
    <mergeCell ref="BK592:BL592"/>
    <mergeCell ref="BE591:BF591"/>
    <mergeCell ref="BG591:BH591"/>
    <mergeCell ref="BE590:BF590"/>
    <mergeCell ref="BG590:BH590"/>
    <mergeCell ref="BI590:BJ590"/>
    <mergeCell ref="Z585:AK585"/>
    <mergeCell ref="AG590:AH590"/>
    <mergeCell ref="BK590:BL590"/>
    <mergeCell ref="BG595:BH595"/>
    <mergeCell ref="Z593:AK593"/>
    <mergeCell ref="BE594:BF594"/>
    <mergeCell ref="BG593:BH593"/>
    <mergeCell ref="BG592:BH592"/>
    <mergeCell ref="BK596:BL596"/>
    <mergeCell ref="BE596:BF596"/>
    <mergeCell ref="BG588:BH588"/>
    <mergeCell ref="BK588:BL588"/>
    <mergeCell ref="BE593:BF593"/>
    <mergeCell ref="BI592:BJ592"/>
    <mergeCell ref="BK589:BL589"/>
    <mergeCell ref="BE589:BF589"/>
    <mergeCell ref="Z588:AE588"/>
    <mergeCell ref="AI588:AK588"/>
    <mergeCell ref="BE608:BF608"/>
    <mergeCell ref="BG608:BH608"/>
    <mergeCell ref="BI594:BJ594"/>
    <mergeCell ref="BI599:BJ599"/>
    <mergeCell ref="BI600:BJ600"/>
    <mergeCell ref="BK600:BL600"/>
    <mergeCell ref="Z600:AK600"/>
    <mergeCell ref="Z595:AK595"/>
    <mergeCell ref="BG594:BH594"/>
    <mergeCell ref="BK594:BL594"/>
    <mergeCell ref="AG598:AH598"/>
    <mergeCell ref="BI597:BJ597"/>
    <mergeCell ref="BK599:BL599"/>
    <mergeCell ref="BG601:BH601"/>
    <mergeCell ref="BE602:BF602"/>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08:BL608"/>
    <mergeCell ref="BG598:BH598"/>
    <mergeCell ref="BE597:BF597"/>
    <mergeCell ref="AA597:AK597"/>
    <mergeCell ref="BK604:BL604"/>
    <mergeCell ref="BK607:BL607"/>
    <mergeCell ref="BI606:BJ606"/>
    <mergeCell ref="BI605:BJ605"/>
    <mergeCell ref="BK598:BL598"/>
    <mergeCell ref="BE603:BF603"/>
    <mergeCell ref="BE606:BF606"/>
    <mergeCell ref="BE599:BF599"/>
    <mergeCell ref="BG600:BH600"/>
    <mergeCell ref="BE601:BF601"/>
    <mergeCell ref="BE604:BF604"/>
    <mergeCell ref="BG607:BH607"/>
    <mergeCell ref="BG605:BH605"/>
    <mergeCell ref="BK606:BL606"/>
    <mergeCell ref="BE598:BF598"/>
    <mergeCell ref="BE613:BF613"/>
    <mergeCell ref="AK618:AN618"/>
    <mergeCell ref="BG602:BH602"/>
    <mergeCell ref="BG612:BH612"/>
    <mergeCell ref="BI609:BJ609"/>
    <mergeCell ref="BK609:BL609"/>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89:BH589"/>
    <mergeCell ref="BI589:BJ589"/>
    <mergeCell ref="BI591:BJ591"/>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T759:W759"/>
    <mergeCell ref="O756:S756"/>
    <mergeCell ref="J757:N757"/>
    <mergeCell ref="O757:S757"/>
    <mergeCell ref="AG790:AJ790"/>
    <mergeCell ref="F795:L795"/>
    <mergeCell ref="Y789:AB789"/>
    <mergeCell ref="Q792:T792"/>
    <mergeCell ref="AC794:AF794"/>
    <mergeCell ref="Q793:T793"/>
    <mergeCell ref="BK613:BL613"/>
    <mergeCell ref="BK611:BL611"/>
    <mergeCell ref="BK603:BL603"/>
    <mergeCell ref="BI604:BJ604"/>
    <mergeCell ref="J740:N740"/>
    <mergeCell ref="J754:N754"/>
    <mergeCell ref="J739:N739"/>
    <mergeCell ref="AI638:AK638"/>
    <mergeCell ref="Z637:AK637"/>
    <mergeCell ref="G654:L654"/>
    <mergeCell ref="Z666:AK666"/>
    <mergeCell ref="G658:R658"/>
    <mergeCell ref="AF625:AJ625"/>
    <mergeCell ref="AK625:AN625"/>
    <mergeCell ref="AG680:AH680"/>
    <mergeCell ref="AA655:AK655"/>
    <mergeCell ref="B631:AN631"/>
    <mergeCell ref="AM701:AO701"/>
    <mergeCell ref="BI612:BJ612"/>
    <mergeCell ref="BI607:BJ607"/>
    <mergeCell ref="BE611:BF611"/>
    <mergeCell ref="BG611:BH611"/>
    <mergeCell ref="G696:J696"/>
    <mergeCell ref="G695:J695"/>
    <mergeCell ref="G703:J703"/>
    <mergeCell ref="AC748:AG751"/>
    <mergeCell ref="J756:N756"/>
    <mergeCell ref="G702:J702"/>
    <mergeCell ref="AG433:AJ433"/>
    <mergeCell ref="AG440:AJ440"/>
    <mergeCell ref="AG441:AJ441"/>
    <mergeCell ref="D464:V464"/>
    <mergeCell ref="Z602:AK602"/>
    <mergeCell ref="AM551:AS551"/>
    <mergeCell ref="Q548:S548"/>
    <mergeCell ref="T548:V548"/>
    <mergeCell ref="W548:Y548"/>
    <mergeCell ref="Z548:AD548"/>
    <mergeCell ref="W547:Y547"/>
    <mergeCell ref="Z547:AD547"/>
    <mergeCell ref="AE547:AH547"/>
    <mergeCell ref="AH531:AK531"/>
    <mergeCell ref="AC531:AF531"/>
    <mergeCell ref="AC533:AF533"/>
    <mergeCell ref="AG606:AH606"/>
    <mergeCell ref="AC529:AF529"/>
    <mergeCell ref="AG574:AH574"/>
    <mergeCell ref="Z564:AE564"/>
    <mergeCell ref="AI564:AK564"/>
    <mergeCell ref="W555:Y555"/>
    <mergeCell ref="Z555:AD555"/>
    <mergeCell ref="AE555:AH555"/>
    <mergeCell ref="AI555:AL555"/>
    <mergeCell ref="AH529:AK529"/>
    <mergeCell ref="W460:Y460"/>
    <mergeCell ref="AC519:AF519"/>
    <mergeCell ref="AC501:AF501"/>
    <mergeCell ref="B506:H508"/>
    <mergeCell ref="AC448:AF448"/>
    <mergeCell ref="AH520:AK520"/>
    <mergeCell ref="AC534:AF534"/>
    <mergeCell ref="AC517:AF517"/>
    <mergeCell ref="AC526:AF526"/>
    <mergeCell ref="Q626:S626"/>
    <mergeCell ref="Q627:S627"/>
    <mergeCell ref="T624:V624"/>
    <mergeCell ref="AO620:AS620"/>
    <mergeCell ref="AO621:AS621"/>
    <mergeCell ref="AO622:AS622"/>
    <mergeCell ref="W620:Y620"/>
    <mergeCell ref="W621:Y621"/>
    <mergeCell ref="W622:Y622"/>
    <mergeCell ref="W623:Y623"/>
    <mergeCell ref="AH519:AK519"/>
    <mergeCell ref="AC521:AF521"/>
    <mergeCell ref="AE548:AH548"/>
    <mergeCell ref="AH521:AK521"/>
    <mergeCell ref="Z578:AK578"/>
    <mergeCell ref="Z577:AK577"/>
    <mergeCell ref="Z580:AE580"/>
    <mergeCell ref="AH532:AK532"/>
    <mergeCell ref="AC527:AF527"/>
    <mergeCell ref="AC523:AF523"/>
    <mergeCell ref="AH534:AK534"/>
    <mergeCell ref="AH527:AK527"/>
    <mergeCell ref="AM556:AS556"/>
    <mergeCell ref="D463:V463"/>
    <mergeCell ref="AC496:AF496"/>
    <mergeCell ref="AC497:AF497"/>
    <mergeCell ref="AH530:AK530"/>
    <mergeCell ref="AC528:AF528"/>
    <mergeCell ref="AH524:AK524"/>
    <mergeCell ref="L501:AB501"/>
    <mergeCell ref="AC510:AF510"/>
    <mergeCell ref="AC508:AF508"/>
    <mergeCell ref="O515:AA515"/>
    <mergeCell ref="AH522:AK522"/>
    <mergeCell ref="O521:AA521"/>
    <mergeCell ref="AH502:AK502"/>
    <mergeCell ref="AH510:AK510"/>
    <mergeCell ref="AH506:AK506"/>
    <mergeCell ref="B512:H534"/>
    <mergeCell ref="AH512:AK512"/>
    <mergeCell ref="AH514:AK514"/>
    <mergeCell ref="AC507:AF507"/>
    <mergeCell ref="AH518:AK518"/>
    <mergeCell ref="AC522:AF522"/>
    <mergeCell ref="AH523:AK523"/>
    <mergeCell ref="AH525:AK525"/>
    <mergeCell ref="AC516:AF516"/>
    <mergeCell ref="R404:S404"/>
    <mergeCell ref="AE418:AF418"/>
    <mergeCell ref="Q422:R422"/>
    <mergeCell ref="D433:AF433"/>
    <mergeCell ref="A683:AS685"/>
    <mergeCell ref="B697:F697"/>
    <mergeCell ref="AC762:AG762"/>
    <mergeCell ref="AM695:AO695"/>
    <mergeCell ref="AM696:AO696"/>
    <mergeCell ref="AM697:AO697"/>
    <mergeCell ref="P638:R638"/>
    <mergeCell ref="Z644:AK644"/>
    <mergeCell ref="G636:R636"/>
    <mergeCell ref="AC623:AE623"/>
    <mergeCell ref="AF623:AJ623"/>
    <mergeCell ref="AK623:AN623"/>
    <mergeCell ref="G635:R635"/>
    <mergeCell ref="Z643:AK643"/>
    <mergeCell ref="Z642:AK642"/>
    <mergeCell ref="Z638:AE638"/>
    <mergeCell ref="Z651:AK651"/>
    <mergeCell ref="G715:J715"/>
    <mergeCell ref="G646:L646"/>
    <mergeCell ref="AH498:AK498"/>
    <mergeCell ref="AC499:AF499"/>
    <mergeCell ref="B494:H495"/>
    <mergeCell ref="Q479:AK479"/>
    <mergeCell ref="AG439:AJ439"/>
    <mergeCell ref="D465:V465"/>
    <mergeCell ref="AH509:AK509"/>
    <mergeCell ref="AC506:AF506"/>
    <mergeCell ref="AC509:AF509"/>
    <mergeCell ref="D461:V461"/>
    <mergeCell ref="AH516:AK516"/>
    <mergeCell ref="AC511:AF511"/>
    <mergeCell ref="AC493:AF493"/>
    <mergeCell ref="AC525:AF525"/>
    <mergeCell ref="D438:AF438"/>
    <mergeCell ref="H407:AJ408"/>
    <mergeCell ref="AG436:AJ436"/>
    <mergeCell ref="W458:Y458"/>
    <mergeCell ref="AE423:AF423"/>
    <mergeCell ref="I411:K411"/>
    <mergeCell ref="D431:AF431"/>
    <mergeCell ref="D443:AF443"/>
    <mergeCell ref="B509:H511"/>
    <mergeCell ref="AH488:AK488"/>
    <mergeCell ref="AC498:AF498"/>
    <mergeCell ref="Z425:AA425"/>
    <mergeCell ref="G466:V466"/>
    <mergeCell ref="W462:Y462"/>
    <mergeCell ref="Q478:AK478"/>
    <mergeCell ref="AC449:AF449"/>
    <mergeCell ref="D439:AF439"/>
    <mergeCell ref="AH500:AK500"/>
    <mergeCell ref="AC500:AF500"/>
    <mergeCell ref="AH496:AK496"/>
    <mergeCell ref="AH499:AK499"/>
    <mergeCell ref="Q481:AK481"/>
    <mergeCell ref="AH508:AK508"/>
    <mergeCell ref="AG431:AJ431"/>
    <mergeCell ref="AG435:AJ435"/>
    <mergeCell ref="AG432:AJ432"/>
    <mergeCell ref="D440:AF440"/>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W465:Y465"/>
    <mergeCell ref="D468:Y470"/>
    <mergeCell ref="AG434:AJ434"/>
    <mergeCell ref="D446:AJ446"/>
    <mergeCell ref="W464:Y464"/>
    <mergeCell ref="AC447:AF447"/>
    <mergeCell ref="D437:AF437"/>
    <mergeCell ref="D432:AF432"/>
    <mergeCell ref="W461:Y461"/>
    <mergeCell ref="AD405:AE405"/>
    <mergeCell ref="S406:T406"/>
    <mergeCell ref="I403:AD403"/>
    <mergeCell ref="AD404:AE404"/>
    <mergeCell ref="AG438:AJ438"/>
    <mergeCell ref="AG394:AJ394"/>
    <mergeCell ref="P417:Q417"/>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W552:Y552"/>
    <mergeCell ref="Z552:AD552"/>
    <mergeCell ref="AE552:AH552"/>
    <mergeCell ref="AI552:AL552"/>
    <mergeCell ref="AM552:AS552"/>
    <mergeCell ref="AI548:AL548"/>
    <mergeCell ref="AM548:AS548"/>
    <mergeCell ref="W556:Y556"/>
    <mergeCell ref="Z556:AD556"/>
    <mergeCell ref="CS589:CW589"/>
    <mergeCell ref="CS590:CW590"/>
    <mergeCell ref="CS591:CW591"/>
    <mergeCell ref="CS592:CW592"/>
    <mergeCell ref="CS593:CW593"/>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BN588:BR588"/>
    <mergeCell ref="BN589:BR589"/>
    <mergeCell ref="BN590:BR590"/>
    <mergeCell ref="BN591:BR591"/>
    <mergeCell ref="BN592:BR592"/>
    <mergeCell ref="DR602:DV602"/>
    <mergeCell ref="DR603:DV603"/>
    <mergeCell ref="DR604:DV604"/>
    <mergeCell ref="DR605:DV605"/>
    <mergeCell ref="DR606:DV606"/>
    <mergeCell ref="DR607:DV607"/>
    <mergeCell ref="DM589:DQ589"/>
    <mergeCell ref="BN593:BR593"/>
    <mergeCell ref="BN594:BR594"/>
    <mergeCell ref="BN595:BR595"/>
    <mergeCell ref="BN596:BR596"/>
    <mergeCell ref="BN597:BR597"/>
    <mergeCell ref="BN598:BR598"/>
    <mergeCell ref="BN599:BR599"/>
    <mergeCell ref="BN600:BR600"/>
    <mergeCell ref="BN601:BR601"/>
    <mergeCell ref="BN602:BR602"/>
    <mergeCell ref="BN603:BR603"/>
    <mergeCell ref="CM595:CQ595"/>
    <mergeCell ref="BS596:BW596"/>
    <mergeCell ref="BX596:CB596"/>
    <mergeCell ref="DR591:DV591"/>
    <mergeCell ref="DR592:DV592"/>
    <mergeCell ref="DR593:DV593"/>
    <mergeCell ref="DR594:DV594"/>
    <mergeCell ref="DR595:DV595"/>
    <mergeCell ref="DR596:DV596"/>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R589:DV589"/>
    <mergeCell ref="DR590:DV590"/>
    <mergeCell ref="DH604:DL604"/>
    <mergeCell ref="DH605:DL605"/>
    <mergeCell ref="DH606:DL606"/>
    <mergeCell ref="DH607:DL607"/>
    <mergeCell ref="DH608:DL608"/>
    <mergeCell ref="DR597:DV597"/>
    <mergeCell ref="DR598:DV598"/>
    <mergeCell ref="DR599:DV599"/>
    <mergeCell ref="DR600:DV600"/>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R601:DV601"/>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3:CW603"/>
    <mergeCell ref="CS610:CW610"/>
    <mergeCell ref="CS611:CW611"/>
    <mergeCell ref="CS612:CW612"/>
    <mergeCell ref="BS588:BW588"/>
    <mergeCell ref="BX588:CB588"/>
    <mergeCell ref="CS606:CW606"/>
    <mergeCell ref="CS607:CW607"/>
    <mergeCell ref="CS608:CW608"/>
    <mergeCell ref="CS609:CW609"/>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H589:CL589"/>
    <mergeCell ref="CC588:CG588"/>
    <mergeCell ref="CH588:CL588"/>
    <mergeCell ref="CM588:CQ588"/>
    <mergeCell ref="BS589:BW589"/>
    <mergeCell ref="BX589:CB589"/>
    <mergeCell ref="CC589:CG589"/>
    <mergeCell ref="CS594:CW594"/>
    <mergeCell ref="CS595:CW595"/>
    <mergeCell ref="CS596:CW596"/>
    <mergeCell ref="CS597:CW597"/>
    <mergeCell ref="CS598:CW598"/>
    <mergeCell ref="BX603:CB603"/>
    <mergeCell ref="CC603:CG603"/>
    <mergeCell ref="CH603:CL603"/>
    <mergeCell ref="CM603:CQ603"/>
    <mergeCell ref="BS604:BW604"/>
    <mergeCell ref="BX604:CB604"/>
    <mergeCell ref="CC604:CG604"/>
    <mergeCell ref="CH604:CL604"/>
    <mergeCell ref="CM604:CQ604"/>
    <mergeCell ref="CM609:CQ609"/>
    <mergeCell ref="CS602:CW602"/>
    <mergeCell ref="CC613:CG613"/>
    <mergeCell ref="CC596:CG596"/>
    <mergeCell ref="CH596:CL596"/>
    <mergeCell ref="CM596:CQ596"/>
    <mergeCell ref="BS597:BW597"/>
    <mergeCell ref="BX597:CB597"/>
    <mergeCell ref="CC597:CG597"/>
    <mergeCell ref="CH597:CL597"/>
    <mergeCell ref="CM597:CQ597"/>
    <mergeCell ref="BS598:BW598"/>
    <mergeCell ref="BX598:CB598"/>
    <mergeCell ref="CC598:CG598"/>
    <mergeCell ref="CS599:CW599"/>
    <mergeCell ref="CS600:CW600"/>
    <mergeCell ref="BN604:BR604"/>
    <mergeCell ref="CS604:CW604"/>
    <mergeCell ref="CS605:CW605"/>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H613:CL613"/>
    <mergeCell ref="CM613:CQ613"/>
    <mergeCell ref="CH612:CL612"/>
    <mergeCell ref="CM612:CQ612"/>
    <mergeCell ref="CM608:CQ608"/>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M610:CQ610"/>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H618:CL618"/>
    <mergeCell ref="CH616:CL616"/>
    <mergeCell ref="CH617:CL617"/>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K697:N697"/>
    <mergeCell ref="AC697:AG697"/>
    <mergeCell ref="AH697:AL697"/>
    <mergeCell ref="AM694:AO694"/>
    <mergeCell ref="K695:N695"/>
    <mergeCell ref="O695:S695"/>
    <mergeCell ref="T695:X695"/>
    <mergeCell ref="K692:N692"/>
    <mergeCell ref="O692:S692"/>
    <mergeCell ref="Y696:AB696"/>
    <mergeCell ref="AC696:AG696"/>
    <mergeCell ref="AH696:AL696"/>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T703:X703"/>
    <mergeCell ref="Y703:AB703"/>
    <mergeCell ref="AC703:AG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H710:AL710"/>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K715:N715"/>
    <mergeCell ref="AM713:AO713"/>
    <mergeCell ref="Y713:AB713"/>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X759:AB759"/>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Q794:T794"/>
    <mergeCell ref="U793:X793"/>
    <mergeCell ref="AG793:AJ793"/>
    <mergeCell ref="AC791:AF791"/>
    <mergeCell ref="AN860:AO860"/>
    <mergeCell ref="AA919:AG919"/>
    <mergeCell ref="AG944:AH944"/>
    <mergeCell ref="AJ944:AQ949"/>
    <mergeCell ref="AG791:AJ791"/>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Q791:T791"/>
    <mergeCell ref="F878:T879"/>
    <mergeCell ref="AC859:AH859"/>
    <mergeCell ref="AC850:AH850"/>
    <mergeCell ref="F877:T877"/>
    <mergeCell ref="C796:L796"/>
    <mergeCell ref="C791:H791"/>
    <mergeCell ref="M793:P793"/>
    <mergeCell ref="M810:V810"/>
    <mergeCell ref="M796:P796"/>
    <mergeCell ref="W808:AC808"/>
    <mergeCell ref="W823:AC823"/>
    <mergeCell ref="M840:V840"/>
    <mergeCell ref="C789:H789"/>
    <mergeCell ref="C790:H790"/>
    <mergeCell ref="Y794:AB794"/>
    <mergeCell ref="Y792:AB792"/>
    <mergeCell ref="C794:H794"/>
    <mergeCell ref="L906:S906"/>
    <mergeCell ref="U893:Z893"/>
    <mergeCell ref="AA891:AF891"/>
    <mergeCell ref="Z862:AE862"/>
    <mergeCell ref="AA880:AF880"/>
    <mergeCell ref="AC858:AH858"/>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C801:AJ801"/>
    <mergeCell ref="W842:AC842"/>
    <mergeCell ref="Q796:T796"/>
    <mergeCell ref="AA885:AF885"/>
    <mergeCell ref="A872:AL873"/>
    <mergeCell ref="M825:V825"/>
    <mergeCell ref="W827:AC827"/>
    <mergeCell ref="AG795:AJ795"/>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D957:AE958"/>
    <mergeCell ref="D955:AE955"/>
    <mergeCell ref="D956:AE956"/>
  </mergeCells>
  <phoneticPr fontId="0" type="noConversion"/>
  <conditionalFormatting sqref="B997 B999">
    <cfRule type="cellIs" dxfId="98" priority="50" stopIfTrue="1" operator="equal">
      <formula>#N/A</formula>
    </cfRule>
  </conditionalFormatting>
  <conditionalFormatting sqref="C546:C557">
    <cfRule type="expression" dxfId="97" priority="5">
      <formula>$AT546="!"</formula>
    </cfRule>
  </conditionalFormatting>
  <conditionalFormatting sqref="C718:AH719">
    <cfRule type="expression" dxfId="96" priority="10">
      <formula>NOT($D$214="Special Needs")</formula>
    </cfRule>
  </conditionalFormatting>
  <conditionalFormatting sqref="E218">
    <cfRule type="expression" dxfId="95" priority="38">
      <formula>NOT(OR($D$214="Seniors",$E$217="Seniors"))</formula>
    </cfRule>
  </conditionalFormatting>
  <conditionalFormatting sqref="E219">
    <cfRule type="expression" dxfId="94" priority="37">
      <formula>NOT($D$214="At-Risk")</formula>
    </cfRule>
  </conditionalFormatting>
  <conditionalFormatting sqref="E215:AA215">
    <cfRule type="expression" dxfId="93" priority="43">
      <formula>NOT($D$214="Special Needs")</formula>
    </cfRule>
  </conditionalFormatting>
  <conditionalFormatting sqref="E217:AA217">
    <cfRule type="expression" dxfId="92" priority="40">
      <formula>AND($AC$215&gt;0,$AF$215&lt;75%)</formula>
    </cfRule>
  </conditionalFormatting>
  <conditionalFormatting sqref="E857:AB858">
    <cfRule type="expression" dxfId="91" priority="21">
      <formula>AND(AC857&lt;&gt;"",OR(E857="Other (Specify):",E857=""))</formula>
    </cfRule>
  </conditionalFormatting>
  <conditionalFormatting sqref="E216:AI216">
    <cfRule type="expression" dxfId="90" priority="41">
      <formula>AND($AC$215&gt;0,$AF$215&lt;75%)</formula>
    </cfRule>
  </conditionalFormatting>
  <conditionalFormatting sqref="F795:L795">
    <cfRule type="expression" dxfId="89" priority="27">
      <formula>AND(OR(M795&lt;&gt;"",$Q$795&lt;&gt;"",$U$795&lt;&gt;"",$Y$795&lt;&gt;"",$AC$795&lt;&gt;"",$AG$795&lt;&gt;""),OR(F795="(specify here)",F795=""))</formula>
    </cfRule>
  </conditionalFormatting>
  <conditionalFormatting sqref="G466:V466">
    <cfRule type="expression" dxfId="88" priority="7">
      <formula>AND($W$466&gt;0,$G$466="")</formula>
    </cfRule>
  </conditionalFormatting>
  <conditionalFormatting sqref="L501:AB501">
    <cfRule type="expression" dxfId="87" priority="35">
      <formula>AND(NOT(AC501="N/A"),AH501&lt;&gt;"",OR(L501="(specify here)",L501=""))</formula>
    </cfRule>
  </conditionalFormatting>
  <conditionalFormatting sqref="M546:M557 Q546:AS557 T619:T629 Z619:Z629 AC619:AS629 W626:W629 Q627:Q629">
    <cfRule type="expression" dxfId="86" priority="12">
      <formula>$AT546="!"</formula>
    </cfRule>
  </conditionalFormatting>
  <conditionalFormatting sqref="M619:M625">
    <cfRule type="expression" dxfId="85" priority="4">
      <formula>$AT619="!"</formula>
    </cfRule>
  </conditionalFormatting>
  <conditionalFormatting sqref="M810:V810">
    <cfRule type="expression" dxfId="84" priority="26">
      <formula>AND(W810&lt;&gt;"",OR(M810="(specify here)",M810=""))</formula>
    </cfRule>
  </conditionalFormatting>
  <conditionalFormatting sqref="M825:V825">
    <cfRule type="expression" dxfId="83" priority="25">
      <formula>AND(W825&lt;&gt;"",OR(M825="(specify here)",M825=""))</formula>
    </cfRule>
  </conditionalFormatting>
  <conditionalFormatting sqref="M835:V835">
    <cfRule type="expression" dxfId="82" priority="24">
      <formula>AND(W835&lt;&gt;"",OR(M835="(specify here)",M835=""))</formula>
    </cfRule>
  </conditionalFormatting>
  <conditionalFormatting sqref="M838:V842">
    <cfRule type="expression" dxfId="81" priority="23">
      <formula>AND(W838&lt;&gt;"",OR(M838="(specify here)",M838=""))</formula>
    </cfRule>
  </conditionalFormatting>
  <conditionalFormatting sqref="O512:AA512">
    <cfRule type="expression" dxfId="80" priority="34">
      <formula>AND(OR(AND(NOT(AC512="N/A"),AH512&lt;&gt;""),AND(NOT(AC513="N/A"),AH513&lt;&gt;""),AND(NOT(AC514="N/A"),AH514&lt;&gt;"")),OR(O512="(specify here)",O512=""))</formula>
    </cfRule>
  </conditionalFormatting>
  <conditionalFormatting sqref="O515:AA515">
    <cfRule type="expression" dxfId="79" priority="17">
      <formula>AND(OR(AND(NOT(AC515="N/A"),AH515&lt;&gt;""),AND(NOT(AC516="N/A"),AH516&lt;&gt;""),AND(NOT(AC517="N/A"),AH517&lt;&gt;"")),OR(O515="(specify here)",O515=""))</formula>
    </cfRule>
  </conditionalFormatting>
  <conditionalFormatting sqref="O518:AA518">
    <cfRule type="expression" dxfId="78" priority="16">
      <formula>AND(OR(AND(NOT(AC518="N/A"),AH518&lt;&gt;""),AND(NOT(AC519="N/A"),AH519&lt;&gt;""),AND(NOT(AC520="N/A"),AH520&lt;&gt;"")),OR(O518="(specify here)",O518=""))</formula>
    </cfRule>
  </conditionalFormatting>
  <conditionalFormatting sqref="O521:AA521">
    <cfRule type="expression" dxfId="77" priority="15">
      <formula>AND(OR(AND(NOT(AC521="N/A"),AH521&lt;&gt;""),AND(NOT(AC522="N/A"),AH522&lt;&gt;""),AND(NOT(AC523="N/A"),AH523&lt;&gt;"")),OR(O521="(specify here)",O521=""))</formula>
    </cfRule>
  </conditionalFormatting>
  <conditionalFormatting sqref="O524:AA524">
    <cfRule type="expression" dxfId="76" priority="14">
      <formula>AND(OR(AND(NOT(AC524="N/A"),AH524&lt;&gt;""),AND(NOT(AC525="N/A"),AH525&lt;&gt;""),AND(NOT(AC526="N/A"),AH526&lt;&gt;"")),OR(O524="(specify here)",O524=""))</formula>
    </cfRule>
  </conditionalFormatting>
  <conditionalFormatting sqref="O527:AA527">
    <cfRule type="expression" dxfId="75" priority="13">
      <formula>AND(OR(AND(NOT(AC527="N/A"),AH527&lt;&gt;""),AND(NOT(AC528="N/A"),AH528&lt;&gt;""),AND(NOT(AC529="N/A"),AH529&lt;&gt;"")),OR(O527="(specify here)",O527=""))</formula>
    </cfRule>
  </conditionalFormatting>
  <conditionalFormatting sqref="P780:Y780">
    <cfRule type="expression" dxfId="74" priority="28">
      <formula>AND(Z780&lt;&gt;"",OR(P780="(specify here)",P780=""))</formula>
    </cfRule>
  </conditionalFormatting>
  <conditionalFormatting sqref="Q619:S626">
    <cfRule type="expression" dxfId="73" priority="2">
      <formula>$AT619="!"</formula>
    </cfRule>
  </conditionalFormatting>
  <conditionalFormatting sqref="U720">
    <cfRule type="expression" dxfId="72" priority="9">
      <formula>NOT($D$214="Special Needs")</formula>
    </cfRule>
  </conditionalFormatting>
  <conditionalFormatting sqref="W619:Y625">
    <cfRule type="expression" dxfId="71" priority="1">
      <formula>$AT619="!"</formula>
    </cfRule>
  </conditionalFormatting>
  <conditionalFormatting sqref="W922:AG922">
    <cfRule type="expression" dxfId="70" priority="18">
      <formula>AND($AA$923&lt;&gt;"",OR($W$922="",$W$922="(specify here)"))</formula>
    </cfRule>
  </conditionalFormatting>
  <conditionalFormatting sqref="AC215:AG215">
    <cfRule type="expression" dxfId="69" priority="42">
      <formula>NOT($D$214="Special Needs")</formula>
    </cfRule>
  </conditionalFormatting>
  <conditionalFormatting sqref="AC218:AN218">
    <cfRule type="expression" dxfId="68" priority="39">
      <formula>NOT(OR($D$214="Seniors",$E$217="Seniors"))</formula>
    </cfRule>
  </conditionalFormatting>
  <conditionalFormatting sqref="AC219:AN219">
    <cfRule type="expression" dxfId="67" priority="36">
      <formula>NOT($D$214="At-Risk")</formula>
    </cfRule>
  </conditionalFormatting>
  <conditionalFormatting sqref="AF964">
    <cfRule type="cellIs" dxfId="66" priority="46" stopIfTrue="1" operator="equal">
      <formula>"Please Enter Amount:"</formula>
    </cfRule>
  </conditionalFormatting>
  <conditionalFormatting sqref="AF969">
    <cfRule type="cellIs" dxfId="65" priority="44" stopIfTrue="1" operator="equal">
      <formula>"Please Enter Amount:"</formula>
    </cfRule>
  </conditionalFormatting>
  <conditionalFormatting sqref="AF976">
    <cfRule type="cellIs" dxfId="64" priority="45" stopIfTrue="1" operator="equal">
      <formula>"Please Enter Amount:"</formula>
    </cfRule>
  </conditionalFormatting>
  <conditionalFormatting sqref="AG434:AJ434">
    <cfRule type="expression" dxfId="63" priority="52" stopIfTrue="1">
      <formula>"iserror(d31)"</formula>
    </cfRule>
  </conditionalFormatting>
  <conditionalFormatting sqref="AG720:AJ720">
    <cfRule type="expression" dxfId="62" priority="8">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AC618:AE629 AG387:AJ387 Q546:V557 AE546:AH557 Q618:V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E72" zoomScaleNormal="100" workbookViewId="0">
      <selection activeCell="Q112" sqref="Q112"/>
    </sheetView>
  </sheetViews>
  <sheetFormatPr defaultColWidth="8.85546875" defaultRowHeight="12" zeroHeight="1"/>
  <cols>
    <col min="1" max="1" width="32.5703125" style="355" customWidth="1"/>
    <col min="2" max="12" width="12.140625" style="353" customWidth="1"/>
    <col min="13" max="17" width="11.42578125" style="353" customWidth="1"/>
    <col min="18" max="18" width="12.5703125" style="353" customWidth="1"/>
    <col min="19" max="20" width="12.140625" style="353" customWidth="1"/>
    <col min="21" max="21" width="0.42578125" style="354" customWidth="1"/>
    <col min="22" max="16384" width="8.85546875" style="353"/>
  </cols>
  <sheetData>
    <row r="1" spans="1:21" s="142" customFormat="1" ht="13.5">
      <c r="A1" s="195" t="s">
        <v>1713</v>
      </c>
      <c r="B1" s="163"/>
      <c r="C1" s="163"/>
      <c r="D1" s="163"/>
      <c r="E1" s="164"/>
      <c r="F1" s="1476" t="s">
        <v>1714</v>
      </c>
      <c r="G1" s="1477"/>
      <c r="H1" s="1477"/>
      <c r="I1" s="1477"/>
      <c r="J1" s="1477"/>
      <c r="K1" s="1477"/>
      <c r="L1" s="1477"/>
      <c r="M1" s="1477"/>
      <c r="N1" s="1477"/>
      <c r="O1" s="1477"/>
      <c r="P1" s="1477"/>
      <c r="Q1" s="1477"/>
      <c r="R1" s="1478"/>
      <c r="S1" s="144"/>
      <c r="T1" s="143"/>
      <c r="U1" s="145"/>
    </row>
    <row r="2" spans="1:21" s="167" customFormat="1" ht="60" customHeight="1">
      <c r="A2" s="166"/>
      <c r="B2" s="167" t="s">
        <v>1715</v>
      </c>
      <c r="C2" s="167" t="s">
        <v>1716</v>
      </c>
      <c r="D2" s="167" t="s">
        <v>1717</v>
      </c>
      <c r="E2" s="167" t="s">
        <v>1718</v>
      </c>
      <c r="F2" s="168" t="str">
        <f>Application!B618&amp;Application!C618</f>
        <v>1)Permanent Loan</v>
      </c>
      <c r="G2" s="168" t="str">
        <f>Application!B619&amp;Application!C619</f>
        <v>2)Contra Costa County HOME</v>
      </c>
      <c r="H2" s="168" t="str">
        <f>Application!B620&amp;Application!C620</f>
        <v>3)Contra Costa County HOME ARP</v>
      </c>
      <c r="I2" s="168" t="str">
        <f>Application!B621&amp;Application!C621</f>
        <v>4)Contra Costa County PLHA</v>
      </c>
      <c r="J2" s="168" t="str">
        <f>Application!B622&amp;Application!C622</f>
        <v>5)Contra Costa County Measure X</v>
      </c>
      <c r="K2" s="168" t="str">
        <f>Application!B623&amp;Application!C623</f>
        <v>6)City of Richmond</v>
      </c>
      <c r="L2" s="168" t="str">
        <f>Application!B624&amp;Application!C624</f>
        <v>7)City of Richmond Grant</v>
      </c>
      <c r="M2" s="168" t="str">
        <f>Application!B625&amp;Application!C625</f>
        <v>8)DTSC</v>
      </c>
      <c r="N2" s="168" t="str">
        <f>Application!B626&amp;Application!C626</f>
        <v>9)No Place Like Home</v>
      </c>
      <c r="O2" s="168" t="str">
        <f>Application!B627&amp;Application!C627</f>
        <v>10)GP Equity</v>
      </c>
      <c r="P2" s="168" t="str">
        <f>Application!B628&amp;Application!C628</f>
        <v>11)</v>
      </c>
      <c r="Q2" s="168" t="str">
        <f>Application!B629&amp;Application!C629</f>
        <v>12)</v>
      </c>
      <c r="R2" s="167" t="s">
        <v>1719</v>
      </c>
      <c r="S2" s="167" t="s">
        <v>1720</v>
      </c>
      <c r="T2" s="167" t="s">
        <v>1721</v>
      </c>
      <c r="U2" s="169"/>
    </row>
    <row r="3" spans="1:21" s="173" customFormat="1">
      <c r="A3" s="170" t="s">
        <v>1722</v>
      </c>
      <c r="B3" s="171"/>
      <c r="C3" s="171"/>
      <c r="D3" s="171"/>
      <c r="E3" s="171"/>
      <c r="F3" s="171"/>
      <c r="G3" s="171"/>
      <c r="H3" s="171"/>
      <c r="I3" s="171"/>
      <c r="J3" s="171"/>
      <c r="K3" s="171"/>
      <c r="L3" s="171"/>
      <c r="M3" s="171"/>
      <c r="N3" s="171"/>
      <c r="O3" s="171"/>
      <c r="P3" s="171"/>
      <c r="Q3" s="171"/>
      <c r="R3" s="171"/>
      <c r="S3" s="171"/>
      <c r="T3" s="171"/>
      <c r="U3" s="172"/>
    </row>
    <row r="4" spans="1:21" s="173" customFormat="1" ht="13.5">
      <c r="A4" s="222" t="s">
        <v>1723</v>
      </c>
      <c r="B4" s="175">
        <f>SUM(C4+D4)</f>
        <v>1954994</v>
      </c>
      <c r="C4" s="176">
        <f>[1]EVERYTHING!$C$31</f>
        <v>1954994</v>
      </c>
      <c r="D4" s="176"/>
      <c r="E4" s="176">
        <f>C4-SUM(F4:O4)</f>
        <v>1875714</v>
      </c>
      <c r="F4" s="176"/>
      <c r="G4" s="176"/>
      <c r="H4" s="176"/>
      <c r="I4" s="176"/>
      <c r="J4" s="176"/>
      <c r="K4" s="176"/>
      <c r="L4" s="176">
        <v>79280</v>
      </c>
      <c r="M4" s="176"/>
      <c r="N4" s="176"/>
      <c r="O4" s="176"/>
      <c r="P4" s="176"/>
      <c r="Q4" s="176"/>
      <c r="R4" s="176">
        <f>C4</f>
        <v>1954994</v>
      </c>
      <c r="S4" s="177"/>
      <c r="T4" s="177"/>
      <c r="U4" s="172"/>
    </row>
    <row r="5" spans="1:21" s="173" customFormat="1" ht="13.5">
      <c r="A5" s="222" t="s">
        <v>1724</v>
      </c>
      <c r="B5" s="175">
        <f>SUM(C5+D5)</f>
        <v>106455</v>
      </c>
      <c r="C5" s="176">
        <f>[1]EVERYTHING!$C$32</f>
        <v>106455</v>
      </c>
      <c r="D5" s="176"/>
      <c r="E5" s="176">
        <f t="shared" ref="E5:E7" si="0">C5-SUM(F5:O5)</f>
        <v>0</v>
      </c>
      <c r="F5" s="176"/>
      <c r="G5" s="176"/>
      <c r="H5" s="176"/>
      <c r="I5" s="176"/>
      <c r="J5" s="176"/>
      <c r="K5" s="176"/>
      <c r="L5" s="176">
        <f>+C5</f>
        <v>106455</v>
      </c>
      <c r="M5" s="176"/>
      <c r="N5" s="176"/>
      <c r="O5" s="176"/>
      <c r="P5" s="176"/>
      <c r="Q5" s="176"/>
      <c r="R5" s="176">
        <f>SUM(E5:Q5)</f>
        <v>106455</v>
      </c>
      <c r="S5" s="177"/>
      <c r="T5" s="177"/>
      <c r="U5" s="172"/>
    </row>
    <row r="6" spans="1:21" s="173" customFormat="1">
      <c r="A6" s="174" t="s">
        <v>1725</v>
      </c>
      <c r="B6" s="175">
        <f>SUM(C6+D6)</f>
        <v>29848</v>
      </c>
      <c r="C6" s="176">
        <f>[1]EVERYTHING!$C$35+[1]EVERYTHING!$C$34</f>
        <v>29848</v>
      </c>
      <c r="D6" s="176"/>
      <c r="E6" s="176">
        <f t="shared" si="0"/>
        <v>26109.140000000014</v>
      </c>
      <c r="F6" s="176"/>
      <c r="G6" s="176"/>
      <c r="H6" s="176"/>
      <c r="I6" s="176"/>
      <c r="J6" s="176"/>
      <c r="K6" s="176"/>
      <c r="L6" s="176">
        <f>+[2]EVERYTHING!$C$12-L4-L5-L37</f>
        <v>3738.859999999986</v>
      </c>
      <c r="M6" s="176"/>
      <c r="N6" s="176"/>
      <c r="O6" s="176"/>
      <c r="P6" s="176"/>
      <c r="Q6" s="176"/>
      <c r="R6" s="176">
        <f>SUM(E6:Q6)</f>
        <v>29848</v>
      </c>
      <c r="S6" s="177"/>
      <c r="T6" s="177"/>
      <c r="U6" s="172"/>
    </row>
    <row r="7" spans="1:21" s="173" customFormat="1">
      <c r="A7" s="174" t="s">
        <v>1726</v>
      </c>
      <c r="B7" s="175">
        <f>SUM(C7+D7)</f>
        <v>0</v>
      </c>
      <c r="C7" s="176"/>
      <c r="D7" s="176"/>
      <c r="E7" s="176">
        <f t="shared" si="0"/>
        <v>0</v>
      </c>
      <c r="F7" s="176"/>
      <c r="G7" s="176"/>
      <c r="H7" s="176"/>
      <c r="I7" s="176"/>
      <c r="J7" s="176"/>
      <c r="K7" s="176"/>
      <c r="L7" s="176"/>
      <c r="M7" s="176"/>
      <c r="N7" s="176"/>
      <c r="O7" s="176"/>
      <c r="P7" s="176"/>
      <c r="Q7" s="176"/>
      <c r="R7" s="176">
        <f>SUM(E7:Q7)</f>
        <v>0</v>
      </c>
      <c r="S7" s="177"/>
      <c r="T7" s="177"/>
      <c r="U7" s="172"/>
    </row>
    <row r="8" spans="1:21" s="173" customFormat="1" ht="13.5">
      <c r="A8" s="223" t="s">
        <v>1727</v>
      </c>
      <c r="B8" s="175">
        <f>SUM(C8:D8)</f>
        <v>2091297</v>
      </c>
      <c r="C8" s="175">
        <f t="shared" ref="C8:R8" si="1">SUM(C4:C7)</f>
        <v>2091297</v>
      </c>
      <c r="D8" s="175">
        <f t="shared" si="1"/>
        <v>0</v>
      </c>
      <c r="E8" s="175">
        <f t="shared" si="1"/>
        <v>1901823.1400000001</v>
      </c>
      <c r="F8" s="175">
        <f t="shared" si="1"/>
        <v>0</v>
      </c>
      <c r="G8" s="175">
        <f t="shared" si="1"/>
        <v>0</v>
      </c>
      <c r="H8" s="175">
        <f t="shared" si="1"/>
        <v>0</v>
      </c>
      <c r="I8" s="175">
        <f t="shared" si="1"/>
        <v>0</v>
      </c>
      <c r="J8" s="175">
        <f t="shared" si="1"/>
        <v>0</v>
      </c>
      <c r="K8" s="175">
        <f t="shared" si="1"/>
        <v>0</v>
      </c>
      <c r="L8" s="175">
        <f t="shared" si="1"/>
        <v>189473.86</v>
      </c>
      <c r="M8" s="175">
        <f t="shared" si="1"/>
        <v>0</v>
      </c>
      <c r="N8" s="175">
        <f t="shared" si="1"/>
        <v>0</v>
      </c>
      <c r="O8" s="175">
        <f t="shared" si="1"/>
        <v>0</v>
      </c>
      <c r="P8" s="175">
        <f t="shared" si="1"/>
        <v>0</v>
      </c>
      <c r="Q8" s="175">
        <f t="shared" si="1"/>
        <v>0</v>
      </c>
      <c r="R8" s="175">
        <f t="shared" si="1"/>
        <v>2091297</v>
      </c>
      <c r="S8" s="177"/>
      <c r="T8" s="177"/>
      <c r="U8" s="172"/>
    </row>
    <row r="9" spans="1:21" s="173" customFormat="1">
      <c r="A9" s="174" t="s">
        <v>1728</v>
      </c>
      <c r="B9" s="175">
        <f>SUM(C9+D9)</f>
        <v>0</v>
      </c>
      <c r="C9" s="176"/>
      <c r="D9" s="176"/>
      <c r="E9" s="176">
        <f>C9-SUM(F9:O9)</f>
        <v>0</v>
      </c>
      <c r="F9" s="176"/>
      <c r="G9" s="176"/>
      <c r="H9" s="176"/>
      <c r="I9" s="176"/>
      <c r="J9" s="176"/>
      <c r="K9" s="176"/>
      <c r="L9" s="176"/>
      <c r="M9" s="176"/>
      <c r="N9" s="176"/>
      <c r="O9" s="176"/>
      <c r="P9" s="176"/>
      <c r="Q9" s="176"/>
      <c r="R9" s="176">
        <f>C9</f>
        <v>0</v>
      </c>
      <c r="S9" s="177"/>
      <c r="T9" s="176"/>
      <c r="U9" s="172"/>
    </row>
    <row r="10" spans="1:21" s="173" customFormat="1" ht="13.5">
      <c r="A10" s="222" t="s">
        <v>1729</v>
      </c>
      <c r="B10" s="175">
        <f>SUM(C10+D10)</f>
        <v>288901</v>
      </c>
      <c r="C10" s="176">
        <f>[2]EVERYTHING!$C$38</f>
        <v>288901</v>
      </c>
      <c r="D10" s="176"/>
      <c r="E10" s="176">
        <f>C10-SUM(F10:O10)</f>
        <v>288901</v>
      </c>
      <c r="F10" s="176"/>
      <c r="G10" s="176"/>
      <c r="H10" s="176"/>
      <c r="I10" s="176"/>
      <c r="J10" s="176"/>
      <c r="K10" s="176"/>
      <c r="L10" s="176"/>
      <c r="M10" s="176"/>
      <c r="N10" s="176"/>
      <c r="O10" s="176"/>
      <c r="P10" s="176"/>
      <c r="Q10" s="176"/>
      <c r="R10" s="176">
        <f>SUM(E10:Q10)</f>
        <v>288901</v>
      </c>
      <c r="S10" s="176">
        <f>C10</f>
        <v>288901</v>
      </c>
      <c r="T10" s="176"/>
      <c r="U10" s="172"/>
    </row>
    <row r="11" spans="1:21" s="173" customFormat="1">
      <c r="A11" s="178" t="s">
        <v>1730</v>
      </c>
      <c r="B11" s="175">
        <f>SUM(C11:D11)</f>
        <v>288901</v>
      </c>
      <c r="C11" s="175">
        <f t="shared" ref="C11:T11" si="2">SUM(C9:C10)</f>
        <v>288901</v>
      </c>
      <c r="D11" s="175">
        <f t="shared" si="2"/>
        <v>0</v>
      </c>
      <c r="E11" s="175">
        <f t="shared" si="2"/>
        <v>288901</v>
      </c>
      <c r="F11" s="175">
        <f t="shared" si="2"/>
        <v>0</v>
      </c>
      <c r="G11" s="175">
        <f t="shared" si="2"/>
        <v>0</v>
      </c>
      <c r="H11" s="175">
        <f t="shared" si="2"/>
        <v>0</v>
      </c>
      <c r="I11" s="175">
        <f t="shared" si="2"/>
        <v>0</v>
      </c>
      <c r="J11" s="175">
        <f t="shared" si="2"/>
        <v>0</v>
      </c>
      <c r="K11" s="175">
        <f t="shared" si="2"/>
        <v>0</v>
      </c>
      <c r="L11" s="175">
        <f t="shared" si="2"/>
        <v>0</v>
      </c>
      <c r="M11" s="175">
        <f t="shared" si="2"/>
        <v>0</v>
      </c>
      <c r="N11" s="175">
        <f t="shared" si="2"/>
        <v>0</v>
      </c>
      <c r="O11" s="175">
        <f t="shared" si="2"/>
        <v>0</v>
      </c>
      <c r="P11" s="175">
        <f t="shared" si="2"/>
        <v>0</v>
      </c>
      <c r="Q11" s="175">
        <f t="shared" si="2"/>
        <v>0</v>
      </c>
      <c r="R11" s="175">
        <f t="shared" si="2"/>
        <v>288901</v>
      </c>
      <c r="S11" s="177"/>
      <c r="T11" s="175">
        <f t="shared" si="2"/>
        <v>0</v>
      </c>
      <c r="U11" s="172"/>
    </row>
    <row r="12" spans="1:21" s="173" customFormat="1">
      <c r="A12" s="178" t="s">
        <v>1731</v>
      </c>
      <c r="B12" s="175">
        <f t="shared" ref="B12:R12" si="3">SUM(B8+B11)</f>
        <v>2380198</v>
      </c>
      <c r="C12" s="175">
        <f t="shared" si="3"/>
        <v>2380198</v>
      </c>
      <c r="D12" s="175">
        <f t="shared" si="3"/>
        <v>0</v>
      </c>
      <c r="E12" s="175">
        <f t="shared" si="3"/>
        <v>2190724.14</v>
      </c>
      <c r="F12" s="175">
        <f t="shared" si="3"/>
        <v>0</v>
      </c>
      <c r="G12" s="175">
        <f t="shared" si="3"/>
        <v>0</v>
      </c>
      <c r="H12" s="175">
        <f t="shared" si="3"/>
        <v>0</v>
      </c>
      <c r="I12" s="175">
        <f t="shared" si="3"/>
        <v>0</v>
      </c>
      <c r="J12" s="175">
        <f t="shared" si="3"/>
        <v>0</v>
      </c>
      <c r="K12" s="175">
        <f t="shared" si="3"/>
        <v>0</v>
      </c>
      <c r="L12" s="175">
        <f t="shared" si="3"/>
        <v>189473.86</v>
      </c>
      <c r="M12" s="175">
        <f t="shared" si="3"/>
        <v>0</v>
      </c>
      <c r="N12" s="175">
        <f t="shared" si="3"/>
        <v>0</v>
      </c>
      <c r="O12" s="175">
        <f t="shared" si="3"/>
        <v>0</v>
      </c>
      <c r="P12" s="175">
        <f t="shared" si="3"/>
        <v>0</v>
      </c>
      <c r="Q12" s="175">
        <f t="shared" si="3"/>
        <v>0</v>
      </c>
      <c r="R12" s="175">
        <f t="shared" si="3"/>
        <v>2380198</v>
      </c>
      <c r="S12" s="177"/>
      <c r="T12" s="177"/>
      <c r="U12" s="172"/>
    </row>
    <row r="13" spans="1:21" s="173" customFormat="1">
      <c r="A13" s="330" t="s">
        <v>1732</v>
      </c>
      <c r="B13" s="175">
        <f>SUM(C13+D13)</f>
        <v>120000</v>
      </c>
      <c r="C13" s="176">
        <f>[1]EVERYTHING!$C$33</f>
        <v>120000</v>
      </c>
      <c r="D13" s="176"/>
      <c r="E13" s="176">
        <f>C13-SUM(F13:O13)</f>
        <v>120000</v>
      </c>
      <c r="F13" s="176"/>
      <c r="G13" s="176"/>
      <c r="H13" s="176"/>
      <c r="I13" s="176"/>
      <c r="J13" s="176"/>
      <c r="K13" s="176"/>
      <c r="L13" s="176"/>
      <c r="M13" s="176"/>
      <c r="N13" s="176"/>
      <c r="O13" s="176"/>
      <c r="P13" s="176"/>
      <c r="Q13" s="176"/>
      <c r="R13" s="176">
        <f>SUM(E13:Q13)</f>
        <v>120000</v>
      </c>
      <c r="S13" s="176"/>
      <c r="T13" s="176"/>
      <c r="U13" s="172"/>
    </row>
    <row r="14" spans="1:21" s="173" customFormat="1" ht="24">
      <c r="A14" s="174" t="s">
        <v>1733</v>
      </c>
      <c r="B14" s="175">
        <f>SUM(C14+D14)</f>
        <v>0</v>
      </c>
      <c r="C14" s="176"/>
      <c r="D14" s="176"/>
      <c r="E14" s="176">
        <f t="shared" ref="E14:E15" si="4">C14-SUM(F14:O14)</f>
        <v>0</v>
      </c>
      <c r="F14" s="176"/>
      <c r="G14" s="176"/>
      <c r="H14" s="176"/>
      <c r="I14" s="176"/>
      <c r="J14" s="176"/>
      <c r="K14" s="176"/>
      <c r="L14" s="176"/>
      <c r="M14" s="176"/>
      <c r="N14" s="176"/>
      <c r="O14" s="176"/>
      <c r="P14" s="176"/>
      <c r="Q14" s="176"/>
      <c r="R14" s="176">
        <f>SUM(E14:Q14)</f>
        <v>0</v>
      </c>
      <c r="S14" s="176">
        <f>R14</f>
        <v>0</v>
      </c>
      <c r="T14" s="176"/>
      <c r="U14" s="172"/>
    </row>
    <row r="15" spans="1:21" s="173" customFormat="1">
      <c r="A15" s="174" t="s">
        <v>1734</v>
      </c>
      <c r="B15" s="175">
        <f>SUM(C15+D15)</f>
        <v>0</v>
      </c>
      <c r="C15" s="176"/>
      <c r="D15" s="176"/>
      <c r="E15" s="176">
        <f t="shared" si="4"/>
        <v>0</v>
      </c>
      <c r="F15" s="176"/>
      <c r="G15" s="176"/>
      <c r="H15" s="176"/>
      <c r="I15" s="176"/>
      <c r="J15" s="176"/>
      <c r="K15" s="176"/>
      <c r="L15" s="176"/>
      <c r="M15" s="176"/>
      <c r="N15" s="176"/>
      <c r="O15" s="176"/>
      <c r="P15" s="176"/>
      <c r="Q15" s="176"/>
      <c r="R15" s="176">
        <f>SUM(E15:Q15)</f>
        <v>0</v>
      </c>
      <c r="S15" s="177"/>
      <c r="T15" s="177"/>
      <c r="U15" s="172"/>
    </row>
    <row r="16" spans="1:21" s="173" customFormat="1">
      <c r="A16" s="170" t="s">
        <v>1735</v>
      </c>
      <c r="B16" s="171"/>
      <c r="C16" s="171"/>
      <c r="D16" s="171"/>
      <c r="E16" s="180"/>
      <c r="F16" s="180"/>
      <c r="G16" s="180"/>
      <c r="H16" s="180"/>
      <c r="I16" s="180"/>
      <c r="J16" s="180"/>
      <c r="K16" s="180"/>
      <c r="L16" s="180"/>
      <c r="M16" s="180"/>
      <c r="N16" s="180"/>
      <c r="O16" s="180"/>
      <c r="P16" s="180"/>
      <c r="Q16" s="180"/>
      <c r="R16" s="180"/>
      <c r="S16" s="171"/>
      <c r="T16" s="171"/>
      <c r="U16" s="172"/>
    </row>
    <row r="17" spans="1:21" s="173" customFormat="1">
      <c r="A17" s="174" t="s">
        <v>1736</v>
      </c>
      <c r="B17" s="175">
        <f t="shared" ref="B17:B27" si="5">SUM(C17:D17)</f>
        <v>0</v>
      </c>
      <c r="C17" s="176"/>
      <c r="D17" s="176"/>
      <c r="E17" s="176"/>
      <c r="F17" s="176"/>
      <c r="G17" s="176"/>
      <c r="H17" s="176"/>
      <c r="I17" s="176"/>
      <c r="J17" s="176"/>
      <c r="K17" s="176"/>
      <c r="L17" s="176"/>
      <c r="M17" s="176"/>
      <c r="N17" s="176"/>
      <c r="O17" s="176"/>
      <c r="P17" s="176"/>
      <c r="Q17" s="176"/>
      <c r="R17" s="176">
        <f>SUM(E17:Q17)</f>
        <v>0</v>
      </c>
      <c r="S17" s="176"/>
      <c r="T17" s="176"/>
      <c r="U17" s="172"/>
    </row>
    <row r="18" spans="1:21" s="173" customFormat="1">
      <c r="A18" s="174" t="s">
        <v>1737</v>
      </c>
      <c r="B18" s="175">
        <f t="shared" si="5"/>
        <v>0</v>
      </c>
      <c r="C18" s="176"/>
      <c r="D18" s="176"/>
      <c r="E18" s="176"/>
      <c r="F18" s="176"/>
      <c r="G18" s="176"/>
      <c r="H18" s="176"/>
      <c r="I18" s="176"/>
      <c r="J18" s="176"/>
      <c r="K18" s="176"/>
      <c r="L18" s="176"/>
      <c r="M18" s="176"/>
      <c r="N18" s="176"/>
      <c r="O18" s="176"/>
      <c r="P18" s="176"/>
      <c r="Q18" s="176"/>
      <c r="R18" s="176">
        <f>SUM(E18:Q18)</f>
        <v>0</v>
      </c>
      <c r="S18" s="176"/>
      <c r="T18" s="176"/>
      <c r="U18" s="172"/>
    </row>
    <row r="19" spans="1:21" s="173" customFormat="1">
      <c r="A19" s="174" t="s">
        <v>1738</v>
      </c>
      <c r="B19" s="175">
        <f t="shared" si="5"/>
        <v>0</v>
      </c>
      <c r="C19" s="176"/>
      <c r="D19" s="176"/>
      <c r="E19" s="176"/>
      <c r="F19" s="176"/>
      <c r="G19" s="176"/>
      <c r="H19" s="176"/>
      <c r="I19" s="176"/>
      <c r="J19" s="176"/>
      <c r="K19" s="176"/>
      <c r="L19" s="176"/>
      <c r="M19" s="176"/>
      <c r="N19" s="176"/>
      <c r="O19" s="176"/>
      <c r="P19" s="176"/>
      <c r="Q19" s="176"/>
      <c r="R19" s="176">
        <f>SUM(E19:Q19)</f>
        <v>0</v>
      </c>
      <c r="S19" s="176"/>
      <c r="T19" s="176"/>
      <c r="U19" s="172"/>
    </row>
    <row r="20" spans="1:21" s="173" customFormat="1">
      <c r="A20" s="174" t="s">
        <v>1739</v>
      </c>
      <c r="B20" s="175">
        <f t="shared" si="5"/>
        <v>0</v>
      </c>
      <c r="C20" s="176"/>
      <c r="D20" s="176"/>
      <c r="E20" s="176"/>
      <c r="F20" s="176"/>
      <c r="G20" s="176"/>
      <c r="H20" s="176"/>
      <c r="I20" s="176"/>
      <c r="J20" s="176"/>
      <c r="K20" s="176"/>
      <c r="L20" s="176"/>
      <c r="M20" s="176"/>
      <c r="N20" s="176"/>
      <c r="O20" s="176"/>
      <c r="P20" s="176"/>
      <c r="Q20" s="176"/>
      <c r="R20" s="176">
        <f t="shared" ref="R20:R27" si="6">SUM(E20:Q20)</f>
        <v>0</v>
      </c>
      <c r="S20" s="176"/>
      <c r="T20" s="176"/>
      <c r="U20" s="172"/>
    </row>
    <row r="21" spans="1:21" s="173" customFormat="1">
      <c r="A21" s="174" t="s">
        <v>1740</v>
      </c>
      <c r="B21" s="175">
        <f t="shared" si="5"/>
        <v>0</v>
      </c>
      <c r="C21" s="176"/>
      <c r="D21" s="176"/>
      <c r="E21" s="176"/>
      <c r="F21" s="176"/>
      <c r="G21" s="176"/>
      <c r="H21" s="176"/>
      <c r="I21" s="176"/>
      <c r="J21" s="176"/>
      <c r="K21" s="176"/>
      <c r="L21" s="176"/>
      <c r="M21" s="176"/>
      <c r="N21" s="176"/>
      <c r="O21" s="176"/>
      <c r="P21" s="176"/>
      <c r="Q21" s="176"/>
      <c r="R21" s="176">
        <f t="shared" si="6"/>
        <v>0</v>
      </c>
      <c r="S21" s="176"/>
      <c r="T21" s="176"/>
      <c r="U21" s="172"/>
    </row>
    <row r="22" spans="1:21" s="173" customFormat="1">
      <c r="A22" s="174" t="s">
        <v>1741</v>
      </c>
      <c r="B22" s="175">
        <f t="shared" si="5"/>
        <v>0</v>
      </c>
      <c r="C22" s="176"/>
      <c r="D22" s="176"/>
      <c r="E22" s="176"/>
      <c r="F22" s="176"/>
      <c r="G22" s="176"/>
      <c r="H22" s="176"/>
      <c r="I22" s="176"/>
      <c r="J22" s="176"/>
      <c r="K22" s="176"/>
      <c r="L22" s="176"/>
      <c r="M22" s="176"/>
      <c r="N22" s="176"/>
      <c r="O22" s="176"/>
      <c r="P22" s="176"/>
      <c r="Q22" s="176"/>
      <c r="R22" s="176">
        <f t="shared" si="6"/>
        <v>0</v>
      </c>
      <c r="S22" s="176"/>
      <c r="T22" s="176"/>
      <c r="U22" s="172"/>
    </row>
    <row r="23" spans="1:21" s="173" customFormat="1">
      <c r="A23" s="174" t="s">
        <v>1742</v>
      </c>
      <c r="B23" s="175">
        <f t="shared" si="5"/>
        <v>0</v>
      </c>
      <c r="C23" s="176"/>
      <c r="D23" s="176"/>
      <c r="E23" s="176"/>
      <c r="F23" s="176"/>
      <c r="G23" s="176"/>
      <c r="H23" s="176"/>
      <c r="I23" s="176"/>
      <c r="J23" s="176"/>
      <c r="K23" s="176"/>
      <c r="L23" s="176"/>
      <c r="M23" s="176"/>
      <c r="N23" s="176"/>
      <c r="O23" s="176"/>
      <c r="P23" s="176"/>
      <c r="Q23" s="176"/>
      <c r="R23" s="176">
        <f t="shared" si="6"/>
        <v>0</v>
      </c>
      <c r="S23" s="176"/>
      <c r="T23" s="176"/>
      <c r="U23" s="172"/>
    </row>
    <row r="24" spans="1:21" s="173" customFormat="1">
      <c r="A24" s="185" t="s">
        <v>1743</v>
      </c>
      <c r="B24" s="175">
        <f t="shared" si="5"/>
        <v>0</v>
      </c>
      <c r="C24" s="176"/>
      <c r="D24" s="176"/>
      <c r="E24" s="176"/>
      <c r="F24" s="176"/>
      <c r="G24" s="176"/>
      <c r="H24" s="176"/>
      <c r="I24" s="176"/>
      <c r="J24" s="176"/>
      <c r="K24" s="176"/>
      <c r="L24" s="176"/>
      <c r="M24" s="176"/>
      <c r="N24" s="176"/>
      <c r="O24" s="176"/>
      <c r="P24" s="176"/>
      <c r="Q24" s="176"/>
      <c r="R24" s="176">
        <f t="shared" si="6"/>
        <v>0</v>
      </c>
      <c r="S24" s="176"/>
      <c r="T24" s="176"/>
      <c r="U24" s="172"/>
    </row>
    <row r="25" spans="1:21" s="173" customFormat="1">
      <c r="A25" s="181" t="s">
        <v>1744</v>
      </c>
      <c r="B25" s="175">
        <f t="shared" si="5"/>
        <v>0</v>
      </c>
      <c r="C25" s="176"/>
      <c r="D25" s="176"/>
      <c r="E25" s="176"/>
      <c r="F25" s="176"/>
      <c r="G25" s="176"/>
      <c r="H25" s="176"/>
      <c r="I25" s="176"/>
      <c r="J25" s="176"/>
      <c r="K25" s="176"/>
      <c r="L25" s="176"/>
      <c r="M25" s="176"/>
      <c r="N25" s="176"/>
      <c r="O25" s="176"/>
      <c r="P25" s="176"/>
      <c r="Q25" s="176"/>
      <c r="R25" s="176">
        <f t="shared" si="6"/>
        <v>0</v>
      </c>
      <c r="S25" s="176"/>
      <c r="T25" s="176"/>
      <c r="U25" s="172"/>
    </row>
    <row r="26" spans="1:21" s="173" customFormat="1">
      <c r="A26" s="178" t="s">
        <v>1745</v>
      </c>
      <c r="B26" s="175">
        <f t="shared" si="5"/>
        <v>0</v>
      </c>
      <c r="C26" s="175">
        <f>SUM(C17:C25)</f>
        <v>0</v>
      </c>
      <c r="D26" s="175">
        <f>SUM(D17:D25)</f>
        <v>0</v>
      </c>
      <c r="E26" s="175">
        <f>SUM(E17:E25)</f>
        <v>0</v>
      </c>
      <c r="F26" s="175">
        <f t="shared" ref="F26:T26" si="7">SUM(F17:F25)</f>
        <v>0</v>
      </c>
      <c r="G26" s="175">
        <f t="shared" si="7"/>
        <v>0</v>
      </c>
      <c r="H26" s="175">
        <f t="shared" si="7"/>
        <v>0</v>
      </c>
      <c r="I26" s="175">
        <f t="shared" si="7"/>
        <v>0</v>
      </c>
      <c r="J26" s="175">
        <f t="shared" si="7"/>
        <v>0</v>
      </c>
      <c r="K26" s="175">
        <f t="shared" si="7"/>
        <v>0</v>
      </c>
      <c r="L26" s="175">
        <f t="shared" si="7"/>
        <v>0</v>
      </c>
      <c r="M26" s="175">
        <f t="shared" si="7"/>
        <v>0</v>
      </c>
      <c r="N26" s="175">
        <f t="shared" si="7"/>
        <v>0</v>
      </c>
      <c r="O26" s="175">
        <f t="shared" si="7"/>
        <v>0</v>
      </c>
      <c r="P26" s="175">
        <f t="shared" si="7"/>
        <v>0</v>
      </c>
      <c r="Q26" s="175">
        <f t="shared" si="7"/>
        <v>0</v>
      </c>
      <c r="R26" s="175">
        <f>SUM(R17:R25)</f>
        <v>0</v>
      </c>
      <c r="S26" s="179">
        <f t="shared" si="7"/>
        <v>0</v>
      </c>
      <c r="T26" s="179">
        <f t="shared" si="7"/>
        <v>0</v>
      </c>
      <c r="U26" s="172"/>
    </row>
    <row r="27" spans="1:21" s="173" customFormat="1">
      <c r="A27" s="178" t="s">
        <v>1746</v>
      </c>
      <c r="B27" s="175">
        <f t="shared" si="5"/>
        <v>0</v>
      </c>
      <c r="C27" s="176"/>
      <c r="D27" s="176"/>
      <c r="E27" s="176"/>
      <c r="F27" s="176"/>
      <c r="G27" s="176"/>
      <c r="H27" s="176"/>
      <c r="I27" s="176"/>
      <c r="J27" s="176"/>
      <c r="K27" s="176"/>
      <c r="L27" s="176"/>
      <c r="M27" s="176"/>
      <c r="N27" s="176"/>
      <c r="O27" s="176"/>
      <c r="P27" s="176"/>
      <c r="Q27" s="176"/>
      <c r="R27" s="176">
        <f t="shared" si="6"/>
        <v>0</v>
      </c>
      <c r="S27" s="176"/>
      <c r="T27" s="176"/>
      <c r="U27" s="172"/>
    </row>
    <row r="28" spans="1:21" s="173" customFormat="1">
      <c r="A28" s="170" t="s">
        <v>1747</v>
      </c>
      <c r="B28" s="171"/>
      <c r="C28" s="171"/>
      <c r="D28" s="171"/>
      <c r="E28" s="180"/>
      <c r="F28" s="180"/>
      <c r="G28" s="180"/>
      <c r="H28" s="180"/>
      <c r="I28" s="180"/>
      <c r="J28" s="180"/>
      <c r="K28" s="180"/>
      <c r="L28" s="180"/>
      <c r="M28" s="180"/>
      <c r="N28" s="180"/>
      <c r="O28" s="180"/>
      <c r="P28" s="180"/>
      <c r="Q28" s="180"/>
      <c r="R28" s="180"/>
      <c r="S28" s="171"/>
      <c r="T28" s="171"/>
      <c r="U28" s="172"/>
    </row>
    <row r="29" spans="1:21" s="173" customFormat="1">
      <c r="A29" s="174" t="s">
        <v>1736</v>
      </c>
      <c r="B29" s="175">
        <f t="shared" ref="B29:B38" si="8">SUM(C29+D29)</f>
        <v>497013</v>
      </c>
      <c r="C29" s="176">
        <f>[2]EVERYTHING!$C$48</f>
        <v>497013</v>
      </c>
      <c r="D29" s="176"/>
      <c r="E29" s="176">
        <f>C29-SUM(F29:O29)</f>
        <v>497013</v>
      </c>
      <c r="F29" s="176"/>
      <c r="G29" s="176"/>
      <c r="H29" s="176"/>
      <c r="I29" s="176"/>
      <c r="J29" s="176"/>
      <c r="K29" s="176"/>
      <c r="L29" s="176"/>
      <c r="M29" s="176"/>
      <c r="N29" s="176"/>
      <c r="O29" s="176"/>
      <c r="P29" s="176"/>
      <c r="Q29" s="176"/>
      <c r="R29" s="176">
        <f t="shared" ref="R29:R37" si="9">SUM(E29:Q29)</f>
        <v>497013</v>
      </c>
      <c r="S29" s="176">
        <f>R29</f>
        <v>497013</v>
      </c>
      <c r="T29" s="176"/>
      <c r="U29" s="172"/>
    </row>
    <row r="30" spans="1:21" s="173" customFormat="1">
      <c r="A30" s="174" t="s">
        <v>1737</v>
      </c>
      <c r="B30" s="175">
        <f t="shared" si="8"/>
        <v>16743042.521987051</v>
      </c>
      <c r="C30" s="176">
        <f>[1]EVERYTHING!$C$49-C34+[2]EVERYTHING!$C$50</f>
        <v>16743042.521987051</v>
      </c>
      <c r="D30" s="176"/>
      <c r="E30" s="176">
        <f>C30-SUM(F30:O30)</f>
        <v>1617048.5219870508</v>
      </c>
      <c r="F30" s="176">
        <f>Application!AO618</f>
        <v>4528000</v>
      </c>
      <c r="G30" s="176">
        <f>Application!AO619</f>
        <v>2650000</v>
      </c>
      <c r="H30" s="176">
        <f>Application!AO620</f>
        <v>4382047</v>
      </c>
      <c r="I30" s="176">
        <f>Application!AO621</f>
        <v>1000000</v>
      </c>
      <c r="J30" s="176">
        <f>Application!AO622</f>
        <v>1421000</v>
      </c>
      <c r="K30" s="176">
        <f>Application!AO623</f>
        <v>1144947</v>
      </c>
      <c r="L30" s="176" t="s">
        <v>249</v>
      </c>
      <c r="M30" s="176"/>
      <c r="N30" s="176"/>
      <c r="O30" s="176"/>
      <c r="P30" s="176"/>
      <c r="Q30" s="176"/>
      <c r="R30" s="176">
        <f t="shared" si="9"/>
        <v>16743042.521987051</v>
      </c>
      <c r="S30" s="176">
        <f t="shared" ref="S30:S36" si="10">R30</f>
        <v>16743042.521987051</v>
      </c>
      <c r="T30" s="176"/>
      <c r="U30" s="172"/>
    </row>
    <row r="31" spans="1:21" s="173" customFormat="1">
      <c r="A31" s="174" t="s">
        <v>1738</v>
      </c>
      <c r="B31" s="175">
        <f t="shared" si="8"/>
        <v>1282815.6000000001</v>
      </c>
      <c r="C31" s="176">
        <f>[1]EVERYTHING!$C$53</f>
        <v>1282815.6000000001</v>
      </c>
      <c r="D31" s="176"/>
      <c r="E31" s="176">
        <f t="shared" ref="E31:E37" si="11">C31-SUM(F31:O31)</f>
        <v>1282815.6000000001</v>
      </c>
      <c r="F31" s="176"/>
      <c r="G31" s="176"/>
      <c r="H31" s="176"/>
      <c r="I31" s="176"/>
      <c r="J31" s="176"/>
      <c r="K31" s="176"/>
      <c r="L31" s="176"/>
      <c r="M31" s="176"/>
      <c r="N31" s="176"/>
      <c r="O31" s="176"/>
      <c r="P31" s="176"/>
      <c r="Q31" s="176"/>
      <c r="R31" s="176">
        <f t="shared" si="9"/>
        <v>1282815.6000000001</v>
      </c>
      <c r="S31" s="176">
        <f t="shared" si="10"/>
        <v>1282815.6000000001</v>
      </c>
      <c r="T31" s="176"/>
      <c r="U31" s="172"/>
    </row>
    <row r="32" spans="1:21" s="173" customFormat="1">
      <c r="A32" s="174" t="s">
        <v>1739</v>
      </c>
      <c r="B32" s="175">
        <f t="shared" si="8"/>
        <v>485053.3848215249</v>
      </c>
      <c r="C32" s="176">
        <f>[1]EVERYTHING!$C$55-C33</f>
        <v>485053.3848215249</v>
      </c>
      <c r="D32" s="176"/>
      <c r="E32" s="176">
        <f t="shared" si="11"/>
        <v>485053.3848215249</v>
      </c>
      <c r="F32" s="176"/>
      <c r="G32" s="176"/>
      <c r="H32" s="176"/>
      <c r="I32" s="176"/>
      <c r="J32" s="176"/>
      <c r="K32" s="176"/>
      <c r="L32" s="176"/>
      <c r="M32" s="176"/>
      <c r="N32" s="176"/>
      <c r="O32" s="176"/>
      <c r="P32" s="176"/>
      <c r="Q32" s="176"/>
      <c r="R32" s="176">
        <f t="shared" si="9"/>
        <v>485053.3848215249</v>
      </c>
      <c r="S32" s="176">
        <f t="shared" si="10"/>
        <v>485053.3848215249</v>
      </c>
      <c r="T32" s="176"/>
      <c r="U32" s="172"/>
    </row>
    <row r="33" spans="1:21" s="173" customFormat="1">
      <c r="A33" s="174" t="s">
        <v>1740</v>
      </c>
      <c r="B33" s="175">
        <f t="shared" si="8"/>
        <v>485053.3848215249</v>
      </c>
      <c r="C33" s="176">
        <f>[1]EVERYTHING!$C$55/2</f>
        <v>485053.3848215249</v>
      </c>
      <c r="D33" s="176"/>
      <c r="E33" s="176">
        <f t="shared" si="11"/>
        <v>485053.3848215249</v>
      </c>
      <c r="F33" s="176"/>
      <c r="G33" s="176"/>
      <c r="H33" s="176"/>
      <c r="I33" s="176"/>
      <c r="J33" s="176"/>
      <c r="K33" s="176"/>
      <c r="L33" s="176"/>
      <c r="M33" s="176"/>
      <c r="N33" s="176"/>
      <c r="O33" s="176"/>
      <c r="P33" s="176"/>
      <c r="Q33" s="176"/>
      <c r="R33" s="176">
        <f t="shared" si="9"/>
        <v>485053.3848215249</v>
      </c>
      <c r="S33" s="176">
        <f t="shared" si="10"/>
        <v>485053.3848215249</v>
      </c>
      <c r="T33" s="176"/>
      <c r="U33" s="172"/>
    </row>
    <row r="34" spans="1:21" s="173" customFormat="1">
      <c r="A34" s="174" t="s">
        <v>1741</v>
      </c>
      <c r="B34" s="175">
        <f t="shared" si="8"/>
        <v>4025345.5397753455</v>
      </c>
      <c r="C34" s="176">
        <f>([1]EVERYTHING!$C$48+[1]EVERYTHING!$C$49)*0.2</f>
        <v>4025345.5397753455</v>
      </c>
      <c r="D34" s="176"/>
      <c r="E34" s="176">
        <f t="shared" si="11"/>
        <v>956465.53977534547</v>
      </c>
      <c r="F34" s="176"/>
      <c r="G34" s="176"/>
      <c r="H34" s="176"/>
      <c r="I34" s="176"/>
      <c r="J34" s="176"/>
      <c r="K34" s="176"/>
      <c r="L34" s="176"/>
      <c r="M34" s="176"/>
      <c r="N34" s="176">
        <f>Application!AO626</f>
        <v>3068780</v>
      </c>
      <c r="O34" s="176">
        <f>Application!AO627</f>
        <v>100</v>
      </c>
      <c r="P34" s="176"/>
      <c r="Q34" s="176"/>
      <c r="R34" s="176">
        <f t="shared" si="9"/>
        <v>4025345.5397753455</v>
      </c>
      <c r="S34" s="176">
        <f t="shared" si="10"/>
        <v>4025345.5397753455</v>
      </c>
      <c r="T34" s="176"/>
      <c r="U34" s="172"/>
    </row>
    <row r="35" spans="1:21" s="173" customFormat="1">
      <c r="A35" s="174" t="s">
        <v>1742</v>
      </c>
      <c r="B35" s="175">
        <f t="shared" si="8"/>
        <v>433312.18919359823</v>
      </c>
      <c r="C35" s="176">
        <f>[1]EVERYTHING!$C$54</f>
        <v>433312.18919359823</v>
      </c>
      <c r="D35" s="176"/>
      <c r="E35" s="176">
        <f t="shared" si="11"/>
        <v>433312.18919359823</v>
      </c>
      <c r="F35" s="176"/>
      <c r="G35" s="176"/>
      <c r="H35" s="176"/>
      <c r="I35" s="176"/>
      <c r="J35" s="176"/>
      <c r="K35" s="176"/>
      <c r="L35" s="176"/>
      <c r="M35" s="176"/>
      <c r="N35" s="176"/>
      <c r="O35" s="176"/>
      <c r="P35" s="176"/>
      <c r="Q35" s="176"/>
      <c r="R35" s="176">
        <f t="shared" si="9"/>
        <v>433312.18919359823</v>
      </c>
      <c r="S35" s="176">
        <f t="shared" si="10"/>
        <v>433312.18919359823</v>
      </c>
      <c r="T35" s="176"/>
      <c r="U35" s="172"/>
    </row>
    <row r="36" spans="1:21" s="173" customFormat="1">
      <c r="A36" s="185" t="s">
        <v>1743</v>
      </c>
      <c r="B36" s="175">
        <f t="shared" si="8"/>
        <v>525000</v>
      </c>
      <c r="C36" s="176">
        <f>[1]EVERYTHING!$C$94</f>
        <v>525000</v>
      </c>
      <c r="D36" s="176"/>
      <c r="E36" s="176">
        <f t="shared" si="11"/>
        <v>525000</v>
      </c>
      <c r="F36" s="176"/>
      <c r="G36" s="176"/>
      <c r="H36" s="176"/>
      <c r="I36" s="176"/>
      <c r="J36" s="176"/>
      <c r="K36" s="176"/>
      <c r="L36" s="176"/>
      <c r="M36" s="176"/>
      <c r="N36" s="176"/>
      <c r="O36" s="176"/>
      <c r="P36" s="176"/>
      <c r="Q36" s="176"/>
      <c r="R36" s="176">
        <f t="shared" si="9"/>
        <v>525000</v>
      </c>
      <c r="S36" s="176">
        <f t="shared" si="10"/>
        <v>525000</v>
      </c>
      <c r="T36" s="176"/>
      <c r="U36" s="172"/>
    </row>
    <row r="37" spans="1:21" s="173" customFormat="1">
      <c r="A37" s="181" t="s">
        <v>1748</v>
      </c>
      <c r="B37" s="175">
        <f t="shared" si="8"/>
        <v>624538.14</v>
      </c>
      <c r="C37" s="176">
        <f>+[2]EVERYTHING!$C$36</f>
        <v>624538.14</v>
      </c>
      <c r="D37" s="176"/>
      <c r="E37" s="176">
        <f t="shared" si="11"/>
        <v>0</v>
      </c>
      <c r="F37" s="176"/>
      <c r="G37" s="176"/>
      <c r="H37" s="176"/>
      <c r="I37" s="176"/>
      <c r="J37" s="176"/>
      <c r="K37" s="176"/>
      <c r="L37" s="176">
        <f>+C37-M37</f>
        <v>159598.14000000001</v>
      </c>
      <c r="M37" s="176">
        <f>+[2]EVERYTHING!$D$13</f>
        <v>464940</v>
      </c>
      <c r="N37" s="176"/>
      <c r="O37" s="176"/>
      <c r="P37" s="176"/>
      <c r="Q37" s="176"/>
      <c r="R37" s="176">
        <f t="shared" si="9"/>
        <v>624538.14</v>
      </c>
      <c r="S37" s="176"/>
      <c r="T37" s="176"/>
      <c r="U37" s="172"/>
    </row>
    <row r="38" spans="1:21" s="173" customFormat="1">
      <c r="A38" s="178" t="s">
        <v>1749</v>
      </c>
      <c r="B38" s="175">
        <f t="shared" si="8"/>
        <v>25101173.760599051</v>
      </c>
      <c r="C38" s="175">
        <f>SUM(C29:C37)</f>
        <v>25101173.760599051</v>
      </c>
      <c r="D38" s="175">
        <f>SUM(D29:D37)</f>
        <v>0</v>
      </c>
      <c r="E38" s="175">
        <f>SUM(E29:E37)</f>
        <v>6281761.6205990445</v>
      </c>
      <c r="F38" s="175">
        <f t="shared" ref="F38:T38" si="12">SUM(F29:F37)</f>
        <v>4528000</v>
      </c>
      <c r="G38" s="175">
        <f t="shared" si="12"/>
        <v>2650000</v>
      </c>
      <c r="H38" s="175">
        <f t="shared" si="12"/>
        <v>4382047</v>
      </c>
      <c r="I38" s="175">
        <f t="shared" si="12"/>
        <v>1000000</v>
      </c>
      <c r="J38" s="175">
        <f t="shared" si="12"/>
        <v>1421000</v>
      </c>
      <c r="K38" s="175">
        <f t="shared" si="12"/>
        <v>1144947</v>
      </c>
      <c r="L38" s="175">
        <f t="shared" si="12"/>
        <v>159598.14000000001</v>
      </c>
      <c r="M38" s="175">
        <f t="shared" si="12"/>
        <v>464940</v>
      </c>
      <c r="N38" s="175">
        <f t="shared" si="12"/>
        <v>3068780</v>
      </c>
      <c r="O38" s="175">
        <f t="shared" si="12"/>
        <v>100</v>
      </c>
      <c r="P38" s="175">
        <f t="shared" si="12"/>
        <v>0</v>
      </c>
      <c r="Q38" s="175">
        <f t="shared" si="12"/>
        <v>0</v>
      </c>
      <c r="R38" s="175">
        <f t="shared" si="12"/>
        <v>25101173.760599051</v>
      </c>
      <c r="S38" s="179">
        <f t="shared" si="12"/>
        <v>24476635.62059905</v>
      </c>
      <c r="T38" s="179">
        <f t="shared" si="12"/>
        <v>0</v>
      </c>
      <c r="U38" s="172"/>
    </row>
    <row r="39" spans="1:21" s="173" customFormat="1">
      <c r="A39" s="170" t="s">
        <v>1750</v>
      </c>
      <c r="B39" s="171"/>
      <c r="C39" s="171"/>
      <c r="D39" s="171"/>
      <c r="E39" s="180"/>
      <c r="F39" s="180"/>
      <c r="G39" s="180"/>
      <c r="H39" s="180"/>
      <c r="I39" s="180"/>
      <c r="J39" s="180"/>
      <c r="K39" s="180"/>
      <c r="L39" s="180"/>
      <c r="M39" s="180"/>
      <c r="N39" s="180"/>
      <c r="O39" s="180"/>
      <c r="P39" s="180"/>
      <c r="Q39" s="180"/>
      <c r="R39" s="180"/>
      <c r="S39" s="171"/>
      <c r="T39" s="171"/>
      <c r="U39" s="172"/>
    </row>
    <row r="40" spans="1:21" s="173" customFormat="1">
      <c r="A40" s="174" t="s">
        <v>1751</v>
      </c>
      <c r="B40" s="175">
        <f>SUM(C40+D40)</f>
        <v>1058087.8</v>
      </c>
      <c r="C40" s="176">
        <f>[1]EVERYTHING!$C$58</f>
        <v>1058087.8</v>
      </c>
      <c r="D40" s="176"/>
      <c r="E40" s="176">
        <f>C40-SUM(F40:O40)</f>
        <v>1058087.8</v>
      </c>
      <c r="F40" s="176"/>
      <c r="G40" s="176"/>
      <c r="H40" s="176"/>
      <c r="I40" s="176"/>
      <c r="J40" s="176"/>
      <c r="K40" s="176"/>
      <c r="L40" s="176"/>
      <c r="M40" s="176"/>
      <c r="N40" s="176"/>
      <c r="O40" s="176"/>
      <c r="P40" s="176"/>
      <c r="Q40" s="176"/>
      <c r="R40" s="176">
        <f>SUM(E40:Q40)</f>
        <v>1058087.8</v>
      </c>
      <c r="S40" s="176">
        <f>R40</f>
        <v>1058087.8</v>
      </c>
      <c r="T40" s="176"/>
      <c r="U40" s="172"/>
    </row>
    <row r="41" spans="1:21" s="173" customFormat="1">
      <c r="A41" s="174" t="s">
        <v>1752</v>
      </c>
      <c r="B41" s="175">
        <f>SUM(C41+D41)</f>
        <v>0</v>
      </c>
      <c r="C41" s="176"/>
      <c r="D41" s="176"/>
      <c r="E41" s="176">
        <f>C41-SUM(F41:O41)</f>
        <v>0</v>
      </c>
      <c r="F41" s="176"/>
      <c r="G41" s="176"/>
      <c r="H41" s="176"/>
      <c r="I41" s="176"/>
      <c r="J41" s="176"/>
      <c r="K41" s="176"/>
      <c r="L41" s="176"/>
      <c r="M41" s="176"/>
      <c r="N41" s="176"/>
      <c r="O41" s="176"/>
      <c r="P41" s="176"/>
      <c r="Q41" s="176"/>
      <c r="R41" s="176">
        <f>SUM(E41:Q41)</f>
        <v>0</v>
      </c>
      <c r="S41" s="176">
        <f>R41</f>
        <v>0</v>
      </c>
      <c r="T41" s="176"/>
      <c r="U41" s="172"/>
    </row>
    <row r="42" spans="1:21" s="173" customFormat="1">
      <c r="A42" s="178" t="s">
        <v>1753</v>
      </c>
      <c r="B42" s="175">
        <f>SUM(C42:D42)</f>
        <v>1058087.8</v>
      </c>
      <c r="C42" s="175">
        <f>SUM(C39:C41)</f>
        <v>1058087.8</v>
      </c>
      <c r="D42" s="175">
        <f>SUM(D39:D41)</f>
        <v>0</v>
      </c>
      <c r="E42" s="175">
        <f t="shared" ref="E42:T42" si="13">SUM(E40:E41)</f>
        <v>1058087.8</v>
      </c>
      <c r="F42" s="175">
        <f t="shared" si="13"/>
        <v>0</v>
      </c>
      <c r="G42" s="175">
        <f t="shared" si="13"/>
        <v>0</v>
      </c>
      <c r="H42" s="175">
        <f t="shared" si="13"/>
        <v>0</v>
      </c>
      <c r="I42" s="175">
        <f t="shared" si="13"/>
        <v>0</v>
      </c>
      <c r="J42" s="175">
        <f t="shared" si="13"/>
        <v>0</v>
      </c>
      <c r="K42" s="175">
        <f t="shared" si="13"/>
        <v>0</v>
      </c>
      <c r="L42" s="175">
        <f t="shared" si="13"/>
        <v>0</v>
      </c>
      <c r="M42" s="175">
        <f t="shared" si="13"/>
        <v>0</v>
      </c>
      <c r="N42" s="175">
        <f t="shared" si="13"/>
        <v>0</v>
      </c>
      <c r="O42" s="175">
        <f t="shared" si="13"/>
        <v>0</v>
      </c>
      <c r="P42" s="175">
        <f t="shared" si="13"/>
        <v>0</v>
      </c>
      <c r="Q42" s="175">
        <f t="shared" si="13"/>
        <v>0</v>
      </c>
      <c r="R42" s="175">
        <f t="shared" si="13"/>
        <v>1058087.8</v>
      </c>
      <c r="S42" s="179">
        <f t="shared" si="13"/>
        <v>1058087.8</v>
      </c>
      <c r="T42" s="179">
        <f t="shared" si="13"/>
        <v>0</v>
      </c>
      <c r="U42" s="172"/>
    </row>
    <row r="43" spans="1:21" s="173" customFormat="1">
      <c r="A43" s="178" t="s">
        <v>1754</v>
      </c>
      <c r="B43" s="175">
        <f>SUM(C43:D43)</f>
        <v>335000</v>
      </c>
      <c r="C43" s="176">
        <f>[1]EVERYTHING!$C$61</f>
        <v>335000</v>
      </c>
      <c r="D43" s="176"/>
      <c r="E43" s="176">
        <f>C43-SUM(F43:O43)</f>
        <v>335000</v>
      </c>
      <c r="F43" s="176">
        <v>0</v>
      </c>
      <c r="G43" s="176"/>
      <c r="H43" s="176"/>
      <c r="I43" s="176"/>
      <c r="J43" s="176"/>
      <c r="K43" s="176"/>
      <c r="L43" s="176"/>
      <c r="M43" s="176"/>
      <c r="N43" s="176"/>
      <c r="O43" s="176"/>
      <c r="P43" s="176"/>
      <c r="Q43" s="176"/>
      <c r="R43" s="176">
        <f>SUM(E43:Q43)</f>
        <v>335000</v>
      </c>
      <c r="S43" s="176">
        <f>R43</f>
        <v>335000</v>
      </c>
      <c r="T43" s="176"/>
      <c r="U43" s="172"/>
    </row>
    <row r="44" spans="1:21" s="173" customFormat="1">
      <c r="A44" s="170" t="s">
        <v>1755</v>
      </c>
      <c r="B44" s="171"/>
      <c r="C44" s="171"/>
      <c r="D44" s="171"/>
      <c r="E44" s="180"/>
      <c r="F44" s="180"/>
      <c r="G44" s="180"/>
      <c r="H44" s="180"/>
      <c r="I44" s="180"/>
      <c r="J44" s="180"/>
      <c r="K44" s="180"/>
      <c r="L44" s="180"/>
      <c r="M44" s="180"/>
      <c r="N44" s="180"/>
      <c r="O44" s="180"/>
      <c r="P44" s="180"/>
      <c r="Q44" s="180"/>
      <c r="R44" s="180"/>
      <c r="S44" s="171"/>
      <c r="T44" s="171"/>
      <c r="U44" s="172"/>
    </row>
    <row r="45" spans="1:21" s="173" customFormat="1">
      <c r="A45" s="174" t="s">
        <v>1756</v>
      </c>
      <c r="B45" s="175">
        <f t="shared" ref="B45:B52" si="14">SUM(C45+D45)</f>
        <v>2397937.1566535127</v>
      </c>
      <c r="C45" s="176">
        <f>[1]EVERYTHING!$C$63</f>
        <v>2397937.1566535127</v>
      </c>
      <c r="D45" s="176"/>
      <c r="E45" s="176">
        <f>C45-SUM(F45:O45)</f>
        <v>2397937.1566535127</v>
      </c>
      <c r="F45" s="176"/>
      <c r="G45" s="176"/>
      <c r="H45" s="176"/>
      <c r="I45" s="176"/>
      <c r="J45" s="176"/>
      <c r="K45" s="176"/>
      <c r="L45" s="176"/>
      <c r="M45" s="176"/>
      <c r="N45" s="176"/>
      <c r="O45" s="176"/>
      <c r="P45" s="176"/>
      <c r="Q45" s="176"/>
      <c r="R45" s="176">
        <f t="shared" ref="R45:R52" si="15">SUM(E45:Q45)</f>
        <v>2397937.1566535127</v>
      </c>
      <c r="S45" s="176">
        <f>[1]EVERYTHING!$D$63</f>
        <v>1278899.8168818734</v>
      </c>
      <c r="T45" s="176"/>
      <c r="U45" s="172"/>
    </row>
    <row r="46" spans="1:21" s="173" customFormat="1">
      <c r="A46" s="174" t="s">
        <v>1757</v>
      </c>
      <c r="B46" s="175">
        <f t="shared" si="14"/>
        <v>191834.97253228101</v>
      </c>
      <c r="C46" s="176">
        <f>[1]EVERYTHING!$C$66</f>
        <v>191834.97253228101</v>
      </c>
      <c r="D46" s="176"/>
      <c r="E46" s="176">
        <f t="shared" ref="E46:E52" si="16">C46-SUM(F46:O46)</f>
        <v>191834.97253228101</v>
      </c>
      <c r="F46" s="176"/>
      <c r="G46" s="176"/>
      <c r="H46" s="176"/>
      <c r="I46" s="176"/>
      <c r="J46" s="176"/>
      <c r="K46" s="176"/>
      <c r="L46" s="176"/>
      <c r="M46" s="176"/>
      <c r="N46" s="176"/>
      <c r="O46" s="176"/>
      <c r="P46" s="176"/>
      <c r="Q46" s="176"/>
      <c r="R46" s="176">
        <f t="shared" si="15"/>
        <v>191834.97253228101</v>
      </c>
      <c r="S46" s="176">
        <f t="shared" ref="S46:S52" si="17">R46</f>
        <v>191834.97253228101</v>
      </c>
      <c r="T46" s="176"/>
      <c r="U46" s="172"/>
    </row>
    <row r="47" spans="1:21" s="173" customFormat="1" ht="12" customHeight="1">
      <c r="A47" s="174" t="s">
        <v>1758</v>
      </c>
      <c r="B47" s="175">
        <f t="shared" si="14"/>
        <v>0</v>
      </c>
      <c r="C47" s="176"/>
      <c r="D47" s="176"/>
      <c r="E47" s="176">
        <f t="shared" si="16"/>
        <v>0</v>
      </c>
      <c r="F47" s="176"/>
      <c r="G47" s="176"/>
      <c r="H47" s="176"/>
      <c r="I47" s="176"/>
      <c r="J47" s="176"/>
      <c r="K47" s="176"/>
      <c r="L47" s="176"/>
      <c r="M47" s="176"/>
      <c r="N47" s="176"/>
      <c r="O47" s="176"/>
      <c r="P47" s="176"/>
      <c r="Q47" s="176"/>
      <c r="R47" s="176">
        <f t="shared" si="15"/>
        <v>0</v>
      </c>
      <c r="S47" s="176">
        <f t="shared" si="17"/>
        <v>0</v>
      </c>
      <c r="T47" s="176"/>
      <c r="U47" s="172"/>
    </row>
    <row r="48" spans="1:21" s="173" customFormat="1">
      <c r="A48" s="174" t="s">
        <v>1759</v>
      </c>
      <c r="B48" s="175">
        <f t="shared" si="14"/>
        <v>0</v>
      </c>
      <c r="C48" s="176"/>
      <c r="D48" s="176"/>
      <c r="E48" s="176">
        <f t="shared" si="16"/>
        <v>0</v>
      </c>
      <c r="F48" s="176"/>
      <c r="G48" s="176"/>
      <c r="H48" s="176"/>
      <c r="I48" s="176"/>
      <c r="J48" s="176"/>
      <c r="K48" s="176"/>
      <c r="L48" s="176"/>
      <c r="M48" s="176"/>
      <c r="N48" s="176"/>
      <c r="O48" s="176"/>
      <c r="P48" s="176"/>
      <c r="Q48" s="176"/>
      <c r="R48" s="176">
        <f t="shared" si="15"/>
        <v>0</v>
      </c>
      <c r="S48" s="176">
        <f t="shared" si="17"/>
        <v>0</v>
      </c>
      <c r="T48" s="176"/>
      <c r="U48" s="172"/>
    </row>
    <row r="49" spans="1:21" s="173" customFormat="1">
      <c r="A49" s="174" t="s">
        <v>1760</v>
      </c>
      <c r="B49" s="175">
        <f t="shared" si="14"/>
        <v>80000</v>
      </c>
      <c r="C49" s="176">
        <f>[1]EVERYTHING!$C$72</f>
        <v>80000</v>
      </c>
      <c r="D49" s="176"/>
      <c r="E49" s="176">
        <f t="shared" si="16"/>
        <v>80000</v>
      </c>
      <c r="F49" s="176"/>
      <c r="G49" s="176"/>
      <c r="H49" s="176"/>
      <c r="I49" s="176"/>
      <c r="J49" s="176"/>
      <c r="K49" s="176"/>
      <c r="L49" s="176"/>
      <c r="M49" s="176"/>
      <c r="N49" s="176"/>
      <c r="O49" s="176"/>
      <c r="P49" s="176"/>
      <c r="Q49" s="176"/>
      <c r="R49" s="176">
        <f t="shared" si="15"/>
        <v>80000</v>
      </c>
      <c r="S49" s="176">
        <f t="shared" si="17"/>
        <v>80000</v>
      </c>
      <c r="T49" s="176"/>
      <c r="U49" s="172"/>
    </row>
    <row r="50" spans="1:21" s="173" customFormat="1">
      <c r="A50" s="174" t="s">
        <v>1761</v>
      </c>
      <c r="B50" s="175">
        <f t="shared" si="14"/>
        <v>300000</v>
      </c>
      <c r="C50" s="176">
        <f>[1]EVERYTHING!$C$70</f>
        <v>300000</v>
      </c>
      <c r="D50" s="176"/>
      <c r="E50" s="176">
        <f t="shared" si="16"/>
        <v>300000</v>
      </c>
      <c r="F50" s="176"/>
      <c r="G50" s="176"/>
      <c r="H50" s="176"/>
      <c r="I50" s="176"/>
      <c r="J50" s="176"/>
      <c r="K50" s="176"/>
      <c r="L50" s="176"/>
      <c r="M50" s="176"/>
      <c r="N50" s="176"/>
      <c r="O50" s="176"/>
      <c r="P50" s="176"/>
      <c r="Q50" s="176"/>
      <c r="R50" s="176">
        <f t="shared" si="15"/>
        <v>300000</v>
      </c>
      <c r="S50" s="176">
        <f t="shared" si="17"/>
        <v>300000</v>
      </c>
      <c r="T50" s="176"/>
      <c r="U50" s="172"/>
    </row>
    <row r="51" spans="1:21" s="173" customFormat="1">
      <c r="A51" s="174" t="s">
        <v>1762</v>
      </c>
      <c r="B51" s="175">
        <f t="shared" si="14"/>
        <v>950000</v>
      </c>
      <c r="C51" s="176">
        <f>[1]EVERYTHING!$C$71</f>
        <v>950000</v>
      </c>
      <c r="D51" s="176"/>
      <c r="E51" s="176">
        <f t="shared" si="16"/>
        <v>950000</v>
      </c>
      <c r="F51" s="176"/>
      <c r="G51" s="176"/>
      <c r="H51" s="176"/>
      <c r="I51" s="176"/>
      <c r="J51" s="176"/>
      <c r="K51" s="176"/>
      <c r="L51" s="176"/>
      <c r="M51" s="176"/>
      <c r="N51" s="176"/>
      <c r="O51" s="176"/>
      <c r="P51" s="176"/>
      <c r="Q51" s="176"/>
      <c r="R51" s="176">
        <f t="shared" si="15"/>
        <v>950000</v>
      </c>
      <c r="S51" s="176">
        <f t="shared" si="17"/>
        <v>950000</v>
      </c>
      <c r="T51" s="176"/>
      <c r="U51" s="172"/>
    </row>
    <row r="52" spans="1:21" s="173" customFormat="1">
      <c r="A52" s="181" t="s">
        <v>1763</v>
      </c>
      <c r="B52" s="175">
        <f t="shared" si="14"/>
        <v>35000</v>
      </c>
      <c r="C52" s="176">
        <f>[1]EVERYTHING!$C$69</f>
        <v>35000</v>
      </c>
      <c r="D52" s="176"/>
      <c r="E52" s="176">
        <f t="shared" si="16"/>
        <v>35000</v>
      </c>
      <c r="F52" s="176"/>
      <c r="G52" s="176"/>
      <c r="H52" s="176"/>
      <c r="I52" s="176"/>
      <c r="J52" s="176"/>
      <c r="K52" s="176"/>
      <c r="L52" s="176"/>
      <c r="M52" s="176"/>
      <c r="N52" s="176"/>
      <c r="O52" s="176"/>
      <c r="P52" s="176"/>
      <c r="Q52" s="176"/>
      <c r="R52" s="176">
        <f t="shared" si="15"/>
        <v>35000</v>
      </c>
      <c r="S52" s="176">
        <f t="shared" si="17"/>
        <v>35000</v>
      </c>
      <c r="T52" s="176"/>
      <c r="U52" s="172"/>
    </row>
    <row r="53" spans="1:21" s="183" customFormat="1">
      <c r="A53" s="178" t="s">
        <v>1764</v>
      </c>
      <c r="B53" s="179">
        <f>SUM(C53:D53)</f>
        <v>3954772.1291857939</v>
      </c>
      <c r="C53" s="179">
        <f t="shared" ref="C53:T53" si="18">SUM(C45:C52)</f>
        <v>3954772.1291857939</v>
      </c>
      <c r="D53" s="179">
        <f t="shared" si="18"/>
        <v>0</v>
      </c>
      <c r="E53" s="179">
        <f t="shared" si="18"/>
        <v>3954772.1291857939</v>
      </c>
      <c r="F53" s="179">
        <f t="shared" si="18"/>
        <v>0</v>
      </c>
      <c r="G53" s="179">
        <f t="shared" si="18"/>
        <v>0</v>
      </c>
      <c r="H53" s="179">
        <f t="shared" si="18"/>
        <v>0</v>
      </c>
      <c r="I53" s="179">
        <f t="shared" si="18"/>
        <v>0</v>
      </c>
      <c r="J53" s="179">
        <f t="shared" si="18"/>
        <v>0</v>
      </c>
      <c r="K53" s="179">
        <f t="shared" si="18"/>
        <v>0</v>
      </c>
      <c r="L53" s="179">
        <f t="shared" si="18"/>
        <v>0</v>
      </c>
      <c r="M53" s="179">
        <f t="shared" si="18"/>
        <v>0</v>
      </c>
      <c r="N53" s="179">
        <f t="shared" si="18"/>
        <v>0</v>
      </c>
      <c r="O53" s="179">
        <f t="shared" si="18"/>
        <v>0</v>
      </c>
      <c r="P53" s="179">
        <f t="shared" si="18"/>
        <v>0</v>
      </c>
      <c r="Q53" s="179">
        <f t="shared" si="18"/>
        <v>0</v>
      </c>
      <c r="R53" s="175">
        <f t="shared" si="18"/>
        <v>3954772.1291857939</v>
      </c>
      <c r="S53" s="179">
        <f t="shared" si="18"/>
        <v>2835734.7894141544</v>
      </c>
      <c r="T53" s="179">
        <f t="shared" si="18"/>
        <v>0</v>
      </c>
      <c r="U53" s="182"/>
    </row>
    <row r="54" spans="1:21" s="173" customFormat="1">
      <c r="A54" s="170" t="s">
        <v>1326</v>
      </c>
      <c r="B54" s="171"/>
      <c r="C54" s="171"/>
      <c r="D54" s="171"/>
      <c r="E54" s="180"/>
      <c r="F54" s="180"/>
      <c r="G54" s="180"/>
      <c r="H54" s="180"/>
      <c r="I54" s="180"/>
      <c r="J54" s="180"/>
      <c r="K54" s="180"/>
      <c r="L54" s="180"/>
      <c r="M54" s="180"/>
      <c r="N54" s="180"/>
      <c r="O54" s="180"/>
      <c r="P54" s="180"/>
      <c r="Q54" s="180"/>
      <c r="R54" s="180"/>
      <c r="S54" s="171"/>
      <c r="T54" s="171"/>
      <c r="U54" s="172"/>
    </row>
    <row r="55" spans="1:21" s="173" customFormat="1">
      <c r="A55" s="174" t="s">
        <v>1765</v>
      </c>
      <c r="B55" s="175">
        <f t="shared" ref="B55:B60" si="19">SUM(C55+D55)</f>
        <v>45280</v>
      </c>
      <c r="C55" s="176">
        <f>[1]EVERYTHING!$C$75</f>
        <v>45280</v>
      </c>
      <c r="D55" s="176"/>
      <c r="E55" s="176">
        <f>C55-SUM(F55:O55)</f>
        <v>45280</v>
      </c>
      <c r="F55" s="176"/>
      <c r="G55" s="176"/>
      <c r="H55" s="176"/>
      <c r="I55" s="176"/>
      <c r="J55" s="176"/>
      <c r="K55" s="176"/>
      <c r="L55" s="176"/>
      <c r="M55" s="176"/>
      <c r="N55" s="176"/>
      <c r="O55" s="176"/>
      <c r="P55" s="176"/>
      <c r="Q55" s="176"/>
      <c r="R55" s="176">
        <f t="shared" ref="R55:R60" si="20">SUM(E55:Q55)</f>
        <v>45280</v>
      </c>
      <c r="S55" s="177"/>
      <c r="T55" s="177"/>
      <c r="U55" s="172"/>
    </row>
    <row r="56" spans="1:21" s="173" customFormat="1" ht="12" customHeight="1">
      <c r="A56" s="174" t="s">
        <v>1758</v>
      </c>
      <c r="B56" s="175">
        <f t="shared" si="19"/>
        <v>0</v>
      </c>
      <c r="C56" s="176"/>
      <c r="D56" s="176"/>
      <c r="E56" s="176">
        <f t="shared" ref="E56:E60" si="21">C56-SUM(F56:O56)</f>
        <v>0</v>
      </c>
      <c r="F56" s="176"/>
      <c r="G56" s="176"/>
      <c r="H56" s="176"/>
      <c r="I56" s="176"/>
      <c r="J56" s="176"/>
      <c r="K56" s="176"/>
      <c r="L56" s="176"/>
      <c r="M56" s="176"/>
      <c r="N56" s="176"/>
      <c r="O56" s="176"/>
      <c r="P56" s="176"/>
      <c r="Q56" s="176"/>
      <c r="R56" s="176">
        <f t="shared" si="20"/>
        <v>0</v>
      </c>
      <c r="S56" s="177"/>
      <c r="T56" s="177"/>
      <c r="U56" s="172"/>
    </row>
    <row r="57" spans="1:21" s="173" customFormat="1">
      <c r="A57" s="174" t="s">
        <v>1760</v>
      </c>
      <c r="B57" s="175">
        <f t="shared" si="19"/>
        <v>25000</v>
      </c>
      <c r="C57" s="176">
        <f>[1]EVERYTHING!$C$76</f>
        <v>25000</v>
      </c>
      <c r="D57" s="176"/>
      <c r="E57" s="176">
        <f t="shared" si="21"/>
        <v>25000</v>
      </c>
      <c r="F57" s="176"/>
      <c r="G57" s="176"/>
      <c r="H57" s="176"/>
      <c r="I57" s="176"/>
      <c r="J57" s="176"/>
      <c r="K57" s="176"/>
      <c r="L57" s="176"/>
      <c r="M57" s="176"/>
      <c r="N57" s="176"/>
      <c r="O57" s="176"/>
      <c r="P57" s="176"/>
      <c r="Q57" s="176"/>
      <c r="R57" s="176">
        <f t="shared" si="20"/>
        <v>25000</v>
      </c>
      <c r="S57" s="177"/>
      <c r="T57" s="177"/>
      <c r="U57" s="172"/>
    </row>
    <row r="58" spans="1:21" s="173" customFormat="1">
      <c r="A58" s="174" t="s">
        <v>1761</v>
      </c>
      <c r="B58" s="175">
        <f t="shared" si="19"/>
        <v>0</v>
      </c>
      <c r="C58" s="176"/>
      <c r="D58" s="176"/>
      <c r="E58" s="176">
        <f t="shared" si="21"/>
        <v>0</v>
      </c>
      <c r="F58" s="176"/>
      <c r="G58" s="176"/>
      <c r="H58" s="176"/>
      <c r="I58" s="176"/>
      <c r="J58" s="176"/>
      <c r="K58" s="176"/>
      <c r="L58" s="176"/>
      <c r="M58" s="176"/>
      <c r="N58" s="176"/>
      <c r="O58" s="176"/>
      <c r="P58" s="176"/>
      <c r="Q58" s="176"/>
      <c r="R58" s="176">
        <f t="shared" si="20"/>
        <v>0</v>
      </c>
      <c r="S58" s="177"/>
      <c r="T58" s="177"/>
      <c r="U58" s="172"/>
    </row>
    <row r="59" spans="1:21" s="173" customFormat="1">
      <c r="A59" s="174" t="s">
        <v>1762</v>
      </c>
      <c r="B59" s="175">
        <f t="shared" si="19"/>
        <v>0</v>
      </c>
      <c r="C59" s="176"/>
      <c r="D59" s="176"/>
      <c r="E59" s="176">
        <f t="shared" si="21"/>
        <v>0</v>
      </c>
      <c r="F59" s="176"/>
      <c r="G59" s="176"/>
      <c r="H59" s="176"/>
      <c r="I59" s="176"/>
      <c r="J59" s="176"/>
      <c r="K59" s="176"/>
      <c r="L59" s="176"/>
      <c r="M59" s="176"/>
      <c r="N59" s="176"/>
      <c r="O59" s="176"/>
      <c r="P59" s="176"/>
      <c r="Q59" s="176"/>
      <c r="R59" s="176">
        <f t="shared" si="20"/>
        <v>0</v>
      </c>
      <c r="S59" s="177"/>
      <c r="T59" s="177"/>
      <c r="U59" s="172"/>
    </row>
    <row r="60" spans="1:21" s="173" customFormat="1">
      <c r="A60" s="181" t="s">
        <v>1766</v>
      </c>
      <c r="B60" s="175">
        <f t="shared" si="19"/>
        <v>25000</v>
      </c>
      <c r="C60" s="176">
        <f>[1]EVERYTHING!$C$77</f>
        <v>25000</v>
      </c>
      <c r="D60" s="176"/>
      <c r="E60" s="176">
        <f t="shared" si="21"/>
        <v>25000</v>
      </c>
      <c r="F60" s="176"/>
      <c r="G60" s="176"/>
      <c r="H60" s="176"/>
      <c r="I60" s="176"/>
      <c r="J60" s="176"/>
      <c r="K60" s="176"/>
      <c r="L60" s="176"/>
      <c r="M60" s="176"/>
      <c r="N60" s="176"/>
      <c r="O60" s="176"/>
      <c r="P60" s="176"/>
      <c r="Q60" s="176"/>
      <c r="R60" s="176">
        <f t="shared" si="20"/>
        <v>25000</v>
      </c>
      <c r="S60" s="177"/>
      <c r="T60" s="177"/>
      <c r="U60" s="172"/>
    </row>
    <row r="61" spans="1:21" s="173" customFormat="1" ht="13.9" customHeight="1">
      <c r="A61" s="178" t="s">
        <v>1767</v>
      </c>
      <c r="B61" s="175">
        <f>SUM(C61:D61)</f>
        <v>95280</v>
      </c>
      <c r="C61" s="175">
        <f t="shared" ref="C61:R61" si="22">SUM(C55:C60)</f>
        <v>95280</v>
      </c>
      <c r="D61" s="175">
        <f t="shared" si="22"/>
        <v>0</v>
      </c>
      <c r="E61" s="175">
        <f t="shared" si="22"/>
        <v>95280</v>
      </c>
      <c r="F61" s="175">
        <f t="shared" si="22"/>
        <v>0</v>
      </c>
      <c r="G61" s="175">
        <f t="shared" si="22"/>
        <v>0</v>
      </c>
      <c r="H61" s="175">
        <f t="shared" si="22"/>
        <v>0</v>
      </c>
      <c r="I61" s="175">
        <f t="shared" si="22"/>
        <v>0</v>
      </c>
      <c r="J61" s="175">
        <f t="shared" si="22"/>
        <v>0</v>
      </c>
      <c r="K61" s="175">
        <f t="shared" si="22"/>
        <v>0</v>
      </c>
      <c r="L61" s="175">
        <f t="shared" si="22"/>
        <v>0</v>
      </c>
      <c r="M61" s="175">
        <f t="shared" si="22"/>
        <v>0</v>
      </c>
      <c r="N61" s="175">
        <f t="shared" si="22"/>
        <v>0</v>
      </c>
      <c r="O61" s="175">
        <f t="shared" si="22"/>
        <v>0</v>
      </c>
      <c r="P61" s="175">
        <f t="shared" si="22"/>
        <v>0</v>
      </c>
      <c r="Q61" s="175">
        <f t="shared" si="22"/>
        <v>0</v>
      </c>
      <c r="R61" s="175">
        <f t="shared" si="22"/>
        <v>95280</v>
      </c>
      <c r="S61" s="177"/>
      <c r="T61" s="177"/>
      <c r="U61" s="172"/>
    </row>
    <row r="62" spans="1:21" s="173" customFormat="1">
      <c r="A62" s="184" t="s">
        <v>1768</v>
      </c>
      <c r="B62" s="175">
        <f>SUM(C62:D62)</f>
        <v>33044511.689784847</v>
      </c>
      <c r="C62" s="175">
        <f t="shared" ref="C62:R62" si="23">SUM(C8+C11+C13+C14+C15+C26+C27+C38+C42+C43+C53+C61)</f>
        <v>33044511.689784847</v>
      </c>
      <c r="D62" s="175">
        <f t="shared" si="23"/>
        <v>0</v>
      </c>
      <c r="E62" s="175">
        <f t="shared" si="23"/>
        <v>14035625.68978484</v>
      </c>
      <c r="F62" s="175">
        <f t="shared" si="23"/>
        <v>4528000</v>
      </c>
      <c r="G62" s="175">
        <f t="shared" si="23"/>
        <v>2650000</v>
      </c>
      <c r="H62" s="175">
        <f t="shared" si="23"/>
        <v>4382047</v>
      </c>
      <c r="I62" s="175">
        <f t="shared" si="23"/>
        <v>1000000</v>
      </c>
      <c r="J62" s="175">
        <f t="shared" si="23"/>
        <v>1421000</v>
      </c>
      <c r="K62" s="175">
        <f t="shared" si="23"/>
        <v>1144947</v>
      </c>
      <c r="L62" s="175">
        <f t="shared" si="23"/>
        <v>349072</v>
      </c>
      <c r="M62" s="175">
        <f t="shared" si="23"/>
        <v>464940</v>
      </c>
      <c r="N62" s="175">
        <f t="shared" si="23"/>
        <v>3068780</v>
      </c>
      <c r="O62" s="175">
        <f t="shared" si="23"/>
        <v>100</v>
      </c>
      <c r="P62" s="175">
        <f t="shared" si="23"/>
        <v>0</v>
      </c>
      <c r="Q62" s="175">
        <f t="shared" si="23"/>
        <v>0</v>
      </c>
      <c r="R62" s="175">
        <f t="shared" si="23"/>
        <v>33044511.689784847</v>
      </c>
      <c r="S62" s="175">
        <f>SUM(S10+S13+S14+S15+S26+S27+S38+S42+S43+S53)</f>
        <v>28994359.210013203</v>
      </c>
      <c r="T62" s="175">
        <f>SUM(T11+T13+T14+T15+T26+T27+T38+T42+T43+T53)</f>
        <v>0</v>
      </c>
      <c r="U62" s="172"/>
    </row>
    <row r="63" spans="1:21" s="173" customFormat="1" ht="24">
      <c r="A63" s="170" t="s">
        <v>1769</v>
      </c>
      <c r="B63" s="171"/>
      <c r="C63" s="171"/>
      <c r="D63" s="171"/>
      <c r="E63" s="180"/>
      <c r="F63" s="180"/>
      <c r="G63" s="180"/>
      <c r="H63" s="180"/>
      <c r="I63" s="180"/>
      <c r="J63" s="180"/>
      <c r="K63" s="180"/>
      <c r="L63" s="180"/>
      <c r="M63" s="180"/>
      <c r="N63" s="180"/>
      <c r="O63" s="180"/>
      <c r="P63" s="180"/>
      <c r="Q63" s="180"/>
      <c r="R63" s="180"/>
      <c r="S63" s="171"/>
      <c r="T63" s="171"/>
      <c r="U63" s="172"/>
    </row>
    <row r="64" spans="1:21" s="173" customFormat="1">
      <c r="A64" s="174" t="s">
        <v>1770</v>
      </c>
      <c r="B64" s="175">
        <f>SUM(C64+D64)</f>
        <v>70000</v>
      </c>
      <c r="C64" s="176">
        <f>[1]EVERYTHING!$C$81</f>
        <v>70000</v>
      </c>
      <c r="D64" s="176"/>
      <c r="E64" s="176">
        <f>C64-SUM(F64:O64)</f>
        <v>70000</v>
      </c>
      <c r="F64" s="176"/>
      <c r="G64" s="176"/>
      <c r="H64" s="176"/>
      <c r="I64" s="176"/>
      <c r="J64" s="176"/>
      <c r="K64" s="176"/>
      <c r="L64" s="176"/>
      <c r="M64" s="176"/>
      <c r="N64" s="176"/>
      <c r="O64" s="176"/>
      <c r="P64" s="176"/>
      <c r="Q64" s="176"/>
      <c r="R64" s="176">
        <f>SUM(E64:Q64)</f>
        <v>70000</v>
      </c>
      <c r="S64" s="176">
        <f>R64</f>
        <v>70000</v>
      </c>
      <c r="T64" s="176"/>
      <c r="U64" s="172"/>
    </row>
    <row r="65" spans="1:21" s="173" customFormat="1" ht="24">
      <c r="A65" s="174" t="s">
        <v>1771</v>
      </c>
      <c r="B65" s="175">
        <f>SUM(C65+D65)</f>
        <v>0</v>
      </c>
      <c r="C65" s="176"/>
      <c r="D65" s="176"/>
      <c r="E65" s="176">
        <f t="shared" ref="E65:E68" si="24">C65-SUM(F65:O65)</f>
        <v>0</v>
      </c>
      <c r="F65" s="176"/>
      <c r="G65" s="176"/>
      <c r="H65" s="176"/>
      <c r="I65" s="176"/>
      <c r="J65" s="176"/>
      <c r="K65" s="176"/>
      <c r="L65" s="176"/>
      <c r="M65" s="176"/>
      <c r="N65" s="176"/>
      <c r="O65" s="176"/>
      <c r="P65" s="176"/>
      <c r="Q65" s="176"/>
      <c r="R65" s="176">
        <f>SUM(E65:Q65)</f>
        <v>0</v>
      </c>
      <c r="S65" s="176">
        <f t="shared" ref="S65:S68" si="25">R65</f>
        <v>0</v>
      </c>
      <c r="T65" s="176"/>
      <c r="U65" s="172"/>
    </row>
    <row r="66" spans="1:21" s="173" customFormat="1" ht="24">
      <c r="A66" s="174" t="s">
        <v>1772</v>
      </c>
      <c r="B66" s="175">
        <f>SUM(C66+D66)</f>
        <v>0</v>
      </c>
      <c r="C66" s="176"/>
      <c r="D66" s="176"/>
      <c r="E66" s="176">
        <f t="shared" si="24"/>
        <v>0</v>
      </c>
      <c r="F66" s="176"/>
      <c r="G66" s="176"/>
      <c r="H66" s="176"/>
      <c r="I66" s="176"/>
      <c r="J66" s="176"/>
      <c r="K66" s="176"/>
      <c r="L66" s="176"/>
      <c r="M66" s="176"/>
      <c r="N66" s="176"/>
      <c r="O66" s="176"/>
      <c r="P66" s="176"/>
      <c r="Q66" s="176"/>
      <c r="R66" s="176">
        <f>SUM(E66:Q66)</f>
        <v>0</v>
      </c>
      <c r="S66" s="176">
        <f t="shared" si="25"/>
        <v>0</v>
      </c>
      <c r="T66" s="176"/>
      <c r="U66" s="172"/>
    </row>
    <row r="67" spans="1:21" s="173" customFormat="1">
      <c r="A67" s="174" t="s">
        <v>1773</v>
      </c>
      <c r="B67" s="175">
        <f>SUM(C67+D67)</f>
        <v>0</v>
      </c>
      <c r="C67" s="176"/>
      <c r="D67" s="176"/>
      <c r="E67" s="176">
        <f t="shared" si="24"/>
        <v>0</v>
      </c>
      <c r="F67" s="176"/>
      <c r="G67" s="176"/>
      <c r="H67" s="176"/>
      <c r="I67" s="176"/>
      <c r="J67" s="176"/>
      <c r="K67" s="176"/>
      <c r="L67" s="176"/>
      <c r="M67" s="176"/>
      <c r="N67" s="176"/>
      <c r="O67" s="176"/>
      <c r="P67" s="176"/>
      <c r="Q67" s="176"/>
      <c r="R67" s="176">
        <f>SUM(E67:Q67)</f>
        <v>0</v>
      </c>
      <c r="S67" s="176">
        <f t="shared" si="25"/>
        <v>0</v>
      </c>
      <c r="T67" s="176"/>
      <c r="U67" s="172"/>
    </row>
    <row r="68" spans="1:21" s="173" customFormat="1">
      <c r="A68" s="181" t="s">
        <v>1774</v>
      </c>
      <c r="B68" s="175">
        <f>SUM(C68+D68)</f>
        <v>95000</v>
      </c>
      <c r="C68" s="176">
        <f>[1]EVERYTHING!$C$82</f>
        <v>95000</v>
      </c>
      <c r="D68" s="176"/>
      <c r="E68" s="176">
        <f t="shared" si="24"/>
        <v>95000</v>
      </c>
      <c r="F68" s="176"/>
      <c r="G68" s="176"/>
      <c r="H68" s="176"/>
      <c r="I68" s="176"/>
      <c r="J68" s="176"/>
      <c r="K68" s="176"/>
      <c r="L68" s="176"/>
      <c r="M68" s="176"/>
      <c r="N68" s="176"/>
      <c r="O68" s="176"/>
      <c r="P68" s="176"/>
      <c r="Q68" s="176"/>
      <c r="R68" s="176">
        <f>SUM(E68:Q68)</f>
        <v>95000</v>
      </c>
      <c r="S68" s="176">
        <f t="shared" si="25"/>
        <v>95000</v>
      </c>
      <c r="T68" s="176"/>
      <c r="U68" s="172"/>
    </row>
    <row r="69" spans="1:21" s="173" customFormat="1">
      <c r="A69" s="178" t="s">
        <v>1775</v>
      </c>
      <c r="B69" s="175">
        <f>SUM(C69:D69)</f>
        <v>165000</v>
      </c>
      <c r="C69" s="175">
        <f>SUM(C63:C68)</f>
        <v>165000</v>
      </c>
      <c r="D69" s="175">
        <f>SUM(D63:D68)</f>
        <v>0</v>
      </c>
      <c r="E69" s="175">
        <f t="shared" ref="E69:T69" si="26">SUM(E64:E68)</f>
        <v>165000</v>
      </c>
      <c r="F69" s="175">
        <f t="shared" si="26"/>
        <v>0</v>
      </c>
      <c r="G69" s="175">
        <f t="shared" si="26"/>
        <v>0</v>
      </c>
      <c r="H69" s="175">
        <f t="shared" si="26"/>
        <v>0</v>
      </c>
      <c r="I69" s="175">
        <f t="shared" si="26"/>
        <v>0</v>
      </c>
      <c r="J69" s="175">
        <f t="shared" si="26"/>
        <v>0</v>
      </c>
      <c r="K69" s="175">
        <f t="shared" si="26"/>
        <v>0</v>
      </c>
      <c r="L69" s="175">
        <f t="shared" si="26"/>
        <v>0</v>
      </c>
      <c r="M69" s="175">
        <f t="shared" si="26"/>
        <v>0</v>
      </c>
      <c r="N69" s="175">
        <f t="shared" si="26"/>
        <v>0</v>
      </c>
      <c r="O69" s="175">
        <f t="shared" si="26"/>
        <v>0</v>
      </c>
      <c r="P69" s="175">
        <f t="shared" si="26"/>
        <v>0</v>
      </c>
      <c r="Q69" s="175">
        <f t="shared" si="26"/>
        <v>0</v>
      </c>
      <c r="R69" s="175">
        <f t="shared" si="26"/>
        <v>165000</v>
      </c>
      <c r="S69" s="179">
        <f t="shared" si="26"/>
        <v>165000</v>
      </c>
      <c r="T69" s="179">
        <f t="shared" si="26"/>
        <v>0</v>
      </c>
      <c r="U69" s="172"/>
    </row>
    <row r="70" spans="1:21" s="173" customFormat="1">
      <c r="A70" s="170" t="s">
        <v>1776</v>
      </c>
      <c r="B70" s="180"/>
      <c r="C70" s="180"/>
      <c r="D70" s="180"/>
      <c r="E70" s="180"/>
      <c r="F70" s="180"/>
      <c r="G70" s="180"/>
      <c r="H70" s="180"/>
      <c r="I70" s="180"/>
      <c r="J70" s="180"/>
      <c r="K70" s="180"/>
      <c r="L70" s="180"/>
      <c r="M70" s="180"/>
      <c r="N70" s="180"/>
      <c r="O70" s="180"/>
      <c r="P70" s="180"/>
      <c r="Q70" s="180"/>
      <c r="R70" s="180"/>
      <c r="S70" s="180"/>
      <c r="T70" s="180"/>
      <c r="U70" s="172"/>
    </row>
    <row r="71" spans="1:21" s="173" customFormat="1">
      <c r="A71" s="174" t="s">
        <v>1777</v>
      </c>
      <c r="B71" s="175">
        <f>SUM(C71+D71)</f>
        <v>0</v>
      </c>
      <c r="C71" s="176"/>
      <c r="D71" s="176"/>
      <c r="E71" s="176">
        <f>C71-SUM(F71:O71)</f>
        <v>0</v>
      </c>
      <c r="F71" s="176"/>
      <c r="G71" s="176"/>
      <c r="H71" s="176"/>
      <c r="I71" s="176"/>
      <c r="J71" s="176"/>
      <c r="K71" s="176"/>
      <c r="L71" s="176"/>
      <c r="M71" s="176"/>
      <c r="N71" s="176"/>
      <c r="O71" s="176"/>
      <c r="P71" s="176"/>
      <c r="Q71" s="176"/>
      <c r="R71" s="176">
        <f>SUM(E71:Q71)</f>
        <v>0</v>
      </c>
      <c r="S71" s="177"/>
      <c r="T71" s="177"/>
      <c r="U71" s="172"/>
    </row>
    <row r="72" spans="1:21" s="173" customFormat="1">
      <c r="A72" s="174" t="s">
        <v>1778</v>
      </c>
      <c r="B72" s="175">
        <f>SUM(C72+D72)</f>
        <v>0</v>
      </c>
      <c r="C72" s="176"/>
      <c r="D72" s="176"/>
      <c r="E72" s="176">
        <f t="shared" ref="E72:E75" si="27">C72-SUM(F72:O72)</f>
        <v>0</v>
      </c>
      <c r="F72" s="176"/>
      <c r="G72" s="176"/>
      <c r="H72" s="176"/>
      <c r="I72" s="176"/>
      <c r="J72" s="176"/>
      <c r="K72" s="176"/>
      <c r="L72" s="176"/>
      <c r="M72" s="176"/>
      <c r="N72" s="176"/>
      <c r="O72" s="176"/>
      <c r="P72" s="176"/>
      <c r="Q72" s="176"/>
      <c r="R72" s="176">
        <f>SUM(E72:Q72)</f>
        <v>0</v>
      </c>
      <c r="S72" s="177"/>
      <c r="T72" s="177"/>
      <c r="U72" s="172"/>
    </row>
    <row r="73" spans="1:21" s="173" customFormat="1">
      <c r="A73" s="330" t="s">
        <v>1779</v>
      </c>
      <c r="B73" s="175">
        <f>SUM(C73+D73)</f>
        <v>0</v>
      </c>
      <c r="C73" s="176"/>
      <c r="D73" s="176"/>
      <c r="E73" s="176">
        <f t="shared" si="27"/>
        <v>0</v>
      </c>
      <c r="F73" s="176"/>
      <c r="G73" s="176"/>
      <c r="H73" s="176"/>
      <c r="I73" s="176"/>
      <c r="J73" s="176"/>
      <c r="K73" s="176"/>
      <c r="L73" s="176"/>
      <c r="M73" s="176"/>
      <c r="N73" s="176"/>
      <c r="O73" s="176"/>
      <c r="P73" s="176"/>
      <c r="Q73" s="176"/>
      <c r="R73" s="176">
        <f>SUM(E73:Q73)</f>
        <v>0</v>
      </c>
      <c r="S73" s="177"/>
      <c r="T73" s="177"/>
      <c r="U73" s="172"/>
    </row>
    <row r="74" spans="1:21" s="173" customFormat="1">
      <c r="A74" s="174" t="s">
        <v>1780</v>
      </c>
      <c r="B74" s="175">
        <f>SUM(C74+D74)</f>
        <v>483675.61359438853</v>
      </c>
      <c r="C74" s="176">
        <f>[1]EVERYTHING!$C$85</f>
        <v>483675.61359438853</v>
      </c>
      <c r="D74" s="176"/>
      <c r="E74" s="176">
        <f t="shared" si="27"/>
        <v>483675.61359438853</v>
      </c>
      <c r="F74" s="176"/>
      <c r="G74" s="176"/>
      <c r="H74" s="176"/>
      <c r="I74" s="176"/>
      <c r="J74" s="176"/>
      <c r="K74" s="176"/>
      <c r="L74" s="176"/>
      <c r="M74" s="176"/>
      <c r="N74" s="176"/>
      <c r="O74" s="176"/>
      <c r="P74" s="176"/>
      <c r="Q74" s="176"/>
      <c r="R74" s="176">
        <f>SUM(E74:Q74)</f>
        <v>483675.61359438853</v>
      </c>
      <c r="S74" s="177"/>
      <c r="T74" s="177"/>
      <c r="U74" s="172"/>
    </row>
    <row r="75" spans="1:21" s="173" customFormat="1">
      <c r="A75" s="181" t="s">
        <v>1744</v>
      </c>
      <c r="B75" s="175">
        <f>SUM(C75+D75)</f>
        <v>0</v>
      </c>
      <c r="C75" s="176"/>
      <c r="D75" s="176"/>
      <c r="E75" s="176">
        <f t="shared" si="27"/>
        <v>0</v>
      </c>
      <c r="F75" s="176"/>
      <c r="G75" s="176"/>
      <c r="H75" s="176"/>
      <c r="I75" s="176"/>
      <c r="J75" s="176"/>
      <c r="K75" s="176"/>
      <c r="L75" s="176"/>
      <c r="M75" s="176"/>
      <c r="N75" s="176"/>
      <c r="O75" s="176"/>
      <c r="P75" s="176"/>
      <c r="Q75" s="176"/>
      <c r="R75" s="176">
        <f>SUM(E75:Q75)</f>
        <v>0</v>
      </c>
      <c r="S75" s="177"/>
      <c r="T75" s="177"/>
      <c r="U75" s="172"/>
    </row>
    <row r="76" spans="1:21" s="173" customFormat="1">
      <c r="A76" s="178" t="s">
        <v>1781</v>
      </c>
      <c r="B76" s="175">
        <f>SUM(C76:D76)</f>
        <v>483675.61359438853</v>
      </c>
      <c r="C76" s="175">
        <f t="shared" ref="C76:Q76" si="28">SUM(C71:C75)</f>
        <v>483675.61359438853</v>
      </c>
      <c r="D76" s="175">
        <f t="shared" si="28"/>
        <v>0</v>
      </c>
      <c r="E76" s="175">
        <f>SUM(E71:E75)</f>
        <v>483675.61359438853</v>
      </c>
      <c r="F76" s="175">
        <f>SUM(F71:F75)</f>
        <v>0</v>
      </c>
      <c r="G76" s="175">
        <f>SUM(G71:G75)</f>
        <v>0</v>
      </c>
      <c r="H76" s="175">
        <f t="shared" si="28"/>
        <v>0</v>
      </c>
      <c r="I76" s="175">
        <f t="shared" si="28"/>
        <v>0</v>
      </c>
      <c r="J76" s="175">
        <f t="shared" si="28"/>
        <v>0</v>
      </c>
      <c r="K76" s="175">
        <f t="shared" si="28"/>
        <v>0</v>
      </c>
      <c r="L76" s="175">
        <f t="shared" si="28"/>
        <v>0</v>
      </c>
      <c r="M76" s="175">
        <f t="shared" si="28"/>
        <v>0</v>
      </c>
      <c r="N76" s="175">
        <f t="shared" si="28"/>
        <v>0</v>
      </c>
      <c r="O76" s="175">
        <f t="shared" si="28"/>
        <v>0</v>
      </c>
      <c r="P76" s="175">
        <f t="shared" si="28"/>
        <v>0</v>
      </c>
      <c r="Q76" s="175">
        <f t="shared" si="28"/>
        <v>0</v>
      </c>
      <c r="R76" s="175">
        <f>SUM(R71:R75)</f>
        <v>483675.61359438853</v>
      </c>
      <c r="S76" s="177"/>
      <c r="T76" s="177"/>
      <c r="U76" s="172"/>
    </row>
    <row r="77" spans="1:21" s="173" customFormat="1" ht="11.85" customHeight="1">
      <c r="A77" s="170" t="s">
        <v>1782</v>
      </c>
      <c r="B77" s="180"/>
      <c r="C77" s="180"/>
      <c r="D77" s="180"/>
      <c r="E77" s="180"/>
      <c r="F77" s="180"/>
      <c r="G77" s="180"/>
      <c r="H77" s="180"/>
      <c r="I77" s="180"/>
      <c r="J77" s="180"/>
      <c r="K77" s="180"/>
      <c r="L77" s="180"/>
      <c r="M77" s="180"/>
      <c r="N77" s="180"/>
      <c r="O77" s="180"/>
      <c r="P77" s="180"/>
      <c r="Q77" s="180"/>
      <c r="R77" s="180"/>
      <c r="S77" s="180"/>
      <c r="T77" s="180"/>
      <c r="U77" s="172"/>
    </row>
    <row r="78" spans="1:21" s="173" customFormat="1">
      <c r="A78" s="174" t="s">
        <v>1783</v>
      </c>
      <c r="B78" s="175">
        <f>SUM(C78+D78)</f>
        <v>1227202.0810299523</v>
      </c>
      <c r="C78" s="176">
        <f>[1]EVERYTHING!$C$91</f>
        <v>1227202.0810299523</v>
      </c>
      <c r="D78" s="176"/>
      <c r="E78" s="176">
        <f>C78-SUM(F78:O78)</f>
        <v>1227202.0810299523</v>
      </c>
      <c r="F78" s="176"/>
      <c r="G78" s="176"/>
      <c r="H78" s="176"/>
      <c r="I78" s="176"/>
      <c r="J78" s="176"/>
      <c r="K78" s="176"/>
      <c r="L78" s="176"/>
      <c r="M78" s="176"/>
      <c r="N78" s="176"/>
      <c r="O78" s="176"/>
      <c r="P78" s="176"/>
      <c r="Q78" s="176"/>
      <c r="R78" s="176">
        <f>SUM(E78:Q78)</f>
        <v>1227202.0810299523</v>
      </c>
      <c r="S78" s="176">
        <f>R78</f>
        <v>1227202.0810299523</v>
      </c>
      <c r="T78" s="176"/>
      <c r="U78" s="172"/>
    </row>
    <row r="79" spans="1:21" s="173" customFormat="1">
      <c r="A79" s="174" t="s">
        <v>1784</v>
      </c>
      <c r="B79" s="175">
        <f>SUM(C79+D79)</f>
        <v>677231.1237639999</v>
      </c>
      <c r="C79" s="176">
        <f>[1]EVERYTHING!$C$104</f>
        <v>677231.1237639999</v>
      </c>
      <c r="D79" s="176"/>
      <c r="E79" s="176">
        <f>C79-SUM(F79:O79)</f>
        <v>677231.1237639999</v>
      </c>
      <c r="F79" s="176"/>
      <c r="G79" s="176"/>
      <c r="H79" s="176"/>
      <c r="I79" s="176"/>
      <c r="J79" s="176"/>
      <c r="K79" s="176"/>
      <c r="L79" s="176"/>
      <c r="M79" s="176"/>
      <c r="N79" s="176"/>
      <c r="O79" s="176"/>
      <c r="P79" s="176"/>
      <c r="Q79" s="176"/>
      <c r="R79" s="176">
        <f>SUM(E79:Q79)</f>
        <v>677231.1237639999</v>
      </c>
      <c r="S79" s="176">
        <f>R79</f>
        <v>677231.1237639999</v>
      </c>
      <c r="T79" s="176"/>
      <c r="U79" s="172"/>
    </row>
    <row r="80" spans="1:21" s="173" customFormat="1">
      <c r="A80" s="178" t="s">
        <v>1785</v>
      </c>
      <c r="B80" s="175">
        <f>SUM(C80:D80)</f>
        <v>1904433.2047939522</v>
      </c>
      <c r="C80" s="505">
        <f>SUM(C78:C79)</f>
        <v>1904433.2047939522</v>
      </c>
      <c r="D80" s="505">
        <f t="shared" ref="D80:R80" si="29">SUM(D78:D79)</f>
        <v>0</v>
      </c>
      <c r="E80" s="505">
        <f t="shared" si="29"/>
        <v>1904433.2047939522</v>
      </c>
      <c r="F80" s="505">
        <f t="shared" si="29"/>
        <v>0</v>
      </c>
      <c r="G80" s="505">
        <f t="shared" si="29"/>
        <v>0</v>
      </c>
      <c r="H80" s="505">
        <f t="shared" si="29"/>
        <v>0</v>
      </c>
      <c r="I80" s="505">
        <f t="shared" si="29"/>
        <v>0</v>
      </c>
      <c r="J80" s="505">
        <f t="shared" si="29"/>
        <v>0</v>
      </c>
      <c r="K80" s="505">
        <f t="shared" si="29"/>
        <v>0</v>
      </c>
      <c r="L80" s="505">
        <f t="shared" si="29"/>
        <v>0</v>
      </c>
      <c r="M80" s="505">
        <f t="shared" si="29"/>
        <v>0</v>
      </c>
      <c r="N80" s="505">
        <f t="shared" si="29"/>
        <v>0</v>
      </c>
      <c r="O80" s="505">
        <f t="shared" si="29"/>
        <v>0</v>
      </c>
      <c r="P80" s="505">
        <f t="shared" si="29"/>
        <v>0</v>
      </c>
      <c r="Q80" s="505">
        <f t="shared" si="29"/>
        <v>0</v>
      </c>
      <c r="R80" s="505">
        <f t="shared" si="29"/>
        <v>1904433.2047939522</v>
      </c>
      <c r="S80" s="505">
        <f>SUM(S78:S79)</f>
        <v>1904433.2047939522</v>
      </c>
      <c r="T80" s="505">
        <f>SUM(T78:T79)</f>
        <v>0</v>
      </c>
      <c r="U80" s="172"/>
    </row>
    <row r="81" spans="1:21" s="173" customFormat="1">
      <c r="A81" s="170" t="s">
        <v>1786</v>
      </c>
      <c r="B81" s="180"/>
      <c r="C81" s="180"/>
      <c r="D81" s="180"/>
      <c r="E81" s="180"/>
      <c r="F81" s="180"/>
      <c r="G81" s="180"/>
      <c r="H81" s="180"/>
      <c r="I81" s="180"/>
      <c r="J81" s="180"/>
      <c r="K81" s="180"/>
      <c r="L81" s="180"/>
      <c r="M81" s="180"/>
      <c r="N81" s="180"/>
      <c r="O81" s="180"/>
      <c r="P81" s="180"/>
      <c r="Q81" s="180"/>
      <c r="R81" s="180"/>
      <c r="S81" s="180"/>
      <c r="T81" s="180"/>
      <c r="U81" s="172"/>
    </row>
    <row r="82" spans="1:21" s="173" customFormat="1" ht="13.9" customHeight="1">
      <c r="A82" s="174" t="s">
        <v>1787</v>
      </c>
      <c r="B82" s="175">
        <f>SUM(C82+D82)</f>
        <v>116273.24764</v>
      </c>
      <c r="C82" s="176">
        <f>[1]EVERYTHING!$C$93</f>
        <v>116273.24764</v>
      </c>
      <c r="D82" s="176"/>
      <c r="E82" s="176">
        <f>C82-SUM(F82:Q82)</f>
        <v>116273.24764</v>
      </c>
      <c r="F82" s="176"/>
      <c r="G82" s="176"/>
      <c r="H82" s="176"/>
      <c r="I82" s="176"/>
      <c r="J82" s="176"/>
      <c r="K82" s="176"/>
      <c r="L82" s="176"/>
      <c r="M82" s="176"/>
      <c r="N82" s="176"/>
      <c r="O82" s="176"/>
      <c r="P82" s="176"/>
      <c r="Q82" s="176"/>
      <c r="R82" s="176">
        <f>SUM(E82:Q82)</f>
        <v>116273.24764</v>
      </c>
      <c r="S82" s="177"/>
      <c r="T82" s="177"/>
      <c r="U82" s="172"/>
    </row>
    <row r="83" spans="1:21" s="173" customFormat="1">
      <c r="A83" s="174" t="s">
        <v>1788</v>
      </c>
      <c r="B83" s="175">
        <f t="shared" ref="B83:B93" si="30">SUM(C83+D83)</f>
        <v>93070</v>
      </c>
      <c r="C83" s="176">
        <f>[1]EVERYTHING!$C$101+[1]EVERYTHING!$C$102</f>
        <v>93070</v>
      </c>
      <c r="D83" s="176"/>
      <c r="E83" s="176">
        <f t="shared" ref="E83:E94" si="31">C83-SUM(F83:O83)</f>
        <v>93070</v>
      </c>
      <c r="F83" s="176"/>
      <c r="G83" s="176"/>
      <c r="H83" s="176"/>
      <c r="I83" s="176"/>
      <c r="J83" s="176"/>
      <c r="K83" s="176"/>
      <c r="L83" s="176"/>
      <c r="M83" s="176"/>
      <c r="N83" s="176"/>
      <c r="O83" s="176"/>
      <c r="P83" s="176"/>
      <c r="Q83" s="176"/>
      <c r="R83" s="176">
        <f t="shared" ref="R83:R93" si="32">SUM(E83:Q83)</f>
        <v>93070</v>
      </c>
      <c r="S83" s="176">
        <f>R83</f>
        <v>93070</v>
      </c>
      <c r="T83" s="176"/>
      <c r="U83" s="172"/>
    </row>
    <row r="84" spans="1:21" s="173" customFormat="1">
      <c r="A84" s="174" t="s">
        <v>1789</v>
      </c>
      <c r="B84" s="175">
        <f t="shared" si="30"/>
        <v>1164320</v>
      </c>
      <c r="C84" s="176">
        <f>[1]EVERYTHING!$C$96</f>
        <v>1164320</v>
      </c>
      <c r="D84" s="176"/>
      <c r="E84" s="176">
        <f t="shared" si="31"/>
        <v>1164320</v>
      </c>
      <c r="F84" s="176"/>
      <c r="G84" s="176"/>
      <c r="H84" s="176"/>
      <c r="I84" s="176"/>
      <c r="J84" s="176"/>
      <c r="K84" s="176"/>
      <c r="L84" s="176"/>
      <c r="M84" s="176"/>
      <c r="N84" s="176"/>
      <c r="O84" s="176"/>
      <c r="P84" s="176"/>
      <c r="Q84" s="176"/>
      <c r="R84" s="176">
        <f t="shared" si="32"/>
        <v>1164320</v>
      </c>
      <c r="S84" s="176">
        <f t="shared" ref="S84:S86" si="33">R84</f>
        <v>1164320</v>
      </c>
      <c r="T84" s="176"/>
      <c r="U84" s="172"/>
    </row>
    <row r="85" spans="1:21" s="173" customFormat="1">
      <c r="A85" s="174" t="s">
        <v>1790</v>
      </c>
      <c r="B85" s="175">
        <f t="shared" si="30"/>
        <v>739377.19</v>
      </c>
      <c r="C85" s="176">
        <f>[1]EVERYTHING!$C$98</f>
        <v>739377.19</v>
      </c>
      <c r="D85" s="176"/>
      <c r="E85" s="176">
        <f t="shared" si="31"/>
        <v>739377.19</v>
      </c>
      <c r="F85" s="176"/>
      <c r="G85" s="176"/>
      <c r="H85" s="176"/>
      <c r="I85" s="176"/>
      <c r="J85" s="176"/>
      <c r="K85" s="176"/>
      <c r="L85" s="176"/>
      <c r="M85" s="176"/>
      <c r="N85" s="176"/>
      <c r="O85" s="176"/>
      <c r="P85" s="176"/>
      <c r="Q85" s="176"/>
      <c r="R85" s="176">
        <f t="shared" si="32"/>
        <v>739377.19</v>
      </c>
      <c r="S85" s="176">
        <f t="shared" si="33"/>
        <v>739377.19</v>
      </c>
      <c r="T85" s="176"/>
      <c r="U85" s="172"/>
    </row>
    <row r="86" spans="1:21" s="173" customFormat="1">
      <c r="A86" s="174" t="s">
        <v>1791</v>
      </c>
      <c r="B86" s="175">
        <f t="shared" si="30"/>
        <v>0</v>
      </c>
      <c r="C86" s="176"/>
      <c r="D86" s="176"/>
      <c r="E86" s="176">
        <f t="shared" si="31"/>
        <v>0</v>
      </c>
      <c r="F86" s="176"/>
      <c r="G86" s="176"/>
      <c r="H86" s="176"/>
      <c r="I86" s="176"/>
      <c r="J86" s="176"/>
      <c r="K86" s="176"/>
      <c r="L86" s="176"/>
      <c r="M86" s="176"/>
      <c r="N86" s="176"/>
      <c r="O86" s="176"/>
      <c r="P86" s="176"/>
      <c r="Q86" s="176"/>
      <c r="R86" s="176">
        <f t="shared" si="32"/>
        <v>0</v>
      </c>
      <c r="S86" s="176">
        <f t="shared" si="33"/>
        <v>0</v>
      </c>
      <c r="T86" s="176"/>
      <c r="U86" s="172"/>
    </row>
    <row r="87" spans="1:21" s="173" customFormat="1">
      <c r="A87" s="174" t="s">
        <v>1792</v>
      </c>
      <c r="B87" s="175">
        <f t="shared" si="30"/>
        <v>95000</v>
      </c>
      <c r="C87" s="176">
        <f>[1]EVERYTHING!$C$100</f>
        <v>95000</v>
      </c>
      <c r="D87" s="176"/>
      <c r="E87" s="176">
        <f t="shared" si="31"/>
        <v>95000</v>
      </c>
      <c r="F87" s="176"/>
      <c r="G87" s="176"/>
      <c r="H87" s="176"/>
      <c r="I87" s="176"/>
      <c r="J87" s="176"/>
      <c r="K87" s="176"/>
      <c r="L87" s="176"/>
      <c r="M87" s="176"/>
      <c r="N87" s="176"/>
      <c r="O87" s="176"/>
      <c r="P87" s="176"/>
      <c r="Q87" s="176"/>
      <c r="R87" s="176">
        <f t="shared" si="32"/>
        <v>95000</v>
      </c>
      <c r="S87" s="177"/>
      <c r="T87" s="177"/>
      <c r="U87" s="172"/>
    </row>
    <row r="88" spans="1:21" s="173" customFormat="1">
      <c r="A88" s="174" t="s">
        <v>1793</v>
      </c>
      <c r="B88" s="175">
        <f t="shared" si="30"/>
        <v>80000</v>
      </c>
      <c r="C88" s="176">
        <f>[1]EVERYTHING!$C$103</f>
        <v>80000</v>
      </c>
      <c r="D88" s="176"/>
      <c r="E88" s="176">
        <f t="shared" si="31"/>
        <v>80000</v>
      </c>
      <c r="F88" s="176"/>
      <c r="G88" s="176"/>
      <c r="H88" s="176"/>
      <c r="I88" s="176"/>
      <c r="J88" s="176"/>
      <c r="K88" s="176"/>
      <c r="L88" s="176"/>
      <c r="M88" s="176"/>
      <c r="N88" s="176"/>
      <c r="O88" s="176"/>
      <c r="P88" s="176"/>
      <c r="Q88" s="176"/>
      <c r="R88" s="176">
        <f t="shared" si="32"/>
        <v>80000</v>
      </c>
      <c r="S88" s="176">
        <f>R88</f>
        <v>80000</v>
      </c>
      <c r="T88" s="176"/>
      <c r="U88" s="172"/>
    </row>
    <row r="89" spans="1:21" s="173" customFormat="1">
      <c r="A89" s="174" t="s">
        <v>1794</v>
      </c>
      <c r="B89" s="175">
        <f t="shared" si="30"/>
        <v>36800</v>
      </c>
      <c r="C89" s="176">
        <f>[1]EVERYTHING!$C$99</f>
        <v>36800</v>
      </c>
      <c r="D89" s="176"/>
      <c r="E89" s="176">
        <f t="shared" si="31"/>
        <v>36800</v>
      </c>
      <c r="F89" s="176"/>
      <c r="G89" s="176"/>
      <c r="H89" s="176"/>
      <c r="I89" s="176"/>
      <c r="J89" s="176"/>
      <c r="K89" s="176"/>
      <c r="L89" s="176"/>
      <c r="M89" s="176"/>
      <c r="N89" s="176"/>
      <c r="O89" s="176"/>
      <c r="P89" s="176"/>
      <c r="Q89" s="176"/>
      <c r="R89" s="176">
        <f t="shared" si="32"/>
        <v>36800</v>
      </c>
      <c r="S89" s="176"/>
      <c r="T89" s="176"/>
      <c r="U89" s="172"/>
    </row>
    <row r="90" spans="1:21" s="173" customFormat="1">
      <c r="A90" s="185" t="s">
        <v>1795</v>
      </c>
      <c r="B90" s="175">
        <f t="shared" si="30"/>
        <v>0</v>
      </c>
      <c r="C90" s="176"/>
      <c r="D90" s="176"/>
      <c r="E90" s="176">
        <f t="shared" si="31"/>
        <v>0</v>
      </c>
      <c r="F90" s="176"/>
      <c r="G90" s="176"/>
      <c r="H90" s="176"/>
      <c r="I90" s="176"/>
      <c r="J90" s="176"/>
      <c r="K90" s="176"/>
      <c r="L90" s="176"/>
      <c r="M90" s="176"/>
      <c r="N90" s="176"/>
      <c r="O90" s="176"/>
      <c r="P90" s="176"/>
      <c r="Q90" s="176"/>
      <c r="R90" s="176">
        <f t="shared" si="32"/>
        <v>0</v>
      </c>
      <c r="S90" s="176">
        <f t="shared" ref="S90:S94" si="34">R90</f>
        <v>0</v>
      </c>
      <c r="T90" s="176"/>
      <c r="U90" s="172"/>
    </row>
    <row r="91" spans="1:21" s="173" customFormat="1">
      <c r="A91" s="185" t="s">
        <v>1796</v>
      </c>
      <c r="B91" s="175">
        <f t="shared" si="30"/>
        <v>12800</v>
      </c>
      <c r="C91" s="176">
        <f>[1]EVERYTHING!$C$90</f>
        <v>12800</v>
      </c>
      <c r="D91" s="176"/>
      <c r="E91" s="176">
        <f t="shared" si="31"/>
        <v>12800</v>
      </c>
      <c r="F91" s="176"/>
      <c r="G91" s="176"/>
      <c r="H91" s="176"/>
      <c r="I91" s="176"/>
      <c r="J91" s="176"/>
      <c r="K91" s="176"/>
      <c r="L91" s="176"/>
      <c r="M91" s="176"/>
      <c r="N91" s="176"/>
      <c r="O91" s="176"/>
      <c r="P91" s="176"/>
      <c r="Q91" s="176"/>
      <c r="R91" s="176">
        <f t="shared" si="32"/>
        <v>12800</v>
      </c>
      <c r="S91" s="176">
        <f t="shared" si="34"/>
        <v>12800</v>
      </c>
      <c r="T91" s="176"/>
      <c r="U91" s="172"/>
    </row>
    <row r="92" spans="1:21" s="173" customFormat="1">
      <c r="A92" s="181" t="s">
        <v>1797</v>
      </c>
      <c r="B92" s="175">
        <f t="shared" si="30"/>
        <v>303505</v>
      </c>
      <c r="C92" s="176">
        <f>[1]EVERYTHING!$C$51</f>
        <v>303505</v>
      </c>
      <c r="D92" s="176"/>
      <c r="E92" s="176">
        <f t="shared" si="31"/>
        <v>303505</v>
      </c>
      <c r="F92" s="176"/>
      <c r="G92" s="176"/>
      <c r="H92" s="176"/>
      <c r="I92" s="176"/>
      <c r="J92" s="176"/>
      <c r="K92" s="176"/>
      <c r="L92" s="176"/>
      <c r="M92" s="176"/>
      <c r="N92" s="176"/>
      <c r="O92" s="176"/>
      <c r="P92" s="176"/>
      <c r="Q92" s="176"/>
      <c r="R92" s="176">
        <f t="shared" si="32"/>
        <v>303505</v>
      </c>
      <c r="S92" s="176">
        <f t="shared" si="34"/>
        <v>303505</v>
      </c>
      <c r="T92" s="176"/>
      <c r="U92" s="172"/>
    </row>
    <row r="93" spans="1:21" s="173" customFormat="1">
      <c r="A93" s="181" t="s">
        <v>1798</v>
      </c>
      <c r="B93" s="175">
        <f t="shared" si="30"/>
        <v>125000</v>
      </c>
      <c r="C93" s="176">
        <f>[1]EVERYTHING!$C$95</f>
        <v>125000</v>
      </c>
      <c r="D93" s="176"/>
      <c r="E93" s="176">
        <f t="shared" si="31"/>
        <v>125000</v>
      </c>
      <c r="F93" s="176"/>
      <c r="G93" s="176"/>
      <c r="H93" s="176"/>
      <c r="I93" s="176"/>
      <c r="J93" s="176"/>
      <c r="K93" s="176"/>
      <c r="L93" s="176"/>
      <c r="M93" s="176"/>
      <c r="N93" s="176"/>
      <c r="O93" s="176"/>
      <c r="P93" s="176"/>
      <c r="Q93" s="176"/>
      <c r="R93" s="176">
        <f t="shared" si="32"/>
        <v>125000</v>
      </c>
      <c r="S93" s="176">
        <f t="shared" si="34"/>
        <v>125000</v>
      </c>
      <c r="T93" s="176"/>
      <c r="U93" s="172"/>
    </row>
    <row r="94" spans="1:21" s="173" customFormat="1">
      <c r="A94" s="181" t="s">
        <v>1799</v>
      </c>
      <c r="B94" s="175">
        <f>SUM(C94+D94)</f>
        <v>400000</v>
      </c>
      <c r="C94" s="176">
        <f>[1]EVERYTHING!$C$64</f>
        <v>400000</v>
      </c>
      <c r="D94" s="176"/>
      <c r="E94" s="176">
        <f t="shared" si="31"/>
        <v>400000</v>
      </c>
      <c r="F94" s="176"/>
      <c r="G94" s="176"/>
      <c r="H94" s="176"/>
      <c r="I94" s="176"/>
      <c r="J94" s="176"/>
      <c r="K94" s="176"/>
      <c r="L94" s="176"/>
      <c r="M94" s="176"/>
      <c r="N94" s="176"/>
      <c r="O94" s="176"/>
      <c r="P94" s="176"/>
      <c r="Q94" s="176"/>
      <c r="R94" s="176">
        <f>SUM(E94:Q94)</f>
        <v>400000</v>
      </c>
      <c r="S94" s="176">
        <f t="shared" si="34"/>
        <v>400000</v>
      </c>
      <c r="T94" s="176"/>
      <c r="U94" s="172"/>
    </row>
    <row r="95" spans="1:21" s="173" customFormat="1">
      <c r="A95" s="178" t="s">
        <v>1800</v>
      </c>
      <c r="B95" s="175">
        <f>SUM(C95:D95)</f>
        <v>3166145.4376400001</v>
      </c>
      <c r="C95" s="175">
        <f t="shared" ref="C95:R95" si="35">SUM(C82:C94)</f>
        <v>3166145.4376400001</v>
      </c>
      <c r="D95" s="175">
        <f t="shared" si="35"/>
        <v>0</v>
      </c>
      <c r="E95" s="175">
        <f t="shared" si="35"/>
        <v>3166145.4376400001</v>
      </c>
      <c r="F95" s="175">
        <f t="shared" si="35"/>
        <v>0</v>
      </c>
      <c r="G95" s="175">
        <f t="shared" si="35"/>
        <v>0</v>
      </c>
      <c r="H95" s="175">
        <f t="shared" si="35"/>
        <v>0</v>
      </c>
      <c r="I95" s="175">
        <f t="shared" si="35"/>
        <v>0</v>
      </c>
      <c r="J95" s="175">
        <f t="shared" si="35"/>
        <v>0</v>
      </c>
      <c r="K95" s="175">
        <f t="shared" si="35"/>
        <v>0</v>
      </c>
      <c r="L95" s="175">
        <f t="shared" si="35"/>
        <v>0</v>
      </c>
      <c r="M95" s="175">
        <f t="shared" si="35"/>
        <v>0</v>
      </c>
      <c r="N95" s="175">
        <f t="shared" si="35"/>
        <v>0</v>
      </c>
      <c r="O95" s="175">
        <f t="shared" si="35"/>
        <v>0</v>
      </c>
      <c r="P95" s="175">
        <f t="shared" si="35"/>
        <v>0</v>
      </c>
      <c r="Q95" s="175">
        <f t="shared" si="35"/>
        <v>0</v>
      </c>
      <c r="R95" s="175">
        <f t="shared" si="35"/>
        <v>3166145.4376400001</v>
      </c>
      <c r="S95" s="179">
        <f>SUM(S83:S86,S88:S94)</f>
        <v>2918072.19</v>
      </c>
      <c r="T95" s="175">
        <f>SUM(T83:T86,T88:T94)</f>
        <v>0</v>
      </c>
      <c r="U95" s="172"/>
    </row>
    <row r="96" spans="1:21" s="173" customFormat="1">
      <c r="A96" s="178" t="s">
        <v>1801</v>
      </c>
      <c r="B96" s="175">
        <f>SUM(C96:D96)</f>
        <v>38763765.945813194</v>
      </c>
      <c r="C96" s="175">
        <f t="shared" ref="C96:R96" si="36">SUM(C62+C69+C76+C80+C95)</f>
        <v>38763765.945813194</v>
      </c>
      <c r="D96" s="175">
        <f t="shared" si="36"/>
        <v>0</v>
      </c>
      <c r="E96" s="175">
        <f t="shared" si="36"/>
        <v>19754879.945813179</v>
      </c>
      <c r="F96" s="175">
        <f t="shared" si="36"/>
        <v>4528000</v>
      </c>
      <c r="G96" s="175">
        <f t="shared" si="36"/>
        <v>2650000</v>
      </c>
      <c r="H96" s="175">
        <f t="shared" si="36"/>
        <v>4382047</v>
      </c>
      <c r="I96" s="175">
        <f t="shared" si="36"/>
        <v>1000000</v>
      </c>
      <c r="J96" s="175">
        <f t="shared" si="36"/>
        <v>1421000</v>
      </c>
      <c r="K96" s="175">
        <f t="shared" si="36"/>
        <v>1144947</v>
      </c>
      <c r="L96" s="175">
        <f t="shared" si="36"/>
        <v>349072</v>
      </c>
      <c r="M96" s="175">
        <f t="shared" si="36"/>
        <v>464940</v>
      </c>
      <c r="N96" s="175">
        <f t="shared" si="36"/>
        <v>3068780</v>
      </c>
      <c r="O96" s="175">
        <f t="shared" si="36"/>
        <v>100</v>
      </c>
      <c r="P96" s="175">
        <f t="shared" si="36"/>
        <v>0</v>
      </c>
      <c r="Q96" s="175">
        <f t="shared" si="36"/>
        <v>0</v>
      </c>
      <c r="R96" s="175">
        <f t="shared" si="36"/>
        <v>38763765.945813194</v>
      </c>
      <c r="S96" s="179">
        <f>SUM(+S62+S69+S80+S95)</f>
        <v>33981864.604807153</v>
      </c>
      <c r="T96" s="179">
        <f>SUM(T62+T69+T80+T95)</f>
        <v>0</v>
      </c>
      <c r="U96" s="172"/>
    </row>
    <row r="97" spans="1:21" s="173" customFormat="1">
      <c r="A97" s="170" t="s">
        <v>1802</v>
      </c>
      <c r="B97" s="180"/>
      <c r="C97" s="180"/>
      <c r="D97" s="180"/>
      <c r="E97" s="180"/>
      <c r="F97" s="180"/>
      <c r="G97" s="180"/>
      <c r="H97" s="180"/>
      <c r="I97" s="180"/>
      <c r="J97" s="180"/>
      <c r="K97" s="180"/>
      <c r="L97" s="180"/>
      <c r="M97" s="180"/>
      <c r="N97" s="180"/>
      <c r="O97" s="180"/>
      <c r="P97" s="180"/>
      <c r="Q97" s="180"/>
      <c r="R97" s="180"/>
      <c r="S97" s="180"/>
      <c r="T97" s="180"/>
      <c r="U97" s="172"/>
    </row>
    <row r="98" spans="1:21" s="173" customFormat="1">
      <c r="A98" s="174" t="s">
        <v>1803</v>
      </c>
      <c r="B98" s="175">
        <f>SUM(C98+D98)</f>
        <v>2200000</v>
      </c>
      <c r="C98" s="176">
        <f>[1]EVERYTHING!$C$108</f>
        <v>2200000</v>
      </c>
      <c r="D98" s="176"/>
      <c r="E98" s="176">
        <f>C98-SUM(F98:O98)</f>
        <v>2200000</v>
      </c>
      <c r="F98" s="176"/>
      <c r="G98" s="176"/>
      <c r="H98" s="176"/>
      <c r="I98" s="176"/>
      <c r="J98" s="176"/>
      <c r="K98" s="176"/>
      <c r="L98" s="176"/>
      <c r="M98" s="176"/>
      <c r="N98" s="176"/>
      <c r="O98" s="176"/>
      <c r="P98" s="176"/>
      <c r="Q98" s="176"/>
      <c r="R98" s="176">
        <f>SUM(E98:Q98)</f>
        <v>2200000</v>
      </c>
      <c r="S98" s="176">
        <f>R98</f>
        <v>2200000</v>
      </c>
      <c r="T98" s="176"/>
      <c r="U98" s="172"/>
    </row>
    <row r="99" spans="1:21" s="173" customFormat="1">
      <c r="A99" s="174" t="s">
        <v>1804</v>
      </c>
      <c r="B99" s="175">
        <f>SUM(C99+D99)</f>
        <v>0</v>
      </c>
      <c r="C99" s="176"/>
      <c r="D99" s="176"/>
      <c r="E99" s="176">
        <f t="shared" ref="E99:E102" si="37">C99-SUM(F99:O99)</f>
        <v>0</v>
      </c>
      <c r="F99" s="176"/>
      <c r="G99" s="176"/>
      <c r="H99" s="176"/>
      <c r="I99" s="176"/>
      <c r="J99" s="176"/>
      <c r="K99" s="176"/>
      <c r="L99" s="176"/>
      <c r="M99" s="176"/>
      <c r="N99" s="176"/>
      <c r="O99" s="176"/>
      <c r="P99" s="176"/>
      <c r="Q99" s="176"/>
      <c r="R99" s="176">
        <f>SUM(E99:Q99)</f>
        <v>0</v>
      </c>
      <c r="S99" s="176">
        <f t="shared" ref="S99:S102" si="38">R99</f>
        <v>0</v>
      </c>
      <c r="T99" s="176"/>
      <c r="U99" s="172"/>
    </row>
    <row r="100" spans="1:21" s="173" customFormat="1" ht="12" customHeight="1">
      <c r="A100" s="174" t="s">
        <v>1805</v>
      </c>
      <c r="B100" s="175">
        <f>SUM(C100+D100)</f>
        <v>0</v>
      </c>
      <c r="C100" s="176"/>
      <c r="D100" s="176"/>
      <c r="E100" s="176">
        <f t="shared" si="37"/>
        <v>0</v>
      </c>
      <c r="F100" s="176"/>
      <c r="G100" s="176"/>
      <c r="H100" s="176"/>
      <c r="I100" s="176"/>
      <c r="J100" s="176"/>
      <c r="K100" s="176"/>
      <c r="L100" s="176"/>
      <c r="M100" s="176"/>
      <c r="N100" s="176"/>
      <c r="O100" s="176"/>
      <c r="P100" s="176"/>
      <c r="Q100" s="176"/>
      <c r="R100" s="176">
        <f>SUM(E100:Q100)</f>
        <v>0</v>
      </c>
      <c r="S100" s="176">
        <f t="shared" si="38"/>
        <v>0</v>
      </c>
      <c r="T100" s="176"/>
      <c r="U100" s="172"/>
    </row>
    <row r="101" spans="1:21" s="173" customFormat="1">
      <c r="A101" s="174" t="s">
        <v>1806</v>
      </c>
      <c r="B101" s="175">
        <f>SUM(C101+D101)</f>
        <v>0</v>
      </c>
      <c r="C101" s="176"/>
      <c r="D101" s="176"/>
      <c r="E101" s="176">
        <f t="shared" si="37"/>
        <v>0</v>
      </c>
      <c r="F101" s="176"/>
      <c r="G101" s="176"/>
      <c r="H101" s="176"/>
      <c r="I101" s="176"/>
      <c r="J101" s="176"/>
      <c r="K101" s="176"/>
      <c r="L101" s="176"/>
      <c r="M101" s="176"/>
      <c r="N101" s="176"/>
      <c r="O101" s="176"/>
      <c r="P101" s="176"/>
      <c r="Q101" s="176"/>
      <c r="R101" s="176">
        <f>SUM(E101:Q101)</f>
        <v>0</v>
      </c>
      <c r="S101" s="176">
        <f t="shared" si="38"/>
        <v>0</v>
      </c>
      <c r="T101" s="176"/>
      <c r="U101" s="172"/>
    </row>
    <row r="102" spans="1:21" s="173" customFormat="1">
      <c r="A102" s="181" t="s">
        <v>1744</v>
      </c>
      <c r="B102" s="175">
        <f>SUM(C102+D102)</f>
        <v>0</v>
      </c>
      <c r="C102" s="176"/>
      <c r="D102" s="176"/>
      <c r="E102" s="176">
        <f t="shared" si="37"/>
        <v>0</v>
      </c>
      <c r="F102" s="176"/>
      <c r="G102" s="176"/>
      <c r="H102" s="176"/>
      <c r="I102" s="176"/>
      <c r="J102" s="176"/>
      <c r="K102" s="176"/>
      <c r="L102" s="176"/>
      <c r="M102" s="176"/>
      <c r="N102" s="176"/>
      <c r="O102" s="176"/>
      <c r="P102" s="176"/>
      <c r="Q102" s="176"/>
      <c r="R102" s="176">
        <f>SUM(E102:Q102)</f>
        <v>0</v>
      </c>
      <c r="S102" s="176">
        <f t="shared" si="38"/>
        <v>0</v>
      </c>
      <c r="T102" s="176"/>
      <c r="U102" s="172"/>
    </row>
    <row r="103" spans="1:21" s="173" customFormat="1">
      <c r="A103" s="178" t="s">
        <v>1807</v>
      </c>
      <c r="B103" s="175">
        <f>SUM(C103:D103)</f>
        <v>2200000</v>
      </c>
      <c r="C103" s="175">
        <f t="shared" ref="C103:T103" si="39">SUM(C98:C102)</f>
        <v>2200000</v>
      </c>
      <c r="D103" s="175">
        <f t="shared" si="39"/>
        <v>0</v>
      </c>
      <c r="E103" s="175">
        <f t="shared" si="39"/>
        <v>2200000</v>
      </c>
      <c r="F103" s="175">
        <f t="shared" si="39"/>
        <v>0</v>
      </c>
      <c r="G103" s="175">
        <f t="shared" si="39"/>
        <v>0</v>
      </c>
      <c r="H103" s="175">
        <f t="shared" si="39"/>
        <v>0</v>
      </c>
      <c r="I103" s="175">
        <f t="shared" si="39"/>
        <v>0</v>
      </c>
      <c r="J103" s="175">
        <f t="shared" si="39"/>
        <v>0</v>
      </c>
      <c r="K103" s="175">
        <f t="shared" si="39"/>
        <v>0</v>
      </c>
      <c r="L103" s="175">
        <f t="shared" si="39"/>
        <v>0</v>
      </c>
      <c r="M103" s="175">
        <f t="shared" si="39"/>
        <v>0</v>
      </c>
      <c r="N103" s="175">
        <f t="shared" si="39"/>
        <v>0</v>
      </c>
      <c r="O103" s="175">
        <f t="shared" si="39"/>
        <v>0</v>
      </c>
      <c r="P103" s="175">
        <f t="shared" si="39"/>
        <v>0</v>
      </c>
      <c r="Q103" s="175">
        <f t="shared" si="39"/>
        <v>0</v>
      </c>
      <c r="R103" s="175">
        <f t="shared" si="39"/>
        <v>2200000</v>
      </c>
      <c r="S103" s="179">
        <f t="shared" si="39"/>
        <v>2200000</v>
      </c>
      <c r="T103" s="179">
        <f t="shared" si="39"/>
        <v>0</v>
      </c>
      <c r="U103" s="172"/>
    </row>
    <row r="104" spans="1:21" s="173" customFormat="1">
      <c r="A104" s="178" t="s">
        <v>1808</v>
      </c>
      <c r="B104" s="179">
        <f>SUM(C104:D104)</f>
        <v>40963765.945813194</v>
      </c>
      <c r="C104" s="179">
        <f t="shared" ref="C104:R104" si="40">SUM(C96+C103)</f>
        <v>40963765.945813194</v>
      </c>
      <c r="D104" s="179">
        <f t="shared" si="40"/>
        <v>0</v>
      </c>
      <c r="E104" s="179">
        <f t="shared" si="40"/>
        <v>21954879.945813179</v>
      </c>
      <c r="F104" s="179">
        <f t="shared" si="40"/>
        <v>4528000</v>
      </c>
      <c r="G104" s="179">
        <f t="shared" si="40"/>
        <v>2650000</v>
      </c>
      <c r="H104" s="179">
        <f t="shared" si="40"/>
        <v>4382047</v>
      </c>
      <c r="I104" s="179">
        <f t="shared" si="40"/>
        <v>1000000</v>
      </c>
      <c r="J104" s="179">
        <f t="shared" si="40"/>
        <v>1421000</v>
      </c>
      <c r="K104" s="179">
        <f t="shared" si="40"/>
        <v>1144947</v>
      </c>
      <c r="L104" s="179">
        <f t="shared" si="40"/>
        <v>349072</v>
      </c>
      <c r="M104" s="179">
        <f t="shared" si="40"/>
        <v>464940</v>
      </c>
      <c r="N104" s="179">
        <f t="shared" si="40"/>
        <v>3068780</v>
      </c>
      <c r="O104" s="179">
        <f t="shared" si="40"/>
        <v>100</v>
      </c>
      <c r="P104" s="179">
        <f t="shared" si="40"/>
        <v>0</v>
      </c>
      <c r="Q104" s="179">
        <f t="shared" si="40"/>
        <v>0</v>
      </c>
      <c r="R104" s="175">
        <f t="shared" si="40"/>
        <v>40963765.945813194</v>
      </c>
      <c r="S104" s="179">
        <f>S96+S103</f>
        <v>36181864.604807153</v>
      </c>
      <c r="T104" s="179">
        <f>T96+T103</f>
        <v>0</v>
      </c>
      <c r="U104" s="172"/>
    </row>
    <row r="105" spans="1:21" s="188" customFormat="1">
      <c r="A105" s="605" t="s">
        <v>1809</v>
      </c>
      <c r="B105" s="187"/>
      <c r="C105" s="187"/>
      <c r="D105" s="187"/>
      <c r="H105" s="189" t="s">
        <v>1810</v>
      </c>
      <c r="I105" s="189"/>
      <c r="J105" s="189"/>
      <c r="R105" s="190" t="s">
        <v>1811</v>
      </c>
      <c r="S105" s="176"/>
      <c r="T105" s="176"/>
      <c r="U105" s="191"/>
    </row>
    <row r="106" spans="1:21" s="188" customFormat="1">
      <c r="A106" s="189" t="s">
        <v>1812</v>
      </c>
      <c r="C106" s="187"/>
      <c r="D106" s="187"/>
      <c r="I106" s="192" t="s">
        <v>1813</v>
      </c>
      <c r="J106" s="192"/>
      <c r="R106" s="190" t="s">
        <v>1814</v>
      </c>
      <c r="S106" s="179">
        <f>S104+S105</f>
        <v>36181864.604807153</v>
      </c>
      <c r="T106" s="179">
        <f>T104+T105</f>
        <v>0</v>
      </c>
      <c r="U106" s="191"/>
    </row>
    <row r="107" spans="1:21" s="193" customFormat="1">
      <c r="A107" s="192" t="s">
        <v>1815</v>
      </c>
      <c r="B107" s="187"/>
      <c r="C107" s="187"/>
      <c r="D107" s="187"/>
      <c r="E107" s="175">
        <f>Application!AO631</f>
        <v>21954879.945813179</v>
      </c>
      <c r="F107" s="175">
        <f>Application!AO618</f>
        <v>4528000</v>
      </c>
      <c r="G107" s="175">
        <f>Application!AO619</f>
        <v>2650000</v>
      </c>
      <c r="H107" s="175">
        <f>Application!AO620</f>
        <v>4382047</v>
      </c>
      <c r="I107" s="175">
        <f>Application!AO621</f>
        <v>1000000</v>
      </c>
      <c r="J107" s="175">
        <f>Application!AO622</f>
        <v>1421000</v>
      </c>
      <c r="K107" s="175">
        <f>Application!AO623</f>
        <v>1144947</v>
      </c>
      <c r="L107" s="175">
        <f>Application!AO624</f>
        <v>349072</v>
      </c>
      <c r="M107" s="175">
        <f>Application!AO625</f>
        <v>464940</v>
      </c>
      <c r="N107" s="175">
        <f>Application!AO626</f>
        <v>3068780</v>
      </c>
      <c r="O107" s="175">
        <f>Application!AO627</f>
        <v>100</v>
      </c>
      <c r="P107" s="175">
        <f>Application!AO628</f>
        <v>0</v>
      </c>
      <c r="Q107" s="175">
        <f>Application!AO629</f>
        <v>0</v>
      </c>
      <c r="R107" s="303"/>
      <c r="S107" s="188"/>
      <c r="T107" s="188"/>
      <c r="U107" s="216"/>
    </row>
    <row r="108" spans="1:21" s="193" customFormat="1">
      <c r="A108" s="192"/>
      <c r="B108" s="187"/>
      <c r="C108" s="187"/>
      <c r="D108" s="187"/>
      <c r="E108" s="303"/>
      <c r="F108" s="303"/>
      <c r="G108" s="303"/>
      <c r="H108" s="303"/>
      <c r="I108" s="303"/>
      <c r="J108" s="303"/>
      <c r="K108" s="303"/>
      <c r="L108" s="303"/>
      <c r="M108" s="303"/>
      <c r="N108" s="303"/>
      <c r="O108" s="303"/>
      <c r="P108" s="303"/>
      <c r="Q108" s="303"/>
      <c r="R108" s="303"/>
      <c r="S108" s="188"/>
      <c r="T108" s="188"/>
      <c r="U108" s="216"/>
    </row>
    <row r="109" spans="1:21" s="193" customFormat="1" ht="12.75">
      <c r="A109" s="67" t="s">
        <v>1816</v>
      </c>
      <c r="B109" s="187"/>
      <c r="C109" s="187"/>
      <c r="D109" s="187"/>
      <c r="E109" s="303"/>
      <c r="F109" s="303"/>
      <c r="G109" s="303"/>
      <c r="H109" s="303"/>
      <c r="I109" s="303"/>
      <c r="J109" s="303"/>
      <c r="K109" s="303"/>
      <c r="L109" s="303"/>
      <c r="M109" s="303"/>
      <c r="N109" s="303"/>
      <c r="O109" s="303"/>
      <c r="P109" s="303"/>
      <c r="Q109" s="303"/>
      <c r="R109" s="303"/>
      <c r="S109" s="188"/>
      <c r="T109" s="188"/>
      <c r="U109" s="216"/>
    </row>
    <row r="110" spans="1:21" s="193" customFormat="1" ht="12.75">
      <c r="A110" s="776" t="s">
        <v>1817</v>
      </c>
      <c r="B110" s="187"/>
      <c r="C110" s="187"/>
      <c r="D110" s="187"/>
      <c r="E110" s="188"/>
      <c r="F110" s="188"/>
      <c r="G110" s="188"/>
      <c r="H110" s="188"/>
      <c r="I110" s="188"/>
      <c r="J110" s="188"/>
      <c r="K110" s="188"/>
      <c r="L110" s="188"/>
      <c r="M110" s="188"/>
      <c r="N110" s="188"/>
      <c r="O110" s="188"/>
      <c r="P110" s="188"/>
      <c r="Q110" s="188"/>
      <c r="R110" s="188"/>
      <c r="S110" s="188"/>
      <c r="T110" s="188"/>
      <c r="U110" s="216"/>
    </row>
    <row r="111" spans="1:21" s="193" customFormat="1" ht="12.75">
      <c r="A111" s="776"/>
      <c r="B111" s="187"/>
      <c r="C111" s="187"/>
      <c r="D111" s="187"/>
      <c r="E111" s="188"/>
      <c r="F111" s="188"/>
      <c r="G111" s="188"/>
      <c r="H111" s="188"/>
      <c r="I111" s="188"/>
      <c r="J111" s="188"/>
      <c r="K111" s="188"/>
      <c r="L111" s="188"/>
      <c r="M111" s="188"/>
      <c r="N111" s="188"/>
      <c r="O111" s="188"/>
      <c r="P111" s="188"/>
      <c r="Q111" s="188"/>
      <c r="R111" s="188"/>
      <c r="S111" s="188"/>
      <c r="T111" s="188"/>
      <c r="U111" s="216"/>
    </row>
    <row r="112" spans="1:21" s="193" customFormat="1" ht="14.25">
      <c r="A112" s="219" t="s">
        <v>1818</v>
      </c>
      <c r="B112" s="187"/>
      <c r="C112" s="187"/>
      <c r="D112" s="187"/>
      <c r="E112" s="188"/>
      <c r="F112" s="188"/>
      <c r="G112" s="188"/>
      <c r="H112" s="188"/>
      <c r="I112" s="188"/>
      <c r="J112" s="188"/>
      <c r="K112" s="188"/>
      <c r="L112" s="188"/>
      <c r="M112" s="188"/>
      <c r="N112" s="188"/>
      <c r="O112" s="188"/>
      <c r="P112" s="188"/>
      <c r="Q112" s="188"/>
      <c r="R112" s="188"/>
      <c r="S112" s="188"/>
      <c r="T112" s="188"/>
      <c r="U112" s="216"/>
    </row>
    <row r="113" spans="1:21" s="173" customFormat="1" ht="12.75">
      <c r="A113" s="776" t="s">
        <v>1819</v>
      </c>
      <c r="B113" s="188"/>
      <c r="C113" s="188"/>
      <c r="D113" s="188"/>
      <c r="E113" s="188"/>
      <c r="F113" s="188"/>
      <c r="G113" s="188"/>
      <c r="H113" s="188"/>
      <c r="I113" s="188"/>
      <c r="J113" s="188"/>
      <c r="K113" s="188"/>
      <c r="L113" s="188"/>
      <c r="M113" s="188"/>
      <c r="N113" s="188"/>
      <c r="O113" s="188"/>
      <c r="P113" s="188"/>
      <c r="Q113" s="188"/>
      <c r="R113" s="188"/>
      <c r="S113" s="188"/>
      <c r="T113" s="188"/>
      <c r="U113" s="217"/>
    </row>
    <row r="114" spans="1:21" s="351" customFormat="1" ht="14.25">
      <c r="A114" s="219" t="s">
        <v>1820</v>
      </c>
      <c r="B114" s="188"/>
      <c r="C114" s="188"/>
      <c r="D114" s="188"/>
      <c r="E114" s="188"/>
      <c r="F114" s="188"/>
      <c r="G114" s="188"/>
      <c r="H114" s="188"/>
      <c r="I114" s="188"/>
      <c r="J114" s="188"/>
      <c r="K114" s="188"/>
      <c r="L114" s="188"/>
      <c r="M114" s="188"/>
      <c r="N114" s="188"/>
      <c r="O114" s="188"/>
      <c r="P114" s="188"/>
      <c r="Q114" s="188"/>
      <c r="R114" s="188"/>
      <c r="S114" s="188"/>
      <c r="T114" s="188"/>
      <c r="U114" s="350"/>
    </row>
    <row r="115" spans="1:21" s="188" customFormat="1" ht="14.25">
      <c r="A115" s="219"/>
      <c r="U115" s="191"/>
    </row>
    <row r="116" spans="1:21" s="193" customFormat="1">
      <c r="A116" s="422" t="s">
        <v>1821</v>
      </c>
      <c r="B116" s="187"/>
      <c r="C116" s="187"/>
      <c r="D116" s="187"/>
      <c r="E116" s="188"/>
      <c r="F116" s="188"/>
      <c r="G116" s="188"/>
      <c r="H116" s="188"/>
      <c r="I116" s="188"/>
      <c r="J116" s="188"/>
      <c r="K116" s="188"/>
      <c r="L116" s="188"/>
      <c r="M116" s="188"/>
      <c r="N116" s="188"/>
      <c r="O116" s="188"/>
      <c r="P116" s="188"/>
      <c r="Q116" s="188"/>
      <c r="R116" s="188"/>
      <c r="S116" s="188"/>
      <c r="T116" s="188"/>
      <c r="U116" s="216"/>
    </row>
    <row r="117" spans="1:21" s="173" customFormat="1">
      <c r="A117" s="422" t="s">
        <v>1822</v>
      </c>
      <c r="B117" s="188"/>
      <c r="C117" s="188"/>
      <c r="D117" s="188"/>
      <c r="E117" s="188"/>
      <c r="F117" s="188"/>
      <c r="G117" s="188"/>
      <c r="H117" s="188"/>
      <c r="I117" s="188"/>
      <c r="J117" s="188"/>
      <c r="K117" s="188"/>
      <c r="L117" s="188"/>
      <c r="M117" s="188"/>
      <c r="N117" s="188"/>
      <c r="O117" s="188"/>
      <c r="P117" s="188"/>
      <c r="Q117" s="188"/>
      <c r="R117" s="188"/>
      <c r="S117" s="188"/>
      <c r="T117" s="188"/>
      <c r="U117" s="217"/>
    </row>
    <row r="118" spans="1:21" s="351" customFormat="1">
      <c r="A118" s="422" t="s">
        <v>1823</v>
      </c>
      <c r="B118" s="188"/>
      <c r="C118" s="188"/>
      <c r="D118" s="188"/>
      <c r="E118" s="188"/>
      <c r="F118" s="188"/>
      <c r="G118" s="188"/>
      <c r="H118" s="188"/>
      <c r="I118" s="188"/>
      <c r="J118" s="188"/>
      <c r="K118" s="188"/>
      <c r="L118" s="188"/>
      <c r="M118" s="188"/>
      <c r="N118" s="188"/>
      <c r="O118" s="188"/>
      <c r="P118" s="188"/>
      <c r="Q118" s="188"/>
      <c r="R118" s="188"/>
      <c r="S118" s="188"/>
      <c r="T118" s="188"/>
      <c r="U118" s="350"/>
    </row>
    <row r="119" spans="1:21" s="351" customFormat="1">
      <c r="A119" s="422" t="s">
        <v>1824</v>
      </c>
      <c r="B119" s="188"/>
      <c r="C119" s="188"/>
      <c r="D119" s="188"/>
      <c r="E119" s="188"/>
      <c r="F119" s="188"/>
      <c r="G119" s="188"/>
      <c r="H119" s="188"/>
      <c r="I119" s="188"/>
      <c r="J119" s="188"/>
      <c r="K119" s="188"/>
      <c r="L119" s="188"/>
      <c r="M119" s="188"/>
      <c r="N119" s="188"/>
      <c r="O119" s="188"/>
      <c r="P119" s="188"/>
      <c r="Q119" s="188"/>
      <c r="R119" s="188"/>
      <c r="S119" s="188"/>
      <c r="T119" s="188"/>
      <c r="U119" s="350"/>
    </row>
    <row r="120" spans="1:21" s="188" customFormat="1" ht="14.25">
      <c r="A120" s="219"/>
      <c r="U120" s="191"/>
    </row>
    <row r="121" spans="1:21" s="418" customFormat="1" ht="15.75">
      <c r="A121" s="417" t="s">
        <v>1825</v>
      </c>
      <c r="U121" s="419"/>
    </row>
    <row r="122" spans="1:21" s="188" customFormat="1">
      <c r="A122" s="189" t="s">
        <v>1826</v>
      </c>
      <c r="D122" s="1480" t="s">
        <v>1827</v>
      </c>
      <c r="E122" s="1480"/>
      <c r="F122" s="1480"/>
      <c r="U122" s="191"/>
    </row>
    <row r="123" spans="1:21" s="188" customFormat="1">
      <c r="A123" s="188" t="s">
        <v>1828</v>
      </c>
      <c r="B123" s="413"/>
      <c r="D123" s="1472" t="s">
        <v>1829</v>
      </c>
      <c r="E123" s="1473"/>
      <c r="F123" s="1473"/>
      <c r="G123" s="1473"/>
      <c r="H123" s="1473"/>
      <c r="I123" s="1473"/>
      <c r="J123" s="1473"/>
      <c r="K123" s="1473"/>
      <c r="L123" s="1473"/>
      <c r="M123" s="1473"/>
      <c r="N123" s="1473"/>
      <c r="O123" s="1473"/>
      <c r="P123" s="1473"/>
      <c r="Q123" s="1473"/>
      <c r="R123" s="1473"/>
      <c r="S123" s="1473"/>
      <c r="U123" s="191"/>
    </row>
    <row r="124" spans="1:21" s="188" customFormat="1" ht="12.75">
      <c r="A124" s="758" t="s">
        <v>1830</v>
      </c>
      <c r="B124" s="413"/>
      <c r="C124" s="758"/>
      <c r="D124" s="1473"/>
      <c r="E124" s="1473"/>
      <c r="F124" s="1473"/>
      <c r="G124" s="1473"/>
      <c r="H124" s="1473"/>
      <c r="I124" s="1473"/>
      <c r="J124" s="1473"/>
      <c r="K124" s="1473"/>
      <c r="L124" s="1473"/>
      <c r="M124" s="1473"/>
      <c r="N124" s="1473"/>
      <c r="O124" s="1473"/>
      <c r="P124" s="1473"/>
      <c r="Q124" s="1473"/>
      <c r="R124" s="1473"/>
      <c r="S124" s="1473"/>
      <c r="U124" s="191"/>
    </row>
    <row r="125" spans="1:21" s="188" customFormat="1" ht="12.75">
      <c r="A125" s="758" t="s">
        <v>1831</v>
      </c>
      <c r="B125" s="413"/>
      <c r="C125" s="758"/>
      <c r="D125" s="1473"/>
      <c r="E125" s="1473"/>
      <c r="F125" s="1473"/>
      <c r="G125" s="1473"/>
      <c r="H125" s="1473"/>
      <c r="I125" s="1473"/>
      <c r="J125" s="1473"/>
      <c r="K125" s="1473"/>
      <c r="L125" s="1473"/>
      <c r="M125" s="1473"/>
      <c r="N125" s="1473"/>
      <c r="O125" s="1473"/>
      <c r="P125" s="1473"/>
      <c r="Q125" s="1473"/>
      <c r="R125" s="1473"/>
      <c r="S125" s="1473"/>
      <c r="U125" s="191"/>
    </row>
    <row r="126" spans="1:21" s="188" customFormat="1" ht="12.75">
      <c r="A126" s="758" t="s">
        <v>1832</v>
      </c>
      <c r="B126" s="413"/>
      <c r="C126" s="758"/>
      <c r="D126" s="726"/>
      <c r="E126" s="726"/>
      <c r="F126" s="726"/>
      <c r="G126" s="726"/>
      <c r="H126" s="726"/>
      <c r="I126" s="726"/>
      <c r="J126" s="726"/>
      <c r="K126" s="726"/>
      <c r="L126" s="726"/>
      <c r="M126" s="726"/>
      <c r="N126" s="726"/>
      <c r="O126" s="758"/>
      <c r="P126" s="758"/>
      <c r="Q126" s="758"/>
      <c r="R126" s="758"/>
      <c r="S126" s="758"/>
      <c r="U126" s="191"/>
    </row>
    <row r="127" spans="1:21" s="188" customFormat="1" ht="12.75">
      <c r="A127" s="758" t="s">
        <v>1833</v>
      </c>
      <c r="B127" s="413"/>
      <c r="C127" s="758"/>
      <c r="D127" s="726"/>
      <c r="E127" s="726"/>
      <c r="F127" s="726"/>
      <c r="G127" s="726"/>
      <c r="H127" s="726"/>
      <c r="I127" s="726"/>
      <c r="J127" s="726"/>
      <c r="K127" s="726"/>
      <c r="L127" s="726"/>
      <c r="M127" s="726"/>
      <c r="N127" s="726"/>
      <c r="O127" s="758"/>
      <c r="P127" s="758"/>
      <c r="Q127" s="758"/>
      <c r="R127" s="758"/>
      <c r="S127" s="758"/>
      <c r="U127" s="191"/>
    </row>
    <row r="128" spans="1:21" s="188" customFormat="1" ht="12.75">
      <c r="A128" s="758" t="s">
        <v>1834</v>
      </c>
      <c r="B128" s="413"/>
      <c r="C128" s="758"/>
      <c r="D128" s="1475"/>
      <c r="E128" s="1475"/>
      <c r="F128" s="1475"/>
      <c r="G128" s="1475"/>
      <c r="H128" s="1475"/>
      <c r="I128" s="758"/>
      <c r="J128" s="1471"/>
      <c r="K128" s="1471"/>
      <c r="L128" s="758"/>
      <c r="M128" s="758"/>
      <c r="N128" s="758"/>
      <c r="O128" s="758"/>
      <c r="P128" s="758"/>
      <c r="Q128" s="758"/>
      <c r="R128" s="758"/>
      <c r="S128" s="758"/>
      <c r="U128" s="191"/>
    </row>
    <row r="129" spans="1:21" s="188" customFormat="1" ht="12.75">
      <c r="A129" s="758" t="s">
        <v>228</v>
      </c>
      <c r="B129" s="413"/>
      <c r="C129" s="758"/>
      <c r="D129" s="1479" t="s">
        <v>1835</v>
      </c>
      <c r="E129" s="1479"/>
      <c r="F129" s="1479"/>
      <c r="G129" s="1479"/>
      <c r="H129" s="1479"/>
      <c r="I129" s="758"/>
      <c r="J129" s="758" t="s">
        <v>1836</v>
      </c>
      <c r="K129" s="758"/>
      <c r="L129" s="758"/>
      <c r="M129" s="758"/>
      <c r="N129" s="758"/>
      <c r="O129" s="758"/>
      <c r="P129" s="758"/>
      <c r="Q129" s="758"/>
      <c r="R129" s="758"/>
      <c r="S129" s="758"/>
      <c r="U129" s="191"/>
    </row>
    <row r="130" spans="1:21" s="188" customFormat="1" ht="12.75">
      <c r="A130" s="758"/>
      <c r="B130" s="411"/>
      <c r="C130" s="758"/>
      <c r="D130" s="758"/>
      <c r="E130" s="758"/>
      <c r="F130" s="758"/>
      <c r="G130" s="758"/>
      <c r="H130" s="758"/>
      <c r="I130" s="758"/>
      <c r="J130" s="758"/>
      <c r="K130" s="758"/>
      <c r="L130" s="758"/>
      <c r="M130" s="758"/>
      <c r="N130" s="758"/>
      <c r="O130" s="758"/>
      <c r="P130" s="758"/>
      <c r="Q130" s="758"/>
      <c r="R130" s="758"/>
      <c r="S130" s="758"/>
      <c r="U130" s="191"/>
    </row>
    <row r="131" spans="1:21" s="188" customFormat="1" ht="12.75">
      <c r="A131" s="756" t="s">
        <v>1837</v>
      </c>
      <c r="B131" s="414">
        <f>SUM(B123:B129)</f>
        <v>0</v>
      </c>
      <c r="C131" s="758"/>
      <c r="D131" s="1359"/>
      <c r="E131" s="1359"/>
      <c r="F131" s="1359"/>
      <c r="G131" s="1359"/>
      <c r="H131" s="1359"/>
      <c r="I131" s="758"/>
      <c r="J131" s="1359"/>
      <c r="K131" s="1359"/>
      <c r="L131" s="1359"/>
      <c r="M131" s="1359"/>
      <c r="N131" s="758"/>
      <c r="O131" s="758"/>
      <c r="P131" s="758"/>
      <c r="Q131" s="758"/>
      <c r="R131" s="758"/>
      <c r="S131" s="758"/>
      <c r="U131" s="191"/>
    </row>
    <row r="132" spans="1:21" s="188" customFormat="1" ht="12.75">
      <c r="A132" s="899"/>
      <c r="B132" s="758"/>
      <c r="C132" s="758"/>
      <c r="D132" s="947" t="s">
        <v>1838</v>
      </c>
      <c r="E132" s="947"/>
      <c r="F132" s="947"/>
      <c r="G132" s="947"/>
      <c r="H132" s="947"/>
      <c r="I132" s="758"/>
      <c r="J132" s="947" t="s">
        <v>1839</v>
      </c>
      <c r="K132" s="947"/>
      <c r="L132" s="947"/>
      <c r="M132" s="947"/>
      <c r="N132" s="758"/>
      <c r="O132" s="758"/>
      <c r="P132" s="758"/>
      <c r="Q132" s="758"/>
      <c r="R132" s="758"/>
      <c r="S132" s="758"/>
      <c r="U132" s="191"/>
    </row>
    <row r="133" spans="1:21" s="188" customFormat="1" ht="12.75">
      <c r="A133" s="899"/>
      <c r="B133" s="758"/>
      <c r="C133" s="758"/>
      <c r="D133" s="758"/>
      <c r="E133" s="758"/>
      <c r="F133" s="758"/>
      <c r="G133" s="758"/>
      <c r="H133" s="758"/>
      <c r="I133" s="758"/>
      <c r="J133" s="758"/>
      <c r="K133" s="758"/>
      <c r="L133" s="758"/>
      <c r="M133" s="758"/>
      <c r="N133" s="758"/>
      <c r="O133" s="758"/>
      <c r="P133" s="758"/>
      <c r="Q133" s="758"/>
      <c r="R133" s="758"/>
      <c r="S133" s="758"/>
      <c r="U133" s="191"/>
    </row>
    <row r="134" spans="1:21" s="188" customFormat="1" ht="12.75">
      <c r="A134" s="771" t="s">
        <v>1840</v>
      </c>
      <c r="B134" s="758"/>
      <c r="C134" s="758"/>
      <c r="D134" s="758"/>
      <c r="E134" s="758"/>
      <c r="F134" s="758"/>
      <c r="G134" s="758"/>
      <c r="H134" s="758"/>
      <c r="I134" s="758"/>
      <c r="J134" s="758"/>
      <c r="K134" s="758"/>
      <c r="L134" s="758"/>
      <c r="M134" s="758"/>
      <c r="N134" s="758"/>
      <c r="O134" s="758"/>
      <c r="P134" s="758"/>
      <c r="Q134" s="758"/>
      <c r="R134" s="758"/>
      <c r="S134" s="758"/>
      <c r="U134" s="191"/>
    </row>
    <row r="135" spans="1:21" s="188" customFormat="1" ht="12.75">
      <c r="A135" s="776" t="s">
        <v>1841</v>
      </c>
      <c r="B135" s="758"/>
      <c r="C135" s="758"/>
      <c r="D135" s="758"/>
      <c r="E135" s="758"/>
      <c r="F135" s="758"/>
      <c r="G135" s="758"/>
      <c r="H135" s="758"/>
      <c r="I135" s="758"/>
      <c r="J135" s="758"/>
      <c r="K135" s="758"/>
      <c r="L135" s="758"/>
      <c r="M135" s="758"/>
      <c r="N135" s="900"/>
      <c r="O135" s="758"/>
      <c r="P135" s="758"/>
      <c r="Q135" s="758"/>
      <c r="R135" s="758"/>
      <c r="S135" s="758"/>
      <c r="U135" s="191"/>
    </row>
    <row r="136" spans="1:21" ht="12.75">
      <c r="A136" s="899"/>
      <c r="B136" s="758"/>
      <c r="C136" s="758"/>
      <c r="D136" s="758"/>
      <c r="E136" s="758"/>
      <c r="F136" s="758"/>
      <c r="G136" s="758"/>
      <c r="H136" s="758"/>
      <c r="I136" s="758"/>
      <c r="J136" s="758"/>
      <c r="K136" s="758"/>
      <c r="L136" s="758"/>
      <c r="M136" s="758"/>
      <c r="N136" s="758"/>
      <c r="O136" s="758"/>
      <c r="P136" s="758"/>
      <c r="Q136" s="758"/>
      <c r="R136" s="758"/>
      <c r="S136" s="758"/>
    </row>
    <row r="137" spans="1:21" ht="12" customHeight="1">
      <c r="A137" s="899"/>
      <c r="B137" s="758"/>
      <c r="C137" s="758"/>
      <c r="D137" s="758"/>
      <c r="E137" s="758"/>
      <c r="F137" s="758"/>
      <c r="G137" s="758"/>
      <c r="H137" s="758"/>
      <c r="I137" s="758"/>
      <c r="J137" s="758"/>
      <c r="K137" s="758"/>
      <c r="L137" s="758"/>
      <c r="M137" s="758"/>
      <c r="N137" s="758"/>
      <c r="O137" s="758"/>
      <c r="P137" s="758"/>
      <c r="Q137" s="758"/>
      <c r="R137" s="758"/>
      <c r="S137" s="758"/>
    </row>
    <row r="138" spans="1:21" ht="12" customHeight="1">
      <c r="A138" s="1474"/>
      <c r="B138" s="1475"/>
      <c r="C138" s="1475"/>
      <c r="D138" s="255"/>
      <c r="E138" s="1471"/>
      <c r="F138" s="1471"/>
      <c r="G138" s="758"/>
      <c r="H138" s="758"/>
      <c r="I138" s="758"/>
      <c r="J138" s="758"/>
      <c r="K138" s="758"/>
      <c r="L138" s="758"/>
      <c r="M138" s="758"/>
      <c r="N138" s="758"/>
      <c r="O138" s="758"/>
      <c r="P138" s="758"/>
      <c r="Q138" s="758"/>
      <c r="R138" s="758"/>
      <c r="S138" s="758"/>
    </row>
    <row r="139" spans="1:21" ht="12" customHeight="1">
      <c r="A139" s="1470" t="s">
        <v>1842</v>
      </c>
      <c r="B139" s="1470"/>
      <c r="C139" s="1470"/>
      <c r="D139" s="255"/>
      <c r="E139" s="758" t="s">
        <v>1836</v>
      </c>
      <c r="F139" s="758"/>
      <c r="G139" s="758"/>
      <c r="H139" s="758"/>
      <c r="I139" s="758"/>
      <c r="J139" s="758"/>
      <c r="K139" s="758"/>
      <c r="L139" s="758"/>
      <c r="M139" s="758"/>
      <c r="N139" s="758"/>
      <c r="O139" s="758"/>
      <c r="P139" s="758"/>
      <c r="Q139" s="758"/>
      <c r="R139" s="758"/>
      <c r="S139" s="758"/>
    </row>
    <row r="140" spans="1:21" s="218" customFormat="1" ht="12" customHeight="1">
      <c r="A140" s="412"/>
      <c r="B140" s="758"/>
      <c r="C140" s="758"/>
      <c r="D140" s="255"/>
      <c r="E140" s="758"/>
      <c r="F140" s="758"/>
      <c r="G140" s="758"/>
      <c r="H140" s="758"/>
      <c r="I140" s="758"/>
      <c r="J140" s="758"/>
      <c r="K140" s="758"/>
      <c r="L140" s="758"/>
      <c r="M140" s="758"/>
      <c r="N140" s="758"/>
      <c r="O140" s="758"/>
      <c r="P140" s="758"/>
      <c r="Q140" s="758"/>
      <c r="R140" s="758"/>
      <c r="S140" s="758"/>
      <c r="T140" s="436"/>
      <c r="U140" s="352"/>
    </row>
    <row r="141" spans="1:21" s="415" customFormat="1" ht="12" customHeight="1">
      <c r="B141" s="255"/>
      <c r="C141" s="255"/>
      <c r="D141" s="255"/>
      <c r="E141" s="255"/>
      <c r="F141" s="255"/>
      <c r="G141" s="758"/>
      <c r="H141" s="758"/>
      <c r="I141" s="758"/>
      <c r="J141" s="758"/>
      <c r="K141" s="758"/>
      <c r="L141" s="758"/>
      <c r="M141" s="758"/>
      <c r="N141" s="758"/>
      <c r="O141" s="758"/>
      <c r="P141" s="758"/>
      <c r="Q141" s="758"/>
      <c r="R141" s="758"/>
      <c r="S141" s="758"/>
      <c r="T141" s="436"/>
      <c r="U141" s="416"/>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25" workbookViewId="0">
      <selection activeCell="AJ56" sqref="AJ56"/>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06" t="s">
        <v>1843</v>
      </c>
      <c r="B1" s="1320"/>
      <c r="C1" s="1320"/>
      <c r="D1" s="1320"/>
      <c r="E1" s="1320"/>
      <c r="F1" s="1320"/>
      <c r="G1" s="1320"/>
      <c r="H1" s="1320"/>
      <c r="I1" s="1320"/>
      <c r="J1" s="1320"/>
      <c r="K1" s="1320"/>
      <c r="L1" s="1320"/>
      <c r="M1" s="1320"/>
      <c r="N1" s="1320"/>
      <c r="O1" s="1320"/>
      <c r="P1" s="1320"/>
      <c r="Q1" s="1320"/>
      <c r="R1" s="1320"/>
      <c r="S1" s="1320"/>
      <c r="T1" s="1320"/>
      <c r="U1" s="1320"/>
      <c r="V1" s="1320"/>
      <c r="W1" s="1320"/>
      <c r="X1" s="1320"/>
      <c r="Y1" s="1320"/>
      <c r="Z1" s="1320"/>
      <c r="AA1" s="1320"/>
      <c r="AB1" s="1320"/>
      <c r="AC1" s="1320"/>
      <c r="AD1" s="1320"/>
      <c r="AE1" s="1320"/>
      <c r="AF1" s="1320"/>
      <c r="AG1" s="1320"/>
      <c r="AH1" s="1320"/>
      <c r="AI1" s="1320"/>
      <c r="AJ1" s="1320"/>
      <c r="AK1" s="1320"/>
      <c r="AL1" s="1320"/>
      <c r="AM1" s="1320"/>
      <c r="AN1" s="1320"/>
    </row>
    <row r="2" spans="1:40" ht="12.95" customHeight="1" thickBot="1">
      <c r="A2" s="1321"/>
      <c r="B2" s="1321"/>
      <c r="C2" s="1321"/>
      <c r="D2" s="1321"/>
      <c r="E2" s="1321"/>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321"/>
      <c r="AE2" s="1321"/>
      <c r="AF2" s="1321"/>
      <c r="AG2" s="1321"/>
      <c r="AH2" s="1321"/>
      <c r="AI2" s="1321"/>
      <c r="AJ2" s="1321"/>
      <c r="AK2" s="1321"/>
      <c r="AL2" s="1321"/>
      <c r="AM2" s="1321"/>
      <c r="AN2" s="1321"/>
    </row>
    <row r="3" spans="1:40" ht="12.95" customHeight="1" thickTop="1">
      <c r="A3" s="2"/>
      <c r="C3" s="135"/>
      <c r="D3" s="135"/>
      <c r="E3" s="135"/>
      <c r="F3" s="135"/>
      <c r="G3" s="135"/>
      <c r="H3" s="135"/>
      <c r="I3" s="135"/>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row>
    <row r="5" spans="1:40" ht="12.95" customHeight="1">
      <c r="A5" s="2" t="s">
        <v>854</v>
      </c>
      <c r="C5" s="2" t="s">
        <v>267</v>
      </c>
      <c r="F5" s="2"/>
    </row>
    <row r="6" spans="1:40" ht="12.95" customHeight="1">
      <c r="B6" s="58" t="s">
        <v>1844</v>
      </c>
    </row>
    <row r="7" spans="1:40" ht="12.95" customHeight="1">
      <c r="B7" s="5"/>
      <c r="C7" s="6"/>
      <c r="D7" s="6"/>
      <c r="E7" s="6"/>
      <c r="F7" s="6"/>
      <c r="G7" s="6"/>
      <c r="H7" s="6"/>
      <c r="I7" s="6"/>
      <c r="J7" s="6"/>
      <c r="K7" s="6"/>
      <c r="L7" s="6"/>
      <c r="M7" s="6"/>
      <c r="N7" s="6"/>
      <c r="O7" s="6"/>
      <c r="P7" s="6"/>
      <c r="Q7" s="6"/>
      <c r="R7" s="6"/>
      <c r="S7" s="6"/>
      <c r="T7" s="1494" t="str">
        <f>IF(T25=100%,'Sources and Basis Breakdown'!G2,'Sources and Basis Breakdown'!F2)</f>
        <v>70% PVC for New Const/
Rehabilitation
DDA/QCT
Building(s)</v>
      </c>
      <c r="U7" s="1494"/>
      <c r="V7" s="1494"/>
      <c r="W7" s="1494"/>
      <c r="X7" s="1494"/>
      <c r="Y7" s="1494" t="str">
        <f>IF(T25=100%," ",'Sources and Basis Breakdown'!G2)</f>
        <v>70% PVC for New Const/
Rehabilitation
NON-DDA/
NON-QCT Building(s)</v>
      </c>
      <c r="Z7" s="1494"/>
      <c r="AA7" s="1494"/>
      <c r="AB7" s="1494"/>
      <c r="AC7" s="1494"/>
      <c r="AD7" s="1494" t="str">
        <f>IF(T25=100%,'Sources and Basis Breakdown'!J2,'Sources and Basis Breakdown'!I2)</f>
        <v>30% PVC for Acquisition
DDA/QCT Building(s)</v>
      </c>
      <c r="AE7" s="1494"/>
      <c r="AF7" s="1494"/>
      <c r="AG7" s="1494"/>
      <c r="AH7" s="1494"/>
      <c r="AI7" s="1494" t="str">
        <f>IF(T25=100%," ",'Sources and Basis Breakdown'!J2)</f>
        <v>30% PVC for Acquisition
NON-DDA/
NON-QCT Building(s)</v>
      </c>
      <c r="AJ7" s="1494"/>
      <c r="AK7" s="1494"/>
      <c r="AL7" s="1494"/>
      <c r="AM7" s="1494"/>
    </row>
    <row r="8" spans="1:40" ht="12.95" customHeight="1">
      <c r="B8" s="146"/>
      <c r="T8" s="1494"/>
      <c r="U8" s="1494"/>
      <c r="V8" s="1494"/>
      <c r="W8" s="1494"/>
      <c r="X8" s="1494"/>
      <c r="Y8" s="1494"/>
      <c r="Z8" s="1494"/>
      <c r="AA8" s="1494"/>
      <c r="AB8" s="1494"/>
      <c r="AC8" s="1494"/>
      <c r="AD8" s="1494"/>
      <c r="AE8" s="1494"/>
      <c r="AF8" s="1494"/>
      <c r="AG8" s="1494"/>
      <c r="AH8" s="1494"/>
      <c r="AI8" s="1494"/>
      <c r="AJ8" s="1494"/>
      <c r="AK8" s="1494"/>
      <c r="AL8" s="1494"/>
      <c r="AM8" s="1494"/>
    </row>
    <row r="9" spans="1:40" ht="12.95" customHeight="1">
      <c r="B9" s="146"/>
      <c r="T9" s="1494"/>
      <c r="U9" s="1494"/>
      <c r="V9" s="1494"/>
      <c r="W9" s="1494"/>
      <c r="X9" s="1494"/>
      <c r="Y9" s="1494"/>
      <c r="Z9" s="1494"/>
      <c r="AA9" s="1494"/>
      <c r="AB9" s="1494"/>
      <c r="AC9" s="1494"/>
      <c r="AD9" s="1494"/>
      <c r="AE9" s="1494"/>
      <c r="AF9" s="1494"/>
      <c r="AG9" s="1494"/>
      <c r="AH9" s="1494"/>
      <c r="AI9" s="1494"/>
      <c r="AJ9" s="1494"/>
      <c r="AK9" s="1494"/>
      <c r="AL9" s="1494"/>
      <c r="AM9" s="1494"/>
    </row>
    <row r="10" spans="1:40" ht="12.95" customHeight="1">
      <c r="B10" s="38"/>
      <c r="C10" s="39"/>
      <c r="D10" s="39"/>
      <c r="E10" s="39"/>
      <c r="F10" s="39"/>
      <c r="G10" s="39"/>
      <c r="H10" s="39"/>
      <c r="I10" s="39"/>
      <c r="J10" s="39"/>
      <c r="K10" s="39"/>
      <c r="L10" s="39"/>
      <c r="M10" s="39"/>
      <c r="N10" s="39"/>
      <c r="O10" s="39"/>
      <c r="P10" s="39"/>
      <c r="Q10" s="39"/>
      <c r="R10" s="39"/>
      <c r="S10" s="39"/>
      <c r="T10" s="1494"/>
      <c r="U10" s="1494"/>
      <c r="V10" s="1494"/>
      <c r="W10" s="1494"/>
      <c r="X10" s="1494"/>
      <c r="Y10" s="1494"/>
      <c r="Z10" s="1494"/>
      <c r="AA10" s="1494"/>
      <c r="AB10" s="1494"/>
      <c r="AC10" s="1494"/>
      <c r="AD10" s="1494"/>
      <c r="AE10" s="1494"/>
      <c r="AF10" s="1494"/>
      <c r="AG10" s="1494"/>
      <c r="AH10" s="1494"/>
      <c r="AI10" s="1494"/>
      <c r="AJ10" s="1494"/>
      <c r="AK10" s="1494"/>
      <c r="AL10" s="1494"/>
      <c r="AM10" s="1494"/>
    </row>
    <row r="11" spans="1:40" ht="12.95" customHeight="1">
      <c r="B11" s="1094" t="s">
        <v>1845</v>
      </c>
      <c r="C11" s="1095"/>
      <c r="D11" s="1095"/>
      <c r="E11" s="1095"/>
      <c r="F11" s="1095"/>
      <c r="G11" s="1095"/>
      <c r="H11" s="1095"/>
      <c r="I11" s="1095"/>
      <c r="J11" s="1095"/>
      <c r="K11" s="1095"/>
      <c r="L11" s="1095"/>
      <c r="M11" s="1095"/>
      <c r="N11" s="1095"/>
      <c r="O11" s="1095"/>
      <c r="P11" s="1095"/>
      <c r="Q11" s="1095"/>
      <c r="R11" s="1095"/>
      <c r="S11" s="1096"/>
      <c r="T11" s="1500">
        <f>IF('Sources and Basis Breakdown'!F105=0,'Sources and Basis Breakdown'!E105,'Sources and Basis Breakdown'!F105)</f>
        <v>36181864.604807153</v>
      </c>
      <c r="U11" s="1495"/>
      <c r="V11" s="1495"/>
      <c r="W11" s="1495"/>
      <c r="X11" s="1495"/>
      <c r="Y11" s="1507">
        <f>IF(Y7=" ",0,IF('Sources and Basis Breakdown'!G105+'Sources and Basis Breakdown'!F105='Sources and Basis Breakdown'!E105,'Sources and Basis Breakdown'!G105,0))</f>
        <v>0</v>
      </c>
      <c r="Z11" s="1495"/>
      <c r="AA11" s="1495"/>
      <c r="AB11" s="1495"/>
      <c r="AC11" s="1495"/>
      <c r="AD11" s="1495">
        <f>IF('Sources and Basis Breakdown'!I105=0,'Sources and Basis Breakdown'!H105,'Sources and Basis Breakdown'!I105)</f>
        <v>0</v>
      </c>
      <c r="AE11" s="1495"/>
      <c r="AF11" s="1495"/>
      <c r="AG11" s="1495"/>
      <c r="AH11" s="1495"/>
      <c r="AI11" s="1495">
        <f>IF(AI7=" ",0,IF('Sources and Basis Breakdown'!I105+'Sources and Basis Breakdown'!J105='Sources and Basis Breakdown'!H105,'Sources and Basis Breakdown'!J105,0))</f>
        <v>0</v>
      </c>
      <c r="AJ11" s="1495"/>
      <c r="AK11" s="1495"/>
      <c r="AL11" s="1495"/>
      <c r="AM11" s="1495"/>
    </row>
    <row r="12" spans="1:40" ht="12.95" customHeight="1">
      <c r="B12" s="1496" t="s">
        <v>1846</v>
      </c>
      <c r="C12" s="979"/>
      <c r="D12" s="979"/>
      <c r="E12" s="979"/>
      <c r="F12" s="979"/>
      <c r="G12" s="979"/>
      <c r="H12" s="979"/>
      <c r="I12" s="979"/>
      <c r="J12" s="979"/>
      <c r="K12" s="979"/>
      <c r="L12" s="979"/>
      <c r="M12" s="979"/>
      <c r="N12" s="979"/>
      <c r="O12" s="979"/>
      <c r="P12" s="979"/>
      <c r="Q12" s="979"/>
      <c r="R12" s="979"/>
      <c r="S12" s="1497"/>
      <c r="T12" s="1503"/>
      <c r="U12" s="1504"/>
      <c r="V12" s="1504"/>
      <c r="W12" s="1504"/>
      <c r="X12" s="1505"/>
      <c r="Y12" s="1503"/>
      <c r="Z12" s="1504"/>
      <c r="AA12" s="1504"/>
      <c r="AB12" s="1504"/>
      <c r="AC12" s="1505"/>
      <c r="AD12" s="1503"/>
      <c r="AE12" s="1504"/>
      <c r="AF12" s="1504"/>
      <c r="AG12" s="1504"/>
      <c r="AH12" s="1505"/>
      <c r="AI12" s="1503"/>
      <c r="AJ12" s="1504"/>
      <c r="AK12" s="1504"/>
      <c r="AL12" s="1504"/>
      <c r="AM12" s="1505"/>
    </row>
    <row r="13" spans="1:40" ht="12.95" customHeight="1">
      <c r="B13" s="7"/>
      <c r="C13" s="1498" t="s">
        <v>1847</v>
      </c>
      <c r="D13" s="1498"/>
      <c r="E13" s="1498"/>
      <c r="F13" s="1498"/>
      <c r="G13" s="1498"/>
      <c r="H13" s="1498"/>
      <c r="I13" s="1498"/>
      <c r="J13" s="1498"/>
      <c r="K13" s="1498"/>
      <c r="L13" s="1498"/>
      <c r="M13" s="1498"/>
      <c r="N13" s="1498"/>
      <c r="O13" s="1498"/>
      <c r="P13" s="1498"/>
      <c r="Q13" s="1498"/>
      <c r="R13" s="1498"/>
      <c r="S13" s="1499"/>
      <c r="T13" s="1501">
        <f>Application!AO624+[2]EVERYTHING!$C$13</f>
        <v>814012</v>
      </c>
      <c r="U13" s="1502"/>
      <c r="V13" s="1502"/>
      <c r="W13" s="1502"/>
      <c r="X13" s="1502"/>
      <c r="Y13" s="1501"/>
      <c r="Z13" s="1502"/>
      <c r="AA13" s="1502"/>
      <c r="AB13" s="1502"/>
      <c r="AC13" s="1502"/>
      <c r="AD13" s="1502"/>
      <c r="AE13" s="1502"/>
      <c r="AF13" s="1502"/>
      <c r="AG13" s="1502"/>
      <c r="AH13" s="1502"/>
      <c r="AI13" s="1502"/>
      <c r="AJ13" s="1502"/>
      <c r="AK13" s="1502"/>
      <c r="AL13" s="1502"/>
      <c r="AM13" s="1502"/>
    </row>
    <row r="14" spans="1:40" ht="12.95" customHeight="1">
      <c r="B14" s="7"/>
      <c r="C14" s="1498" t="s">
        <v>1848</v>
      </c>
      <c r="D14" s="1498"/>
      <c r="E14" s="1498"/>
      <c r="F14" s="1498"/>
      <c r="G14" s="1498"/>
      <c r="H14" s="1498"/>
      <c r="I14" s="1498"/>
      <c r="J14" s="1498"/>
      <c r="K14" s="1498"/>
      <c r="L14" s="1498"/>
      <c r="M14" s="1498"/>
      <c r="N14" s="1498"/>
      <c r="O14" s="1498"/>
      <c r="P14" s="1498"/>
      <c r="Q14" s="1498"/>
      <c r="R14" s="1498"/>
      <c r="S14" s="1499"/>
      <c r="T14" s="1060"/>
      <c r="U14" s="1079"/>
      <c r="V14" s="1079"/>
      <c r="W14" s="1079"/>
      <c r="X14" s="1079"/>
      <c r="Y14" s="1060"/>
      <c r="Z14" s="1079"/>
      <c r="AA14" s="1079"/>
      <c r="AB14" s="1079"/>
      <c r="AC14" s="1079"/>
      <c r="AD14" s="1079"/>
      <c r="AE14" s="1079"/>
      <c r="AF14" s="1079"/>
      <c r="AG14" s="1079"/>
      <c r="AH14" s="1079"/>
      <c r="AI14" s="1079"/>
      <c r="AJ14" s="1079"/>
      <c r="AK14" s="1079"/>
      <c r="AL14" s="1079"/>
      <c r="AM14" s="1079"/>
    </row>
    <row r="15" spans="1:40" ht="12.95" customHeight="1">
      <c r="B15" s="7"/>
      <c r="C15" s="1498" t="s">
        <v>1849</v>
      </c>
      <c r="D15" s="1498"/>
      <c r="E15" s="1498"/>
      <c r="F15" s="1498"/>
      <c r="G15" s="1498"/>
      <c r="H15" s="1498"/>
      <c r="I15" s="1498"/>
      <c r="J15" s="1498"/>
      <c r="K15" s="1498"/>
      <c r="L15" s="1498"/>
      <c r="M15" s="1498"/>
      <c r="N15" s="1498"/>
      <c r="O15" s="1498"/>
      <c r="P15" s="1498"/>
      <c r="Q15" s="1498"/>
      <c r="R15" s="1498"/>
      <c r="S15" s="1499"/>
      <c r="T15" s="1060"/>
      <c r="U15" s="1079"/>
      <c r="V15" s="1079"/>
      <c r="W15" s="1079"/>
      <c r="X15" s="1079"/>
      <c r="Y15" s="1060"/>
      <c r="Z15" s="1079"/>
      <c r="AA15" s="1079"/>
      <c r="AB15" s="1079"/>
      <c r="AC15" s="1079"/>
      <c r="AD15" s="1079"/>
      <c r="AE15" s="1079"/>
      <c r="AF15" s="1079"/>
      <c r="AG15" s="1079"/>
      <c r="AH15" s="1079"/>
      <c r="AI15" s="1079"/>
      <c r="AJ15" s="1079"/>
      <c r="AK15" s="1079"/>
      <c r="AL15" s="1079"/>
      <c r="AM15" s="1079"/>
    </row>
    <row r="16" spans="1:40" ht="12.95" customHeight="1">
      <c r="B16" s="7"/>
      <c r="C16" s="1498" t="s">
        <v>1850</v>
      </c>
      <c r="D16" s="1498"/>
      <c r="E16" s="1498"/>
      <c r="F16" s="1498"/>
      <c r="G16" s="1498"/>
      <c r="H16" s="1498"/>
      <c r="I16" s="1498"/>
      <c r="J16" s="1498"/>
      <c r="K16" s="1498"/>
      <c r="L16" s="1498"/>
      <c r="M16" s="1498"/>
      <c r="N16" s="1498"/>
      <c r="O16" s="1498"/>
      <c r="P16" s="1498"/>
      <c r="Q16" s="1498"/>
      <c r="R16" s="1498"/>
      <c r="S16" s="1499"/>
      <c r="T16" s="1060"/>
      <c r="U16" s="1079"/>
      <c r="V16" s="1079"/>
      <c r="W16" s="1079"/>
      <c r="X16" s="1079"/>
      <c r="Y16" s="1060"/>
      <c r="Z16" s="1079"/>
      <c r="AA16" s="1079"/>
      <c r="AB16" s="1079"/>
      <c r="AC16" s="1079"/>
      <c r="AD16" s="1079"/>
      <c r="AE16" s="1079"/>
      <c r="AF16" s="1079"/>
      <c r="AG16" s="1079"/>
      <c r="AH16" s="1079"/>
      <c r="AI16" s="1079"/>
      <c r="AJ16" s="1079"/>
      <c r="AK16" s="1079"/>
      <c r="AL16" s="1079"/>
      <c r="AM16" s="1079"/>
    </row>
    <row r="17" spans="1:39" ht="12.95" customHeight="1">
      <c r="B17" s="7"/>
      <c r="C17" s="1498" t="s">
        <v>1851</v>
      </c>
      <c r="D17" s="1498"/>
      <c r="E17" s="1498"/>
      <c r="F17" s="1498"/>
      <c r="G17" s="1498"/>
      <c r="H17" s="1498"/>
      <c r="I17" s="1498"/>
      <c r="J17" s="1498"/>
      <c r="K17" s="1498"/>
      <c r="L17" s="1498"/>
      <c r="M17" s="1498"/>
      <c r="N17" s="1498"/>
      <c r="O17" s="1498"/>
      <c r="P17" s="1498"/>
      <c r="Q17" s="1498"/>
      <c r="R17" s="1498"/>
      <c r="S17" s="1499"/>
      <c r="T17" s="1060"/>
      <c r="U17" s="1079"/>
      <c r="V17" s="1079"/>
      <c r="W17" s="1079"/>
      <c r="X17" s="1079"/>
      <c r="Y17" s="1060"/>
      <c r="Z17" s="1079"/>
      <c r="AA17" s="1079"/>
      <c r="AB17" s="1079"/>
      <c r="AC17" s="1079"/>
      <c r="AD17" s="1079"/>
      <c r="AE17" s="1079"/>
      <c r="AF17" s="1079"/>
      <c r="AG17" s="1079"/>
      <c r="AH17" s="1079"/>
      <c r="AI17" s="1079"/>
      <c r="AJ17" s="1079"/>
      <c r="AK17" s="1079"/>
      <c r="AL17" s="1079"/>
      <c r="AM17" s="1079"/>
    </row>
    <row r="18" spans="1:39" ht="12.95" customHeight="1">
      <c r="B18" s="740"/>
      <c r="C18" s="1348" t="s">
        <v>1852</v>
      </c>
      <c r="D18" s="1348"/>
      <c r="E18" s="1348"/>
      <c r="F18" s="1348"/>
      <c r="G18" s="1348"/>
      <c r="H18" s="1348"/>
      <c r="I18" s="1348"/>
      <c r="J18" s="1348"/>
      <c r="K18" s="1348"/>
      <c r="L18" s="1348"/>
      <c r="M18" s="1348"/>
      <c r="N18" s="1348"/>
      <c r="O18" s="1348"/>
      <c r="P18" s="1348"/>
      <c r="Q18" s="1348"/>
      <c r="R18" s="1348"/>
      <c r="S18" s="1349"/>
      <c r="T18" s="1058"/>
      <c r="U18" s="1059"/>
      <c r="V18" s="1059"/>
      <c r="W18" s="1059"/>
      <c r="X18" s="1060"/>
      <c r="Y18" s="1060"/>
      <c r="Z18" s="1079"/>
      <c r="AA18" s="1079"/>
      <c r="AB18" s="1079"/>
      <c r="AC18" s="1079"/>
      <c r="AD18" s="1079"/>
      <c r="AE18" s="1079"/>
      <c r="AF18" s="1079"/>
      <c r="AG18" s="1079"/>
      <c r="AH18" s="1079"/>
      <c r="AI18" s="1079"/>
      <c r="AJ18" s="1079"/>
      <c r="AK18" s="1079"/>
      <c r="AL18" s="1079"/>
      <c r="AM18" s="1079"/>
    </row>
    <row r="19" spans="1:39" ht="12.95" customHeight="1">
      <c r="B19" s="356"/>
      <c r="C19" s="1348" t="s">
        <v>1852</v>
      </c>
      <c r="D19" s="1348"/>
      <c r="E19" s="1348"/>
      <c r="F19" s="1348"/>
      <c r="G19" s="1348"/>
      <c r="H19" s="1348"/>
      <c r="I19" s="1348"/>
      <c r="J19" s="1348"/>
      <c r="K19" s="1348"/>
      <c r="L19" s="1348"/>
      <c r="M19" s="1348"/>
      <c r="N19" s="1348"/>
      <c r="O19" s="1348"/>
      <c r="P19" s="1348"/>
      <c r="Q19" s="1348"/>
      <c r="R19" s="1348"/>
      <c r="S19" s="1349"/>
      <c r="T19" s="1060"/>
      <c r="U19" s="1079"/>
      <c r="V19" s="1079"/>
      <c r="W19" s="1079"/>
      <c r="X19" s="1079"/>
      <c r="Y19" s="1060"/>
      <c r="Z19" s="1079"/>
      <c r="AA19" s="1079"/>
      <c r="AB19" s="1079"/>
      <c r="AC19" s="1079"/>
      <c r="AD19" s="1079"/>
      <c r="AE19" s="1079"/>
      <c r="AF19" s="1079"/>
      <c r="AG19" s="1079"/>
      <c r="AH19" s="1079"/>
      <c r="AI19" s="1079"/>
      <c r="AJ19" s="1079"/>
      <c r="AK19" s="1079"/>
      <c r="AL19" s="1079"/>
      <c r="AM19" s="1079"/>
    </row>
    <row r="20" spans="1:39" ht="12.95" customHeight="1">
      <c r="B20" s="1094" t="s">
        <v>1853</v>
      </c>
      <c r="C20" s="1095"/>
      <c r="D20" s="1095"/>
      <c r="E20" s="1095"/>
      <c r="F20" s="1095"/>
      <c r="G20" s="1095"/>
      <c r="H20" s="1095"/>
      <c r="I20" s="1095"/>
      <c r="J20" s="1095"/>
      <c r="K20" s="1095"/>
      <c r="L20" s="1095"/>
      <c r="M20" s="1095"/>
      <c r="N20" s="1095"/>
      <c r="O20" s="1095"/>
      <c r="P20" s="1095"/>
      <c r="Q20" s="1095"/>
      <c r="R20" s="1095"/>
      <c r="S20" s="1096"/>
      <c r="T20" s="1488">
        <f>SUM(T13:X19)</f>
        <v>814012</v>
      </c>
      <c r="U20" s="1050"/>
      <c r="V20" s="1050"/>
      <c r="W20" s="1050"/>
      <c r="X20" s="1050"/>
      <c r="Y20" s="1488">
        <f>SUM(Y13:AC19)</f>
        <v>0</v>
      </c>
      <c r="Z20" s="1050"/>
      <c r="AA20" s="1050"/>
      <c r="AB20" s="1050"/>
      <c r="AC20" s="1050"/>
      <c r="AD20" s="1050">
        <f>SUM(AD13:AH19)</f>
        <v>0</v>
      </c>
      <c r="AE20" s="1050"/>
      <c r="AF20" s="1050"/>
      <c r="AG20" s="1050"/>
      <c r="AH20" s="1050"/>
      <c r="AI20" s="1050">
        <f>SUM(AI13:AM19)</f>
        <v>0</v>
      </c>
      <c r="AJ20" s="1050"/>
      <c r="AK20" s="1050"/>
      <c r="AL20" s="1050"/>
      <c r="AM20" s="1050"/>
    </row>
    <row r="21" spans="1:39" ht="12.95" customHeight="1">
      <c r="B21" s="1094" t="s">
        <v>1854</v>
      </c>
      <c r="C21" s="1095"/>
      <c r="D21" s="1095"/>
      <c r="E21" s="1095"/>
      <c r="F21" s="1095"/>
      <c r="G21" s="1095"/>
      <c r="H21" s="1095"/>
      <c r="I21" s="1095"/>
      <c r="J21" s="1095"/>
      <c r="K21" s="1095"/>
      <c r="L21" s="1095"/>
      <c r="M21" s="1095"/>
      <c r="N21" s="1095"/>
      <c r="O21" s="1095"/>
      <c r="P21" s="1095"/>
      <c r="Q21" s="1095"/>
      <c r="R21" s="1095"/>
      <c r="S21" s="1096"/>
      <c r="T21" s="1060">
        <f>ROUND(T11-T13-[1]EVERYTHING!$C$131,0)</f>
        <v>15057330</v>
      </c>
      <c r="U21" s="1079"/>
      <c r="V21" s="1079"/>
      <c r="W21" s="1079"/>
      <c r="X21" s="1079"/>
      <c r="Y21" s="1060"/>
      <c r="Z21" s="1079"/>
      <c r="AA21" s="1079"/>
      <c r="AB21" s="1079"/>
      <c r="AC21" s="1079"/>
      <c r="AD21" s="1060"/>
      <c r="AE21" s="1079"/>
      <c r="AF21" s="1079"/>
      <c r="AG21" s="1079"/>
      <c r="AH21" s="1079"/>
      <c r="AI21" s="1060"/>
      <c r="AJ21" s="1079"/>
      <c r="AK21" s="1079"/>
      <c r="AL21" s="1079"/>
      <c r="AM21" s="1079"/>
    </row>
    <row r="22" spans="1:39" ht="12.95" customHeight="1">
      <c r="B22" s="1094" t="s">
        <v>1855</v>
      </c>
      <c r="C22" s="1095"/>
      <c r="D22" s="1095"/>
      <c r="E22" s="1095"/>
      <c r="F22" s="1095"/>
      <c r="G22" s="1095"/>
      <c r="H22" s="1095"/>
      <c r="I22" s="1095"/>
      <c r="J22" s="1095"/>
      <c r="K22" s="1095"/>
      <c r="L22" s="1095"/>
      <c r="M22" s="1095"/>
      <c r="N22" s="1095"/>
      <c r="O22" s="1095"/>
      <c r="P22" s="1095"/>
      <c r="Q22" s="1095"/>
      <c r="R22" s="1095"/>
      <c r="S22" s="1096"/>
      <c r="T22" s="1489">
        <f>(ABS(T20)+ABS(T21))*-1</f>
        <v>-15871342</v>
      </c>
      <c r="U22" s="1490"/>
      <c r="V22" s="1490"/>
      <c r="W22" s="1490"/>
      <c r="X22" s="1490"/>
      <c r="Y22" s="1489">
        <f t="shared" ref="Y22" si="0">(ABS(Y20)+ABS(Y21))*-1</f>
        <v>0</v>
      </c>
      <c r="Z22" s="1490"/>
      <c r="AA22" s="1490"/>
      <c r="AB22" s="1490"/>
      <c r="AC22" s="1490"/>
      <c r="AD22" s="1489">
        <f t="shared" ref="AD22" si="1">(ABS(AD20)+ABS(AD21))*-1</f>
        <v>0</v>
      </c>
      <c r="AE22" s="1490"/>
      <c r="AF22" s="1490"/>
      <c r="AG22" s="1490"/>
      <c r="AH22" s="1490"/>
      <c r="AI22" s="1489">
        <f t="shared" ref="AI22" si="2">(ABS(AI20)+ABS(AI21))*-1</f>
        <v>0</v>
      </c>
      <c r="AJ22" s="1490"/>
      <c r="AK22" s="1490"/>
      <c r="AL22" s="1490"/>
      <c r="AM22" s="1490"/>
    </row>
    <row r="23" spans="1:39" ht="12.95" customHeight="1">
      <c r="B23" s="1094" t="s">
        <v>1856</v>
      </c>
      <c r="C23" s="1095"/>
      <c r="D23" s="1095"/>
      <c r="E23" s="1095"/>
      <c r="F23" s="1095"/>
      <c r="G23" s="1095"/>
      <c r="H23" s="1095"/>
      <c r="I23" s="1095"/>
      <c r="J23" s="1095"/>
      <c r="K23" s="1095"/>
      <c r="L23" s="1095"/>
      <c r="M23" s="1095"/>
      <c r="N23" s="1095"/>
      <c r="O23" s="1095"/>
      <c r="P23" s="1095"/>
      <c r="Q23" s="1095"/>
      <c r="R23" s="1095"/>
      <c r="S23" s="1096"/>
      <c r="T23" s="1488">
        <f>T11+T22</f>
        <v>20310522.604807153</v>
      </c>
      <c r="U23" s="1050"/>
      <c r="V23" s="1050"/>
      <c r="W23" s="1050"/>
      <c r="X23" s="1050"/>
      <c r="Y23" s="1488">
        <f>Y11+Y22</f>
        <v>0</v>
      </c>
      <c r="Z23" s="1050"/>
      <c r="AA23" s="1050"/>
      <c r="AB23" s="1050"/>
      <c r="AC23" s="1050"/>
      <c r="AD23" s="1488">
        <f>IF(AD11=AD21,0,AD11)</f>
        <v>0</v>
      </c>
      <c r="AE23" s="1050"/>
      <c r="AF23" s="1050"/>
      <c r="AG23" s="1050"/>
      <c r="AH23" s="1050"/>
      <c r="AI23" s="1488">
        <f>IF(AI11=AI21,0,AI11)</f>
        <v>0</v>
      </c>
      <c r="AJ23" s="1050"/>
      <c r="AK23" s="1050"/>
      <c r="AL23" s="1050"/>
      <c r="AM23" s="1050"/>
    </row>
    <row r="24" spans="1:39" ht="12.95" customHeight="1">
      <c r="B24" s="1094" t="s">
        <v>1857</v>
      </c>
      <c r="C24" s="1095"/>
      <c r="D24" s="1095"/>
      <c r="E24" s="1095"/>
      <c r="F24" s="1095"/>
      <c r="G24" s="1095"/>
      <c r="H24" s="1095"/>
      <c r="I24" s="1095"/>
      <c r="J24" s="1095"/>
      <c r="K24" s="1095"/>
      <c r="L24" s="1095"/>
      <c r="M24" s="1095"/>
      <c r="N24" s="1095"/>
      <c r="O24" s="1095"/>
      <c r="P24" s="1095"/>
      <c r="Q24" s="1095"/>
      <c r="R24" s="1095"/>
      <c r="S24" s="1096"/>
      <c r="T24" s="1486">
        <f>Application!AJ988</f>
        <v>34955262</v>
      </c>
      <c r="U24" s="1487"/>
      <c r="V24" s="1487"/>
      <c r="W24" s="1487"/>
      <c r="X24" s="1487"/>
      <c r="Y24" s="1487"/>
      <c r="Z24" s="1487"/>
      <c r="AA24" s="1487"/>
      <c r="AB24" s="1487"/>
      <c r="AC24" s="1487"/>
      <c r="AD24" s="1487"/>
      <c r="AE24" s="1487"/>
      <c r="AF24" s="1487"/>
      <c r="AG24" s="1487"/>
      <c r="AH24" s="1487"/>
      <c r="AI24" s="1487"/>
      <c r="AJ24" s="1487"/>
      <c r="AK24" s="1487"/>
      <c r="AL24" s="1487"/>
      <c r="AM24" s="1488"/>
    </row>
    <row r="25" spans="1:39" ht="12.95" customHeight="1">
      <c r="B25" s="1481" t="s">
        <v>1858</v>
      </c>
      <c r="C25" s="1482"/>
      <c r="D25" s="1482"/>
      <c r="E25" s="1482"/>
      <c r="F25" s="1482"/>
      <c r="G25" s="1482"/>
      <c r="H25" s="1482"/>
      <c r="I25" s="1482"/>
      <c r="J25" s="1482"/>
      <c r="K25" s="1482"/>
      <c r="L25" s="1482"/>
      <c r="M25" s="1482"/>
      <c r="N25" s="1482"/>
      <c r="O25" s="1482"/>
      <c r="P25" s="1482"/>
      <c r="Q25" s="1482"/>
      <c r="R25" s="1482"/>
      <c r="S25" s="1483"/>
      <c r="T25" s="1491">
        <f>IF(OR(AND(Application!T193="no",Application!T194="no",Application!T196="no",Application!Y211="no"),Application!T195="yes"),1,1.3)</f>
        <v>1.3</v>
      </c>
      <c r="U25" s="1492"/>
      <c r="V25" s="1492"/>
      <c r="W25" s="1492"/>
      <c r="X25" s="1492"/>
      <c r="Y25" s="1491">
        <v>1</v>
      </c>
      <c r="Z25" s="1492"/>
      <c r="AA25" s="1492"/>
      <c r="AB25" s="1492"/>
      <c r="AC25" s="1493"/>
      <c r="AD25" s="1491">
        <v>1</v>
      </c>
      <c r="AE25" s="1492"/>
      <c r="AF25" s="1492"/>
      <c r="AG25" s="1492"/>
      <c r="AH25" s="1493"/>
      <c r="AI25" s="1491">
        <v>1</v>
      </c>
      <c r="AJ25" s="1492"/>
      <c r="AK25" s="1492"/>
      <c r="AL25" s="1492"/>
      <c r="AM25" s="1493"/>
    </row>
    <row r="26" spans="1:39" ht="12.95" customHeight="1">
      <c r="B26" s="1094" t="s">
        <v>1859</v>
      </c>
      <c r="C26" s="1095"/>
      <c r="D26" s="1095"/>
      <c r="E26" s="1095"/>
      <c r="F26" s="1095"/>
      <c r="G26" s="1095"/>
      <c r="H26" s="1095"/>
      <c r="I26" s="1095"/>
      <c r="J26" s="1095"/>
      <c r="K26" s="1095"/>
      <c r="L26" s="1095"/>
      <c r="M26" s="1095"/>
      <c r="N26" s="1095"/>
      <c r="O26" s="1095"/>
      <c r="P26" s="1095"/>
      <c r="Q26" s="1095"/>
      <c r="R26" s="1095"/>
      <c r="S26" s="1096"/>
      <c r="T26" s="1136">
        <f>T23*T25</f>
        <v>26403679.3862493</v>
      </c>
      <c r="U26" s="1248"/>
      <c r="V26" s="1248"/>
      <c r="W26" s="1248"/>
      <c r="X26" s="1248"/>
      <c r="Y26" s="1136">
        <f>Y23*Y25</f>
        <v>0</v>
      </c>
      <c r="Z26" s="1248"/>
      <c r="AA26" s="1248"/>
      <c r="AB26" s="1248"/>
      <c r="AC26" s="1248"/>
      <c r="AD26" s="1136">
        <f>AD23*AD25</f>
        <v>0</v>
      </c>
      <c r="AE26" s="1248"/>
      <c r="AF26" s="1248"/>
      <c r="AG26" s="1248"/>
      <c r="AH26" s="1248"/>
      <c r="AI26" s="1136">
        <f>AI23*AI25</f>
        <v>0</v>
      </c>
      <c r="AJ26" s="1248"/>
      <c r="AK26" s="1248"/>
      <c r="AL26" s="1248"/>
      <c r="AM26" s="1248"/>
    </row>
    <row r="27" spans="1:39" ht="12.95" customHeight="1">
      <c r="A27" s="3"/>
      <c r="B27" s="1481" t="s">
        <v>1860</v>
      </c>
      <c r="C27" s="1482"/>
      <c r="D27" s="1482"/>
      <c r="E27" s="1482"/>
      <c r="F27" s="1482"/>
      <c r="G27" s="1482"/>
      <c r="H27" s="1482"/>
      <c r="I27" s="1482"/>
      <c r="J27" s="1482"/>
      <c r="K27" s="1482"/>
      <c r="L27" s="1482"/>
      <c r="M27" s="1482"/>
      <c r="N27" s="1482"/>
      <c r="O27" s="1482"/>
      <c r="P27" s="1482"/>
      <c r="Q27" s="1482"/>
      <c r="R27" s="1482"/>
      <c r="S27" s="1483"/>
      <c r="T27" s="1484">
        <f>Application!AG438</f>
        <v>1</v>
      </c>
      <c r="U27" s="1485"/>
      <c r="V27" s="1485"/>
      <c r="W27" s="1485"/>
      <c r="X27" s="1485"/>
      <c r="Y27" s="1484">
        <f>Application!AG438</f>
        <v>1</v>
      </c>
      <c r="Z27" s="1485"/>
      <c r="AA27" s="1485"/>
      <c r="AB27" s="1485"/>
      <c r="AC27" s="1485"/>
      <c r="AD27" s="1484">
        <f>Application!AG438</f>
        <v>1</v>
      </c>
      <c r="AE27" s="1485"/>
      <c r="AF27" s="1485"/>
      <c r="AG27" s="1485"/>
      <c r="AH27" s="1485"/>
      <c r="AI27" s="1484">
        <f>Application!AG438</f>
        <v>1</v>
      </c>
      <c r="AJ27" s="1485"/>
      <c r="AK27" s="1485"/>
      <c r="AL27" s="1485"/>
      <c r="AM27" s="1485"/>
    </row>
    <row r="28" spans="1:39" ht="12.95" customHeight="1">
      <c r="A28" s="2"/>
      <c r="B28" s="1094" t="s">
        <v>1861</v>
      </c>
      <c r="C28" s="1095"/>
      <c r="D28" s="1095"/>
      <c r="E28" s="1095"/>
      <c r="F28" s="1095"/>
      <c r="G28" s="1095"/>
      <c r="H28" s="1095"/>
      <c r="I28" s="1095"/>
      <c r="J28" s="1095"/>
      <c r="K28" s="1095"/>
      <c r="L28" s="1095"/>
      <c r="M28" s="1095"/>
      <c r="N28" s="1095"/>
      <c r="O28" s="1095"/>
      <c r="P28" s="1095"/>
      <c r="Q28" s="1095"/>
      <c r="R28" s="1095"/>
      <c r="S28" s="1096"/>
      <c r="T28" s="1136">
        <f>IF(ISERROR((T26*T27)),0,(T26*T27))</f>
        <v>26403679.3862493</v>
      </c>
      <c r="U28" s="1248"/>
      <c r="V28" s="1248"/>
      <c r="W28" s="1248"/>
      <c r="X28" s="1248"/>
      <c r="Y28" s="1136">
        <f>IF(ISERROR((Y26*Y27)),0,(Y26*Y27))</f>
        <v>0</v>
      </c>
      <c r="Z28" s="1248"/>
      <c r="AA28" s="1248"/>
      <c r="AB28" s="1248"/>
      <c r="AC28" s="1248"/>
      <c r="AD28" s="1136">
        <f>IF(ISERROR((AD26*AD27)),0,(AD26*AD27))</f>
        <v>0</v>
      </c>
      <c r="AE28" s="1248"/>
      <c r="AF28" s="1248"/>
      <c r="AG28" s="1248"/>
      <c r="AH28" s="1248"/>
      <c r="AI28" s="1136">
        <f>IF(ISERROR((AI26*AI27)),0,(AI26*AI27))</f>
        <v>0</v>
      </c>
      <c r="AJ28" s="1248"/>
      <c r="AK28" s="1248"/>
      <c r="AL28" s="1248"/>
      <c r="AM28" s="1248"/>
    </row>
    <row r="29" spans="1:39" ht="12.95" customHeight="1">
      <c r="B29" s="1094" t="s">
        <v>1862</v>
      </c>
      <c r="C29" s="1095"/>
      <c r="D29" s="1095"/>
      <c r="E29" s="1095"/>
      <c r="F29" s="1095"/>
      <c r="G29" s="1095"/>
      <c r="H29" s="1095"/>
      <c r="I29" s="1095"/>
      <c r="J29" s="1095"/>
      <c r="K29" s="1095"/>
      <c r="L29" s="1095"/>
      <c r="M29" s="1095"/>
      <c r="N29" s="1095"/>
      <c r="O29" s="1095"/>
      <c r="P29" s="1095"/>
      <c r="Q29" s="1095"/>
      <c r="R29" s="1095"/>
      <c r="S29" s="1096"/>
      <c r="T29" s="1486">
        <f>T28+Y28+AD28+AI28</f>
        <v>26403679.3862493</v>
      </c>
      <c r="U29" s="1487"/>
      <c r="V29" s="1487"/>
      <c r="W29" s="1487"/>
      <c r="X29" s="1487"/>
      <c r="Y29" s="1487"/>
      <c r="Z29" s="1487"/>
      <c r="AA29" s="1487"/>
      <c r="AB29" s="1487"/>
      <c r="AC29" s="1487"/>
      <c r="AD29" s="1487"/>
      <c r="AE29" s="1487"/>
      <c r="AF29" s="1487"/>
      <c r="AG29" s="1487"/>
      <c r="AH29" s="1487"/>
      <c r="AI29" s="1487"/>
      <c r="AJ29" s="1487"/>
      <c r="AK29" s="1487"/>
      <c r="AL29" s="1487"/>
      <c r="AM29" s="1488"/>
    </row>
    <row r="30" spans="1:39" ht="12.95" customHeight="1">
      <c r="B30" s="1520" t="s">
        <v>1863</v>
      </c>
      <c r="C30" s="1520"/>
      <c r="D30" s="1520"/>
      <c r="E30" s="1520"/>
      <c r="F30" s="1520"/>
      <c r="G30" s="1520"/>
      <c r="H30" s="1520"/>
      <c r="I30" s="1520"/>
      <c r="J30" s="1520"/>
      <c r="K30" s="1520"/>
      <c r="L30" s="1520"/>
      <c r="M30" s="1520"/>
      <c r="N30" s="1520"/>
      <c r="O30" s="1520"/>
      <c r="P30" s="1520"/>
      <c r="Q30" s="1520"/>
      <c r="R30" s="1520"/>
      <c r="S30" s="1520"/>
      <c r="T30" s="1520"/>
      <c r="U30" s="1520"/>
      <c r="V30" s="1520"/>
      <c r="W30" s="1520"/>
      <c r="X30" s="1520"/>
      <c r="Y30" s="1520"/>
      <c r="Z30" s="1520"/>
      <c r="AA30" s="1520"/>
      <c r="AB30" s="1520"/>
      <c r="AC30" s="1520"/>
      <c r="AD30" s="1520"/>
      <c r="AE30" s="1520"/>
      <c r="AF30" s="1520"/>
      <c r="AG30" s="1520"/>
      <c r="AH30" s="1520"/>
      <c r="AI30" s="1520"/>
      <c r="AJ30" s="1520"/>
      <c r="AK30" s="1520"/>
      <c r="AL30" s="1520"/>
      <c r="AM30" s="1520"/>
    </row>
    <row r="31" spans="1:39" ht="12.95" customHeight="1">
      <c r="B31" s="1521" t="s">
        <v>1864</v>
      </c>
      <c r="C31" s="1521"/>
      <c r="D31" s="1521"/>
      <c r="E31" s="1521"/>
      <c r="F31" s="1521"/>
      <c r="G31" s="1521"/>
      <c r="H31" s="1521"/>
      <c r="I31" s="1521"/>
      <c r="J31" s="1521"/>
      <c r="K31" s="1521"/>
      <c r="L31" s="1521"/>
      <c r="M31" s="1521"/>
      <c r="N31" s="1521"/>
      <c r="O31" s="1521"/>
      <c r="P31" s="1521"/>
      <c r="Q31" s="1521"/>
      <c r="R31" s="1521"/>
      <c r="S31" s="1521"/>
      <c r="T31" s="1521"/>
      <c r="U31" s="1521"/>
      <c r="V31" s="1521"/>
      <c r="W31" s="1521"/>
      <c r="X31" s="1521"/>
      <c r="Y31" s="1521"/>
      <c r="Z31" s="1521"/>
      <c r="AA31" s="1521"/>
      <c r="AB31" s="1521"/>
      <c r="AC31" s="1521"/>
      <c r="AD31" s="1521"/>
      <c r="AE31" s="1521"/>
      <c r="AF31" s="1521"/>
      <c r="AG31" s="1521"/>
      <c r="AH31" s="1521"/>
      <c r="AI31" s="1521"/>
      <c r="AJ31" s="1521"/>
      <c r="AK31" s="1521"/>
      <c r="AL31" s="1521"/>
      <c r="AM31" s="1521"/>
    </row>
    <row r="33" spans="1:44" ht="12.95" customHeight="1">
      <c r="C33" s="3"/>
      <c r="X33" s="836"/>
      <c r="Y33" s="132"/>
      <c r="Z33" s="132"/>
      <c r="AA33" s="132"/>
      <c r="AB33" s="132"/>
      <c r="AC33" s="132"/>
      <c r="AD33" s="132"/>
      <c r="AE33" s="132"/>
      <c r="AF33" s="132"/>
      <c r="AG33" s="132"/>
      <c r="AH33" s="132"/>
    </row>
    <row r="34" spans="1:44" ht="12.95" customHeight="1">
      <c r="A34" s="2" t="s">
        <v>889</v>
      </c>
      <c r="C34" s="2" t="s">
        <v>276</v>
      </c>
    </row>
    <row r="35" spans="1:44" ht="12.95" customHeight="1">
      <c r="B35" s="5"/>
      <c r="C35" s="6"/>
      <c r="D35" s="6"/>
      <c r="E35" s="6"/>
      <c r="F35" s="6"/>
      <c r="G35" s="6"/>
      <c r="H35" s="6"/>
      <c r="I35" s="6"/>
      <c r="J35" s="6"/>
      <c r="K35" s="6"/>
      <c r="L35" s="6"/>
      <c r="M35" s="6"/>
      <c r="N35" s="6"/>
      <c r="O35" s="6"/>
      <c r="P35" s="6"/>
      <c r="Q35" s="6"/>
      <c r="R35" s="6"/>
      <c r="S35" s="6"/>
      <c r="T35" s="6"/>
      <c r="U35" s="6"/>
      <c r="V35" s="6"/>
      <c r="W35" s="6"/>
      <c r="X35" s="44"/>
      <c r="Y35" s="1494" t="s">
        <v>1865</v>
      </c>
      <c r="Z35" s="1494"/>
      <c r="AA35" s="1494"/>
      <c r="AB35" s="1494"/>
      <c r="AC35" s="1494"/>
      <c r="AD35" s="1130" t="s">
        <v>1866</v>
      </c>
      <c r="AE35" s="1130"/>
      <c r="AF35" s="1130"/>
      <c r="AG35" s="1130"/>
      <c r="AH35" s="1130"/>
    </row>
    <row r="36" spans="1:44" ht="12.95" customHeight="1">
      <c r="B36" s="146"/>
      <c r="X36" s="47"/>
      <c r="Y36" s="1494"/>
      <c r="Z36" s="1494"/>
      <c r="AA36" s="1494"/>
      <c r="AB36" s="1494"/>
      <c r="AC36" s="1494"/>
      <c r="AD36" s="1130"/>
      <c r="AE36" s="1130"/>
      <c r="AF36" s="1130"/>
      <c r="AG36" s="1130"/>
      <c r="AH36" s="1130"/>
    </row>
    <row r="37" spans="1:44" ht="12.95" customHeight="1">
      <c r="B37" s="38"/>
      <c r="C37" s="39"/>
      <c r="D37" s="39"/>
      <c r="E37" s="39"/>
      <c r="F37" s="39"/>
      <c r="G37" s="39"/>
      <c r="H37" s="39"/>
      <c r="I37" s="39"/>
      <c r="J37" s="39"/>
      <c r="K37" s="39"/>
      <c r="L37" s="39"/>
      <c r="M37" s="39"/>
      <c r="N37" s="39"/>
      <c r="O37" s="39"/>
      <c r="P37" s="39"/>
      <c r="Q37" s="39"/>
      <c r="R37" s="39"/>
      <c r="S37" s="39"/>
      <c r="T37" s="39"/>
      <c r="U37" s="39"/>
      <c r="V37" s="39"/>
      <c r="W37" s="39"/>
      <c r="X37" s="40"/>
      <c r="Y37" s="1494"/>
      <c r="Z37" s="1494"/>
      <c r="AA37" s="1494"/>
      <c r="AB37" s="1494"/>
      <c r="AC37" s="1494"/>
      <c r="AD37" s="1130"/>
      <c r="AE37" s="1130"/>
      <c r="AF37" s="1130"/>
      <c r="AG37" s="1130"/>
      <c r="AH37" s="1130"/>
    </row>
    <row r="38" spans="1:44" ht="12.95" customHeight="1">
      <c r="A38" s="2"/>
      <c r="B38" s="1094" t="s">
        <v>1861</v>
      </c>
      <c r="C38" s="1095"/>
      <c r="D38" s="1095"/>
      <c r="E38" s="1095"/>
      <c r="F38" s="1095"/>
      <c r="G38" s="1095"/>
      <c r="H38" s="1095"/>
      <c r="I38" s="1095"/>
      <c r="J38" s="1095"/>
      <c r="K38" s="1095"/>
      <c r="L38" s="1095"/>
      <c r="M38" s="1095"/>
      <c r="N38" s="1095"/>
      <c r="O38" s="1095"/>
      <c r="P38" s="1095"/>
      <c r="Q38" s="1095"/>
      <c r="R38" s="1095"/>
      <c r="S38" s="1095"/>
      <c r="T38" s="1095"/>
      <c r="U38" s="1095"/>
      <c r="V38" s="1095"/>
      <c r="W38" s="1095"/>
      <c r="X38" s="1096"/>
      <c r="Y38" s="1050">
        <f>IF(T24&gt;=(T23+Y23+AD23+AI23),T28+Y28,0)</f>
        <v>26403679.3862493</v>
      </c>
      <c r="Z38" s="1050"/>
      <c r="AA38" s="1050"/>
      <c r="AB38" s="1050"/>
      <c r="AC38" s="1050"/>
      <c r="AD38" s="1050">
        <f>IF(T24&gt;=(T23+Y23+AD23+AI23),AD28+AI28,0)</f>
        <v>0</v>
      </c>
      <c r="AE38" s="1050"/>
      <c r="AF38" s="1050"/>
      <c r="AG38" s="1050"/>
      <c r="AH38" s="1050"/>
    </row>
    <row r="39" spans="1:44" ht="12.95" customHeight="1">
      <c r="B39" s="1094" t="s">
        <v>1867</v>
      </c>
      <c r="C39" s="1095"/>
      <c r="D39" s="1095"/>
      <c r="E39" s="1095"/>
      <c r="F39" s="1095"/>
      <c r="G39" s="1095"/>
      <c r="H39" s="1095"/>
      <c r="I39" s="1095"/>
      <c r="J39" s="1095"/>
      <c r="K39" s="1095"/>
      <c r="L39" s="1095"/>
      <c r="M39" s="1095"/>
      <c r="N39" s="1095"/>
      <c r="O39" s="1095"/>
      <c r="P39" s="1095"/>
      <c r="Q39" s="1095"/>
      <c r="R39" s="1095"/>
      <c r="S39" s="1095"/>
      <c r="T39" s="1095"/>
      <c r="U39" s="1095"/>
      <c r="V39" s="1095"/>
      <c r="W39" s="1095"/>
      <c r="X39" s="1096"/>
      <c r="Y39" s="1525">
        <v>0.09</v>
      </c>
      <c r="Z39" s="1525"/>
      <c r="AA39" s="1525"/>
      <c r="AB39" s="1525"/>
      <c r="AC39" s="1525"/>
      <c r="AD39" s="1525">
        <v>0.04</v>
      </c>
      <c r="AE39" s="1525"/>
      <c r="AF39" s="1525"/>
      <c r="AG39" s="1525"/>
      <c r="AH39" s="1525"/>
    </row>
    <row r="40" spans="1:44" ht="12.95" customHeight="1">
      <c r="A40" s="2"/>
      <c r="B40" s="1094" t="s">
        <v>1868</v>
      </c>
      <c r="C40" s="1095"/>
      <c r="D40" s="1095"/>
      <c r="E40" s="1095"/>
      <c r="F40" s="1095"/>
      <c r="G40" s="1095"/>
      <c r="H40" s="1095"/>
      <c r="I40" s="1095"/>
      <c r="J40" s="1095"/>
      <c r="K40" s="1095"/>
      <c r="L40" s="1095"/>
      <c r="M40" s="1095"/>
      <c r="N40" s="1095"/>
      <c r="O40" s="1095"/>
      <c r="P40" s="1095"/>
      <c r="Q40" s="1095"/>
      <c r="R40" s="1095"/>
      <c r="S40" s="1095"/>
      <c r="T40" s="1095"/>
      <c r="U40" s="1095"/>
      <c r="V40" s="1095"/>
      <c r="W40" s="1095"/>
      <c r="X40" s="1096"/>
      <c r="Y40" s="1050">
        <f>ROUND(Y38*Y39,0)</f>
        <v>2376331</v>
      </c>
      <c r="Z40" s="1050"/>
      <c r="AA40" s="1050"/>
      <c r="AB40" s="1050"/>
      <c r="AC40" s="1050"/>
      <c r="AD40" s="1488">
        <f>ROUND(AD38*AD39,0)</f>
        <v>0</v>
      </c>
      <c r="AE40" s="1050"/>
      <c r="AF40" s="1050"/>
      <c r="AG40" s="1050"/>
      <c r="AH40" s="1050"/>
    </row>
    <row r="41" spans="1:44" ht="12.95" customHeight="1">
      <c r="B41" s="1094" t="s">
        <v>1869</v>
      </c>
      <c r="C41" s="1095"/>
      <c r="D41" s="1095"/>
      <c r="E41" s="1095"/>
      <c r="F41" s="1095"/>
      <c r="G41" s="1095"/>
      <c r="H41" s="1095"/>
      <c r="I41" s="1095"/>
      <c r="J41" s="1095"/>
      <c r="K41" s="1095"/>
      <c r="L41" s="1095"/>
      <c r="M41" s="1095"/>
      <c r="N41" s="1095"/>
      <c r="O41" s="1095"/>
      <c r="P41" s="1095"/>
      <c r="Q41" s="1095"/>
      <c r="R41" s="1095"/>
      <c r="S41" s="1095"/>
      <c r="T41" s="1095"/>
      <c r="U41" s="1095"/>
      <c r="V41" s="1095"/>
      <c r="W41" s="1095"/>
      <c r="X41" s="1096"/>
      <c r="Y41" s="1486">
        <f>IF(Application!Y211="No",'Basis &amp; Credits'!AR42,AR43)</f>
        <v>2376331</v>
      </c>
      <c r="Z41" s="1487"/>
      <c r="AA41" s="1487"/>
      <c r="AB41" s="1487"/>
      <c r="AC41" s="1487"/>
      <c r="AD41" s="1487"/>
      <c r="AE41" s="1487"/>
      <c r="AF41" s="1487"/>
      <c r="AG41" s="1487"/>
      <c r="AH41" s="1488"/>
    </row>
    <row r="42" spans="1:44" ht="12.95" customHeight="1">
      <c r="A42" s="2"/>
      <c r="B42" s="1515" t="s">
        <v>1870</v>
      </c>
      <c r="C42" s="1515"/>
      <c r="D42" s="1515"/>
      <c r="E42" s="1515"/>
      <c r="F42" s="1515"/>
      <c r="G42" s="1515"/>
      <c r="H42" s="1515"/>
      <c r="I42" s="1515"/>
      <c r="J42" s="1515"/>
      <c r="K42" s="1515"/>
      <c r="L42" s="1515"/>
      <c r="M42" s="1515"/>
      <c r="N42" s="1515"/>
      <c r="O42" s="1515"/>
      <c r="P42" s="1515"/>
      <c r="Q42" s="1515"/>
      <c r="R42" s="1515"/>
      <c r="S42" s="1515"/>
      <c r="T42" s="1515"/>
      <c r="U42" s="1515"/>
      <c r="V42" s="1515"/>
      <c r="W42" s="1515"/>
      <c r="X42" s="1515"/>
      <c r="Y42" s="1515"/>
      <c r="Z42" s="1515"/>
      <c r="AA42" s="1515"/>
      <c r="AB42" s="1515"/>
      <c r="AC42" s="1515"/>
      <c r="AD42" s="1515"/>
      <c r="AE42" s="1515"/>
      <c r="AF42" s="1515"/>
      <c r="AG42" s="1515"/>
      <c r="AH42" s="1515"/>
      <c r="AI42" s="22"/>
      <c r="AJ42" s="22"/>
      <c r="AK42" s="22"/>
      <c r="AL42" s="22"/>
      <c r="AM42" s="22"/>
      <c r="AN42" s="22"/>
      <c r="AR42">
        <f>IF((Y40+AD40)&gt;2500000,2500000,Y40+AD40)</f>
        <v>2376331</v>
      </c>
    </row>
    <row r="43" spans="1:44" ht="12.95" customHeight="1">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R43">
        <f>IF((Y40+AD40)&gt;4000000,4000000,Y40+AD40)</f>
        <v>2376331</v>
      </c>
    </row>
    <row r="44" spans="1:44" ht="12.95" customHeight="1">
      <c r="A44" s="2"/>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44" ht="12.95" customHeight="1">
      <c r="A45" s="2" t="s">
        <v>973</v>
      </c>
      <c r="C45" s="2" t="s">
        <v>279</v>
      </c>
    </row>
    <row r="46" spans="1:44" ht="12.95" customHeight="1">
      <c r="D46" s="2" t="s">
        <v>1871</v>
      </c>
      <c r="AB46" s="1111">
        <f>'Sources and Uses Budget'!B104-(MAX(IF('Sources and Uses Budget'!B15="",0,'Sources and Uses Budget'!B15),IF(Application!AG387="",0,Application!AG387)))</f>
        <v>40963765.945813194</v>
      </c>
      <c r="AC46" s="1112"/>
      <c r="AD46" s="1112"/>
      <c r="AE46" s="1112"/>
      <c r="AF46" s="1113"/>
    </row>
    <row r="47" spans="1:44" ht="12.95" customHeight="1">
      <c r="D47" s="2" t="s">
        <v>184</v>
      </c>
      <c r="AB47" s="1111">
        <f>Application!AO630-MAX(IF('Sources and Uses Budget'!B15="",0,'Sources and Uses Budget'!B15),IF(Application!AG387="",0,Application!AG387))</f>
        <v>19008886</v>
      </c>
      <c r="AC47" s="1112"/>
      <c r="AD47" s="1112"/>
      <c r="AE47" s="1112"/>
      <c r="AF47" s="1113"/>
    </row>
    <row r="48" spans="1:44" ht="12.95" customHeight="1">
      <c r="D48" s="2" t="s">
        <v>1872</v>
      </c>
      <c r="AB48" s="1111">
        <f>AB46-AB47</f>
        <v>21954879.945813194</v>
      </c>
      <c r="AC48" s="1112"/>
      <c r="AD48" s="1112"/>
      <c r="AE48" s="1112"/>
      <c r="AF48" s="1113"/>
    </row>
    <row r="49" spans="1:40" ht="12.95" customHeight="1">
      <c r="D49" s="2" t="s">
        <v>1873</v>
      </c>
      <c r="AA49" s="27"/>
      <c r="AB49" s="1510">
        <v>0.92389829999999995</v>
      </c>
      <c r="AC49" s="1511"/>
      <c r="AD49" s="1511"/>
      <c r="AE49" s="1511"/>
      <c r="AF49" s="1512"/>
    </row>
    <row r="50" spans="1:40" s="235" customFormat="1" ht="12.95" customHeight="1">
      <c r="A50"/>
      <c r="B50"/>
      <c r="C50"/>
      <c r="D50"/>
      <c r="E50" s="1519" t="s">
        <v>1874</v>
      </c>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757"/>
      <c r="AB50" s="757"/>
      <c r="AC50" s="757"/>
      <c r="AD50" s="757"/>
      <c r="AE50" s="757"/>
      <c r="AF50" s="757"/>
      <c r="AG50"/>
      <c r="AH50"/>
      <c r="AI50"/>
      <c r="AJ50"/>
      <c r="AK50"/>
      <c r="AL50"/>
      <c r="AM50"/>
      <c r="AN50"/>
    </row>
    <row r="51" spans="1:40" s="235" customFormat="1" ht="12.95" customHeight="1">
      <c r="A51"/>
      <c r="B51"/>
      <c r="C51"/>
      <c r="D51"/>
      <c r="E51" s="1519"/>
      <c r="F51" s="1519"/>
      <c r="G51" s="1519"/>
      <c r="H51" s="1519"/>
      <c r="I51" s="1519"/>
      <c r="J51" s="1519"/>
      <c r="K51" s="1519"/>
      <c r="L51" s="1519"/>
      <c r="M51" s="1519"/>
      <c r="N51" s="1519"/>
      <c r="O51" s="1519"/>
      <c r="P51" s="1519"/>
      <c r="Q51" s="1519"/>
      <c r="R51" s="1519"/>
      <c r="S51" s="1519"/>
      <c r="T51" s="1519"/>
      <c r="U51" s="1519"/>
      <c r="V51" s="1519"/>
      <c r="W51" s="1519"/>
      <c r="X51" s="1519"/>
      <c r="Y51" s="1519"/>
      <c r="Z51" s="1519"/>
      <c r="AA51" s="361"/>
      <c r="AB51" s="361"/>
      <c r="AC51" s="361"/>
      <c r="AD51" s="361"/>
      <c r="AE51" s="361"/>
      <c r="AF51" s="361"/>
      <c r="AG51" s="68"/>
      <c r="AH51"/>
      <c r="AI51"/>
      <c r="AJ51"/>
      <c r="AK51"/>
      <c r="AL51"/>
      <c r="AM51"/>
      <c r="AN51"/>
    </row>
    <row r="52" spans="1:40" ht="12.95" customHeight="1">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40" ht="12.95" customHeight="1">
      <c r="D53" s="2" t="s">
        <v>1875</v>
      </c>
      <c r="AB53" s="1111">
        <f>ROUND(IF(ISERROR((AB48/AB49)),0,(AB48/AB49)),0)</f>
        <v>23763308</v>
      </c>
      <c r="AC53" s="1112"/>
      <c r="AD53" s="1112"/>
      <c r="AE53" s="1112"/>
      <c r="AF53" s="1113"/>
    </row>
    <row r="54" spans="1:40" ht="12.95" customHeight="1">
      <c r="D54" s="2" t="s">
        <v>1876</v>
      </c>
      <c r="AB54" s="1111">
        <f>(AB53/10)</f>
        <v>2376330.7999999998</v>
      </c>
      <c r="AC54" s="1112"/>
      <c r="AD54" s="1112"/>
      <c r="AE54" s="1112"/>
      <c r="AF54" s="1113"/>
    </row>
    <row r="55" spans="1:40" ht="12.95" customHeight="1">
      <c r="D55" s="2" t="s">
        <v>1877</v>
      </c>
      <c r="AB55" s="1516">
        <f>(IF((Y41&lt;AB54),Y41,AB54))</f>
        <v>2376330.7999999998</v>
      </c>
      <c r="AC55" s="1517"/>
      <c r="AD55" s="1517"/>
      <c r="AE55" s="1517"/>
      <c r="AF55" s="1518"/>
    </row>
    <row r="56" spans="1:40" ht="12.95" customHeight="1">
      <c r="D56" s="2" t="s">
        <v>1878</v>
      </c>
      <c r="AB56" s="1111">
        <f>ROUND((10*AB55*AB49),0)</f>
        <v>21954880</v>
      </c>
      <c r="AC56" s="1112"/>
      <c r="AD56" s="1112"/>
      <c r="AE56" s="1112"/>
      <c r="AF56" s="1113"/>
    </row>
    <row r="57" spans="1:40" ht="12.95" customHeight="1">
      <c r="D57" s="2"/>
      <c r="AB57" s="785"/>
      <c r="AC57" s="785"/>
      <c r="AD57" s="785"/>
      <c r="AE57" s="785"/>
      <c r="AF57" s="785"/>
    </row>
    <row r="58" spans="1:40" ht="12.95" customHeight="1">
      <c r="D58" s="2" t="s">
        <v>1879</v>
      </c>
      <c r="AB58" s="1090">
        <f>AB48-AB56</f>
        <v>-5.4186806082725525E-2</v>
      </c>
      <c r="AC58" s="1090"/>
      <c r="AD58" s="1090"/>
      <c r="AE58" s="1090"/>
      <c r="AF58" s="1090"/>
    </row>
    <row r="59" spans="1:40" ht="12.95" customHeight="1">
      <c r="D59" s="2"/>
      <c r="F59" s="14" t="str">
        <f>IF(AB58&gt;0,"FUNDING GAP MUST NOT EXCEED ZERO UNLESS REQUESTING STATE CREDITS","")</f>
        <v/>
      </c>
      <c r="G59" s="14"/>
      <c r="N59" s="14"/>
      <c r="AB59" s="785"/>
      <c r="AC59" s="785"/>
      <c r="AD59" s="785"/>
      <c r="AE59" s="785"/>
      <c r="AF59" s="785"/>
    </row>
    <row r="60" spans="1:40" ht="12.95" customHeight="1" thickBot="1">
      <c r="A60" s="1522" t="s">
        <v>1880</v>
      </c>
      <c r="B60" s="1522"/>
      <c r="C60" s="1522"/>
      <c r="D60" s="1522"/>
      <c r="E60" s="1522"/>
      <c r="F60" s="1522"/>
      <c r="G60" s="1522"/>
      <c r="H60" s="1522"/>
      <c r="I60" s="1522"/>
      <c r="J60" s="1522"/>
      <c r="K60" s="1522"/>
      <c r="L60" s="1522"/>
      <c r="M60" s="1522"/>
      <c r="N60" s="1522"/>
      <c r="O60" s="1522"/>
      <c r="P60" s="1522"/>
      <c r="Q60" s="1522"/>
      <c r="R60" s="1522"/>
      <c r="S60" s="1522"/>
      <c r="T60" s="1522"/>
      <c r="U60" s="1522"/>
      <c r="V60" s="1522"/>
      <c r="W60" s="1522"/>
      <c r="X60" s="1522"/>
      <c r="Y60" s="1522"/>
      <c r="Z60" s="1522"/>
      <c r="AA60" s="1522"/>
      <c r="AB60" s="1522"/>
      <c r="AC60" s="1522"/>
      <c r="AD60" s="1522"/>
      <c r="AE60" s="1522"/>
      <c r="AF60" s="1522"/>
      <c r="AG60" s="1522"/>
      <c r="AH60" s="1522"/>
      <c r="AI60" s="1522"/>
      <c r="AJ60" s="1522"/>
      <c r="AK60" s="1522"/>
      <c r="AL60" s="1522"/>
      <c r="AM60" s="1522"/>
      <c r="AN60" s="1522"/>
    </row>
    <row r="61" spans="1:40" ht="12.95" customHeight="1" thickTop="1">
      <c r="A61" s="1118"/>
      <c r="B61" s="1118"/>
      <c r="C61" s="1118"/>
      <c r="D61" s="1118"/>
      <c r="E61" s="1118"/>
      <c r="F61" s="1118"/>
      <c r="G61" s="1118"/>
      <c r="H61" s="1118"/>
      <c r="I61" s="1118"/>
      <c r="J61" s="1118"/>
      <c r="K61" s="1118"/>
      <c r="L61" s="1118"/>
      <c r="M61" s="1118"/>
      <c r="N61" s="1118"/>
      <c r="O61" s="1118"/>
      <c r="P61" s="1118"/>
      <c r="Q61" s="1118"/>
      <c r="R61" s="1118"/>
      <c r="S61" s="1118"/>
      <c r="T61" s="1118"/>
      <c r="U61" s="1118"/>
      <c r="V61" s="1118"/>
      <c r="W61" s="1118"/>
      <c r="X61" s="1118"/>
      <c r="Y61" s="1118"/>
      <c r="Z61" s="1118"/>
      <c r="AA61" s="1118"/>
      <c r="AB61" s="1118"/>
      <c r="AC61" s="1118"/>
      <c r="AD61" s="1118"/>
      <c r="AE61" s="1118"/>
      <c r="AF61" s="1118"/>
      <c r="AG61" s="1118"/>
      <c r="AH61" s="1118"/>
      <c r="AI61" s="1118"/>
      <c r="AJ61" s="1118"/>
      <c r="AK61" s="1118"/>
      <c r="AL61" s="1118"/>
      <c r="AM61" s="1118"/>
      <c r="AN61" s="1118"/>
    </row>
    <row r="62" spans="1:40" ht="12.95" customHeight="1">
      <c r="A62" s="2" t="s">
        <v>994</v>
      </c>
      <c r="C62" s="2" t="s">
        <v>285</v>
      </c>
      <c r="Y62" s="1524" t="s">
        <v>1881</v>
      </c>
      <c r="Z62" s="1524"/>
      <c r="AA62" s="1524"/>
      <c r="AB62" s="1524"/>
      <c r="AC62" s="1524"/>
      <c r="AD62" s="1524" t="s">
        <v>1866</v>
      </c>
      <c r="AE62" s="1524"/>
      <c r="AF62" s="1524"/>
      <c r="AG62" s="1524"/>
      <c r="AH62" s="1524"/>
    </row>
    <row r="63" spans="1:40" ht="12.95" customHeight="1">
      <c r="C63" s="2"/>
      <c r="D63" s="776" t="s">
        <v>1882</v>
      </c>
      <c r="E63" s="783"/>
      <c r="F63" s="783"/>
      <c r="G63" s="783"/>
      <c r="H63" s="783"/>
      <c r="I63" s="783"/>
      <c r="J63" s="783"/>
      <c r="K63" s="783"/>
      <c r="L63" s="783"/>
      <c r="M63" s="783"/>
      <c r="N63" s="783"/>
      <c r="O63" s="783"/>
      <c r="P63" s="783"/>
      <c r="Q63" s="783"/>
      <c r="R63" s="783"/>
      <c r="S63" s="783"/>
      <c r="T63" s="783"/>
      <c r="U63" s="783"/>
      <c r="V63" s="783"/>
      <c r="W63" s="783"/>
      <c r="X63" s="783"/>
      <c r="Y63" s="1248">
        <f>IF(AND(Application!T193="No",Application!T194="No"),T28,IF(OR(AND(T25=1.3,Application!T196="Yes",Application!D214="Special Needs"),T25=1),(T23*T27)+Y28,Y28))</f>
        <v>0</v>
      </c>
      <c r="Z63" s="1513"/>
      <c r="AA63" s="1513"/>
      <c r="AB63" s="1513"/>
      <c r="AC63" s="1513"/>
      <c r="AD63" s="1050">
        <f>IF(AND(T25=1.3,Application!D214="At-Risk"),AI28,IF(Application!D214&lt;&gt;"At-Risk",0,AD28))</f>
        <v>0</v>
      </c>
      <c r="AE63" s="1513"/>
      <c r="AF63" s="1513"/>
      <c r="AG63" s="1513"/>
      <c r="AH63" s="1513"/>
    </row>
    <row r="64" spans="1:40" ht="12.95" customHeight="1">
      <c r="C64" s="2"/>
      <c r="E64" s="1523" t="s">
        <v>1883</v>
      </c>
      <c r="F64" s="1523"/>
      <c r="G64" s="1523"/>
      <c r="H64" s="1523"/>
      <c r="I64" s="1523"/>
      <c r="J64" s="1523"/>
      <c r="K64" s="1523"/>
      <c r="L64" s="1523"/>
      <c r="M64" s="1523"/>
      <c r="N64" s="1523"/>
      <c r="O64" s="1523"/>
      <c r="P64" s="1523"/>
      <c r="Q64" s="1523"/>
      <c r="R64" s="1523"/>
      <c r="S64" s="1523"/>
      <c r="T64" s="1523"/>
      <c r="U64" s="1523"/>
      <c r="V64" s="1523"/>
      <c r="W64" s="1523"/>
      <c r="X64" s="1523"/>
      <c r="Y64" s="1523"/>
      <c r="Z64" s="1523"/>
      <c r="AA64" s="1523"/>
      <c r="AB64" s="1523"/>
      <c r="AC64" s="1523"/>
      <c r="AD64" s="1523"/>
      <c r="AE64" s="1523"/>
      <c r="AF64" s="1523"/>
      <c r="AG64" s="1523"/>
      <c r="AH64" s="1523"/>
    </row>
    <row r="65" spans="1:34" ht="21.75" customHeight="1">
      <c r="C65" s="2"/>
      <c r="E65" s="1523"/>
      <c r="F65" s="1523"/>
      <c r="G65" s="1523"/>
      <c r="H65" s="1523"/>
      <c r="I65" s="1523"/>
      <c r="J65" s="1523"/>
      <c r="K65" s="1523"/>
      <c r="L65" s="1523"/>
      <c r="M65" s="1523"/>
      <c r="N65" s="1523"/>
      <c r="O65" s="1523"/>
      <c r="P65" s="1523"/>
      <c r="Q65" s="1523"/>
      <c r="R65" s="1523"/>
      <c r="S65" s="1523"/>
      <c r="T65" s="1523"/>
      <c r="U65" s="1523"/>
      <c r="V65" s="1523"/>
      <c r="W65" s="1523"/>
      <c r="X65" s="1523"/>
      <c r="Y65" s="1523"/>
      <c r="Z65" s="1523"/>
      <c r="AA65" s="1523"/>
      <c r="AB65" s="1523"/>
      <c r="AC65" s="1523"/>
      <c r="AD65" s="1523"/>
      <c r="AE65" s="1523"/>
      <c r="AF65" s="1523"/>
      <c r="AG65" s="1523"/>
      <c r="AH65" s="1523"/>
    </row>
    <row r="66" spans="1:34" ht="12.95" customHeight="1">
      <c r="C66" s="2"/>
      <c r="D66" s="2" t="s">
        <v>1884</v>
      </c>
      <c r="E66" s="816"/>
      <c r="F66" s="816"/>
      <c r="G66" s="816"/>
      <c r="H66" s="816"/>
      <c r="I66" s="816"/>
      <c r="J66" s="816"/>
      <c r="K66" s="816"/>
      <c r="L66" s="816"/>
      <c r="M66" s="816"/>
      <c r="N66" s="816"/>
      <c r="O66" s="816"/>
      <c r="P66" s="816"/>
      <c r="Q66" s="816"/>
      <c r="R66" s="816"/>
      <c r="S66" s="816"/>
      <c r="T66" s="816"/>
      <c r="U66" s="816"/>
      <c r="V66" s="816"/>
      <c r="W66" s="816"/>
      <c r="X66" s="816"/>
      <c r="Y66" s="1509">
        <f>IF(Application!W198="Yes",95%, 30%)</f>
        <v>0.95</v>
      </c>
      <c r="Z66" s="1509"/>
      <c r="AA66" s="1509"/>
      <c r="AB66" s="1509"/>
      <c r="AC66" s="1509"/>
      <c r="AD66" s="1509">
        <f>IF(Application!W198="Yes",95%, 13%)</f>
        <v>0.95</v>
      </c>
      <c r="AE66" s="1509"/>
      <c r="AF66" s="1509"/>
      <c r="AG66" s="1509"/>
      <c r="AH66" s="1509"/>
    </row>
    <row r="67" spans="1:34" ht="12.95" customHeight="1">
      <c r="C67" s="2"/>
      <c r="D67" s="2" t="s">
        <v>1885</v>
      </c>
      <c r="Y67" s="1050">
        <f>ROUND(Y63*Y66,0)</f>
        <v>0</v>
      </c>
      <c r="Z67" s="1513"/>
      <c r="AA67" s="1513"/>
      <c r="AB67" s="1513"/>
      <c r="AC67" s="1513"/>
      <c r="AD67" s="1050" t="str">
        <f>IF(OR(Application!D211="At-Risk",Application!D211="At-Risk/Located in Rural Census Tract",Application!D214="At-Risk"),ROUND(AD63*AD66,0),"$0")</f>
        <v>$0</v>
      </c>
      <c r="AE67" s="1050"/>
      <c r="AF67" s="1050"/>
      <c r="AG67" s="1050"/>
      <c r="AH67" s="1050"/>
    </row>
    <row r="68" spans="1:34" ht="12.95" customHeight="1">
      <c r="C68" s="2"/>
      <c r="E68" s="616" t="s">
        <v>1886</v>
      </c>
      <c r="F68" s="247"/>
      <c r="G68" s="615"/>
      <c r="H68" s="615"/>
      <c r="I68" s="615"/>
      <c r="J68" s="615"/>
      <c r="K68" s="615"/>
      <c r="L68" s="615"/>
      <c r="M68" s="615"/>
      <c r="N68" s="615"/>
      <c r="O68" s="615"/>
      <c r="P68" s="615"/>
      <c r="Q68" s="615"/>
      <c r="R68" s="615"/>
      <c r="S68" s="615"/>
      <c r="T68" s="615"/>
      <c r="U68" s="615"/>
      <c r="V68" s="615"/>
      <c r="W68" s="615"/>
      <c r="X68" s="615"/>
      <c r="Y68" s="615"/>
      <c r="Z68" s="615"/>
      <c r="AA68" s="615"/>
      <c r="AB68" s="615"/>
      <c r="AC68" s="615"/>
      <c r="AD68" s="615"/>
      <c r="AE68" s="615"/>
      <c r="AF68" s="615"/>
      <c r="AG68" s="615"/>
      <c r="AH68" s="615"/>
    </row>
    <row r="69" spans="1:34" ht="12.95" customHeight="1">
      <c r="A69" s="2" t="s">
        <v>1009</v>
      </c>
      <c r="C69" s="2" t="s">
        <v>288</v>
      </c>
      <c r="E69" s="615"/>
      <c r="F69" s="615"/>
      <c r="G69" s="615"/>
      <c r="H69" s="615"/>
      <c r="I69" s="615"/>
      <c r="J69" s="615"/>
      <c r="K69" s="615"/>
      <c r="L69" s="615"/>
      <c r="M69" s="615"/>
      <c r="N69" s="615"/>
      <c r="O69" s="615"/>
      <c r="P69" s="615"/>
      <c r="Q69" s="615"/>
      <c r="R69" s="615"/>
      <c r="S69" s="615"/>
      <c r="T69" s="615"/>
      <c r="U69" s="615"/>
      <c r="V69" s="615"/>
      <c r="W69" s="615"/>
      <c r="X69" s="615"/>
      <c r="Y69" s="615"/>
      <c r="Z69" s="615"/>
      <c r="AA69" s="615"/>
      <c r="AB69" s="615"/>
      <c r="AC69" s="615"/>
      <c r="AD69" s="615"/>
      <c r="AE69" s="615"/>
      <c r="AF69" s="615"/>
      <c r="AG69" s="615"/>
      <c r="AH69" s="615"/>
    </row>
    <row r="70" spans="1:34" ht="12.95" customHeight="1">
      <c r="A70" s="2"/>
      <c r="C70" s="2"/>
      <c r="D70" s="2" t="s">
        <v>1887</v>
      </c>
      <c r="AB70" s="1510"/>
      <c r="AC70" s="1511"/>
      <c r="AD70" s="1511"/>
      <c r="AE70" s="1511"/>
      <c r="AF70" s="1512"/>
    </row>
    <row r="71" spans="1:34" ht="12.95" customHeight="1">
      <c r="A71" s="2"/>
      <c r="C71" s="2"/>
      <c r="D71" s="2"/>
      <c r="E71" s="1514" t="s">
        <v>1888</v>
      </c>
      <c r="F71" s="1514"/>
      <c r="G71" s="1514"/>
      <c r="H71" s="1514"/>
      <c r="I71" s="1514"/>
      <c r="J71" s="1514"/>
      <c r="K71" s="1514"/>
      <c r="L71" s="1514"/>
      <c r="M71" s="1514"/>
      <c r="N71" s="1514"/>
      <c r="O71" s="1514"/>
      <c r="P71" s="1514"/>
      <c r="Q71" s="1514"/>
      <c r="R71" s="1514"/>
      <c r="S71" s="1514"/>
      <c r="T71" s="1514"/>
      <c r="U71" s="1514"/>
      <c r="V71" s="1514"/>
      <c r="W71" s="1514"/>
      <c r="X71" s="1514"/>
      <c r="Y71" s="1514"/>
      <c r="Z71" s="1514"/>
      <c r="AA71" s="188"/>
      <c r="AB71" s="188"/>
      <c r="AC71" s="188"/>
    </row>
    <row r="72" spans="1:34" ht="12.95" customHeight="1">
      <c r="A72" s="2"/>
      <c r="C72" s="2"/>
      <c r="D72" s="2"/>
      <c r="E72" s="1514"/>
      <c r="F72" s="1514"/>
      <c r="G72" s="1514"/>
      <c r="H72" s="1514"/>
      <c r="I72" s="1514"/>
      <c r="J72" s="1514"/>
      <c r="K72" s="1514"/>
      <c r="L72" s="1514"/>
      <c r="M72" s="1514"/>
      <c r="N72" s="1514"/>
      <c r="O72" s="1514"/>
      <c r="P72" s="1514"/>
      <c r="Q72" s="1514"/>
      <c r="R72" s="1514"/>
      <c r="S72" s="1514"/>
      <c r="T72" s="1514"/>
      <c r="U72" s="1514"/>
      <c r="V72" s="1514"/>
      <c r="W72" s="1514"/>
      <c r="X72" s="1514"/>
      <c r="Y72" s="1514"/>
      <c r="Z72" s="1514"/>
      <c r="AA72" s="188"/>
      <c r="AB72" s="188"/>
      <c r="AC72" s="188"/>
    </row>
    <row r="73" spans="1:34" ht="12.95" customHeight="1">
      <c r="A73" s="2"/>
      <c r="C73" s="2"/>
      <c r="D73" s="2"/>
      <c r="E73" s="1514"/>
      <c r="F73" s="1514"/>
      <c r="G73" s="1514"/>
      <c r="H73" s="1514"/>
      <c r="I73" s="1514"/>
      <c r="J73" s="1514"/>
      <c r="K73" s="1514"/>
      <c r="L73" s="1514"/>
      <c r="M73" s="1514"/>
      <c r="N73" s="1514"/>
      <c r="O73" s="1514"/>
      <c r="P73" s="1514"/>
      <c r="Q73" s="1514"/>
      <c r="R73" s="1514"/>
      <c r="S73" s="1514"/>
      <c r="T73" s="1514"/>
      <c r="U73" s="1514"/>
      <c r="V73" s="1514"/>
      <c r="W73" s="1514"/>
      <c r="X73" s="1514"/>
      <c r="Y73" s="1514"/>
      <c r="Z73" s="1514"/>
      <c r="AA73" s="188"/>
      <c r="AB73" s="188"/>
      <c r="AC73" s="188"/>
    </row>
    <row r="74" spans="1:34" ht="12.95" customHeight="1">
      <c r="A74" s="2"/>
      <c r="C74" s="2"/>
      <c r="D74" s="2"/>
      <c r="E74" s="11"/>
      <c r="F74" s="11"/>
      <c r="G74" s="11"/>
      <c r="H74" s="11"/>
      <c r="I74" s="11"/>
      <c r="J74" s="11"/>
      <c r="K74" s="11"/>
      <c r="L74" s="11"/>
      <c r="M74" s="11"/>
      <c r="N74" s="11"/>
      <c r="O74" s="11"/>
      <c r="P74" s="11"/>
      <c r="Q74" s="11"/>
      <c r="R74" s="11"/>
      <c r="S74" s="11"/>
      <c r="T74" s="11"/>
      <c r="U74" s="11"/>
      <c r="V74" s="11"/>
      <c r="W74" s="11"/>
      <c r="X74" s="11"/>
      <c r="Y74" s="11"/>
      <c r="Z74" s="11"/>
    </row>
    <row r="75" spans="1:34" ht="12.95" customHeight="1">
      <c r="C75" s="2"/>
      <c r="D75" s="2" t="s">
        <v>1889</v>
      </c>
      <c r="AB75" s="1855">
        <f>ROUND(IF(ISERROR((AB58/AB70)),0,(AB58/AB70)),0)</f>
        <v>0</v>
      </c>
      <c r="AC75" s="1855"/>
      <c r="AD75" s="1855"/>
      <c r="AE75" s="1855"/>
      <c r="AF75" s="1855"/>
    </row>
    <row r="76" spans="1:34" ht="12.95" customHeight="1">
      <c r="C76" s="2"/>
      <c r="D76" s="2" t="s">
        <v>1890</v>
      </c>
      <c r="AB76" s="1859">
        <f>IF((Y67+AD67&lt;AB75),Y67+AD67,AB75)</f>
        <v>0</v>
      </c>
      <c r="AC76" s="1860"/>
      <c r="AD76" s="1860"/>
      <c r="AE76" s="1860"/>
      <c r="AF76" s="1861"/>
    </row>
    <row r="77" spans="1:34" ht="12.95" customHeight="1">
      <c r="C77" s="2"/>
      <c r="D77" s="2" t="s">
        <v>1891</v>
      </c>
      <c r="AB77" s="1508">
        <f>AB76*AB70</f>
        <v>0</v>
      </c>
      <c r="AC77" s="1508"/>
      <c r="AD77" s="1508"/>
      <c r="AE77" s="1508"/>
      <c r="AF77" s="1508"/>
    </row>
    <row r="78" spans="1:34" ht="12.95" customHeight="1">
      <c r="C78" s="2"/>
      <c r="D78" s="2"/>
      <c r="AB78" s="456"/>
      <c r="AC78" s="456"/>
      <c r="AD78" s="456"/>
      <c r="AE78" s="456"/>
      <c r="AF78" s="456"/>
    </row>
    <row r="79" spans="1:34" ht="12.95" customHeight="1">
      <c r="D79" s="2" t="s">
        <v>1879</v>
      </c>
      <c r="AB79" s="1090">
        <f>AB48-(AB56+AB77)</f>
        <v>-5.4186806082725525E-2</v>
      </c>
      <c r="AC79" s="1090"/>
      <c r="AD79" s="1090"/>
      <c r="AE79" s="1090"/>
      <c r="AF79" s="1090"/>
    </row>
    <row r="80" spans="1:34" ht="12.95" customHeight="1">
      <c r="F80" s="14"/>
      <c r="J80" s="14" t="str">
        <f>IF(AB79&gt;0,"FUNDING GAP MUST NOT EXCEED ZERO","")</f>
        <v/>
      </c>
    </row>
    <row r="81" spans="4:4" ht="12.95" customHeight="1">
      <c r="D81" s="85"/>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topLeftCell="A7" workbookViewId="0">
      <selection activeCell="A10" sqref="A10"/>
    </sheetView>
  </sheetViews>
  <sheetFormatPr defaultColWidth="8.85546875" defaultRowHeight="12" zeroHeight="1"/>
  <cols>
    <col min="1" max="1" width="32.5703125" style="355" customWidth="1"/>
    <col min="2" max="3" width="12.140625" style="353" customWidth="1"/>
    <col min="4" max="4" width="12.85546875" style="353" customWidth="1"/>
    <col min="5" max="6" width="12.7109375" style="353" customWidth="1"/>
    <col min="7" max="7" width="13.42578125" style="353" customWidth="1"/>
    <col min="8" max="9" width="12.140625" style="353" customWidth="1"/>
    <col min="10" max="10" width="12.140625" style="436" customWidth="1"/>
    <col min="11" max="11" width="7" style="442" customWidth="1"/>
    <col min="12" max="16384" width="8.85546875" style="353"/>
  </cols>
  <sheetData>
    <row r="1" spans="1:11" s="255" customFormat="1" ht="12.75">
      <c r="A1" s="1526" t="s">
        <v>1892</v>
      </c>
      <c r="B1" s="1527"/>
      <c r="C1" s="1527"/>
      <c r="D1" s="1527"/>
      <c r="E1" s="1527"/>
      <c r="F1" s="1527"/>
      <c r="G1" s="1527"/>
      <c r="H1" s="1527"/>
      <c r="I1" s="1527"/>
      <c r="J1" s="1528"/>
      <c r="K1" s="439"/>
    </row>
    <row r="2" spans="1:11" s="455" customFormat="1" ht="72">
      <c r="A2" s="837"/>
      <c r="B2" s="167" t="s">
        <v>1893</v>
      </c>
      <c r="C2" s="167" t="s">
        <v>1894</v>
      </c>
      <c r="D2" s="167" t="s">
        <v>1895</v>
      </c>
      <c r="E2" s="167" t="s">
        <v>1896</v>
      </c>
      <c r="F2" s="167" t="s">
        <v>1897</v>
      </c>
      <c r="G2" s="167" t="s">
        <v>1898</v>
      </c>
      <c r="H2" s="167" t="s">
        <v>1899</v>
      </c>
      <c r="I2" s="167" t="s">
        <v>1900</v>
      </c>
      <c r="J2" s="503" t="s">
        <v>1901</v>
      </c>
      <c r="K2" s="454"/>
    </row>
    <row r="3" spans="1:11" s="188" customFormat="1">
      <c r="A3" s="170" t="s">
        <v>1722</v>
      </c>
      <c r="B3" s="444"/>
      <c r="C3" s="444"/>
      <c r="D3" s="444"/>
      <c r="E3" s="444"/>
      <c r="F3" s="444"/>
      <c r="G3" s="444"/>
      <c r="H3" s="444"/>
      <c r="I3" s="444"/>
      <c r="J3" s="444"/>
      <c r="K3" s="440"/>
    </row>
    <row r="4" spans="1:11" s="188" customFormat="1" ht="13.5">
      <c r="A4" s="222" t="s">
        <v>1723</v>
      </c>
      <c r="B4" s="445">
        <f>'Sources and Uses Budget'!C4</f>
        <v>1954994</v>
      </c>
      <c r="C4" s="446"/>
      <c r="D4" s="446">
        <f>B4</f>
        <v>1954994</v>
      </c>
      <c r="E4" s="447"/>
      <c r="F4" s="447"/>
      <c r="G4" s="447"/>
      <c r="H4" s="447"/>
      <c r="I4" s="447"/>
      <c r="J4" s="447"/>
      <c r="K4" s="440"/>
    </row>
    <row r="5" spans="1:11" s="188" customFormat="1" ht="13.5">
      <c r="A5" s="222" t="s">
        <v>1724</v>
      </c>
      <c r="B5" s="445">
        <f>'Sources and Uses Budget'!C5</f>
        <v>106455</v>
      </c>
      <c r="C5" s="446"/>
      <c r="D5" s="446">
        <f t="shared" ref="D5:D7" si="0">B5</f>
        <v>106455</v>
      </c>
      <c r="E5" s="447"/>
      <c r="F5" s="447"/>
      <c r="G5" s="447"/>
      <c r="H5" s="447"/>
      <c r="I5" s="447"/>
      <c r="J5" s="447"/>
      <c r="K5" s="440"/>
    </row>
    <row r="6" spans="1:11" s="188" customFormat="1">
      <c r="A6" s="174" t="s">
        <v>1725</v>
      </c>
      <c r="B6" s="445">
        <f>'Sources and Uses Budget'!C6</f>
        <v>29848</v>
      </c>
      <c r="C6" s="446"/>
      <c r="D6" s="446">
        <f t="shared" si="0"/>
        <v>29848</v>
      </c>
      <c r="E6" s="447"/>
      <c r="F6" s="447"/>
      <c r="G6" s="447"/>
      <c r="H6" s="447"/>
      <c r="I6" s="447"/>
      <c r="J6" s="447"/>
      <c r="K6" s="440"/>
    </row>
    <row r="7" spans="1:11" s="188" customFormat="1">
      <c r="A7" s="174" t="s">
        <v>1726</v>
      </c>
      <c r="B7" s="445">
        <f>'Sources and Uses Budget'!C7</f>
        <v>0</v>
      </c>
      <c r="C7" s="446"/>
      <c r="D7" s="446">
        <f t="shared" si="0"/>
        <v>0</v>
      </c>
      <c r="E7" s="447"/>
      <c r="F7" s="447"/>
      <c r="G7" s="447"/>
      <c r="H7" s="447"/>
      <c r="I7" s="447"/>
      <c r="J7" s="447"/>
      <c r="K7" s="440"/>
    </row>
    <row r="8" spans="1:11" s="188" customFormat="1" ht="13.5">
      <c r="A8" s="223" t="s">
        <v>1727</v>
      </c>
      <c r="B8" s="445">
        <f>'Sources and Uses Budget'!C8</f>
        <v>2091297</v>
      </c>
      <c r="C8" s="445">
        <f>SUM(C4:C7)</f>
        <v>0</v>
      </c>
      <c r="D8" s="445">
        <f>SUM(D4:D7)</f>
        <v>2091297</v>
      </c>
      <c r="E8" s="447"/>
      <c r="F8" s="447"/>
      <c r="G8" s="447"/>
      <c r="H8" s="447"/>
      <c r="I8" s="447"/>
      <c r="J8" s="447"/>
      <c r="K8" s="440"/>
    </row>
    <row r="9" spans="1:11" s="188" customFormat="1">
      <c r="A9" s="174" t="s">
        <v>1728</v>
      </c>
      <c r="B9" s="445">
        <f>'Sources and Uses Budget'!C9</f>
        <v>0</v>
      </c>
      <c r="C9" s="446"/>
      <c r="D9" s="446">
        <f>B9</f>
        <v>0</v>
      </c>
      <c r="E9" s="447"/>
      <c r="F9" s="447"/>
      <c r="G9" s="447"/>
      <c r="H9" s="445">
        <f>'Sources and Uses Budget'!T9</f>
        <v>0</v>
      </c>
      <c r="I9" s="446"/>
      <c r="J9" s="446"/>
      <c r="K9" s="440"/>
    </row>
    <row r="10" spans="1:11" s="188" customFormat="1" ht="13.5">
      <c r="A10" s="222" t="s">
        <v>1729</v>
      </c>
      <c r="B10" s="445">
        <f>'Sources and Uses Budget'!C10</f>
        <v>288901</v>
      </c>
      <c r="C10" s="446"/>
      <c r="D10" s="446">
        <f>B10</f>
        <v>288901</v>
      </c>
      <c r="E10" s="445">
        <f>'Sources and Uses Budget'!S10</f>
        <v>288901</v>
      </c>
      <c r="F10" s="446">
        <f>E10</f>
        <v>288901</v>
      </c>
      <c r="G10" s="446"/>
      <c r="H10" s="445">
        <f>'Sources and Uses Budget'!T10</f>
        <v>0</v>
      </c>
      <c r="I10" s="446"/>
      <c r="J10" s="446"/>
      <c r="K10" s="440"/>
    </row>
    <row r="11" spans="1:11" s="188" customFormat="1">
      <c r="A11" s="178" t="s">
        <v>1730</v>
      </c>
      <c r="B11" s="445">
        <f>'Sources and Uses Budget'!C11</f>
        <v>288901</v>
      </c>
      <c r="C11" s="445">
        <f>SUM(C9:C10)</f>
        <v>0</v>
      </c>
      <c r="D11" s="445">
        <f>SUM(D9:D10)</f>
        <v>288901</v>
      </c>
      <c r="E11" s="447"/>
      <c r="F11" s="447"/>
      <c r="G11" s="447"/>
      <c r="H11" s="445">
        <f>'Sources and Uses Budget'!T11</f>
        <v>0</v>
      </c>
      <c r="I11" s="445">
        <f>SUM(I9:I10)</f>
        <v>0</v>
      </c>
      <c r="J11" s="445">
        <f>SUM(J9:J10)</f>
        <v>0</v>
      </c>
      <c r="K11" s="440"/>
    </row>
    <row r="12" spans="1:11" s="188" customFormat="1">
      <c r="A12" s="178" t="s">
        <v>1731</v>
      </c>
      <c r="B12" s="445">
        <f>'Sources and Uses Budget'!C12</f>
        <v>2380198</v>
      </c>
      <c r="C12" s="445">
        <f>SUM(C8+C11)</f>
        <v>0</v>
      </c>
      <c r="D12" s="445">
        <f>SUM(D8+D11)</f>
        <v>2380198</v>
      </c>
      <c r="E12" s="447"/>
      <c r="F12" s="447"/>
      <c r="G12" s="447"/>
      <c r="H12" s="447"/>
      <c r="I12" s="447"/>
      <c r="J12" s="447"/>
      <c r="K12" s="440"/>
    </row>
    <row r="13" spans="1:11" s="188" customFormat="1">
      <c r="A13" s="330" t="s">
        <v>1732</v>
      </c>
      <c r="B13" s="445">
        <f>'Sources and Uses Budget'!C13</f>
        <v>120000</v>
      </c>
      <c r="C13" s="446"/>
      <c r="D13" s="446">
        <f>B13</f>
        <v>120000</v>
      </c>
      <c r="E13" s="445">
        <f>'Sources and Uses Budget'!S13</f>
        <v>0</v>
      </c>
      <c r="F13" s="446"/>
      <c r="G13" s="446"/>
      <c r="H13" s="445">
        <f>'Sources and Uses Budget'!T13</f>
        <v>0</v>
      </c>
      <c r="I13" s="446"/>
      <c r="J13" s="446"/>
      <c r="K13" s="440"/>
    </row>
    <row r="14" spans="1:11" s="188" customFormat="1" ht="24">
      <c r="A14" s="174" t="s">
        <v>1733</v>
      </c>
      <c r="B14" s="445">
        <f>'Sources and Uses Budget'!C14</f>
        <v>0</v>
      </c>
      <c r="C14" s="446"/>
      <c r="D14" s="446"/>
      <c r="E14" s="445">
        <f>'Sources and Uses Budget'!S14</f>
        <v>0</v>
      </c>
      <c r="F14" s="446"/>
      <c r="G14" s="446"/>
      <c r="H14" s="445">
        <f>'Sources and Uses Budget'!T14</f>
        <v>0</v>
      </c>
      <c r="I14" s="446"/>
      <c r="J14" s="446"/>
      <c r="K14" s="440"/>
    </row>
    <row r="15" spans="1:11" s="188" customFormat="1">
      <c r="A15" s="174" t="s">
        <v>1734</v>
      </c>
      <c r="B15" s="445">
        <f>'Sources and Uses Budget'!C15</f>
        <v>0</v>
      </c>
      <c r="C15" s="446"/>
      <c r="D15" s="446"/>
      <c r="E15" s="447">
        <f>'Sources and Uses Budget'!S15</f>
        <v>0</v>
      </c>
      <c r="F15" s="447"/>
      <c r="G15" s="447"/>
      <c r="H15" s="447">
        <f>'Sources and Uses Budget'!T15</f>
        <v>0</v>
      </c>
      <c r="I15" s="447"/>
      <c r="J15" s="447"/>
      <c r="K15" s="440"/>
    </row>
    <row r="16" spans="1:11" s="188" customFormat="1">
      <c r="A16" s="170" t="s">
        <v>1735</v>
      </c>
      <c r="B16" s="444"/>
      <c r="C16" s="444"/>
      <c r="D16" s="444"/>
      <c r="E16" s="444"/>
      <c r="F16" s="444"/>
      <c r="G16" s="444"/>
      <c r="H16" s="444"/>
      <c r="I16" s="444"/>
      <c r="J16" s="444"/>
      <c r="K16" s="440"/>
    </row>
    <row r="17" spans="1:11" s="188" customFormat="1">
      <c r="A17" s="174" t="s">
        <v>1736</v>
      </c>
      <c r="B17" s="445">
        <f>'Sources and Uses Budget'!C17</f>
        <v>0</v>
      </c>
      <c r="C17" s="446"/>
      <c r="D17" s="446"/>
      <c r="E17" s="445">
        <f>'Sources and Uses Budget'!S17</f>
        <v>0</v>
      </c>
      <c r="F17" s="446"/>
      <c r="G17" s="446"/>
      <c r="H17" s="445">
        <f>'Sources and Uses Budget'!T17</f>
        <v>0</v>
      </c>
      <c r="I17" s="446"/>
      <c r="J17" s="446"/>
      <c r="K17" s="440"/>
    </row>
    <row r="18" spans="1:11" s="188" customFormat="1">
      <c r="A18" s="174" t="s">
        <v>1737</v>
      </c>
      <c r="B18" s="445">
        <f>'Sources and Uses Budget'!C18</f>
        <v>0</v>
      </c>
      <c r="C18" s="446"/>
      <c r="D18" s="446"/>
      <c r="E18" s="445">
        <f>'Sources and Uses Budget'!S18</f>
        <v>0</v>
      </c>
      <c r="F18" s="446"/>
      <c r="G18" s="446"/>
      <c r="H18" s="445">
        <f>'Sources and Uses Budget'!T18</f>
        <v>0</v>
      </c>
      <c r="I18" s="446"/>
      <c r="J18" s="446"/>
      <c r="K18" s="440"/>
    </row>
    <row r="19" spans="1:11" s="188" customFormat="1">
      <c r="A19" s="174" t="s">
        <v>1738</v>
      </c>
      <c r="B19" s="445">
        <f>'Sources and Uses Budget'!C19</f>
        <v>0</v>
      </c>
      <c r="C19" s="446"/>
      <c r="D19" s="446"/>
      <c r="E19" s="445">
        <f>'Sources and Uses Budget'!S19</f>
        <v>0</v>
      </c>
      <c r="F19" s="446"/>
      <c r="G19" s="446"/>
      <c r="H19" s="445">
        <f>'Sources and Uses Budget'!T19</f>
        <v>0</v>
      </c>
      <c r="I19" s="446"/>
      <c r="J19" s="446"/>
      <c r="K19" s="440"/>
    </row>
    <row r="20" spans="1:11" s="188" customFormat="1">
      <c r="A20" s="174" t="s">
        <v>1739</v>
      </c>
      <c r="B20" s="445">
        <f>'Sources and Uses Budget'!C20</f>
        <v>0</v>
      </c>
      <c r="C20" s="446"/>
      <c r="D20" s="446"/>
      <c r="E20" s="445">
        <f>'Sources and Uses Budget'!S20</f>
        <v>0</v>
      </c>
      <c r="F20" s="446"/>
      <c r="G20" s="446"/>
      <c r="H20" s="445">
        <f>'Sources and Uses Budget'!T20</f>
        <v>0</v>
      </c>
      <c r="I20" s="446"/>
      <c r="J20" s="446"/>
      <c r="K20" s="440"/>
    </row>
    <row r="21" spans="1:11" s="188" customFormat="1">
      <c r="A21" s="174" t="s">
        <v>1740</v>
      </c>
      <c r="B21" s="445">
        <f>'Sources and Uses Budget'!C21</f>
        <v>0</v>
      </c>
      <c r="C21" s="446"/>
      <c r="D21" s="446"/>
      <c r="E21" s="445">
        <f>'Sources and Uses Budget'!S21</f>
        <v>0</v>
      </c>
      <c r="F21" s="446"/>
      <c r="G21" s="446"/>
      <c r="H21" s="445">
        <f>'Sources and Uses Budget'!T21</f>
        <v>0</v>
      </c>
      <c r="I21" s="446"/>
      <c r="J21" s="446"/>
      <c r="K21" s="440"/>
    </row>
    <row r="22" spans="1:11" s="188" customFormat="1">
      <c r="A22" s="174" t="s">
        <v>1741</v>
      </c>
      <c r="B22" s="445">
        <f>'Sources and Uses Budget'!C22</f>
        <v>0</v>
      </c>
      <c r="C22" s="446"/>
      <c r="D22" s="446"/>
      <c r="E22" s="445">
        <f>'Sources and Uses Budget'!S22</f>
        <v>0</v>
      </c>
      <c r="F22" s="446"/>
      <c r="G22" s="446"/>
      <c r="H22" s="445">
        <f>'Sources and Uses Budget'!T22</f>
        <v>0</v>
      </c>
      <c r="I22" s="446"/>
      <c r="J22" s="446"/>
      <c r="K22" s="440"/>
    </row>
    <row r="23" spans="1:11" s="188" customFormat="1">
      <c r="A23" s="174" t="s">
        <v>1742</v>
      </c>
      <c r="B23" s="445">
        <f>'Sources and Uses Budget'!C23</f>
        <v>0</v>
      </c>
      <c r="C23" s="446"/>
      <c r="D23" s="446"/>
      <c r="E23" s="445">
        <f>'Sources and Uses Budget'!S23</f>
        <v>0</v>
      </c>
      <c r="F23" s="446"/>
      <c r="G23" s="446"/>
      <c r="H23" s="445">
        <f>'Sources and Uses Budget'!T23</f>
        <v>0</v>
      </c>
      <c r="I23" s="446"/>
      <c r="J23" s="446"/>
      <c r="K23" s="440"/>
    </row>
    <row r="24" spans="1:11" s="188" customFormat="1">
      <c r="A24" s="174" t="str">
        <f>'Sources and Uses Budget'!$A25</f>
        <v>Other: (Specify)</v>
      </c>
      <c r="B24" s="445">
        <f>'Sources and Uses Budget'!C25</f>
        <v>0</v>
      </c>
      <c r="C24" s="446"/>
      <c r="D24" s="446"/>
      <c r="E24" s="445">
        <f>'Sources and Uses Budget'!S25</f>
        <v>0</v>
      </c>
      <c r="F24" s="446"/>
      <c r="G24" s="446"/>
      <c r="H24" s="445">
        <f>'Sources and Uses Budget'!T25</f>
        <v>0</v>
      </c>
      <c r="I24" s="446"/>
      <c r="J24" s="446"/>
      <c r="K24" s="440"/>
    </row>
    <row r="25" spans="1:11" s="188" customFormat="1">
      <c r="A25" s="178" t="s">
        <v>1745</v>
      </c>
      <c r="B25" s="445">
        <f>'Sources and Uses Budget'!C26</f>
        <v>0</v>
      </c>
      <c r="C25" s="445">
        <f>SUM(C17:C24)</f>
        <v>0</v>
      </c>
      <c r="D25" s="445">
        <f>SUM(D17:D24)</f>
        <v>0</v>
      </c>
      <c r="E25" s="445">
        <f>'Sources and Uses Budget'!S26</f>
        <v>0</v>
      </c>
      <c r="F25" s="448">
        <f>SUM(F17:F24)</f>
        <v>0</v>
      </c>
      <c r="G25" s="448">
        <f>SUM(G17:G24)</f>
        <v>0</v>
      </c>
      <c r="H25" s="445">
        <f>'Sources and Uses Budget'!T26</f>
        <v>0</v>
      </c>
      <c r="I25" s="448">
        <f>SUM(I17:I24)</f>
        <v>0</v>
      </c>
      <c r="J25" s="448">
        <f>SUM(J17:J24)</f>
        <v>0</v>
      </c>
      <c r="K25" s="440"/>
    </row>
    <row r="26" spans="1:11" s="188" customFormat="1">
      <c r="A26" s="178" t="s">
        <v>1746</v>
      </c>
      <c r="B26" s="445">
        <f>'Sources and Uses Budget'!C27</f>
        <v>0</v>
      </c>
      <c r="C26" s="446"/>
      <c r="D26" s="446"/>
      <c r="E26" s="445">
        <f>'Sources and Uses Budget'!S27</f>
        <v>0</v>
      </c>
      <c r="F26" s="446"/>
      <c r="G26" s="446"/>
      <c r="H26" s="445">
        <f>'Sources and Uses Budget'!T27</f>
        <v>0</v>
      </c>
      <c r="I26" s="446"/>
      <c r="J26" s="446"/>
      <c r="K26" s="440"/>
    </row>
    <row r="27" spans="1:11" s="188" customFormat="1">
      <c r="A27" s="170" t="s">
        <v>1747</v>
      </c>
      <c r="B27" s="444"/>
      <c r="C27" s="444"/>
      <c r="D27" s="444"/>
      <c r="E27" s="444"/>
      <c r="F27" s="444"/>
      <c r="G27" s="444"/>
      <c r="H27" s="444"/>
      <c r="I27" s="444"/>
      <c r="J27" s="444"/>
      <c r="K27" s="440"/>
    </row>
    <row r="28" spans="1:11" s="188" customFormat="1">
      <c r="A28" s="174" t="s">
        <v>1736</v>
      </c>
      <c r="B28" s="445">
        <f>'Sources and Uses Budget'!C29</f>
        <v>497013</v>
      </c>
      <c r="C28" s="446"/>
      <c r="D28" s="446">
        <f>B28</f>
        <v>497013</v>
      </c>
      <c r="E28" s="445">
        <f>'Sources and Uses Budget'!S29</f>
        <v>497013</v>
      </c>
      <c r="F28" s="446">
        <f>E28</f>
        <v>497013</v>
      </c>
      <c r="G28" s="446"/>
      <c r="H28" s="445">
        <f>'Sources and Uses Budget'!T29</f>
        <v>0</v>
      </c>
      <c r="I28" s="446"/>
      <c r="J28" s="446"/>
      <c r="K28" s="440"/>
    </row>
    <row r="29" spans="1:11" s="188" customFormat="1">
      <c r="A29" s="174" t="s">
        <v>1737</v>
      </c>
      <c r="B29" s="445">
        <f>'Sources and Uses Budget'!C30</f>
        <v>16743042.521987051</v>
      </c>
      <c r="C29" s="446"/>
      <c r="D29" s="446">
        <f t="shared" ref="D29:D36" si="1">B29</f>
        <v>16743042.521987051</v>
      </c>
      <c r="E29" s="445">
        <f>'Sources and Uses Budget'!S30</f>
        <v>16743042.521987051</v>
      </c>
      <c r="F29" s="446">
        <f t="shared" ref="F29:F36" si="2">E29</f>
        <v>16743042.521987051</v>
      </c>
      <c r="G29" s="446"/>
      <c r="H29" s="445">
        <f>'Sources and Uses Budget'!T30</f>
        <v>0</v>
      </c>
      <c r="I29" s="446"/>
      <c r="J29" s="446"/>
      <c r="K29" s="440"/>
    </row>
    <row r="30" spans="1:11" s="188" customFormat="1">
      <c r="A30" s="174" t="s">
        <v>1738</v>
      </c>
      <c r="B30" s="445">
        <f>'Sources and Uses Budget'!C31</f>
        <v>1282815.6000000001</v>
      </c>
      <c r="C30" s="446"/>
      <c r="D30" s="446">
        <f t="shared" si="1"/>
        <v>1282815.6000000001</v>
      </c>
      <c r="E30" s="445">
        <f>'Sources and Uses Budget'!S31</f>
        <v>1282815.6000000001</v>
      </c>
      <c r="F30" s="446">
        <f t="shared" si="2"/>
        <v>1282815.6000000001</v>
      </c>
      <c r="G30" s="446"/>
      <c r="H30" s="445">
        <f>'Sources and Uses Budget'!T31</f>
        <v>0</v>
      </c>
      <c r="I30" s="446"/>
      <c r="J30" s="446"/>
      <c r="K30" s="440"/>
    </row>
    <row r="31" spans="1:11" s="188" customFormat="1">
      <c r="A31" s="174" t="s">
        <v>1739</v>
      </c>
      <c r="B31" s="445">
        <f>'Sources and Uses Budget'!C32</f>
        <v>485053.3848215249</v>
      </c>
      <c r="C31" s="446"/>
      <c r="D31" s="446">
        <f t="shared" si="1"/>
        <v>485053.3848215249</v>
      </c>
      <c r="E31" s="445">
        <f>'Sources and Uses Budget'!S32</f>
        <v>485053.3848215249</v>
      </c>
      <c r="F31" s="446">
        <f t="shared" si="2"/>
        <v>485053.3848215249</v>
      </c>
      <c r="G31" s="446"/>
      <c r="H31" s="445">
        <f>'Sources and Uses Budget'!T32</f>
        <v>0</v>
      </c>
      <c r="I31" s="446"/>
      <c r="J31" s="446"/>
      <c r="K31" s="440"/>
    </row>
    <row r="32" spans="1:11" s="188" customFormat="1">
      <c r="A32" s="174" t="s">
        <v>1740</v>
      </c>
      <c r="B32" s="445">
        <f>'Sources and Uses Budget'!C33</f>
        <v>485053.3848215249</v>
      </c>
      <c r="C32" s="446"/>
      <c r="D32" s="446">
        <f t="shared" si="1"/>
        <v>485053.3848215249</v>
      </c>
      <c r="E32" s="445">
        <f>'Sources and Uses Budget'!S33</f>
        <v>485053.3848215249</v>
      </c>
      <c r="F32" s="446">
        <f t="shared" si="2"/>
        <v>485053.3848215249</v>
      </c>
      <c r="G32" s="446"/>
      <c r="H32" s="445">
        <f>'Sources and Uses Budget'!T33</f>
        <v>0</v>
      </c>
      <c r="I32" s="446"/>
      <c r="J32" s="446"/>
      <c r="K32" s="440"/>
    </row>
    <row r="33" spans="1:11" s="188" customFormat="1">
      <c r="A33" s="174" t="s">
        <v>1741</v>
      </c>
      <c r="B33" s="445">
        <f>'Sources and Uses Budget'!C34</f>
        <v>4025345.5397753455</v>
      </c>
      <c r="C33" s="446"/>
      <c r="D33" s="446">
        <f t="shared" si="1"/>
        <v>4025345.5397753455</v>
      </c>
      <c r="E33" s="445">
        <f>'Sources and Uses Budget'!S34</f>
        <v>4025345.5397753455</v>
      </c>
      <c r="F33" s="446">
        <f t="shared" si="2"/>
        <v>4025345.5397753455</v>
      </c>
      <c r="G33" s="446"/>
      <c r="H33" s="445">
        <f>'Sources and Uses Budget'!T34</f>
        <v>0</v>
      </c>
      <c r="I33" s="446"/>
      <c r="J33" s="446"/>
      <c r="K33" s="440"/>
    </row>
    <row r="34" spans="1:11" s="188" customFormat="1">
      <c r="A34" s="174" t="s">
        <v>1742</v>
      </c>
      <c r="B34" s="445">
        <f>'Sources and Uses Budget'!C35</f>
        <v>433312.18919359823</v>
      </c>
      <c r="C34" s="446"/>
      <c r="D34" s="446">
        <f t="shared" si="1"/>
        <v>433312.18919359823</v>
      </c>
      <c r="E34" s="445">
        <f>'Sources and Uses Budget'!S35</f>
        <v>433312.18919359823</v>
      </c>
      <c r="F34" s="446">
        <f t="shared" si="2"/>
        <v>433312.18919359823</v>
      </c>
      <c r="G34" s="446"/>
      <c r="H34" s="445">
        <f>'Sources and Uses Budget'!T35</f>
        <v>0</v>
      </c>
      <c r="I34" s="446"/>
      <c r="J34" s="446"/>
      <c r="K34" s="440"/>
    </row>
    <row r="35" spans="1:11" s="188" customFormat="1">
      <c r="A35" s="174" t="str">
        <f>'Sources and Uses Budget'!$A36</f>
        <v>Third-party Construction Management</v>
      </c>
      <c r="B35" s="445">
        <f>'Sources and Uses Budget'!C36</f>
        <v>525000</v>
      </c>
      <c r="C35" s="446"/>
      <c r="D35" s="446">
        <f t="shared" si="1"/>
        <v>525000</v>
      </c>
      <c r="E35" s="445">
        <f>'Sources and Uses Budget'!S36</f>
        <v>525000</v>
      </c>
      <c r="F35" s="446">
        <f t="shared" si="2"/>
        <v>525000</v>
      </c>
      <c r="G35" s="446"/>
      <c r="H35" s="445">
        <f>'Sources and Uses Budget'!T36</f>
        <v>0</v>
      </c>
      <c r="I35" s="446"/>
      <c r="J35" s="446"/>
      <c r="K35" s="440"/>
    </row>
    <row r="36" spans="1:11" s="188" customFormat="1">
      <c r="A36" s="174" t="str">
        <f>'Sources and Uses Budget'!$A37</f>
        <v xml:space="preserve">Other:  (Environmental Remediation) </v>
      </c>
      <c r="B36" s="445">
        <f>'Sources and Uses Budget'!C37</f>
        <v>624538.14</v>
      </c>
      <c r="C36" s="446"/>
      <c r="D36" s="446">
        <f t="shared" si="1"/>
        <v>624538.14</v>
      </c>
      <c r="E36" s="445">
        <f>'Sources and Uses Budget'!S37</f>
        <v>0</v>
      </c>
      <c r="F36" s="446">
        <f t="shared" si="2"/>
        <v>0</v>
      </c>
      <c r="G36" s="446"/>
      <c r="H36" s="445">
        <f>'Sources and Uses Budget'!T37</f>
        <v>0</v>
      </c>
      <c r="I36" s="446"/>
      <c r="J36" s="446"/>
      <c r="K36" s="440"/>
    </row>
    <row r="37" spans="1:11" s="188" customFormat="1">
      <c r="A37" s="178" t="s">
        <v>1749</v>
      </c>
      <c r="B37" s="445">
        <f>'Sources and Uses Budget'!C38</f>
        <v>25101173.760599051</v>
      </c>
      <c r="C37" s="445">
        <f>SUM(C28:C36)</f>
        <v>0</v>
      </c>
      <c r="D37" s="445">
        <f>SUM(D28:D36)</f>
        <v>25101173.760599051</v>
      </c>
      <c r="E37" s="445">
        <f>'Sources and Uses Budget'!S38</f>
        <v>24476635.62059905</v>
      </c>
      <c r="F37" s="448">
        <f>SUM(F28:F36)</f>
        <v>24476635.62059905</v>
      </c>
      <c r="G37" s="448">
        <f>SUM(G28:G36)</f>
        <v>0</v>
      </c>
      <c r="H37" s="445">
        <f>'Sources and Uses Budget'!T38</f>
        <v>0</v>
      </c>
      <c r="I37" s="448">
        <f>SUM(I28:I36)</f>
        <v>0</v>
      </c>
      <c r="J37" s="448">
        <f>SUM(J28:J36)</f>
        <v>0</v>
      </c>
      <c r="K37" s="440"/>
    </row>
    <row r="38" spans="1:11" s="188" customFormat="1">
      <c r="A38" s="170" t="s">
        <v>1750</v>
      </c>
      <c r="B38" s="444"/>
      <c r="C38" s="444"/>
      <c r="D38" s="444"/>
      <c r="E38" s="444"/>
      <c r="F38" s="444"/>
      <c r="G38" s="444"/>
      <c r="H38" s="444"/>
      <c r="I38" s="444"/>
      <c r="J38" s="444"/>
      <c r="K38" s="440"/>
    </row>
    <row r="39" spans="1:11" s="188" customFormat="1">
      <c r="A39" s="174" t="s">
        <v>1751</v>
      </c>
      <c r="B39" s="445">
        <f>'Sources and Uses Budget'!C40</f>
        <v>1058087.8</v>
      </c>
      <c r="C39" s="446"/>
      <c r="D39" s="446">
        <f>B39</f>
        <v>1058087.8</v>
      </c>
      <c r="E39" s="445">
        <f>'Sources and Uses Budget'!S40</f>
        <v>1058087.8</v>
      </c>
      <c r="F39" s="446">
        <f>E39</f>
        <v>1058087.8</v>
      </c>
      <c r="G39" s="446"/>
      <c r="H39" s="445">
        <f>'Sources and Uses Budget'!T40</f>
        <v>0</v>
      </c>
      <c r="I39" s="446"/>
      <c r="J39" s="446"/>
      <c r="K39" s="440"/>
    </row>
    <row r="40" spans="1:11" s="188" customFormat="1">
      <c r="A40" s="174" t="s">
        <v>1752</v>
      </c>
      <c r="B40" s="445">
        <f>'Sources and Uses Budget'!C41</f>
        <v>0</v>
      </c>
      <c r="C40" s="446"/>
      <c r="D40" s="446"/>
      <c r="E40" s="445">
        <f>'Sources and Uses Budget'!S41</f>
        <v>0</v>
      </c>
      <c r="F40" s="446"/>
      <c r="G40" s="446"/>
      <c r="H40" s="445">
        <f>'Sources and Uses Budget'!T41</f>
        <v>0</v>
      </c>
      <c r="I40" s="446"/>
      <c r="J40" s="446"/>
      <c r="K40" s="440"/>
    </row>
    <row r="41" spans="1:11" s="188" customFormat="1">
      <c r="A41" s="178" t="s">
        <v>1753</v>
      </c>
      <c r="B41" s="445">
        <f>'Sources and Uses Budget'!C42</f>
        <v>1058087.8</v>
      </c>
      <c r="C41" s="445">
        <f>SUM(C38:C40)</f>
        <v>0</v>
      </c>
      <c r="D41" s="445">
        <f>SUM(D38:D40)</f>
        <v>1058087.8</v>
      </c>
      <c r="E41" s="445">
        <f>'Sources and Uses Budget'!S42</f>
        <v>1058087.8</v>
      </c>
      <c r="F41" s="448">
        <f>SUM(F39:F40)</f>
        <v>1058087.8</v>
      </c>
      <c r="G41" s="448">
        <f>SUM(G39:G40)</f>
        <v>0</v>
      </c>
      <c r="H41" s="445">
        <f>'Sources and Uses Budget'!T42</f>
        <v>0</v>
      </c>
      <c r="I41" s="448">
        <f>SUM(I39:I40)</f>
        <v>0</v>
      </c>
      <c r="J41" s="448">
        <f>SUM(J39:J40)</f>
        <v>0</v>
      </c>
      <c r="K41" s="440"/>
    </row>
    <row r="42" spans="1:11" s="188" customFormat="1">
      <c r="A42" s="178" t="s">
        <v>1754</v>
      </c>
      <c r="B42" s="445">
        <f>'Sources and Uses Budget'!C43</f>
        <v>335000</v>
      </c>
      <c r="C42" s="446"/>
      <c r="D42" s="446">
        <f>B42</f>
        <v>335000</v>
      </c>
      <c r="E42" s="445">
        <f>'Sources and Uses Budget'!S43</f>
        <v>335000</v>
      </c>
      <c r="F42" s="446">
        <f>E42</f>
        <v>335000</v>
      </c>
      <c r="G42" s="446"/>
      <c r="H42" s="445">
        <f>'Sources and Uses Budget'!T43</f>
        <v>0</v>
      </c>
      <c r="I42" s="446"/>
      <c r="J42" s="446"/>
      <c r="K42" s="440"/>
    </row>
    <row r="43" spans="1:11" s="188" customFormat="1">
      <c r="A43" s="170" t="s">
        <v>1755</v>
      </c>
      <c r="B43" s="444"/>
      <c r="C43" s="444"/>
      <c r="D43" s="444"/>
      <c r="E43" s="444"/>
      <c r="F43" s="444"/>
      <c r="G43" s="444"/>
      <c r="H43" s="444"/>
      <c r="I43" s="444"/>
      <c r="J43" s="444"/>
      <c r="K43" s="440"/>
    </row>
    <row r="44" spans="1:11" s="188" customFormat="1">
      <c r="A44" s="174" t="s">
        <v>1756</v>
      </c>
      <c r="B44" s="445">
        <f>'Sources and Uses Budget'!C45</f>
        <v>2397937.1566535127</v>
      </c>
      <c r="C44" s="446"/>
      <c r="D44" s="446">
        <f>B44</f>
        <v>2397937.1566535127</v>
      </c>
      <c r="E44" s="445">
        <f>'Sources and Uses Budget'!S45</f>
        <v>1278899.8168818734</v>
      </c>
      <c r="F44" s="446">
        <f>E44</f>
        <v>1278899.8168818734</v>
      </c>
      <c r="G44" s="446"/>
      <c r="H44" s="445">
        <f>'Sources and Uses Budget'!T45</f>
        <v>0</v>
      </c>
      <c r="I44" s="446"/>
      <c r="J44" s="446"/>
      <c r="K44" s="440"/>
    </row>
    <row r="45" spans="1:11" s="188" customFormat="1">
      <c r="A45" s="174" t="s">
        <v>1757</v>
      </c>
      <c r="B45" s="445">
        <f>'Sources and Uses Budget'!C46</f>
        <v>191834.97253228101</v>
      </c>
      <c r="C45" s="446"/>
      <c r="D45" s="446">
        <f t="shared" ref="D45:D51" si="3">B45</f>
        <v>191834.97253228101</v>
      </c>
      <c r="E45" s="445">
        <f>'Sources and Uses Budget'!S46</f>
        <v>191834.97253228101</v>
      </c>
      <c r="F45" s="446">
        <f t="shared" ref="F45:F51" si="4">E45</f>
        <v>191834.97253228101</v>
      </c>
      <c r="G45" s="446"/>
      <c r="H45" s="445">
        <f>'Sources and Uses Budget'!T46</f>
        <v>0</v>
      </c>
      <c r="I45" s="446"/>
      <c r="J45" s="446"/>
      <c r="K45" s="440"/>
    </row>
    <row r="46" spans="1:11" s="188" customFormat="1" ht="12" customHeight="1">
      <c r="A46" s="174" t="s">
        <v>1758</v>
      </c>
      <c r="B46" s="445">
        <f>'Sources and Uses Budget'!C47</f>
        <v>0</v>
      </c>
      <c r="C46" s="446"/>
      <c r="D46" s="446">
        <f t="shared" si="3"/>
        <v>0</v>
      </c>
      <c r="E46" s="445">
        <f>'Sources and Uses Budget'!S47</f>
        <v>0</v>
      </c>
      <c r="F46" s="446">
        <f t="shared" si="4"/>
        <v>0</v>
      </c>
      <c r="G46" s="446"/>
      <c r="H46" s="445">
        <f>'Sources and Uses Budget'!T47</f>
        <v>0</v>
      </c>
      <c r="I46" s="446"/>
      <c r="J46" s="446"/>
      <c r="K46" s="440"/>
    </row>
    <row r="47" spans="1:11" s="188" customFormat="1">
      <c r="A47" s="174" t="s">
        <v>1759</v>
      </c>
      <c r="B47" s="445">
        <f>'Sources and Uses Budget'!C48</f>
        <v>0</v>
      </c>
      <c r="C47" s="446"/>
      <c r="D47" s="446">
        <f t="shared" si="3"/>
        <v>0</v>
      </c>
      <c r="E47" s="445">
        <f>'Sources and Uses Budget'!S48</f>
        <v>0</v>
      </c>
      <c r="F47" s="446">
        <f t="shared" si="4"/>
        <v>0</v>
      </c>
      <c r="G47" s="446"/>
      <c r="H47" s="445">
        <f>'Sources and Uses Budget'!T48</f>
        <v>0</v>
      </c>
      <c r="I47" s="446"/>
      <c r="J47" s="446"/>
      <c r="K47" s="440"/>
    </row>
    <row r="48" spans="1:11" s="188" customFormat="1">
      <c r="A48" s="174" t="s">
        <v>1760</v>
      </c>
      <c r="B48" s="445">
        <f>'Sources and Uses Budget'!C49</f>
        <v>80000</v>
      </c>
      <c r="C48" s="446"/>
      <c r="D48" s="446">
        <f t="shared" si="3"/>
        <v>80000</v>
      </c>
      <c r="E48" s="445">
        <f>'Sources and Uses Budget'!S49</f>
        <v>80000</v>
      </c>
      <c r="F48" s="446">
        <f t="shared" si="4"/>
        <v>80000</v>
      </c>
      <c r="G48" s="446"/>
      <c r="H48" s="445">
        <f>'Sources and Uses Budget'!T49</f>
        <v>0</v>
      </c>
      <c r="I48" s="446"/>
      <c r="J48" s="446"/>
      <c r="K48" s="440"/>
    </row>
    <row r="49" spans="1:11" s="188" customFormat="1">
      <c r="A49" s="174" t="s">
        <v>1761</v>
      </c>
      <c r="B49" s="445">
        <f>'Sources and Uses Budget'!C50</f>
        <v>300000</v>
      </c>
      <c r="C49" s="446"/>
      <c r="D49" s="446">
        <f t="shared" si="3"/>
        <v>300000</v>
      </c>
      <c r="E49" s="445">
        <f>'Sources and Uses Budget'!S50</f>
        <v>300000</v>
      </c>
      <c r="F49" s="446">
        <f t="shared" si="4"/>
        <v>300000</v>
      </c>
      <c r="G49" s="446"/>
      <c r="H49" s="445">
        <f>'Sources and Uses Budget'!T50</f>
        <v>0</v>
      </c>
      <c r="I49" s="446"/>
      <c r="J49" s="446"/>
      <c r="K49" s="440"/>
    </row>
    <row r="50" spans="1:11" s="188" customFormat="1">
      <c r="A50" s="174" t="s">
        <v>1762</v>
      </c>
      <c r="B50" s="445">
        <f>'Sources and Uses Budget'!C51</f>
        <v>950000</v>
      </c>
      <c r="C50" s="446"/>
      <c r="D50" s="446">
        <f t="shared" si="3"/>
        <v>950000</v>
      </c>
      <c r="E50" s="445">
        <f>'Sources and Uses Budget'!S51</f>
        <v>950000</v>
      </c>
      <c r="F50" s="446">
        <f t="shared" si="4"/>
        <v>950000</v>
      </c>
      <c r="G50" s="446"/>
      <c r="H50" s="445">
        <f>'Sources and Uses Budget'!T51</f>
        <v>0</v>
      </c>
      <c r="I50" s="446"/>
      <c r="J50" s="446"/>
      <c r="K50" s="440"/>
    </row>
    <row r="51" spans="1:11" s="188" customFormat="1">
      <c r="A51" s="174" t="str">
        <f>'Sources and Uses Budget'!$A52</f>
        <v>Other: (Lender Fees - Local)</v>
      </c>
      <c r="B51" s="445">
        <f>'Sources and Uses Budget'!C52</f>
        <v>35000</v>
      </c>
      <c r="C51" s="446"/>
      <c r="D51" s="446">
        <f t="shared" si="3"/>
        <v>35000</v>
      </c>
      <c r="E51" s="445">
        <f>'Sources and Uses Budget'!S52</f>
        <v>35000</v>
      </c>
      <c r="F51" s="446">
        <f t="shared" si="4"/>
        <v>35000</v>
      </c>
      <c r="G51" s="446"/>
      <c r="H51" s="445">
        <f>'Sources and Uses Budget'!T52</f>
        <v>0</v>
      </c>
      <c r="I51" s="446"/>
      <c r="J51" s="446"/>
      <c r="K51" s="440"/>
    </row>
    <row r="52" spans="1:11" s="438" customFormat="1">
      <c r="A52" s="178" t="s">
        <v>1764</v>
      </c>
      <c r="B52" s="445">
        <f>'Sources and Uses Budget'!C53</f>
        <v>3954772.1291857939</v>
      </c>
      <c r="C52" s="448">
        <f>SUM(C44:C51)</f>
        <v>0</v>
      </c>
      <c r="D52" s="448">
        <f>SUM(D44:D51)</f>
        <v>3954772.1291857939</v>
      </c>
      <c r="E52" s="445">
        <f>'Sources and Uses Budget'!S53</f>
        <v>2835734.7894141544</v>
      </c>
      <c r="F52" s="448">
        <f>SUM(F44:F51)</f>
        <v>2835734.7894141544</v>
      </c>
      <c r="G52" s="448">
        <f>SUM(G44:G51)</f>
        <v>0</v>
      </c>
      <c r="H52" s="445">
        <f>'Sources and Uses Budget'!T53</f>
        <v>0</v>
      </c>
      <c r="I52" s="448">
        <f>SUM(I44:I51)</f>
        <v>0</v>
      </c>
      <c r="J52" s="448">
        <f>SUM(J44:J51)</f>
        <v>0</v>
      </c>
      <c r="K52" s="441"/>
    </row>
    <row r="53" spans="1:11" s="188" customFormat="1">
      <c r="A53" s="170" t="s">
        <v>1326</v>
      </c>
      <c r="B53" s="444"/>
      <c r="C53" s="444"/>
      <c r="D53" s="444"/>
      <c r="E53" s="444"/>
      <c r="F53" s="444"/>
      <c r="G53" s="444"/>
      <c r="H53" s="444"/>
      <c r="I53" s="444"/>
      <c r="J53" s="444"/>
      <c r="K53" s="440"/>
    </row>
    <row r="54" spans="1:11" s="188" customFormat="1">
      <c r="A54" s="174" t="s">
        <v>1765</v>
      </c>
      <c r="B54" s="445">
        <f>'Sources and Uses Budget'!C55</f>
        <v>45280</v>
      </c>
      <c r="C54" s="446"/>
      <c r="D54" s="446">
        <f>B54</f>
        <v>45280</v>
      </c>
      <c r="E54" s="447"/>
      <c r="F54" s="447"/>
      <c r="G54" s="447"/>
      <c r="H54" s="447"/>
      <c r="I54" s="447"/>
      <c r="J54" s="447"/>
      <c r="K54" s="440"/>
    </row>
    <row r="55" spans="1:11" s="188" customFormat="1" ht="12" customHeight="1">
      <c r="A55" s="174" t="s">
        <v>1758</v>
      </c>
      <c r="B55" s="445">
        <f>'Sources and Uses Budget'!C56</f>
        <v>0</v>
      </c>
      <c r="C55" s="446"/>
      <c r="D55" s="446">
        <f t="shared" ref="D55:D59" si="5">B55</f>
        <v>0</v>
      </c>
      <c r="E55" s="447"/>
      <c r="F55" s="447"/>
      <c r="G55" s="447"/>
      <c r="H55" s="447"/>
      <c r="I55" s="447"/>
      <c r="J55" s="447"/>
      <c r="K55" s="440"/>
    </row>
    <row r="56" spans="1:11" s="188" customFormat="1">
      <c r="A56" s="174" t="s">
        <v>1760</v>
      </c>
      <c r="B56" s="445">
        <f>'Sources and Uses Budget'!C57</f>
        <v>25000</v>
      </c>
      <c r="C56" s="446"/>
      <c r="D56" s="446">
        <f t="shared" si="5"/>
        <v>25000</v>
      </c>
      <c r="E56" s="447"/>
      <c r="F56" s="447"/>
      <c r="G56" s="447"/>
      <c r="H56" s="447"/>
      <c r="I56" s="447"/>
      <c r="J56" s="447"/>
      <c r="K56" s="440"/>
    </row>
    <row r="57" spans="1:11" s="188" customFormat="1">
      <c r="A57" s="174" t="s">
        <v>1761</v>
      </c>
      <c r="B57" s="445">
        <f>'Sources and Uses Budget'!C58</f>
        <v>0</v>
      </c>
      <c r="C57" s="446"/>
      <c r="D57" s="446">
        <f t="shared" si="5"/>
        <v>0</v>
      </c>
      <c r="E57" s="447"/>
      <c r="F57" s="447"/>
      <c r="G57" s="447"/>
      <c r="H57" s="447"/>
      <c r="I57" s="447"/>
      <c r="J57" s="447"/>
      <c r="K57" s="440"/>
    </row>
    <row r="58" spans="1:11" s="188" customFormat="1">
      <c r="A58" s="174" t="s">
        <v>1762</v>
      </c>
      <c r="B58" s="445">
        <f>'Sources and Uses Budget'!C59</f>
        <v>0</v>
      </c>
      <c r="C58" s="446"/>
      <c r="D58" s="446">
        <f t="shared" si="5"/>
        <v>0</v>
      </c>
      <c r="E58" s="447"/>
      <c r="F58" s="447"/>
      <c r="G58" s="447"/>
      <c r="H58" s="447"/>
      <c r="I58" s="447"/>
      <c r="J58" s="447"/>
      <c r="K58" s="440"/>
    </row>
    <row r="59" spans="1:11" s="188" customFormat="1">
      <c r="A59" s="174" t="str">
        <f>'Sources and Uses Budget'!$A60</f>
        <v>Other: (Perm Legal)</v>
      </c>
      <c r="B59" s="445">
        <f>'Sources and Uses Budget'!C60</f>
        <v>25000</v>
      </c>
      <c r="C59" s="446"/>
      <c r="D59" s="446">
        <f t="shared" si="5"/>
        <v>25000</v>
      </c>
      <c r="E59" s="447"/>
      <c r="F59" s="447"/>
      <c r="G59" s="447"/>
      <c r="H59" s="447"/>
      <c r="I59" s="447"/>
      <c r="J59" s="447"/>
      <c r="K59" s="440"/>
    </row>
    <row r="60" spans="1:11" s="188" customFormat="1" ht="13.9" customHeight="1">
      <c r="A60" s="178" t="s">
        <v>1767</v>
      </c>
      <c r="B60" s="445">
        <f>'Sources and Uses Budget'!C61</f>
        <v>95280</v>
      </c>
      <c r="C60" s="445">
        <f>SUM(C54:C59)</f>
        <v>0</v>
      </c>
      <c r="D60" s="445">
        <f>SUM(D54:D59)</f>
        <v>95280</v>
      </c>
      <c r="E60" s="447"/>
      <c r="F60" s="447"/>
      <c r="G60" s="447"/>
      <c r="H60" s="447"/>
      <c r="I60" s="447"/>
      <c r="J60" s="447"/>
      <c r="K60" s="440"/>
    </row>
    <row r="61" spans="1:11" s="188" customFormat="1">
      <c r="A61" s="184" t="s">
        <v>1768</v>
      </c>
      <c r="B61" s="445">
        <f>'Sources and Uses Budget'!C62</f>
        <v>33044511.689784847</v>
      </c>
      <c r="C61" s="445">
        <f>SUM(C8+C11+C13+C14+C15+C25+C26+C37+C41+C42+C52+C60)</f>
        <v>0</v>
      </c>
      <c r="D61" s="445">
        <f>SUM(D8+D11+D13+D14+D15+D25+D26+D37+D41+D42+D52+D60)</f>
        <v>33044511.689784847</v>
      </c>
      <c r="E61" s="445">
        <f>'Sources and Uses Budget'!S62</f>
        <v>28994359.210013203</v>
      </c>
      <c r="F61" s="445">
        <f>SUM(F10+F13+F14+F15+F25+F26+F37+F41+F42+F52)</f>
        <v>28994359.210013203</v>
      </c>
      <c r="G61" s="445">
        <f>SUM(G10+G13+G14+G15+G25+G26+G37+G41+G42+G52)</f>
        <v>0</v>
      </c>
      <c r="H61" s="445">
        <f>'Sources and Uses Budget'!T62</f>
        <v>0</v>
      </c>
      <c r="I61" s="445">
        <f>SUM(I11+I13+I14+I15+I25+I26+I37+I41+I42+I52)</f>
        <v>0</v>
      </c>
      <c r="J61" s="445">
        <f>SUM(J11+J13+J14+J15+J25+J26+J37+J41+J42+J52)</f>
        <v>0</v>
      </c>
      <c r="K61" s="440"/>
    </row>
    <row r="62" spans="1:11" s="188" customFormat="1" ht="24">
      <c r="A62" s="170" t="s">
        <v>1769</v>
      </c>
      <c r="B62" s="444"/>
      <c r="C62" s="444"/>
      <c r="D62" s="444"/>
      <c r="E62" s="444"/>
      <c r="F62" s="444"/>
      <c r="G62" s="444"/>
      <c r="H62" s="444"/>
      <c r="I62" s="444"/>
      <c r="J62" s="444"/>
      <c r="K62" s="440"/>
    </row>
    <row r="63" spans="1:11" s="188" customFormat="1">
      <c r="A63" s="174" t="s">
        <v>1770</v>
      </c>
      <c r="B63" s="445">
        <f>'Sources and Uses Budget'!C64</f>
        <v>70000</v>
      </c>
      <c r="C63" s="446"/>
      <c r="D63" s="446">
        <f>B63</f>
        <v>70000</v>
      </c>
      <c r="E63" s="445">
        <f>'Sources and Uses Budget'!S64</f>
        <v>70000</v>
      </c>
      <c r="F63" s="446">
        <f>E63</f>
        <v>70000</v>
      </c>
      <c r="G63" s="446"/>
      <c r="H63" s="445">
        <f>'Sources and Uses Budget'!T64</f>
        <v>0</v>
      </c>
      <c r="I63" s="446"/>
      <c r="J63" s="446"/>
      <c r="K63" s="440"/>
    </row>
    <row r="64" spans="1:11" s="188" customFormat="1" ht="24">
      <c r="A64" s="174" t="s">
        <v>1771</v>
      </c>
      <c r="B64" s="445">
        <f>'Sources and Uses Budget'!C65</f>
        <v>0</v>
      </c>
      <c r="C64" s="446"/>
      <c r="D64" s="446">
        <f t="shared" ref="D64:D67" si="6">B64</f>
        <v>0</v>
      </c>
      <c r="E64" s="445">
        <f>'Sources and Uses Budget'!S65</f>
        <v>0</v>
      </c>
      <c r="F64" s="446"/>
      <c r="G64" s="446"/>
      <c r="H64" s="445">
        <f>'Sources and Uses Budget'!T65</f>
        <v>0</v>
      </c>
      <c r="I64" s="446"/>
      <c r="J64" s="446"/>
      <c r="K64" s="440"/>
    </row>
    <row r="65" spans="1:11" s="188" customFormat="1" ht="24">
      <c r="A65" s="174" t="s">
        <v>1772</v>
      </c>
      <c r="B65" s="445">
        <f>'Sources and Uses Budget'!C66</f>
        <v>0</v>
      </c>
      <c r="C65" s="446"/>
      <c r="D65" s="446">
        <f t="shared" si="6"/>
        <v>0</v>
      </c>
      <c r="E65" s="445">
        <f>'Sources and Uses Budget'!S66</f>
        <v>0</v>
      </c>
      <c r="F65" s="446"/>
      <c r="G65" s="446"/>
      <c r="H65" s="445">
        <f>'Sources and Uses Budget'!T66</f>
        <v>0</v>
      </c>
      <c r="I65" s="446"/>
      <c r="J65" s="446"/>
      <c r="K65" s="440"/>
    </row>
    <row r="66" spans="1:11" s="188" customFormat="1">
      <c r="A66" s="174" t="s">
        <v>1773</v>
      </c>
      <c r="B66" s="445">
        <f>'Sources and Uses Budget'!C67</f>
        <v>0</v>
      </c>
      <c r="C66" s="446"/>
      <c r="D66" s="446">
        <f t="shared" si="6"/>
        <v>0</v>
      </c>
      <c r="E66" s="445">
        <f>'Sources and Uses Budget'!S67</f>
        <v>0</v>
      </c>
      <c r="F66" s="446"/>
      <c r="G66" s="446"/>
      <c r="H66" s="445">
        <f>'Sources and Uses Budget'!T67</f>
        <v>0</v>
      </c>
      <c r="I66" s="446"/>
      <c r="J66" s="446"/>
      <c r="K66" s="440"/>
    </row>
    <row r="67" spans="1:11" s="188" customFormat="1">
      <c r="A67" s="174" t="str">
        <f>'Sources and Uses Budget'!$A68</f>
        <v>Other: (Owner Legal)</v>
      </c>
      <c r="B67" s="445">
        <f>'Sources and Uses Budget'!C68</f>
        <v>95000</v>
      </c>
      <c r="C67" s="446"/>
      <c r="D67" s="446">
        <f t="shared" si="6"/>
        <v>95000</v>
      </c>
      <c r="E67" s="445">
        <f>'Sources and Uses Budget'!S68</f>
        <v>95000</v>
      </c>
      <c r="F67" s="446">
        <f>E67</f>
        <v>95000</v>
      </c>
      <c r="G67" s="446"/>
      <c r="H67" s="445">
        <f>'Sources and Uses Budget'!T68</f>
        <v>0</v>
      </c>
      <c r="I67" s="446"/>
      <c r="J67" s="446"/>
      <c r="K67" s="440"/>
    </row>
    <row r="68" spans="1:11" s="188" customFormat="1">
      <c r="A68" s="178" t="s">
        <v>1775</v>
      </c>
      <c r="B68" s="445">
        <f>'Sources and Uses Budget'!C69</f>
        <v>165000</v>
      </c>
      <c r="C68" s="445">
        <f>SUM(C62:C67)</f>
        <v>0</v>
      </c>
      <c r="D68" s="445">
        <f>SUM(D62:D67)</f>
        <v>165000</v>
      </c>
      <c r="E68" s="445">
        <f>'Sources and Uses Budget'!S69</f>
        <v>165000</v>
      </c>
      <c r="F68" s="448">
        <f>SUM(F63:F67)</f>
        <v>165000</v>
      </c>
      <c r="G68" s="448">
        <f>SUM(G63:G67)</f>
        <v>0</v>
      </c>
      <c r="H68" s="445">
        <f>'Sources and Uses Budget'!T69</f>
        <v>0</v>
      </c>
      <c r="I68" s="448">
        <f>SUM(I63:I67)</f>
        <v>0</v>
      </c>
      <c r="J68" s="448">
        <f>SUM(J63:J67)</f>
        <v>0</v>
      </c>
      <c r="K68" s="440"/>
    </row>
    <row r="69" spans="1:11" s="188" customFormat="1">
      <c r="A69" s="170" t="s">
        <v>1776</v>
      </c>
      <c r="B69" s="444"/>
      <c r="C69" s="444"/>
      <c r="D69" s="444"/>
      <c r="E69" s="444"/>
      <c r="F69" s="444"/>
      <c r="G69" s="444"/>
      <c r="H69" s="444"/>
      <c r="I69" s="444"/>
      <c r="J69" s="444"/>
      <c r="K69" s="440"/>
    </row>
    <row r="70" spans="1:11" s="188" customFormat="1">
      <c r="A70" s="174" t="s">
        <v>1777</v>
      </c>
      <c r="B70" s="445">
        <f>'Sources and Uses Budget'!C71</f>
        <v>0</v>
      </c>
      <c r="C70" s="446"/>
      <c r="D70" s="446">
        <f>B70</f>
        <v>0</v>
      </c>
      <c r="E70" s="447"/>
      <c r="F70" s="447"/>
      <c r="G70" s="447"/>
      <c r="H70" s="447"/>
      <c r="I70" s="447"/>
      <c r="J70" s="447"/>
      <c r="K70" s="440"/>
    </row>
    <row r="71" spans="1:11" s="188" customFormat="1">
      <c r="A71" s="174" t="s">
        <v>1778</v>
      </c>
      <c r="B71" s="445">
        <f>'Sources and Uses Budget'!C72</f>
        <v>0</v>
      </c>
      <c r="C71" s="446"/>
      <c r="D71" s="446">
        <f t="shared" ref="D71:D74" si="7">B71</f>
        <v>0</v>
      </c>
      <c r="E71" s="447"/>
      <c r="F71" s="447"/>
      <c r="G71" s="447"/>
      <c r="H71" s="447"/>
      <c r="I71" s="447"/>
      <c r="J71" s="447"/>
      <c r="K71" s="440"/>
    </row>
    <row r="72" spans="1:11" s="188" customFormat="1">
      <c r="A72" s="330" t="s">
        <v>1779</v>
      </c>
      <c r="B72" s="445">
        <f>'Sources and Uses Budget'!C73</f>
        <v>0</v>
      </c>
      <c r="C72" s="446"/>
      <c r="D72" s="446">
        <f t="shared" si="7"/>
        <v>0</v>
      </c>
      <c r="E72" s="447"/>
      <c r="F72" s="447"/>
      <c r="G72" s="447"/>
      <c r="H72" s="447"/>
      <c r="I72" s="447"/>
      <c r="J72" s="447"/>
      <c r="K72" s="440"/>
    </row>
    <row r="73" spans="1:11" s="188" customFormat="1">
      <c r="A73" s="174" t="s">
        <v>1780</v>
      </c>
      <c r="B73" s="445">
        <f>'Sources and Uses Budget'!C74</f>
        <v>483675.61359438853</v>
      </c>
      <c r="C73" s="446"/>
      <c r="D73" s="446">
        <f t="shared" si="7"/>
        <v>483675.61359438853</v>
      </c>
      <c r="E73" s="447"/>
      <c r="F73" s="447"/>
      <c r="G73" s="447"/>
      <c r="H73" s="447"/>
      <c r="I73" s="447"/>
      <c r="J73" s="447"/>
      <c r="K73" s="440"/>
    </row>
    <row r="74" spans="1:11" s="188" customFormat="1">
      <c r="A74" s="174" t="str">
        <f>'Sources and Uses Budget'!$A75</f>
        <v>Other: (Specify)</v>
      </c>
      <c r="B74" s="445">
        <f>'Sources and Uses Budget'!C75</f>
        <v>0</v>
      </c>
      <c r="C74" s="446"/>
      <c r="D74" s="446">
        <f t="shared" si="7"/>
        <v>0</v>
      </c>
      <c r="E74" s="447"/>
      <c r="F74" s="447"/>
      <c r="G74" s="447"/>
      <c r="H74" s="447"/>
      <c r="I74" s="447"/>
      <c r="J74" s="447"/>
      <c r="K74" s="440"/>
    </row>
    <row r="75" spans="1:11" s="188" customFormat="1">
      <c r="A75" s="178" t="s">
        <v>1781</v>
      </c>
      <c r="B75" s="445">
        <f>'Sources and Uses Budget'!C76</f>
        <v>483675.61359438853</v>
      </c>
      <c r="C75" s="445">
        <f>SUM(C70:C74)</f>
        <v>0</v>
      </c>
      <c r="D75" s="445">
        <f>SUM(D70:D74)</f>
        <v>483675.61359438853</v>
      </c>
      <c r="E75" s="447"/>
      <c r="F75" s="447"/>
      <c r="G75" s="447"/>
      <c r="H75" s="447"/>
      <c r="I75" s="447"/>
      <c r="J75" s="447"/>
      <c r="K75" s="440"/>
    </row>
    <row r="76" spans="1:11" s="188" customFormat="1">
      <c r="A76" s="170" t="s">
        <v>1782</v>
      </c>
      <c r="B76" s="444"/>
      <c r="C76" s="444"/>
      <c r="D76" s="444"/>
      <c r="E76" s="444"/>
      <c r="F76" s="444"/>
      <c r="G76" s="444"/>
      <c r="H76" s="444"/>
      <c r="I76" s="444"/>
      <c r="J76" s="444"/>
      <c r="K76" s="440"/>
    </row>
    <row r="77" spans="1:11" s="188" customFormat="1">
      <c r="A77" s="174" t="s">
        <v>1902</v>
      </c>
      <c r="B77" s="445">
        <f>'Sources and Uses Budget'!C78</f>
        <v>1227202.0810299523</v>
      </c>
      <c r="C77" s="446"/>
      <c r="D77" s="446">
        <f>B77</f>
        <v>1227202.0810299523</v>
      </c>
      <c r="E77" s="445">
        <f>'Sources and Uses Budget'!S78</f>
        <v>1227202.0810299523</v>
      </c>
      <c r="F77" s="446">
        <f>E77</f>
        <v>1227202.0810299523</v>
      </c>
      <c r="G77" s="446"/>
      <c r="H77" s="445">
        <f>'Sources and Uses Budget'!T78</f>
        <v>0</v>
      </c>
      <c r="I77" s="446"/>
      <c r="J77" s="446"/>
      <c r="K77" s="440"/>
    </row>
    <row r="78" spans="1:11" s="188" customFormat="1">
      <c r="A78" s="174" t="s">
        <v>1784</v>
      </c>
      <c r="B78" s="445">
        <f>'Sources and Uses Budget'!C79</f>
        <v>677231.1237639999</v>
      </c>
      <c r="C78" s="446"/>
      <c r="D78" s="446">
        <f>B78</f>
        <v>677231.1237639999</v>
      </c>
      <c r="E78" s="445">
        <f>'Sources and Uses Budget'!S79</f>
        <v>677231.1237639999</v>
      </c>
      <c r="F78" s="446">
        <f>E78</f>
        <v>677231.1237639999</v>
      </c>
      <c r="G78" s="446"/>
      <c r="H78" s="445">
        <f>'Sources and Uses Budget'!T79</f>
        <v>0</v>
      </c>
      <c r="I78" s="446"/>
      <c r="J78" s="446"/>
      <c r="K78" s="440"/>
    </row>
    <row r="79" spans="1:11" s="188" customFormat="1">
      <c r="A79" s="178" t="s">
        <v>1785</v>
      </c>
      <c r="B79" s="445">
        <f>'Sources and Uses Budget'!C80</f>
        <v>1904433.2047939522</v>
      </c>
      <c r="C79" s="506">
        <f>SUM(C77:C78)</f>
        <v>0</v>
      </c>
      <c r="D79" s="506">
        <f>SUM(D77:D78)</f>
        <v>1904433.2047939522</v>
      </c>
      <c r="E79" s="445">
        <f>'Sources and Uses Budget'!S80</f>
        <v>1904433.2047939522</v>
      </c>
      <c r="F79" s="506">
        <f>SUM(F77:F78)</f>
        <v>1904433.2047939522</v>
      </c>
      <c r="G79" s="506">
        <f>SUM(G77:G78)</f>
        <v>0</v>
      </c>
      <c r="H79" s="445">
        <f>'Sources and Uses Budget'!T80</f>
        <v>0</v>
      </c>
      <c r="I79" s="506">
        <f>SUM(I77:I78)</f>
        <v>0</v>
      </c>
      <c r="J79" s="506">
        <f>SUM(J77:J78)</f>
        <v>0</v>
      </c>
      <c r="K79" s="440"/>
    </row>
    <row r="80" spans="1:11" s="188" customFormat="1">
      <c r="A80" s="170" t="s">
        <v>1786</v>
      </c>
      <c r="B80" s="444"/>
      <c r="C80" s="444"/>
      <c r="D80" s="444"/>
      <c r="E80" s="444"/>
      <c r="F80" s="444"/>
      <c r="G80" s="444"/>
      <c r="H80" s="444"/>
      <c r="I80" s="444"/>
      <c r="J80" s="444"/>
      <c r="K80" s="440"/>
    </row>
    <row r="81" spans="1:11" s="188" customFormat="1" ht="13.9" customHeight="1">
      <c r="A81" s="174" t="s">
        <v>1787</v>
      </c>
      <c r="B81" s="445">
        <f>'Sources and Uses Budget'!C82</f>
        <v>116273.24764</v>
      </c>
      <c r="C81" s="446"/>
      <c r="D81" s="446">
        <f>B81</f>
        <v>116273.24764</v>
      </c>
      <c r="E81" s="447"/>
      <c r="F81" s="447"/>
      <c r="G81" s="447"/>
      <c r="H81" s="447"/>
      <c r="I81" s="447"/>
      <c r="J81" s="447"/>
      <c r="K81" s="440"/>
    </row>
    <row r="82" spans="1:11" s="188" customFormat="1">
      <c r="A82" s="174" t="s">
        <v>1788</v>
      </c>
      <c r="B82" s="445">
        <f>'Sources and Uses Budget'!C83</f>
        <v>93070</v>
      </c>
      <c r="C82" s="446"/>
      <c r="D82" s="446">
        <f t="shared" ref="D82:D93" si="8">B82</f>
        <v>93070</v>
      </c>
      <c r="E82" s="445">
        <f>'Sources and Uses Budget'!S83</f>
        <v>93070</v>
      </c>
      <c r="F82" s="446">
        <f>E82</f>
        <v>93070</v>
      </c>
      <c r="G82" s="446"/>
      <c r="H82" s="445">
        <f>'Sources and Uses Budget'!T83</f>
        <v>0</v>
      </c>
      <c r="I82" s="446"/>
      <c r="J82" s="446"/>
      <c r="K82" s="440"/>
    </row>
    <row r="83" spans="1:11" s="188" customFormat="1">
      <c r="A83" s="174" t="s">
        <v>1789</v>
      </c>
      <c r="B83" s="445">
        <f>'Sources and Uses Budget'!C84</f>
        <v>1164320</v>
      </c>
      <c r="C83" s="446"/>
      <c r="D83" s="446">
        <f t="shared" si="8"/>
        <v>1164320</v>
      </c>
      <c r="E83" s="445">
        <f>'Sources and Uses Budget'!S84</f>
        <v>1164320</v>
      </c>
      <c r="F83" s="446">
        <f t="shared" ref="F83:F85" si="9">E83</f>
        <v>1164320</v>
      </c>
      <c r="G83" s="446"/>
      <c r="H83" s="445">
        <f>'Sources and Uses Budget'!T84</f>
        <v>0</v>
      </c>
      <c r="I83" s="446"/>
      <c r="J83" s="446"/>
      <c r="K83" s="440"/>
    </row>
    <row r="84" spans="1:11" s="188" customFormat="1">
      <c r="A84" s="174" t="s">
        <v>1790</v>
      </c>
      <c r="B84" s="445">
        <f>'Sources and Uses Budget'!C85</f>
        <v>739377.19</v>
      </c>
      <c r="C84" s="446"/>
      <c r="D84" s="446">
        <f t="shared" si="8"/>
        <v>739377.19</v>
      </c>
      <c r="E84" s="445">
        <f>'Sources and Uses Budget'!S85</f>
        <v>739377.19</v>
      </c>
      <c r="F84" s="446">
        <f t="shared" si="9"/>
        <v>739377.19</v>
      </c>
      <c r="G84" s="446"/>
      <c r="H84" s="445">
        <f>'Sources and Uses Budget'!T85</f>
        <v>0</v>
      </c>
      <c r="I84" s="446"/>
      <c r="J84" s="446"/>
      <c r="K84" s="440"/>
    </row>
    <row r="85" spans="1:11" s="188" customFormat="1">
      <c r="A85" s="174" t="s">
        <v>1791</v>
      </c>
      <c r="B85" s="445">
        <f>'Sources and Uses Budget'!C86</f>
        <v>0</v>
      </c>
      <c r="C85" s="446"/>
      <c r="D85" s="446">
        <f t="shared" si="8"/>
        <v>0</v>
      </c>
      <c r="E85" s="445">
        <f>'Sources and Uses Budget'!S86</f>
        <v>0</v>
      </c>
      <c r="F85" s="446">
        <f t="shared" si="9"/>
        <v>0</v>
      </c>
      <c r="G85" s="446"/>
      <c r="H85" s="445">
        <f>'Sources and Uses Budget'!T86</f>
        <v>0</v>
      </c>
      <c r="I85" s="446"/>
      <c r="J85" s="446"/>
      <c r="K85" s="440"/>
    </row>
    <row r="86" spans="1:11" s="188" customFormat="1">
      <c r="A86" s="174" t="s">
        <v>1792</v>
      </c>
      <c r="B86" s="445">
        <f>'Sources and Uses Budget'!C87</f>
        <v>95000</v>
      </c>
      <c r="C86" s="446"/>
      <c r="D86" s="446">
        <f t="shared" si="8"/>
        <v>95000</v>
      </c>
      <c r="E86" s="447"/>
      <c r="F86" s="447"/>
      <c r="G86" s="447"/>
      <c r="H86" s="447"/>
      <c r="I86" s="447"/>
      <c r="J86" s="447"/>
      <c r="K86" s="440"/>
    </row>
    <row r="87" spans="1:11" s="188" customFormat="1">
      <c r="A87" s="174" t="s">
        <v>1793</v>
      </c>
      <c r="B87" s="445">
        <f>'Sources and Uses Budget'!C88</f>
        <v>80000</v>
      </c>
      <c r="C87" s="446"/>
      <c r="D87" s="446">
        <f t="shared" si="8"/>
        <v>80000</v>
      </c>
      <c r="E87" s="445">
        <f>'Sources and Uses Budget'!S88</f>
        <v>80000</v>
      </c>
      <c r="F87" s="446">
        <f>E87</f>
        <v>80000</v>
      </c>
      <c r="G87" s="446"/>
      <c r="H87" s="445">
        <f>'Sources and Uses Budget'!T88</f>
        <v>0</v>
      </c>
      <c r="I87" s="446"/>
      <c r="J87" s="446"/>
      <c r="K87" s="440"/>
    </row>
    <row r="88" spans="1:11" s="188" customFormat="1">
      <c r="A88" s="174" t="s">
        <v>1794</v>
      </c>
      <c r="B88" s="445">
        <f>'Sources and Uses Budget'!C89</f>
        <v>36800</v>
      </c>
      <c r="C88" s="446"/>
      <c r="D88" s="446">
        <f t="shared" si="8"/>
        <v>36800</v>
      </c>
      <c r="E88" s="445">
        <f>'Sources and Uses Budget'!S89</f>
        <v>0</v>
      </c>
      <c r="F88" s="446">
        <f t="shared" ref="F88:F93" si="10">E88</f>
        <v>0</v>
      </c>
      <c r="G88" s="446"/>
      <c r="H88" s="445">
        <f>'Sources and Uses Budget'!T89</f>
        <v>0</v>
      </c>
      <c r="I88" s="446"/>
      <c r="J88" s="446"/>
      <c r="K88" s="440"/>
    </row>
    <row r="89" spans="1:11" s="188" customFormat="1">
      <c r="A89" s="174" t="s">
        <v>1795</v>
      </c>
      <c r="B89" s="445">
        <f>'Sources and Uses Budget'!C90</f>
        <v>0</v>
      </c>
      <c r="C89" s="446"/>
      <c r="D89" s="446">
        <f t="shared" si="8"/>
        <v>0</v>
      </c>
      <c r="E89" s="445">
        <f>'Sources and Uses Budget'!S90</f>
        <v>0</v>
      </c>
      <c r="F89" s="446">
        <f t="shared" si="10"/>
        <v>0</v>
      </c>
      <c r="G89" s="446"/>
      <c r="H89" s="445">
        <f>'Sources and Uses Budget'!T90</f>
        <v>0</v>
      </c>
      <c r="I89" s="446"/>
      <c r="J89" s="446"/>
      <c r="K89" s="440"/>
    </row>
    <row r="90" spans="1:11" s="188" customFormat="1">
      <c r="A90" s="174" t="s">
        <v>1796</v>
      </c>
      <c r="B90" s="445">
        <f>'Sources and Uses Budget'!C91</f>
        <v>12800</v>
      </c>
      <c r="C90" s="446"/>
      <c r="D90" s="446">
        <f t="shared" si="8"/>
        <v>12800</v>
      </c>
      <c r="E90" s="445">
        <f>'Sources and Uses Budget'!S91</f>
        <v>12800</v>
      </c>
      <c r="F90" s="446">
        <f t="shared" si="10"/>
        <v>12800</v>
      </c>
      <c r="G90" s="446"/>
      <c r="H90" s="445">
        <f>'Sources and Uses Budget'!T91</f>
        <v>0</v>
      </c>
      <c r="I90" s="446"/>
      <c r="J90" s="446"/>
      <c r="K90" s="440"/>
    </row>
    <row r="91" spans="1:11" s="188" customFormat="1">
      <c r="A91" s="174" t="str">
        <f>'Sources and Uses Budget'!$A92</f>
        <v>Other: (Solar)</v>
      </c>
      <c r="B91" s="445">
        <f>'Sources and Uses Budget'!C92</f>
        <v>303505</v>
      </c>
      <c r="C91" s="446"/>
      <c r="D91" s="446">
        <f t="shared" si="8"/>
        <v>303505</v>
      </c>
      <c r="E91" s="445">
        <f>'Sources and Uses Budget'!S92</f>
        <v>303505</v>
      </c>
      <c r="F91" s="446">
        <f t="shared" si="10"/>
        <v>303505</v>
      </c>
      <c r="G91" s="446"/>
      <c r="H91" s="445">
        <f>'Sources and Uses Budget'!T92</f>
        <v>0</v>
      </c>
      <c r="I91" s="446"/>
      <c r="J91" s="446"/>
      <c r="K91" s="440"/>
    </row>
    <row r="92" spans="1:11" s="188" customFormat="1">
      <c r="A92" s="174" t="str">
        <f>'Sources and Uses Budget'!$A93</f>
        <v>Other: (Security)</v>
      </c>
      <c r="B92" s="445">
        <f>'Sources and Uses Budget'!C93</f>
        <v>125000</v>
      </c>
      <c r="C92" s="446"/>
      <c r="D92" s="446">
        <f t="shared" si="8"/>
        <v>125000</v>
      </c>
      <c r="E92" s="445">
        <f>'Sources and Uses Budget'!S93</f>
        <v>125000</v>
      </c>
      <c r="F92" s="446">
        <f t="shared" si="10"/>
        <v>125000</v>
      </c>
      <c r="G92" s="446"/>
      <c r="H92" s="445">
        <f>'Sources and Uses Budget'!T93</f>
        <v>0</v>
      </c>
      <c r="I92" s="446"/>
      <c r="J92" s="446"/>
      <c r="K92" s="440"/>
    </row>
    <row r="93" spans="1:11" s="188" customFormat="1">
      <c r="A93" s="174" t="str">
        <f>'Sources and Uses Budget'!$A94</f>
        <v>Predev Loan interest &amp; costs</v>
      </c>
      <c r="B93" s="445">
        <f>'Sources and Uses Budget'!C94</f>
        <v>400000</v>
      </c>
      <c r="C93" s="446"/>
      <c r="D93" s="446">
        <f t="shared" si="8"/>
        <v>400000</v>
      </c>
      <c r="E93" s="445">
        <f>'Sources and Uses Budget'!S94</f>
        <v>400000</v>
      </c>
      <c r="F93" s="446">
        <f t="shared" si="10"/>
        <v>400000</v>
      </c>
      <c r="G93" s="446"/>
      <c r="H93" s="445">
        <f>'Sources and Uses Budget'!T94</f>
        <v>0</v>
      </c>
      <c r="I93" s="446"/>
      <c r="J93" s="446"/>
      <c r="K93" s="440"/>
    </row>
    <row r="94" spans="1:11" s="188" customFormat="1">
      <c r="A94" s="178" t="s">
        <v>1800</v>
      </c>
      <c r="B94" s="445">
        <f>'Sources and Uses Budget'!C95</f>
        <v>3166145.4376400001</v>
      </c>
      <c r="C94" s="445">
        <f>SUM(C81:C93)</f>
        <v>0</v>
      </c>
      <c r="D94" s="445">
        <f>SUM(D81:D93)</f>
        <v>3166145.4376400001</v>
      </c>
      <c r="E94" s="445">
        <f>'Sources and Uses Budget'!S95</f>
        <v>2918072.19</v>
      </c>
      <c r="F94" s="448">
        <f>SUM(F82:F85,F87:F93)</f>
        <v>2918072.19</v>
      </c>
      <c r="G94" s="448">
        <f>SUM(G82:G85,G87:G93)</f>
        <v>0</v>
      </c>
      <c r="H94" s="445">
        <f>'Sources and Uses Budget'!T95</f>
        <v>0</v>
      </c>
      <c r="I94" s="445">
        <f>SUM(I82:I85,I87:I93)</f>
        <v>0</v>
      </c>
      <c r="J94" s="445">
        <f>SUM(J82:J85,J87:J93)</f>
        <v>0</v>
      </c>
      <c r="K94" s="440"/>
    </row>
    <row r="95" spans="1:11" s="188" customFormat="1">
      <c r="A95" s="178" t="s">
        <v>1903</v>
      </c>
      <c r="B95" s="445">
        <f>'Sources and Uses Budget'!C96</f>
        <v>38763765.945813194</v>
      </c>
      <c r="C95" s="445">
        <f>SUM(C61+C68+C75+C79+C94)</f>
        <v>0</v>
      </c>
      <c r="D95" s="445">
        <f>SUM(D61+D68+D75+D79+D94)</f>
        <v>38763765.945813194</v>
      </c>
      <c r="E95" s="445">
        <f>'Sources and Uses Budget'!S96</f>
        <v>33981864.604807153</v>
      </c>
      <c r="F95" s="448">
        <f>SUM(+F61+F68+F79+F94)</f>
        <v>33981864.604807153</v>
      </c>
      <c r="G95" s="448">
        <f>SUM(+G61+G68+G79+G94)</f>
        <v>0</v>
      </c>
      <c r="H95" s="445">
        <f>'Sources and Uses Budget'!T96</f>
        <v>0</v>
      </c>
      <c r="I95" s="448">
        <f>SUM(I61+I68+I79+I94)</f>
        <v>0</v>
      </c>
      <c r="J95" s="448">
        <f>SUM(J61+J68+J79+J94)</f>
        <v>0</v>
      </c>
      <c r="K95" s="440"/>
    </row>
    <row r="96" spans="1:11" s="188" customFormat="1">
      <c r="A96" s="170" t="s">
        <v>1802</v>
      </c>
      <c r="B96" s="444"/>
      <c r="C96" s="444"/>
      <c r="D96" s="444"/>
      <c r="E96" s="444"/>
      <c r="F96" s="444"/>
      <c r="G96" s="444"/>
      <c r="H96" s="444"/>
      <c r="I96" s="444"/>
      <c r="J96" s="444"/>
      <c r="K96" s="440"/>
    </row>
    <row r="97" spans="1:11" s="188" customFormat="1">
      <c r="A97" s="174" t="s">
        <v>1803</v>
      </c>
      <c r="B97" s="445">
        <f>'Sources and Uses Budget'!C98</f>
        <v>2200000</v>
      </c>
      <c r="C97" s="446"/>
      <c r="D97" s="446">
        <f>B97</f>
        <v>2200000</v>
      </c>
      <c r="E97" s="445">
        <f>'Sources and Uses Budget'!S98</f>
        <v>2200000</v>
      </c>
      <c r="F97" s="446">
        <f>E97</f>
        <v>2200000</v>
      </c>
      <c r="G97" s="446"/>
      <c r="H97" s="445">
        <f>'Sources and Uses Budget'!T98</f>
        <v>0</v>
      </c>
      <c r="I97" s="446"/>
      <c r="J97" s="446"/>
      <c r="K97" s="440"/>
    </row>
    <row r="98" spans="1:11" s="188" customFormat="1">
      <c r="A98" s="174" t="s">
        <v>1804</v>
      </c>
      <c r="B98" s="445">
        <f>'Sources and Uses Budget'!C99</f>
        <v>0</v>
      </c>
      <c r="C98" s="446"/>
      <c r="D98" s="446"/>
      <c r="E98" s="445">
        <f>'Sources and Uses Budget'!S99</f>
        <v>0</v>
      </c>
      <c r="F98" s="446"/>
      <c r="G98" s="446"/>
      <c r="H98" s="445">
        <f>'Sources and Uses Budget'!T99</f>
        <v>0</v>
      </c>
      <c r="I98" s="446"/>
      <c r="J98" s="446"/>
      <c r="K98" s="440"/>
    </row>
    <row r="99" spans="1:11" s="188" customFormat="1" ht="12" customHeight="1">
      <c r="A99" s="174" t="s">
        <v>1805</v>
      </c>
      <c r="B99" s="445">
        <f>'Sources and Uses Budget'!C100</f>
        <v>0</v>
      </c>
      <c r="C99" s="446"/>
      <c r="D99" s="446"/>
      <c r="E99" s="445">
        <f>'Sources and Uses Budget'!S100</f>
        <v>0</v>
      </c>
      <c r="F99" s="446"/>
      <c r="G99" s="446"/>
      <c r="H99" s="445">
        <f>'Sources and Uses Budget'!T100</f>
        <v>0</v>
      </c>
      <c r="I99" s="446"/>
      <c r="J99" s="446"/>
      <c r="K99" s="440"/>
    </row>
    <row r="100" spans="1:11" s="188" customFormat="1">
      <c r="A100" s="174" t="s">
        <v>1806</v>
      </c>
      <c r="B100" s="445">
        <f>'Sources and Uses Budget'!C101</f>
        <v>0</v>
      </c>
      <c r="C100" s="446"/>
      <c r="D100" s="446"/>
      <c r="E100" s="445">
        <f>'Sources and Uses Budget'!S101</f>
        <v>0</v>
      </c>
      <c r="F100" s="446"/>
      <c r="G100" s="446"/>
      <c r="H100" s="445">
        <f>'Sources and Uses Budget'!T101</f>
        <v>0</v>
      </c>
      <c r="I100" s="446"/>
      <c r="J100" s="446"/>
      <c r="K100" s="440"/>
    </row>
    <row r="101" spans="1:11" s="188" customFormat="1">
      <c r="A101" s="174" t="str">
        <f>'Sources and Uses Budget'!$A102</f>
        <v>Other: (Specify)</v>
      </c>
      <c r="B101" s="445">
        <f>'Sources and Uses Budget'!C102</f>
        <v>0</v>
      </c>
      <c r="C101" s="446"/>
      <c r="D101" s="446"/>
      <c r="E101" s="445">
        <f>'Sources and Uses Budget'!S102</f>
        <v>0</v>
      </c>
      <c r="F101" s="446"/>
      <c r="G101" s="446"/>
      <c r="H101" s="445">
        <f>'Sources and Uses Budget'!T102</f>
        <v>0</v>
      </c>
      <c r="I101" s="446"/>
      <c r="J101" s="446"/>
      <c r="K101" s="440"/>
    </row>
    <row r="102" spans="1:11" s="188" customFormat="1">
      <c r="A102" s="178" t="s">
        <v>1807</v>
      </c>
      <c r="B102" s="445">
        <f>'Sources and Uses Budget'!C103</f>
        <v>2200000</v>
      </c>
      <c r="C102" s="445">
        <f>SUM(C97:C101)</f>
        <v>0</v>
      </c>
      <c r="D102" s="445">
        <f>SUM(D97:D101)</f>
        <v>2200000</v>
      </c>
      <c r="E102" s="445">
        <f>'Sources and Uses Budget'!S103</f>
        <v>2200000</v>
      </c>
      <c r="F102" s="448">
        <f>SUM(F97:F101)</f>
        <v>2200000</v>
      </c>
      <c r="G102" s="448">
        <f>SUM(G97:G101)</f>
        <v>0</v>
      </c>
      <c r="H102" s="445">
        <f>'Sources and Uses Budget'!T103</f>
        <v>0</v>
      </c>
      <c r="I102" s="448">
        <f>SUM(I97:I101)</f>
        <v>0</v>
      </c>
      <c r="J102" s="448">
        <f>SUM(J97:J101)</f>
        <v>0</v>
      </c>
      <c r="K102" s="440"/>
    </row>
    <row r="103" spans="1:11" s="188" customFormat="1">
      <c r="A103" s="178" t="s">
        <v>1904</v>
      </c>
      <c r="B103" s="445">
        <f>'Sources and Uses Budget'!C104</f>
        <v>40963765.945813194</v>
      </c>
      <c r="C103" s="448">
        <f>SUM(C95+C102)</f>
        <v>0</v>
      </c>
      <c r="D103" s="448">
        <f>SUM(D95+D102)</f>
        <v>40963765.945813194</v>
      </c>
      <c r="E103" s="445">
        <f>'Sources and Uses Budget'!S104</f>
        <v>36181864.604807153</v>
      </c>
      <c r="F103" s="448">
        <f>F95+F102</f>
        <v>36181864.604807153</v>
      </c>
      <c r="G103" s="448">
        <f>G95+G102</f>
        <v>0</v>
      </c>
      <c r="H103" s="445">
        <f>'Sources and Uses Budget'!T104</f>
        <v>0</v>
      </c>
      <c r="I103" s="448">
        <f>I95+I102</f>
        <v>0</v>
      </c>
      <c r="J103" s="448">
        <f>J95+J102</f>
        <v>0</v>
      </c>
      <c r="K103" s="440"/>
    </row>
    <row r="104" spans="1:11" s="188" customFormat="1">
      <c r="A104" s="186"/>
      <c r="B104" s="449"/>
      <c r="C104" s="449"/>
      <c r="D104" s="449"/>
      <c r="E104" s="445">
        <f>'Sources and Uses Budget'!S105</f>
        <v>0</v>
      </c>
      <c r="F104" s="446"/>
      <c r="G104" s="446"/>
      <c r="H104" s="445">
        <f>'Sources and Uses Budget'!T105</f>
        <v>0</v>
      </c>
      <c r="I104" s="446"/>
      <c r="J104" s="446"/>
      <c r="K104" s="440"/>
    </row>
    <row r="105" spans="1:11" s="188" customFormat="1">
      <c r="A105" s="422"/>
      <c r="B105" s="450"/>
      <c r="C105" s="449"/>
      <c r="D105" s="449"/>
      <c r="E105" s="445">
        <f>'Sources and Uses Budget'!S106</f>
        <v>36181864.604807153</v>
      </c>
      <c r="F105" s="448">
        <f>F103+F104</f>
        <v>36181864.604807153</v>
      </c>
      <c r="G105" s="448">
        <f>G103+G104</f>
        <v>0</v>
      </c>
      <c r="H105" s="445">
        <f>'Sources and Uses Budget'!T106</f>
        <v>0</v>
      </c>
      <c r="I105" s="448">
        <f>I103+I104</f>
        <v>0</v>
      </c>
      <c r="J105" s="448">
        <f>J103+J104</f>
        <v>0</v>
      </c>
      <c r="K105" s="440"/>
    </row>
    <row r="106" spans="1:11" s="188" customFormat="1" hidden="1">
      <c r="A106" s="422"/>
      <c r="B106" s="187"/>
      <c r="C106" s="187"/>
      <c r="D106" s="187"/>
      <c r="J106" s="443"/>
      <c r="K106" s="440"/>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41" zoomScale="104" workbookViewId="0">
      <selection activeCell="AD663" sqref="AD663"/>
    </sheetView>
  </sheetViews>
  <sheetFormatPr defaultColWidth="0" defaultRowHeight="12.75" zeroHeight="1"/>
  <cols>
    <col min="1" max="3" width="2.42578125" style="18" customWidth="1"/>
    <col min="4" max="4" width="3.140625" style="18" customWidth="1"/>
    <col min="5" max="5" width="3.42578125" style="18" customWidth="1"/>
    <col min="6" max="6" width="2.85546875" style="18" customWidth="1"/>
    <col min="7" max="16" width="2.42578125" style="18" customWidth="1"/>
    <col min="17" max="17" width="3.140625" style="18" customWidth="1"/>
    <col min="18" max="18" width="4.5703125" style="18" customWidth="1"/>
    <col min="19" max="26" width="2.42578125" style="18" customWidth="1"/>
    <col min="27" max="30" width="2.5703125" style="18" customWidth="1"/>
    <col min="31" max="32" width="2.42578125" style="18" customWidth="1"/>
    <col min="33" max="33" width="3.42578125" style="18" customWidth="1"/>
    <col min="34" max="36" width="2.42578125" style="18" customWidth="1"/>
    <col min="37" max="37" width="5.5703125" style="18" customWidth="1"/>
    <col min="38" max="38" width="2.42578125" style="18" customWidth="1"/>
    <col min="39" max="39" width="3.42578125" style="18" customWidth="1"/>
    <col min="40" max="40" width="5.5703125" style="508" customWidth="1"/>
    <col min="41" max="41" width="5.5703125" style="30" hidden="1" customWidth="1"/>
    <col min="42" max="55" width="5.5703125" style="18" hidden="1" customWidth="1"/>
    <col min="56" max="60" width="5.5703125" style="32" hidden="1" customWidth="1"/>
    <col min="61" max="109" width="5.5703125" style="18" hidden="1" customWidth="1"/>
    <col min="110" max="16384" width="9.140625" style="18" hidden="1"/>
  </cols>
  <sheetData>
    <row r="1" spans="1:42" ht="15.75" customHeight="1">
      <c r="A1" s="1320" t="s">
        <v>1905</v>
      </c>
      <c r="B1" s="1320"/>
      <c r="C1" s="1320"/>
      <c r="D1" s="1320"/>
      <c r="E1" s="1320"/>
      <c r="F1" s="1320"/>
      <c r="G1" s="1320"/>
      <c r="H1" s="1320"/>
      <c r="I1" s="1320"/>
      <c r="J1" s="1320"/>
      <c r="K1" s="1320"/>
      <c r="L1" s="1320"/>
      <c r="M1" s="1320"/>
      <c r="N1" s="1320"/>
      <c r="O1" s="1320"/>
      <c r="P1" s="1320"/>
      <c r="Q1" s="1320"/>
      <c r="R1" s="1320"/>
      <c r="S1" s="1320"/>
      <c r="T1" s="1320"/>
      <c r="U1" s="1320"/>
      <c r="V1" s="1320"/>
      <c r="W1" s="1320"/>
      <c r="X1" s="1320"/>
      <c r="Y1" s="1320"/>
      <c r="Z1" s="1320"/>
      <c r="AA1" s="1320"/>
      <c r="AB1" s="1320"/>
      <c r="AC1" s="1320"/>
      <c r="AD1" s="1320"/>
      <c r="AE1" s="1320"/>
      <c r="AF1" s="1320"/>
      <c r="AG1" s="1320"/>
      <c r="AH1" s="1320"/>
      <c r="AI1" s="1320"/>
      <c r="AJ1" s="1320"/>
      <c r="AK1" s="1320"/>
      <c r="AL1" s="1320"/>
      <c r="AM1" s="1320"/>
    </row>
    <row r="2" spans="1:42" s="4" customFormat="1" ht="12.75" customHeight="1" thickBot="1">
      <c r="A2" s="1321"/>
      <c r="B2" s="1321"/>
      <c r="C2" s="1321"/>
      <c r="D2" s="1321"/>
      <c r="E2" s="1321"/>
      <c r="F2" s="1321"/>
      <c r="G2" s="1321"/>
      <c r="H2" s="1321"/>
      <c r="I2" s="1321"/>
      <c r="J2" s="1321"/>
      <c r="K2" s="1321"/>
      <c r="L2" s="1321"/>
      <c r="M2" s="1321"/>
      <c r="N2" s="1321"/>
      <c r="O2" s="1321"/>
      <c r="P2" s="1321"/>
      <c r="Q2" s="1321"/>
      <c r="R2" s="1321"/>
      <c r="S2" s="1321"/>
      <c r="T2" s="1321"/>
      <c r="U2" s="1321"/>
      <c r="V2" s="1321"/>
      <c r="W2" s="1321"/>
      <c r="X2" s="1321"/>
      <c r="Y2" s="1321"/>
      <c r="Z2" s="1321"/>
      <c r="AA2" s="1321"/>
      <c r="AB2" s="1321"/>
      <c r="AC2" s="1321"/>
      <c r="AD2" s="1321"/>
      <c r="AE2" s="1321"/>
      <c r="AF2" s="1321"/>
      <c r="AG2" s="1321"/>
      <c r="AH2" s="1321"/>
      <c r="AI2" s="1321"/>
      <c r="AJ2" s="1321"/>
      <c r="AK2" s="1321"/>
      <c r="AL2" s="1321"/>
      <c r="AM2" s="1321"/>
      <c r="AN2" s="901"/>
      <c r="AO2" s="33"/>
      <c r="AP2" s="33"/>
    </row>
    <row r="3" spans="1:42" s="2" customFormat="1" ht="12.75" customHeight="1" thickTop="1">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509"/>
    </row>
    <row r="4" spans="1:42" s="2" customFormat="1" ht="12.75" customHeight="1">
      <c r="A4" s="769" t="s">
        <v>1906</v>
      </c>
      <c r="AE4" s="1679" t="s">
        <v>1907</v>
      </c>
      <c r="AF4" s="1679"/>
      <c r="AG4" s="1679"/>
      <c r="AH4" s="1679"/>
      <c r="AI4" s="1679"/>
      <c r="AJ4" s="1679"/>
      <c r="AK4" s="1679"/>
      <c r="AL4" s="815"/>
      <c r="AN4" s="509"/>
    </row>
    <row r="5" spans="1:42" s="2" customFormat="1" ht="12.95" customHeight="1">
      <c r="A5" s="769"/>
      <c r="AE5" s="815"/>
      <c r="AF5" s="815"/>
      <c r="AG5" s="815"/>
      <c r="AH5" s="815"/>
      <c r="AI5" s="815"/>
      <c r="AJ5" s="815"/>
      <c r="AK5" s="815"/>
      <c r="AL5" s="815"/>
      <c r="AN5" s="509"/>
    </row>
    <row r="6" spans="1:42" s="4" customFormat="1" ht="12.75" customHeight="1">
      <c r="A6" s="769"/>
      <c r="B6" s="769" t="s">
        <v>1908</v>
      </c>
      <c r="C6" s="2"/>
      <c r="D6" s="2"/>
      <c r="E6" s="2"/>
      <c r="F6" s="2"/>
      <c r="G6" s="2"/>
      <c r="H6" s="2"/>
      <c r="I6" s="2"/>
      <c r="J6" s="2"/>
      <c r="K6" s="2"/>
      <c r="L6" s="2"/>
      <c r="M6" s="2"/>
      <c r="N6" s="2"/>
      <c r="O6" s="2"/>
      <c r="P6" s="2"/>
      <c r="Q6" s="2"/>
      <c r="R6" s="2"/>
      <c r="S6" s="2"/>
      <c r="T6" s="2"/>
      <c r="U6" s="2"/>
      <c r="V6" s="2"/>
      <c r="W6" s="2"/>
      <c r="X6" s="2"/>
      <c r="Y6" s="2"/>
      <c r="Z6" s="2"/>
      <c r="AA6" s="2"/>
      <c r="AB6" s="2"/>
      <c r="AC6" s="2"/>
      <c r="AD6" s="2"/>
      <c r="AE6" s="33"/>
      <c r="AF6" s="1592" t="s">
        <v>1909</v>
      </c>
      <c r="AG6" s="1592"/>
      <c r="AH6" s="1592"/>
      <c r="AI6" s="1592"/>
      <c r="AJ6" s="1592"/>
      <c r="AK6" s="1592"/>
      <c r="AL6" s="1592"/>
      <c r="AM6" s="2"/>
      <c r="AN6" s="901"/>
      <c r="AO6" s="33"/>
      <c r="AP6" s="33"/>
    </row>
    <row r="7" spans="1:42" s="4" customFormat="1" ht="12.75" customHeight="1">
      <c r="A7" s="769"/>
      <c r="B7" s="769" t="s">
        <v>1068</v>
      </c>
      <c r="C7" s="814"/>
      <c r="D7" s="814"/>
      <c r="E7" s="814"/>
      <c r="F7" s="814"/>
      <c r="G7" s="814"/>
      <c r="H7" s="814"/>
      <c r="I7" s="814"/>
      <c r="J7" s="814"/>
      <c r="K7" s="814"/>
      <c r="L7" s="814"/>
      <c r="M7" s="814"/>
      <c r="N7" s="814"/>
      <c r="O7" s="814"/>
      <c r="P7" s="814"/>
      <c r="Q7" s="814"/>
      <c r="R7" s="814"/>
      <c r="S7" s="814"/>
      <c r="T7" s="814"/>
      <c r="U7" s="814"/>
      <c r="V7" s="814"/>
      <c r="W7" s="814"/>
      <c r="X7" s="814"/>
      <c r="Y7" s="814"/>
      <c r="Z7" s="814"/>
      <c r="AA7" s="814"/>
      <c r="AB7" s="814"/>
      <c r="AC7" s="814"/>
      <c r="AD7" s="2"/>
      <c r="AE7" s="33"/>
      <c r="AF7" s="33"/>
      <c r="AG7" s="33"/>
      <c r="AH7" s="33"/>
      <c r="AI7" s="33"/>
      <c r="AJ7" s="33"/>
      <c r="AK7" s="33"/>
      <c r="AL7" s="831"/>
      <c r="AM7" s="2"/>
      <c r="AN7" s="901"/>
      <c r="AO7" s="33"/>
      <c r="AP7" s="33"/>
    </row>
    <row r="8" spans="1:42" s="4" customFormat="1" ht="15" customHeight="1">
      <c r="A8" s="769"/>
      <c r="B8" s="1302" t="s">
        <v>1910</v>
      </c>
      <c r="C8" s="1302"/>
      <c r="D8" s="1302"/>
      <c r="E8" s="1302"/>
      <c r="F8" s="1302"/>
      <c r="G8" s="1302"/>
      <c r="H8" s="1302"/>
      <c r="I8" s="1302"/>
      <c r="J8" s="1302"/>
      <c r="K8" s="1302"/>
      <c r="L8" s="1302"/>
      <c r="M8" s="1302"/>
      <c r="N8" s="1302"/>
      <c r="O8" s="1302"/>
      <c r="P8" s="1302"/>
      <c r="Q8" s="1302"/>
      <c r="R8" s="1302"/>
      <c r="S8" s="1302"/>
      <c r="T8" s="1302"/>
      <c r="U8" s="1302"/>
      <c r="V8" s="1302"/>
      <c r="W8" s="1302"/>
      <c r="X8" s="1302"/>
      <c r="Y8" s="1302"/>
      <c r="Z8" s="1302"/>
      <c r="AA8" s="1302"/>
      <c r="AB8" s="1302"/>
      <c r="AC8" s="1302"/>
      <c r="AD8" s="2"/>
      <c r="AE8" s="831"/>
      <c r="AF8" s="831"/>
      <c r="AG8" s="831"/>
      <c r="AH8" s="831"/>
      <c r="AI8" s="831"/>
      <c r="AJ8" s="831"/>
      <c r="AK8" s="831"/>
      <c r="AL8" s="831"/>
      <c r="AM8" s="2"/>
      <c r="AN8" s="901"/>
      <c r="AO8" s="33"/>
      <c r="AP8" s="801"/>
    </row>
    <row r="9" spans="1:42" s="4" customFormat="1" ht="12.75" customHeight="1">
      <c r="A9" s="769"/>
      <c r="B9" s="769"/>
      <c r="C9" s="2"/>
      <c r="D9" s="2"/>
      <c r="E9" s="2"/>
      <c r="F9" s="2"/>
      <c r="G9" s="2"/>
      <c r="H9" s="2"/>
      <c r="I9" s="2"/>
      <c r="J9" s="2"/>
      <c r="K9" s="2"/>
      <c r="L9" s="2"/>
      <c r="M9" s="2"/>
      <c r="N9" s="2"/>
      <c r="O9" s="2"/>
      <c r="P9" s="2"/>
      <c r="Q9" s="2"/>
      <c r="R9" s="2"/>
      <c r="S9" s="2"/>
      <c r="T9" s="2"/>
      <c r="U9" s="2"/>
      <c r="V9" s="2"/>
      <c r="W9" s="2"/>
      <c r="X9" s="2"/>
      <c r="Y9" s="2"/>
      <c r="Z9" s="2"/>
      <c r="AA9" s="2"/>
      <c r="AB9" s="2"/>
      <c r="AC9" s="2"/>
      <c r="AD9" s="2"/>
      <c r="AE9" s="831"/>
      <c r="AF9" s="831"/>
      <c r="AG9" s="831"/>
      <c r="AH9" s="831"/>
      <c r="AI9" s="831"/>
      <c r="AJ9" s="831"/>
      <c r="AK9" s="831"/>
      <c r="AL9" s="831"/>
      <c r="AM9" s="2"/>
      <c r="AN9" s="901"/>
      <c r="AO9" s="764" t="s">
        <v>320</v>
      </c>
      <c r="AP9" s="341"/>
    </row>
    <row r="10" spans="1:42" s="4" customFormat="1" ht="12.75" customHeight="1">
      <c r="A10" s="769"/>
      <c r="B10" s="17" t="s">
        <v>1911</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901"/>
      <c r="AO10" s="780" t="s">
        <v>1912</v>
      </c>
      <c r="AP10" s="263">
        <v>5</v>
      </c>
    </row>
    <row r="11" spans="1:42" s="4" customFormat="1" ht="12.75" customHeight="1">
      <c r="A11" s="769"/>
      <c r="B11" s="1302" t="s">
        <v>1913</v>
      </c>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33"/>
      <c r="AK11" s="33"/>
      <c r="AL11" s="33"/>
      <c r="AM11" s="2"/>
      <c r="AN11" s="901"/>
      <c r="AO11" s="780" t="s">
        <v>1913</v>
      </c>
      <c r="AP11" s="263">
        <v>7</v>
      </c>
    </row>
    <row r="12" spans="1:42" s="4" customFormat="1" ht="12.75" customHeight="1">
      <c r="A12" s="769"/>
      <c r="B12" s="814"/>
      <c r="C12" s="814"/>
      <c r="D12" s="814"/>
      <c r="E12" s="814"/>
      <c r="F12" s="814"/>
      <c r="G12" s="814"/>
      <c r="H12" s="814"/>
      <c r="I12" s="814"/>
      <c r="J12" s="814"/>
      <c r="K12" s="814"/>
      <c r="L12" s="814"/>
      <c r="M12" s="814"/>
      <c r="N12" s="814"/>
      <c r="O12" s="814"/>
      <c r="P12" s="814"/>
      <c r="Q12" s="814"/>
      <c r="R12" s="814"/>
      <c r="S12" s="814"/>
      <c r="T12" s="814"/>
      <c r="U12" s="814"/>
      <c r="V12" s="814"/>
      <c r="W12" s="814"/>
      <c r="X12" s="814"/>
      <c r="Y12" s="814"/>
      <c r="Z12" s="814"/>
      <c r="AA12" s="814"/>
      <c r="AB12" s="814"/>
      <c r="AC12" s="814"/>
      <c r="AD12" s="815"/>
      <c r="AE12" s="33"/>
      <c r="AF12" s="33"/>
      <c r="AG12" s="33"/>
      <c r="AH12" s="33"/>
      <c r="AI12" s="33"/>
      <c r="AJ12" s="33"/>
      <c r="AK12" s="33"/>
      <c r="AL12" s="33"/>
      <c r="AM12" s="2"/>
      <c r="AN12" s="901"/>
      <c r="AO12" s="780"/>
      <c r="AP12" s="263"/>
    </row>
    <row r="13" spans="1:42" s="4" customFormat="1" ht="12.75" customHeight="1">
      <c r="A13" s="769"/>
      <c r="B13" s="17" t="s">
        <v>1914</v>
      </c>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1677" t="s">
        <v>325</v>
      </c>
      <c r="AC13" s="1677"/>
      <c r="AD13" s="815"/>
      <c r="AE13" s="33"/>
      <c r="AF13" s="33"/>
      <c r="AG13" s="33"/>
      <c r="AH13" s="33"/>
      <c r="AI13" s="33"/>
      <c r="AJ13" s="33"/>
      <c r="AK13" s="33"/>
      <c r="AL13" s="33"/>
      <c r="AM13" s="2"/>
      <c r="AN13" s="901"/>
      <c r="AO13" s="780"/>
      <c r="AP13" s="780"/>
    </row>
    <row r="14" spans="1:42" s="4" customFormat="1" ht="12.75" customHeight="1">
      <c r="A14" s="769"/>
      <c r="B14" s="814"/>
      <c r="C14" s="814"/>
      <c r="D14" s="814"/>
      <c r="E14" s="814"/>
      <c r="F14" s="814"/>
      <c r="G14" s="814"/>
      <c r="H14" s="814"/>
      <c r="I14" s="814"/>
      <c r="J14" s="814"/>
      <c r="K14" s="814"/>
      <c r="L14" s="814"/>
      <c r="M14" s="814"/>
      <c r="N14" s="814"/>
      <c r="O14" s="814"/>
      <c r="P14" s="814"/>
      <c r="Q14" s="814"/>
      <c r="R14" s="814"/>
      <c r="S14" s="814"/>
      <c r="T14" s="814"/>
      <c r="U14" s="814"/>
      <c r="V14" s="814"/>
      <c r="W14" s="814"/>
      <c r="X14" s="814"/>
      <c r="Y14" s="814"/>
      <c r="Z14" s="814"/>
      <c r="AA14" s="814"/>
      <c r="AB14" s="814"/>
      <c r="AC14" s="814"/>
      <c r="AD14" s="815"/>
      <c r="AE14" s="33"/>
      <c r="AF14" s="33"/>
      <c r="AG14" s="33"/>
      <c r="AH14" s="33"/>
      <c r="AI14" s="33"/>
      <c r="AJ14" s="33"/>
      <c r="AK14" s="33"/>
      <c r="AL14" s="33"/>
      <c r="AM14" s="2"/>
      <c r="AN14" s="901"/>
      <c r="AO14" s="764" t="s">
        <v>1915</v>
      </c>
      <c r="AP14" s="263"/>
    </row>
    <row r="15" spans="1:42" s="4" customFormat="1" ht="12.75" customHeight="1">
      <c r="A15" s="769"/>
      <c r="B15" s="43" t="s">
        <v>1916</v>
      </c>
      <c r="C15" s="814"/>
      <c r="D15" s="814"/>
      <c r="E15" s="814"/>
      <c r="F15" s="814"/>
      <c r="G15" s="814"/>
      <c r="H15" s="814"/>
      <c r="I15" s="814"/>
      <c r="J15" s="814"/>
      <c r="K15" s="814"/>
      <c r="L15" s="814"/>
      <c r="M15" s="814"/>
      <c r="N15" s="814"/>
      <c r="O15" s="814"/>
      <c r="P15" s="814"/>
      <c r="Q15" s="814"/>
      <c r="R15" s="814"/>
      <c r="S15" s="814"/>
      <c r="T15" s="814"/>
      <c r="U15" s="814"/>
      <c r="V15" s="814"/>
      <c r="W15" s="814"/>
      <c r="X15" s="814"/>
      <c r="Y15" s="814"/>
      <c r="Z15" s="814"/>
      <c r="AA15" s="814"/>
      <c r="AB15" s="814"/>
      <c r="AC15" s="814"/>
      <c r="AD15" s="815"/>
      <c r="AE15" s="33"/>
      <c r="AF15" s="33"/>
      <c r="AG15" s="33"/>
      <c r="AH15" s="33"/>
      <c r="AI15" s="33"/>
      <c r="AJ15" s="33"/>
      <c r="AK15" s="33"/>
      <c r="AL15" s="33"/>
      <c r="AM15" s="2"/>
      <c r="AN15" s="901"/>
      <c r="AO15" s="780" t="s">
        <v>1917</v>
      </c>
      <c r="AP15" s="263">
        <v>5</v>
      </c>
    </row>
    <row r="16" spans="1:42" s="4" customFormat="1" ht="12.75" customHeight="1">
      <c r="A16" s="769"/>
      <c r="B16" s="1302" t="s">
        <v>1915</v>
      </c>
      <c r="C16" s="1302"/>
      <c r="D16" s="1302"/>
      <c r="E16" s="1302"/>
      <c r="F16" s="1302"/>
      <c r="G16" s="1302"/>
      <c r="H16" s="1302"/>
      <c r="I16" s="1302"/>
      <c r="J16" s="1302"/>
      <c r="K16" s="1302"/>
      <c r="L16" s="1302"/>
      <c r="M16" s="1302"/>
      <c r="N16" s="1302"/>
      <c r="O16" s="1302"/>
      <c r="P16" s="1302"/>
      <c r="Q16" s="1302"/>
      <c r="R16" s="1302"/>
      <c r="S16" s="1302"/>
      <c r="T16" s="1302"/>
      <c r="U16" s="1302"/>
      <c r="V16" s="1302"/>
      <c r="W16" s="1302"/>
      <c r="X16" s="1302"/>
      <c r="Y16" s="1302"/>
      <c r="Z16" s="1302"/>
      <c r="AA16" s="1302"/>
      <c r="AB16" s="1302"/>
      <c r="AC16" s="1302"/>
      <c r="AD16" s="1302"/>
      <c r="AE16" s="1302"/>
      <c r="AF16" s="1302"/>
      <c r="AG16" s="1302"/>
      <c r="AH16" s="1302"/>
      <c r="AI16" s="1302"/>
      <c r="AJ16" s="1302"/>
      <c r="AK16" s="362"/>
      <c r="AL16" s="362"/>
      <c r="AM16" s="362"/>
      <c r="AN16" s="901"/>
      <c r="AO16" s="780" t="s">
        <v>1918</v>
      </c>
      <c r="AP16" s="263">
        <v>7</v>
      </c>
    </row>
    <row r="17" spans="1:42" s="4" customFormat="1" ht="12.75" customHeight="1">
      <c r="A17" s="33"/>
      <c r="B17" s="43" t="s">
        <v>1919</v>
      </c>
      <c r="C17" s="814"/>
      <c r="D17" s="814"/>
      <c r="E17" s="814"/>
      <c r="F17" s="814"/>
      <c r="G17" s="814"/>
      <c r="H17" s="814"/>
      <c r="I17" s="814"/>
      <c r="J17" s="814"/>
      <c r="K17" s="814"/>
      <c r="L17" s="814"/>
      <c r="M17" s="814"/>
      <c r="N17" s="814"/>
      <c r="O17" s="814"/>
      <c r="P17" s="814"/>
      <c r="Q17" s="814"/>
      <c r="R17" s="814"/>
      <c r="S17" s="814"/>
      <c r="T17" s="814"/>
      <c r="U17" s="814"/>
      <c r="V17" s="33"/>
      <c r="W17" s="33"/>
      <c r="X17" s="33"/>
      <c r="Y17" s="33"/>
      <c r="Z17" s="33"/>
      <c r="AA17" s="33"/>
      <c r="AB17" s="33"/>
      <c r="AC17" s="33"/>
      <c r="AD17" s="33"/>
      <c r="AE17" s="33"/>
      <c r="AF17" s="33"/>
      <c r="AG17" s="33"/>
      <c r="AH17" s="33"/>
      <c r="AI17" s="33"/>
      <c r="AJ17" s="33"/>
      <c r="AK17" s="33"/>
      <c r="AL17" s="33"/>
      <c r="AM17" s="2"/>
      <c r="AN17" s="901"/>
      <c r="AO17" s="780"/>
      <c r="AP17" s="263"/>
    </row>
    <row r="18" spans="1:42" s="4" customFormat="1" ht="12.75" customHeight="1">
      <c r="A18" s="33"/>
      <c r="B18" s="17" t="s">
        <v>1920</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3"/>
      <c r="AE18" s="33"/>
      <c r="AF18" s="33"/>
      <c r="AG18" s="33"/>
      <c r="AH18" s="33"/>
      <c r="AI18" s="33"/>
      <c r="AJ18" s="33"/>
      <c r="AK18" s="33"/>
      <c r="AL18" s="33"/>
      <c r="AM18" s="2"/>
      <c r="AN18" s="901"/>
      <c r="AO18" s="33"/>
      <c r="AP18" s="801"/>
    </row>
    <row r="19" spans="1:42" s="4" customFormat="1" ht="12.75" customHeight="1">
      <c r="A19" s="33"/>
      <c r="B19" s="3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3"/>
      <c r="AE19" s="33"/>
      <c r="AF19" s="33"/>
      <c r="AG19" s="33"/>
      <c r="AH19" s="33"/>
      <c r="AI19" s="33"/>
      <c r="AJ19" s="33"/>
      <c r="AK19" s="33"/>
      <c r="AL19" s="33"/>
      <c r="AM19" s="2"/>
      <c r="AN19" s="901"/>
      <c r="AO19" s="33"/>
      <c r="AP19" s="33"/>
    </row>
    <row r="20" spans="1:42" s="4" customFormat="1" ht="12.75" customHeight="1">
      <c r="A20" s="33"/>
      <c r="B20" s="1529" t="s">
        <v>1921</v>
      </c>
      <c r="C20" s="1529"/>
      <c r="D20" s="1529"/>
      <c r="E20" s="1529"/>
      <c r="F20" s="1529"/>
      <c r="G20" s="1529"/>
      <c r="H20" s="1529"/>
      <c r="I20" s="1529"/>
      <c r="J20" s="1529"/>
      <c r="K20" s="1529"/>
      <c r="L20" s="1529"/>
      <c r="M20" s="1529"/>
      <c r="N20" s="1529"/>
      <c r="O20" s="1529"/>
      <c r="P20" s="1529"/>
      <c r="Q20" s="1529"/>
      <c r="R20" s="1529"/>
      <c r="S20" s="1529"/>
      <c r="T20" s="1529"/>
      <c r="U20" s="1529"/>
      <c r="V20" s="1529"/>
      <c r="W20" s="1529"/>
      <c r="X20" s="1529"/>
      <c r="Y20" s="1529"/>
      <c r="Z20" s="1529"/>
      <c r="AA20" s="1529"/>
      <c r="AB20" s="1529"/>
      <c r="AC20" s="1529"/>
      <c r="AD20" s="1529"/>
      <c r="AE20" s="1529"/>
      <c r="AF20" s="1529"/>
      <c r="AG20" s="1529"/>
      <c r="AH20" s="1529"/>
      <c r="AI20" s="1529"/>
      <c r="AJ20" s="1529"/>
      <c r="AK20" s="1529"/>
      <c r="AL20" s="816"/>
      <c r="AM20" s="23"/>
      <c r="AN20" s="901"/>
      <c r="AO20" s="33"/>
      <c r="AP20" s="33"/>
    </row>
    <row r="21" spans="1:42" s="4" customFormat="1" ht="12.75" customHeight="1">
      <c r="A21" s="23"/>
      <c r="B21" s="1529"/>
      <c r="C21" s="1529"/>
      <c r="D21" s="1529"/>
      <c r="E21" s="1529"/>
      <c r="F21" s="1529"/>
      <c r="G21" s="1529"/>
      <c r="H21" s="1529"/>
      <c r="I21" s="1529"/>
      <c r="J21" s="1529"/>
      <c r="K21" s="1529"/>
      <c r="L21" s="1529"/>
      <c r="M21" s="1529"/>
      <c r="N21" s="1529"/>
      <c r="O21" s="1529"/>
      <c r="P21" s="1529"/>
      <c r="Q21" s="1529"/>
      <c r="R21" s="1529"/>
      <c r="S21" s="1529"/>
      <c r="T21" s="1529"/>
      <c r="U21" s="1529"/>
      <c r="V21" s="1529"/>
      <c r="W21" s="1529"/>
      <c r="X21" s="1529"/>
      <c r="Y21" s="1529"/>
      <c r="Z21" s="1529"/>
      <c r="AA21" s="1529"/>
      <c r="AB21" s="1529"/>
      <c r="AC21" s="1529"/>
      <c r="AD21" s="1529"/>
      <c r="AE21" s="1529"/>
      <c r="AF21" s="1529"/>
      <c r="AG21" s="1529"/>
      <c r="AH21" s="1529"/>
      <c r="AI21" s="1529"/>
      <c r="AJ21" s="1529"/>
      <c r="AK21" s="1529"/>
      <c r="AL21" s="816"/>
      <c r="AM21" s="23"/>
      <c r="AN21" s="901"/>
      <c r="AO21" s="33"/>
      <c r="AP21" s="902"/>
    </row>
    <row r="22" spans="1:42" s="4" customFormat="1" ht="12.75" customHeight="1">
      <c r="A22" s="23"/>
      <c r="B22" s="1529"/>
      <c r="C22" s="1529"/>
      <c r="D22" s="1529"/>
      <c r="E22" s="1529"/>
      <c r="F22" s="1529"/>
      <c r="G22" s="1529"/>
      <c r="H22" s="1529"/>
      <c r="I22" s="1529"/>
      <c r="J22" s="1529"/>
      <c r="K22" s="1529"/>
      <c r="L22" s="1529"/>
      <c r="M22" s="1529"/>
      <c r="N22" s="1529"/>
      <c r="O22" s="1529"/>
      <c r="P22" s="1529"/>
      <c r="Q22" s="1529"/>
      <c r="R22" s="1529"/>
      <c r="S22" s="1529"/>
      <c r="T22" s="1529"/>
      <c r="U22" s="1529"/>
      <c r="V22" s="1529"/>
      <c r="W22" s="1529"/>
      <c r="X22" s="1529"/>
      <c r="Y22" s="1529"/>
      <c r="Z22" s="1529"/>
      <c r="AA22" s="1529"/>
      <c r="AB22" s="1529"/>
      <c r="AC22" s="1529"/>
      <c r="AD22" s="1529"/>
      <c r="AE22" s="1529"/>
      <c r="AF22" s="1529"/>
      <c r="AG22" s="1529"/>
      <c r="AH22" s="1529"/>
      <c r="AI22" s="1529"/>
      <c r="AJ22" s="1529"/>
      <c r="AK22" s="1529"/>
      <c r="AL22" s="816"/>
      <c r="AM22" s="23"/>
      <c r="AN22" s="901"/>
      <c r="AO22" s="33"/>
      <c r="AP22" s="33"/>
    </row>
    <row r="23" spans="1:42" s="3" customFormat="1" ht="12.75" customHeight="1">
      <c r="A23" s="23"/>
      <c r="B23" s="1529"/>
      <c r="C23" s="1529"/>
      <c r="D23" s="1529"/>
      <c r="E23" s="1529"/>
      <c r="F23" s="1529"/>
      <c r="G23" s="1529"/>
      <c r="H23" s="1529"/>
      <c r="I23" s="1529"/>
      <c r="J23" s="1529"/>
      <c r="K23" s="1529"/>
      <c r="L23" s="1529"/>
      <c r="M23" s="1529"/>
      <c r="N23" s="1529"/>
      <c r="O23" s="1529"/>
      <c r="P23" s="1529"/>
      <c r="Q23" s="1529"/>
      <c r="R23" s="1529"/>
      <c r="S23" s="1529"/>
      <c r="T23" s="1529"/>
      <c r="U23" s="1529"/>
      <c r="V23" s="1529"/>
      <c r="W23" s="1529"/>
      <c r="X23" s="1529"/>
      <c r="Y23" s="1529"/>
      <c r="Z23" s="1529"/>
      <c r="AA23" s="1529"/>
      <c r="AB23" s="1529"/>
      <c r="AC23" s="1529"/>
      <c r="AD23" s="1529"/>
      <c r="AE23" s="1529"/>
      <c r="AF23" s="1529"/>
      <c r="AG23" s="1529"/>
      <c r="AH23" s="1529"/>
      <c r="AI23" s="1529"/>
      <c r="AJ23" s="1529"/>
      <c r="AK23" s="1529"/>
      <c r="AL23" s="816"/>
      <c r="AM23" s="23"/>
      <c r="AN23" s="209"/>
    </row>
    <row r="24" spans="1:42" s="3" customFormat="1" ht="12.75" customHeight="1">
      <c r="A24" s="23"/>
      <c r="B24" s="1529"/>
      <c r="C24" s="1529"/>
      <c r="D24" s="1529"/>
      <c r="E24" s="1529"/>
      <c r="F24" s="1529"/>
      <c r="G24" s="1529"/>
      <c r="H24" s="1529"/>
      <c r="I24" s="1529"/>
      <c r="J24" s="1529"/>
      <c r="K24" s="1529"/>
      <c r="L24" s="1529"/>
      <c r="M24" s="1529"/>
      <c r="N24" s="1529"/>
      <c r="O24" s="1529"/>
      <c r="P24" s="1529"/>
      <c r="Q24" s="1529"/>
      <c r="R24" s="1529"/>
      <c r="S24" s="1529"/>
      <c r="T24" s="1529"/>
      <c r="U24" s="1529"/>
      <c r="V24" s="1529"/>
      <c r="W24" s="1529"/>
      <c r="X24" s="1529"/>
      <c r="Y24" s="1529"/>
      <c r="Z24" s="1529"/>
      <c r="AA24" s="1529"/>
      <c r="AB24" s="1529"/>
      <c r="AC24" s="1529"/>
      <c r="AD24" s="1529"/>
      <c r="AE24" s="1529"/>
      <c r="AF24" s="1529"/>
      <c r="AG24" s="1529"/>
      <c r="AH24" s="1529"/>
      <c r="AI24" s="1529"/>
      <c r="AJ24" s="1529"/>
      <c r="AK24" s="1529"/>
      <c r="AL24" s="816"/>
      <c r="AM24" s="23"/>
      <c r="AN24" s="510"/>
      <c r="AO24" s="59"/>
    </row>
    <row r="25" spans="1:42" s="3" customFormat="1" ht="12.75" customHeight="1">
      <c r="A25" s="23"/>
      <c r="B25" s="1529"/>
      <c r="C25" s="1529"/>
      <c r="D25" s="1529"/>
      <c r="E25" s="1529"/>
      <c r="F25" s="1529"/>
      <c r="G25" s="1529"/>
      <c r="H25" s="1529"/>
      <c r="I25" s="1529"/>
      <c r="J25" s="1529"/>
      <c r="K25" s="1529"/>
      <c r="L25" s="1529"/>
      <c r="M25" s="1529"/>
      <c r="N25" s="1529"/>
      <c r="O25" s="1529"/>
      <c r="P25" s="1529"/>
      <c r="Q25" s="1529"/>
      <c r="R25" s="1529"/>
      <c r="S25" s="1529"/>
      <c r="T25" s="1529"/>
      <c r="U25" s="1529"/>
      <c r="V25" s="1529"/>
      <c r="W25" s="1529"/>
      <c r="X25" s="1529"/>
      <c r="Y25" s="1529"/>
      <c r="Z25" s="1529"/>
      <c r="AA25" s="1529"/>
      <c r="AB25" s="1529"/>
      <c r="AC25" s="1529"/>
      <c r="AD25" s="1529"/>
      <c r="AE25" s="1529"/>
      <c r="AF25" s="1529"/>
      <c r="AG25" s="1529"/>
      <c r="AH25" s="1529"/>
      <c r="AI25" s="1529"/>
      <c r="AJ25" s="1529"/>
      <c r="AK25" s="1529"/>
      <c r="AL25" s="816"/>
      <c r="AM25" s="23"/>
      <c r="AN25" s="510"/>
    </row>
    <row r="26" spans="1:42" s="3" customFormat="1" ht="12.75" customHeight="1">
      <c r="A26" s="23"/>
      <c r="B26" s="1529"/>
      <c r="C26" s="1529"/>
      <c r="D26" s="1529"/>
      <c r="E26" s="1529"/>
      <c r="F26" s="1529"/>
      <c r="G26" s="1529"/>
      <c r="H26" s="1529"/>
      <c r="I26" s="1529"/>
      <c r="J26" s="1529"/>
      <c r="K26" s="1529"/>
      <c r="L26" s="1529"/>
      <c r="M26" s="1529"/>
      <c r="N26" s="1529"/>
      <c r="O26" s="1529"/>
      <c r="P26" s="1529"/>
      <c r="Q26" s="1529"/>
      <c r="R26" s="1529"/>
      <c r="S26" s="1529"/>
      <c r="T26" s="1529"/>
      <c r="U26" s="1529"/>
      <c r="V26" s="1529"/>
      <c r="W26" s="1529"/>
      <c r="X26" s="1529"/>
      <c r="Y26" s="1529"/>
      <c r="Z26" s="1529"/>
      <c r="AA26" s="1529"/>
      <c r="AB26" s="1529"/>
      <c r="AC26" s="1529"/>
      <c r="AD26" s="1529"/>
      <c r="AE26" s="1529"/>
      <c r="AF26" s="1529"/>
      <c r="AG26" s="1529"/>
      <c r="AH26" s="1529"/>
      <c r="AI26" s="1529"/>
      <c r="AJ26" s="1529"/>
      <c r="AK26" s="1529"/>
      <c r="AL26" s="816"/>
      <c r="AM26" s="23"/>
      <c r="AN26" s="209"/>
    </row>
    <row r="27" spans="1:42" s="3" customFormat="1" ht="12.75" customHeight="1">
      <c r="A27" s="23"/>
      <c r="B27" s="1529"/>
      <c r="C27" s="1529"/>
      <c r="D27" s="1529"/>
      <c r="E27" s="1529"/>
      <c r="F27" s="1529"/>
      <c r="G27" s="1529"/>
      <c r="H27" s="1529"/>
      <c r="I27" s="1529"/>
      <c r="J27" s="1529"/>
      <c r="K27" s="1529"/>
      <c r="L27" s="1529"/>
      <c r="M27" s="1529"/>
      <c r="N27" s="1529"/>
      <c r="O27" s="1529"/>
      <c r="P27" s="1529"/>
      <c r="Q27" s="1529"/>
      <c r="R27" s="1529"/>
      <c r="S27" s="1529"/>
      <c r="T27" s="1529"/>
      <c r="U27" s="1529"/>
      <c r="V27" s="1529"/>
      <c r="W27" s="1529"/>
      <c r="X27" s="1529"/>
      <c r="Y27" s="1529"/>
      <c r="Z27" s="1529"/>
      <c r="AA27" s="1529"/>
      <c r="AB27" s="1529"/>
      <c r="AC27" s="1529"/>
      <c r="AD27" s="1529"/>
      <c r="AE27" s="1529"/>
      <c r="AF27" s="1529"/>
      <c r="AG27" s="1529"/>
      <c r="AH27" s="1529"/>
      <c r="AI27" s="1529"/>
      <c r="AJ27" s="1529"/>
      <c r="AK27" s="1529"/>
      <c r="AL27" s="816"/>
      <c r="AM27" s="23"/>
      <c r="AN27" s="468"/>
    </row>
    <row r="28" spans="1:42" s="3" customFormat="1" ht="12.75" customHeight="1">
      <c r="A28" s="23"/>
      <c r="B28" s="1529"/>
      <c r="C28" s="1529"/>
      <c r="D28" s="1529"/>
      <c r="E28" s="1529"/>
      <c r="F28" s="1529"/>
      <c r="G28" s="1529"/>
      <c r="H28" s="1529"/>
      <c r="I28" s="1529"/>
      <c r="J28" s="1529"/>
      <c r="K28" s="1529"/>
      <c r="L28" s="1529"/>
      <c r="M28" s="1529"/>
      <c r="N28" s="1529"/>
      <c r="O28" s="1529"/>
      <c r="P28" s="1529"/>
      <c r="Q28" s="1529"/>
      <c r="R28" s="1529"/>
      <c r="S28" s="1529"/>
      <c r="T28" s="1529"/>
      <c r="U28" s="1529"/>
      <c r="V28" s="1529"/>
      <c r="W28" s="1529"/>
      <c r="X28" s="1529"/>
      <c r="Y28" s="1529"/>
      <c r="Z28" s="1529"/>
      <c r="AA28" s="1529"/>
      <c r="AB28" s="1529"/>
      <c r="AC28" s="1529"/>
      <c r="AD28" s="1529"/>
      <c r="AE28" s="1529"/>
      <c r="AF28" s="1529"/>
      <c r="AG28" s="1529"/>
      <c r="AH28" s="1529"/>
      <c r="AI28" s="1529"/>
      <c r="AJ28" s="1529"/>
      <c r="AK28" s="1529"/>
      <c r="AL28" s="816"/>
      <c r="AM28" s="23"/>
      <c r="AN28" s="468"/>
    </row>
    <row r="29" spans="1:42" s="3" customFormat="1" ht="31.7" customHeight="1">
      <c r="A29" s="23"/>
      <c r="B29" s="1529"/>
      <c r="C29" s="1529"/>
      <c r="D29" s="1529"/>
      <c r="E29" s="1529"/>
      <c r="F29" s="1529"/>
      <c r="G29" s="1529"/>
      <c r="H29" s="1529"/>
      <c r="I29" s="1529"/>
      <c r="J29" s="1529"/>
      <c r="K29" s="1529"/>
      <c r="L29" s="1529"/>
      <c r="M29" s="1529"/>
      <c r="N29" s="1529"/>
      <c r="O29" s="1529"/>
      <c r="P29" s="1529"/>
      <c r="Q29" s="1529"/>
      <c r="R29" s="1529"/>
      <c r="S29" s="1529"/>
      <c r="T29" s="1529"/>
      <c r="U29" s="1529"/>
      <c r="V29" s="1529"/>
      <c r="W29" s="1529"/>
      <c r="X29" s="1529"/>
      <c r="Y29" s="1529"/>
      <c r="Z29" s="1529"/>
      <c r="AA29" s="1529"/>
      <c r="AB29" s="1529"/>
      <c r="AC29" s="1529"/>
      <c r="AD29" s="1529"/>
      <c r="AE29" s="1529"/>
      <c r="AF29" s="1529"/>
      <c r="AG29" s="1529"/>
      <c r="AH29" s="1529"/>
      <c r="AI29" s="1529"/>
      <c r="AJ29" s="1529"/>
      <c r="AK29" s="1529"/>
      <c r="AL29" s="816"/>
      <c r="AM29" s="23"/>
      <c r="AN29" s="468"/>
      <c r="AO29" s="780" t="s">
        <v>320</v>
      </c>
      <c r="AP29" s="780"/>
    </row>
    <row r="30" spans="1:42" s="3" customFormat="1" ht="12.75" customHeight="1">
      <c r="A30" s="33"/>
      <c r="B30" s="1682"/>
      <c r="C30" s="1682"/>
      <c r="D30" s="1682"/>
      <c r="E30" s="1682"/>
      <c r="F30" s="1682"/>
      <c r="G30" s="1682"/>
      <c r="H30" s="1682"/>
      <c r="I30" s="1682"/>
      <c r="J30" s="1682"/>
      <c r="K30" s="1682"/>
      <c r="L30" s="1682"/>
      <c r="M30" s="1682"/>
      <c r="N30" s="1682"/>
      <c r="O30" s="1682"/>
      <c r="P30" s="1682"/>
      <c r="Q30" s="1682"/>
      <c r="R30" s="1682"/>
      <c r="S30" s="1682"/>
      <c r="T30" s="1682"/>
      <c r="U30" s="1682"/>
      <c r="V30" s="1682"/>
      <c r="W30" s="1682"/>
      <c r="X30" s="1682"/>
      <c r="Y30" s="1682"/>
      <c r="Z30" s="1682"/>
      <c r="AA30" s="1682"/>
      <c r="AB30" s="1682"/>
      <c r="AC30" s="1682"/>
      <c r="AD30" s="1682"/>
      <c r="AE30" s="1682"/>
      <c r="AF30" s="1682"/>
      <c r="AG30" s="1682"/>
      <c r="AH30" s="1682"/>
      <c r="AI30" s="1682"/>
      <c r="AJ30" s="1682"/>
      <c r="AK30" s="1682"/>
      <c r="AL30" s="801"/>
      <c r="AM30" s="33"/>
      <c r="AN30" s="468"/>
      <c r="AO30" s="780" t="s">
        <v>1922</v>
      </c>
      <c r="AP30" s="342">
        <v>2</v>
      </c>
    </row>
    <row r="31" spans="1:42" s="3" customFormat="1" ht="12.75" customHeight="1">
      <c r="A31" s="150"/>
      <c r="B31" s="302"/>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302"/>
      <c r="AG31" s="302"/>
      <c r="AH31" s="302"/>
      <c r="AI31" s="788" t="s">
        <v>1923</v>
      </c>
      <c r="AJ31" s="1395">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395"/>
      <c r="AL31" s="801"/>
      <c r="AM31" s="33"/>
      <c r="AN31" s="468"/>
      <c r="AO31" s="780" t="s">
        <v>1924</v>
      </c>
      <c r="AP31" s="342">
        <v>3</v>
      </c>
    </row>
    <row r="32" spans="1:42" s="3" customFormat="1" ht="12.75" customHeight="1">
      <c r="A32" s="801"/>
      <c r="B32" s="801"/>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468"/>
      <c r="AO32" s="780"/>
      <c r="AP32" s="780"/>
    </row>
    <row r="33" spans="1:43" s="3" customFormat="1" ht="12.75" customHeight="1">
      <c r="A33" s="33"/>
      <c r="B33" s="769" t="s">
        <v>1925</v>
      </c>
      <c r="C33" s="2"/>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F33" s="1592" t="s">
        <v>1926</v>
      </c>
      <c r="AG33" s="1592"/>
      <c r="AH33" s="1592"/>
      <c r="AI33" s="1592"/>
      <c r="AJ33" s="1592"/>
      <c r="AK33" s="1592"/>
      <c r="AL33" s="1592"/>
      <c r="AM33" s="23"/>
      <c r="AN33" s="468"/>
      <c r="AO33" s="327"/>
      <c r="AP33" s="327"/>
    </row>
    <row r="34" spans="1:43" s="3" customFormat="1" ht="12.75" customHeight="1">
      <c r="A34" s="33"/>
      <c r="B34" s="17" t="s">
        <v>1911</v>
      </c>
      <c r="AA34" s="2"/>
      <c r="AB34" s="2"/>
      <c r="AC34" s="2"/>
      <c r="AD34" s="2"/>
      <c r="AM34" s="23"/>
      <c r="AN34" s="468"/>
      <c r="AO34" s="327"/>
      <c r="AP34" s="327"/>
    </row>
    <row r="35" spans="1:43" s="3" customFormat="1" ht="12.75" customHeight="1">
      <c r="A35" s="33"/>
      <c r="C35" s="1302" t="s">
        <v>1924</v>
      </c>
      <c r="D35" s="1302"/>
      <c r="E35" s="1302"/>
      <c r="F35" s="1302"/>
      <c r="G35" s="1302"/>
      <c r="H35" s="1302"/>
      <c r="I35" s="1302"/>
      <c r="J35" s="1302"/>
      <c r="K35" s="1302"/>
      <c r="L35" s="1302"/>
      <c r="M35" s="1302"/>
      <c r="N35" s="1302"/>
      <c r="O35" s="1302"/>
      <c r="P35" s="1302"/>
      <c r="Q35" s="1302"/>
      <c r="R35" s="1302"/>
      <c r="S35" s="1302"/>
      <c r="T35" s="1302"/>
      <c r="U35" s="1302"/>
      <c r="V35" s="1302"/>
      <c r="W35" s="1302"/>
      <c r="X35" s="1302"/>
      <c r="Y35" s="1302"/>
      <c r="Z35" s="1302"/>
      <c r="AA35" s="1302"/>
      <c r="AB35" s="1302"/>
      <c r="AC35" s="1302"/>
      <c r="AD35" s="1302"/>
      <c r="AM35" s="23"/>
      <c r="AN35" s="209"/>
      <c r="AO35" s="780" t="s">
        <v>1915</v>
      </c>
      <c r="AP35" s="780"/>
    </row>
    <row r="36" spans="1:43" s="3" customFormat="1" ht="12.75" customHeight="1">
      <c r="A36" s="33"/>
      <c r="C36" s="814"/>
      <c r="D36" s="814"/>
      <c r="E36" s="814"/>
      <c r="F36" s="814"/>
      <c r="G36" s="814"/>
      <c r="H36" s="814"/>
      <c r="I36" s="814"/>
      <c r="J36" s="814"/>
      <c r="K36" s="814"/>
      <c r="L36" s="814"/>
      <c r="M36" s="814"/>
      <c r="N36" s="814"/>
      <c r="O36" s="814"/>
      <c r="P36" s="814"/>
      <c r="Q36" s="814"/>
      <c r="R36" s="814"/>
      <c r="S36" s="814"/>
      <c r="T36" s="814"/>
      <c r="U36" s="814"/>
      <c r="V36" s="814"/>
      <c r="W36" s="814"/>
      <c r="X36" s="814"/>
      <c r="Y36" s="814"/>
      <c r="Z36" s="814"/>
      <c r="AA36" s="814"/>
      <c r="AB36" s="814"/>
      <c r="AC36" s="814"/>
      <c r="AD36" s="814"/>
      <c r="AM36" s="23"/>
      <c r="AN36" s="209"/>
      <c r="AO36" s="780" t="s">
        <v>1927</v>
      </c>
      <c r="AP36" s="342">
        <v>2</v>
      </c>
    </row>
    <row r="37" spans="1:43" s="3" customFormat="1" ht="12.75" customHeight="1">
      <c r="A37" s="33"/>
      <c r="C37" s="17" t="s">
        <v>1928</v>
      </c>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1677" t="s">
        <v>325</v>
      </c>
      <c r="AD37" s="1677"/>
      <c r="AM37" s="23"/>
      <c r="AN37" s="209"/>
      <c r="AO37" s="780" t="s">
        <v>1929</v>
      </c>
      <c r="AP37" s="342">
        <v>3</v>
      </c>
    </row>
    <row r="38" spans="1:43" s="3" customFormat="1" ht="12.75" customHeight="1">
      <c r="A38" s="33"/>
      <c r="C38" s="814"/>
      <c r="D38" s="814"/>
      <c r="E38" s="814"/>
      <c r="F38" s="814"/>
      <c r="G38" s="814"/>
      <c r="H38" s="814"/>
      <c r="I38" s="814"/>
      <c r="J38" s="814"/>
      <c r="K38" s="814"/>
      <c r="L38" s="814"/>
      <c r="M38" s="814"/>
      <c r="N38" s="814"/>
      <c r="O38" s="814"/>
      <c r="P38" s="814"/>
      <c r="Q38" s="814"/>
      <c r="R38" s="814"/>
      <c r="S38" s="814"/>
      <c r="T38" s="814"/>
      <c r="U38" s="814"/>
      <c r="V38" s="814"/>
      <c r="W38" s="814"/>
      <c r="X38" s="814"/>
      <c r="Y38" s="814"/>
      <c r="Z38" s="814"/>
      <c r="AA38" s="814"/>
      <c r="AB38" s="814"/>
      <c r="AC38" s="814"/>
      <c r="AD38" s="814"/>
      <c r="AM38" s="23"/>
      <c r="AN38" s="209"/>
      <c r="AO38" s="780"/>
      <c r="AP38" s="343"/>
    </row>
    <row r="39" spans="1:43" s="3" customFormat="1" ht="12.75" customHeight="1">
      <c r="A39" s="33"/>
      <c r="C39" s="43" t="s">
        <v>1916</v>
      </c>
      <c r="D39" s="814"/>
      <c r="E39" s="814"/>
      <c r="F39" s="814"/>
      <c r="G39" s="814"/>
      <c r="H39" s="814"/>
      <c r="I39" s="814"/>
      <c r="J39" s="814"/>
      <c r="K39" s="814"/>
      <c r="L39" s="814"/>
      <c r="M39" s="814"/>
      <c r="N39" s="814"/>
      <c r="O39" s="814"/>
      <c r="P39" s="814"/>
      <c r="Q39" s="814"/>
      <c r="R39" s="814"/>
      <c r="S39" s="814"/>
      <c r="T39" s="814"/>
      <c r="U39" s="814"/>
      <c r="V39" s="814"/>
      <c r="W39" s="814"/>
      <c r="X39" s="814"/>
      <c r="Y39" s="814"/>
      <c r="Z39" s="814"/>
      <c r="AA39" s="814"/>
      <c r="AB39" s="814"/>
      <c r="AC39" s="814"/>
      <c r="AD39" s="814"/>
      <c r="AM39" s="23"/>
      <c r="AN39" s="209"/>
      <c r="AO39" s="33"/>
      <c r="AP39" s="902"/>
    </row>
    <row r="40" spans="1:43" s="3" customFormat="1" ht="12.75" customHeight="1">
      <c r="A40" s="33"/>
      <c r="C40" s="1302" t="s">
        <v>1915</v>
      </c>
      <c r="D40" s="1302"/>
      <c r="E40" s="1302"/>
      <c r="F40" s="1302"/>
      <c r="G40" s="1302"/>
      <c r="H40" s="1302"/>
      <c r="I40" s="1302"/>
      <c r="J40" s="1302"/>
      <c r="K40" s="1302"/>
      <c r="L40" s="1302"/>
      <c r="M40" s="1302"/>
      <c r="N40" s="1302"/>
      <c r="O40" s="1302"/>
      <c r="P40" s="1302"/>
      <c r="Q40" s="1302"/>
      <c r="R40" s="1302"/>
      <c r="S40" s="1302"/>
      <c r="T40" s="1302"/>
      <c r="U40" s="1302"/>
      <c r="V40" s="1302"/>
      <c r="W40" s="1302"/>
      <c r="X40" s="1302"/>
      <c r="Y40" s="1302"/>
      <c r="Z40" s="1302"/>
      <c r="AA40" s="1302"/>
      <c r="AB40" s="1302"/>
      <c r="AC40" s="1302"/>
      <c r="AD40" s="1302"/>
      <c r="AM40" s="23"/>
      <c r="AN40" s="209"/>
    </row>
    <row r="41" spans="1:43" s="3" customFormat="1" ht="12.75" customHeight="1">
      <c r="A41" s="33"/>
      <c r="B41" s="33"/>
      <c r="C41" s="17" t="s">
        <v>1930</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M41" s="23"/>
      <c r="AN41" s="209"/>
    </row>
    <row r="42" spans="1:43" s="3" customFormat="1" ht="12.75" customHeight="1">
      <c r="A42" s="33"/>
      <c r="B42" s="33"/>
      <c r="C42" s="17" t="s">
        <v>1931</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M42" s="23"/>
      <c r="AN42" s="209"/>
    </row>
    <row r="43" spans="1:43" s="3" customFormat="1" ht="12.75" customHeight="1">
      <c r="A43" s="33"/>
      <c r="B43" s="33"/>
      <c r="AM43" s="23"/>
      <c r="AN43" s="209"/>
    </row>
    <row r="44" spans="1:43" s="3" customFormat="1" ht="12.75" customHeight="1">
      <c r="A44" s="33"/>
      <c r="C44" s="769" t="s">
        <v>1932</v>
      </c>
      <c r="D44" s="814"/>
      <c r="E44" s="814"/>
      <c r="F44" s="814"/>
      <c r="G44" s="814"/>
      <c r="H44" s="814"/>
      <c r="I44" s="814"/>
      <c r="J44" s="814"/>
      <c r="K44" s="814"/>
      <c r="L44" s="814"/>
      <c r="M44" s="814"/>
      <c r="N44" s="814"/>
      <c r="O44" s="814"/>
      <c r="P44" s="814"/>
      <c r="Q44" s="814"/>
      <c r="R44" s="814"/>
      <c r="S44" s="814"/>
      <c r="T44" s="814"/>
      <c r="U44" s="814"/>
      <c r="V44" s="814"/>
      <c r="W44" s="814"/>
      <c r="X44" s="814"/>
      <c r="Y44" s="814"/>
      <c r="Z44" s="814"/>
      <c r="AA44" s="814"/>
      <c r="AB44" s="814"/>
      <c r="AC44" s="814"/>
      <c r="AD44" s="814"/>
      <c r="AM44" s="23"/>
      <c r="AN44" s="209"/>
    </row>
    <row r="45" spans="1:43" s="3" customFormat="1" ht="12.75" customHeight="1">
      <c r="A45" s="33"/>
      <c r="C45" s="1302" t="s">
        <v>1933</v>
      </c>
      <c r="D45" s="1302"/>
      <c r="E45" s="1302"/>
      <c r="F45" s="1302"/>
      <c r="G45" s="1302"/>
      <c r="H45" s="1302"/>
      <c r="I45" s="1302"/>
      <c r="J45" s="1302"/>
      <c r="K45" s="1302"/>
      <c r="L45" s="1302"/>
      <c r="M45" s="1302"/>
      <c r="N45" s="1302"/>
      <c r="O45" s="1302"/>
      <c r="P45" s="1302"/>
      <c r="Q45" s="1302"/>
      <c r="R45" s="1302"/>
      <c r="S45" s="1302"/>
      <c r="T45" s="1302"/>
      <c r="U45" s="1302"/>
      <c r="V45" s="1302"/>
      <c r="W45" s="1302"/>
      <c r="X45" s="1302"/>
      <c r="Y45" s="1302"/>
      <c r="Z45" s="1302"/>
      <c r="AA45" s="1302"/>
      <c r="AB45" s="1302"/>
      <c r="AC45" s="1302"/>
      <c r="AD45" s="1302"/>
      <c r="AM45" s="23"/>
      <c r="AN45" s="209"/>
      <c r="AP45" s="3" t="s">
        <v>1934</v>
      </c>
      <c r="AQ45" s="3">
        <v>0</v>
      </c>
    </row>
    <row r="46" spans="1:43" s="3" customFormat="1" ht="12.75" customHeight="1">
      <c r="A46" s="33"/>
      <c r="C46" s="760"/>
      <c r="D46" s="760"/>
      <c r="E46" s="760"/>
      <c r="F46" s="760"/>
      <c r="G46" s="760"/>
      <c r="H46" s="760"/>
      <c r="I46" s="760"/>
      <c r="J46" s="760"/>
      <c r="K46" s="760"/>
      <c r="L46" s="760"/>
      <c r="M46" s="760"/>
      <c r="N46" s="760"/>
      <c r="O46" s="760"/>
      <c r="P46" s="760"/>
      <c r="Q46" s="760"/>
      <c r="R46" s="760"/>
      <c r="S46" s="760"/>
      <c r="T46" s="760"/>
      <c r="U46" s="760"/>
      <c r="V46" s="760"/>
      <c r="W46" s="760"/>
      <c r="X46" s="760"/>
      <c r="Y46" s="760"/>
      <c r="Z46" s="760"/>
      <c r="AA46" s="760"/>
      <c r="AB46" s="760"/>
      <c r="AC46" s="760"/>
      <c r="AD46" s="760"/>
      <c r="AM46" s="23"/>
      <c r="AN46" s="209"/>
      <c r="AP46" s="3" t="s">
        <v>916</v>
      </c>
      <c r="AQ46" s="3">
        <v>10</v>
      </c>
    </row>
    <row r="47" spans="1:43" s="3" customFormat="1" ht="12.75" customHeight="1">
      <c r="A47" s="60"/>
      <c r="B47" s="61"/>
      <c r="C47" s="61"/>
      <c r="D47" s="62"/>
      <c r="E47" s="61"/>
      <c r="F47" s="61"/>
      <c r="G47" s="61"/>
      <c r="H47" s="61"/>
      <c r="I47" s="61"/>
      <c r="J47" s="61"/>
      <c r="K47" s="61"/>
      <c r="L47" s="61"/>
      <c r="M47" s="61"/>
      <c r="N47" s="61"/>
      <c r="O47" s="61"/>
      <c r="P47" s="61"/>
      <c r="Q47" s="302"/>
      <c r="R47" s="903"/>
      <c r="S47" s="61"/>
      <c r="T47" s="61"/>
      <c r="U47" s="61"/>
      <c r="V47" s="61"/>
      <c r="W47" s="61"/>
      <c r="X47" s="61"/>
      <c r="Y47" s="61"/>
      <c r="Z47" s="61"/>
      <c r="AA47" s="61"/>
      <c r="AB47" s="61"/>
      <c r="AC47" s="61"/>
      <c r="AD47" s="61"/>
      <c r="AE47" s="61"/>
      <c r="AF47" s="61"/>
      <c r="AG47" s="61"/>
      <c r="AH47" s="61"/>
      <c r="AI47" s="788" t="s">
        <v>1935</v>
      </c>
      <c r="AJ47" s="1640">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640"/>
      <c r="AL47" s="723"/>
      <c r="AM47" s="58"/>
      <c r="AN47" s="209"/>
      <c r="AP47" s="3" t="s">
        <v>1936</v>
      </c>
      <c r="AQ47" s="3">
        <v>10</v>
      </c>
    </row>
    <row r="48" spans="1:43" s="3" customFormat="1" ht="12.75" customHeight="1">
      <c r="A48" s="33"/>
      <c r="B48" s="722"/>
      <c r="R48" s="33"/>
      <c r="S48" s="722"/>
      <c r="AN48" s="209"/>
      <c r="AP48" s="3" t="s">
        <v>924</v>
      </c>
      <c r="AQ48" s="3">
        <v>10</v>
      </c>
    </row>
    <row r="49" spans="1:43" s="3" customFormat="1" ht="12.75" customHeight="1">
      <c r="B49" s="1529" t="s">
        <v>1937</v>
      </c>
      <c r="C49" s="1529"/>
      <c r="D49" s="1529"/>
      <c r="E49" s="1529"/>
      <c r="F49" s="1529"/>
      <c r="G49" s="1529"/>
      <c r="H49" s="1529"/>
      <c r="I49" s="1529"/>
      <c r="J49" s="1529"/>
      <c r="K49" s="1529"/>
      <c r="L49" s="1529"/>
      <c r="M49" s="1529"/>
      <c r="N49" s="1529"/>
      <c r="O49" s="1529"/>
      <c r="P49" s="1529"/>
      <c r="Q49" s="1529"/>
      <c r="R49" s="1529"/>
      <c r="S49" s="1529"/>
      <c r="T49" s="1529"/>
      <c r="U49" s="1529"/>
      <c r="V49" s="1529"/>
      <c r="W49" s="1529"/>
      <c r="X49" s="1529"/>
      <c r="Y49" s="1529"/>
      <c r="Z49" s="1529"/>
      <c r="AA49" s="1529"/>
      <c r="AB49" s="1529"/>
      <c r="AC49" s="1529"/>
      <c r="AD49" s="1529"/>
      <c r="AE49" s="1529"/>
      <c r="AF49" s="1529"/>
      <c r="AG49" s="1529"/>
      <c r="AH49" s="1529"/>
      <c r="AI49" s="1529"/>
      <c r="AJ49" s="1529"/>
      <c r="AK49" s="1529"/>
      <c r="AL49" s="816"/>
      <c r="AM49" s="23"/>
      <c r="AN49" s="209"/>
      <c r="AP49" s="3" t="s">
        <v>930</v>
      </c>
      <c r="AQ49" s="3">
        <v>10</v>
      </c>
    </row>
    <row r="50" spans="1:43" s="3" customFormat="1" ht="12.75" customHeight="1">
      <c r="A50" s="22"/>
      <c r="B50" s="1529"/>
      <c r="C50" s="1529"/>
      <c r="D50" s="1529"/>
      <c r="E50" s="1529"/>
      <c r="F50" s="1529"/>
      <c r="G50" s="1529"/>
      <c r="H50" s="1529"/>
      <c r="I50" s="1529"/>
      <c r="J50" s="1529"/>
      <c r="K50" s="1529"/>
      <c r="L50" s="1529"/>
      <c r="M50" s="1529"/>
      <c r="N50" s="1529"/>
      <c r="O50" s="1529"/>
      <c r="P50" s="1529"/>
      <c r="Q50" s="1529"/>
      <c r="R50" s="1529"/>
      <c r="S50" s="1529"/>
      <c r="T50" s="1529"/>
      <c r="U50" s="1529"/>
      <c r="V50" s="1529"/>
      <c r="W50" s="1529"/>
      <c r="X50" s="1529"/>
      <c r="Y50" s="1529"/>
      <c r="Z50" s="1529"/>
      <c r="AA50" s="1529"/>
      <c r="AB50" s="1529"/>
      <c r="AC50" s="1529"/>
      <c r="AD50" s="1529"/>
      <c r="AE50" s="1529"/>
      <c r="AF50" s="1529"/>
      <c r="AG50" s="1529"/>
      <c r="AH50" s="1529"/>
      <c r="AI50" s="1529"/>
      <c r="AJ50" s="1529"/>
      <c r="AK50" s="1529"/>
      <c r="AL50" s="816"/>
      <c r="AM50" s="23"/>
      <c r="AN50" s="209"/>
      <c r="AP50" s="3" t="s">
        <v>936</v>
      </c>
      <c r="AQ50" s="3">
        <v>10</v>
      </c>
    </row>
    <row r="51" spans="1:43" s="3" customFormat="1" ht="12.75" customHeight="1">
      <c r="A51" s="22"/>
      <c r="B51" s="1529"/>
      <c r="C51" s="1529"/>
      <c r="D51" s="1529"/>
      <c r="E51" s="1529"/>
      <c r="F51" s="1529"/>
      <c r="G51" s="1529"/>
      <c r="H51" s="1529"/>
      <c r="I51" s="1529"/>
      <c r="J51" s="1529"/>
      <c r="K51" s="1529"/>
      <c r="L51" s="1529"/>
      <c r="M51" s="1529"/>
      <c r="N51" s="1529"/>
      <c r="O51" s="1529"/>
      <c r="P51" s="1529"/>
      <c r="Q51" s="1529"/>
      <c r="R51" s="1529"/>
      <c r="S51" s="1529"/>
      <c r="T51" s="1529"/>
      <c r="U51" s="1529"/>
      <c r="V51" s="1529"/>
      <c r="W51" s="1529"/>
      <c r="X51" s="1529"/>
      <c r="Y51" s="1529"/>
      <c r="Z51" s="1529"/>
      <c r="AA51" s="1529"/>
      <c r="AB51" s="1529"/>
      <c r="AC51" s="1529"/>
      <c r="AD51" s="1529"/>
      <c r="AE51" s="1529"/>
      <c r="AF51" s="1529"/>
      <c r="AG51" s="1529"/>
      <c r="AH51" s="1529"/>
      <c r="AI51" s="1529"/>
      <c r="AJ51" s="1529"/>
      <c r="AK51" s="1529"/>
      <c r="AL51" s="816"/>
      <c r="AM51" s="23"/>
      <c r="AN51" s="209"/>
    </row>
    <row r="52" spans="1:43" s="3" customFormat="1" ht="12.75" customHeight="1">
      <c r="A52" s="22"/>
      <c r="B52" s="1529"/>
      <c r="C52" s="1529"/>
      <c r="D52" s="1529"/>
      <c r="E52" s="1529"/>
      <c r="F52" s="1529"/>
      <c r="G52" s="1529"/>
      <c r="H52" s="1529"/>
      <c r="I52" s="1529"/>
      <c r="J52" s="1529"/>
      <c r="K52" s="1529"/>
      <c r="L52" s="1529"/>
      <c r="M52" s="1529"/>
      <c r="N52" s="1529"/>
      <c r="O52" s="1529"/>
      <c r="P52" s="1529"/>
      <c r="Q52" s="1529"/>
      <c r="R52" s="1529"/>
      <c r="S52" s="1529"/>
      <c r="T52" s="1529"/>
      <c r="U52" s="1529"/>
      <c r="V52" s="1529"/>
      <c r="W52" s="1529"/>
      <c r="X52" s="1529"/>
      <c r="Y52" s="1529"/>
      <c r="Z52" s="1529"/>
      <c r="AA52" s="1529"/>
      <c r="AB52" s="1529"/>
      <c r="AC52" s="1529"/>
      <c r="AD52" s="1529"/>
      <c r="AE52" s="1529"/>
      <c r="AF52" s="1529"/>
      <c r="AG52" s="1529"/>
      <c r="AH52" s="1529"/>
      <c r="AI52" s="1529"/>
      <c r="AJ52" s="1529"/>
      <c r="AK52" s="1529"/>
      <c r="AL52" s="816"/>
      <c r="AM52" s="23"/>
      <c r="AN52" s="209"/>
    </row>
    <row r="53" spans="1:43" s="3" customFormat="1" ht="12.75" customHeight="1">
      <c r="A53" s="22"/>
      <c r="B53" s="1529"/>
      <c r="C53" s="1529"/>
      <c r="D53" s="1529"/>
      <c r="E53" s="1529"/>
      <c r="F53" s="1529"/>
      <c r="G53" s="1529"/>
      <c r="H53" s="1529"/>
      <c r="I53" s="1529"/>
      <c r="J53" s="1529"/>
      <c r="K53" s="1529"/>
      <c r="L53" s="1529"/>
      <c r="M53" s="1529"/>
      <c r="N53" s="1529"/>
      <c r="O53" s="1529"/>
      <c r="P53" s="1529"/>
      <c r="Q53" s="1529"/>
      <c r="R53" s="1529"/>
      <c r="S53" s="1529"/>
      <c r="T53" s="1529"/>
      <c r="U53" s="1529"/>
      <c r="V53" s="1529"/>
      <c r="W53" s="1529"/>
      <c r="X53" s="1529"/>
      <c r="Y53" s="1529"/>
      <c r="Z53" s="1529"/>
      <c r="AA53" s="1529"/>
      <c r="AB53" s="1529"/>
      <c r="AC53" s="1529"/>
      <c r="AD53" s="1529"/>
      <c r="AE53" s="1529"/>
      <c r="AF53" s="1529"/>
      <c r="AG53" s="1529"/>
      <c r="AH53" s="1529"/>
      <c r="AI53" s="1529"/>
      <c r="AJ53" s="1529"/>
      <c r="AK53" s="1529"/>
      <c r="AL53" s="816"/>
      <c r="AM53" s="23"/>
      <c r="AN53" s="209"/>
    </row>
    <row r="54" spans="1:43" s="3" customFormat="1" ht="12.75" customHeight="1">
      <c r="A54" s="22"/>
      <c r="B54" s="1529"/>
      <c r="C54" s="1529"/>
      <c r="D54" s="1529"/>
      <c r="E54" s="1529"/>
      <c r="F54" s="1529"/>
      <c r="G54" s="1529"/>
      <c r="H54" s="1529"/>
      <c r="I54" s="1529"/>
      <c r="J54" s="1529"/>
      <c r="K54" s="1529"/>
      <c r="L54" s="1529"/>
      <c r="M54" s="1529"/>
      <c r="N54" s="1529"/>
      <c r="O54" s="1529"/>
      <c r="P54" s="1529"/>
      <c r="Q54" s="1529"/>
      <c r="R54" s="1529"/>
      <c r="S54" s="1529"/>
      <c r="T54" s="1529"/>
      <c r="U54" s="1529"/>
      <c r="V54" s="1529"/>
      <c r="W54" s="1529"/>
      <c r="X54" s="1529"/>
      <c r="Y54" s="1529"/>
      <c r="Z54" s="1529"/>
      <c r="AA54" s="1529"/>
      <c r="AB54" s="1529"/>
      <c r="AC54" s="1529"/>
      <c r="AD54" s="1529"/>
      <c r="AE54" s="1529"/>
      <c r="AF54" s="1529"/>
      <c r="AG54" s="1529"/>
      <c r="AH54" s="1529"/>
      <c r="AI54" s="1529"/>
      <c r="AJ54" s="1529"/>
      <c r="AK54" s="1529"/>
      <c r="AL54" s="816"/>
      <c r="AM54" s="23"/>
      <c r="AN54" s="209"/>
    </row>
    <row r="55" spans="1:43" s="3" customFormat="1" ht="33.4" customHeight="1">
      <c r="A55" s="22"/>
      <c r="B55" s="1529"/>
      <c r="C55" s="1529"/>
      <c r="D55" s="1529"/>
      <c r="E55" s="1529"/>
      <c r="F55" s="1529"/>
      <c r="G55" s="1529"/>
      <c r="H55" s="1529"/>
      <c r="I55" s="1529"/>
      <c r="J55" s="1529"/>
      <c r="K55" s="1529"/>
      <c r="L55" s="1529"/>
      <c r="M55" s="1529"/>
      <c r="N55" s="1529"/>
      <c r="O55" s="1529"/>
      <c r="P55" s="1529"/>
      <c r="Q55" s="1529"/>
      <c r="R55" s="1529"/>
      <c r="S55" s="1529"/>
      <c r="T55" s="1529"/>
      <c r="U55" s="1529"/>
      <c r="V55" s="1529"/>
      <c r="W55" s="1529"/>
      <c r="X55" s="1529"/>
      <c r="Y55" s="1529"/>
      <c r="Z55" s="1529"/>
      <c r="AA55" s="1529"/>
      <c r="AB55" s="1529"/>
      <c r="AC55" s="1529"/>
      <c r="AD55" s="1529"/>
      <c r="AE55" s="1529"/>
      <c r="AF55" s="1529"/>
      <c r="AG55" s="1529"/>
      <c r="AH55" s="1529"/>
      <c r="AI55" s="1529"/>
      <c r="AJ55" s="1529"/>
      <c r="AK55" s="1529"/>
      <c r="AL55" s="816"/>
      <c r="AM55" s="23"/>
      <c r="AN55" s="209"/>
    </row>
    <row r="56" spans="1:43" s="3" customFormat="1" ht="12.75" customHeight="1">
      <c r="A56" s="22"/>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09"/>
    </row>
    <row r="57" spans="1:43" s="3" customFormat="1" ht="12.75" customHeight="1">
      <c r="A57" s="306"/>
      <c r="B57" s="1529" t="s">
        <v>1938</v>
      </c>
      <c r="C57" s="1529"/>
      <c r="D57" s="1529"/>
      <c r="E57" s="1529"/>
      <c r="F57" s="1529"/>
      <c r="G57" s="1529"/>
      <c r="H57" s="1529"/>
      <c r="I57" s="1529"/>
      <c r="J57" s="1529"/>
      <c r="K57" s="1529"/>
      <c r="L57" s="1529"/>
      <c r="M57" s="1529"/>
      <c r="N57" s="1529"/>
      <c r="O57" s="1529"/>
      <c r="P57" s="1529"/>
      <c r="Q57" s="1529"/>
      <c r="R57" s="1529"/>
      <c r="S57" s="1529"/>
      <c r="T57" s="1529"/>
      <c r="U57" s="1529"/>
      <c r="V57" s="1529"/>
      <c r="W57" s="1529"/>
      <c r="X57" s="1529"/>
      <c r="Y57" s="1529"/>
      <c r="Z57" s="1529"/>
      <c r="AA57" s="1529"/>
      <c r="AB57" s="1529"/>
      <c r="AC57" s="1529"/>
      <c r="AD57" s="1529"/>
      <c r="AE57" s="1529"/>
      <c r="AF57" s="1529"/>
      <c r="AG57" s="1529"/>
      <c r="AH57" s="1529"/>
      <c r="AI57" s="1529"/>
      <c r="AJ57" s="1529"/>
      <c r="AK57" s="1529"/>
      <c r="AL57" s="816"/>
      <c r="AM57" s="23"/>
      <c r="AN57" s="209"/>
    </row>
    <row r="58" spans="1:43" s="3" customFormat="1" ht="12.75" customHeight="1">
      <c r="B58" s="1529"/>
      <c r="C58" s="1529"/>
      <c r="D58" s="1529"/>
      <c r="E58" s="1529"/>
      <c r="F58" s="1529"/>
      <c r="G58" s="1529"/>
      <c r="H58" s="1529"/>
      <c r="I58" s="1529"/>
      <c r="J58" s="1529"/>
      <c r="K58" s="1529"/>
      <c r="L58" s="1529"/>
      <c r="M58" s="1529"/>
      <c r="N58" s="1529"/>
      <c r="O58" s="1529"/>
      <c r="P58" s="1529"/>
      <c r="Q58" s="1529"/>
      <c r="R58" s="1529"/>
      <c r="S58" s="1529"/>
      <c r="T58" s="1529"/>
      <c r="U58" s="1529"/>
      <c r="V58" s="1529"/>
      <c r="W58" s="1529"/>
      <c r="X58" s="1529"/>
      <c r="Y58" s="1529"/>
      <c r="Z58" s="1529"/>
      <c r="AA58" s="1529"/>
      <c r="AB58" s="1529"/>
      <c r="AC58" s="1529"/>
      <c r="AD58" s="1529"/>
      <c r="AE58" s="1529"/>
      <c r="AF58" s="1529"/>
      <c r="AG58" s="1529"/>
      <c r="AH58" s="1529"/>
      <c r="AI58" s="1529"/>
      <c r="AJ58" s="1529"/>
      <c r="AK58" s="1529"/>
      <c r="AL58" s="816"/>
      <c r="AM58" s="23"/>
      <c r="AN58" s="209"/>
    </row>
    <row r="59" spans="1:43" s="3" customFormat="1" ht="22.9" customHeight="1">
      <c r="A59" s="306"/>
      <c r="B59" s="1529"/>
      <c r="C59" s="1529"/>
      <c r="D59" s="1529"/>
      <c r="E59" s="1529"/>
      <c r="F59" s="1529"/>
      <c r="G59" s="1529"/>
      <c r="H59" s="1529"/>
      <c r="I59" s="1529"/>
      <c r="J59" s="1529"/>
      <c r="K59" s="1529"/>
      <c r="L59" s="1529"/>
      <c r="M59" s="1529"/>
      <c r="N59" s="1529"/>
      <c r="O59" s="1529"/>
      <c r="P59" s="1529"/>
      <c r="Q59" s="1529"/>
      <c r="R59" s="1529"/>
      <c r="S59" s="1529"/>
      <c r="T59" s="1529"/>
      <c r="U59" s="1529"/>
      <c r="V59" s="1529"/>
      <c r="W59" s="1529"/>
      <c r="X59" s="1529"/>
      <c r="Y59" s="1529"/>
      <c r="Z59" s="1529"/>
      <c r="AA59" s="1529"/>
      <c r="AB59" s="1529"/>
      <c r="AC59" s="1529"/>
      <c r="AD59" s="1529"/>
      <c r="AE59" s="1529"/>
      <c r="AF59" s="1529"/>
      <c r="AG59" s="1529"/>
      <c r="AH59" s="1529"/>
      <c r="AI59" s="1529"/>
      <c r="AJ59" s="1529"/>
      <c r="AK59" s="1529"/>
      <c r="AL59" s="816"/>
      <c r="AM59" s="23"/>
      <c r="AN59" s="209"/>
    </row>
    <row r="60" spans="1:43" s="3" customFormat="1" ht="12.75" customHeight="1">
      <c r="A60" s="22"/>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09"/>
    </row>
    <row r="61" spans="1:43" s="3" customFormat="1" ht="12.75" customHeight="1">
      <c r="A61" s="63"/>
      <c r="B61" s="64"/>
      <c r="C61" s="64"/>
      <c r="D61" s="64"/>
      <c r="E61" s="64"/>
      <c r="F61" s="64"/>
      <c r="G61" s="62"/>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788"/>
      <c r="AJ61" s="788" t="s">
        <v>1939</v>
      </c>
      <c r="AK61" s="1380">
        <f>$AJ$31+$AJ$47</f>
        <v>10</v>
      </c>
      <c r="AL61" s="1381"/>
      <c r="AM61" s="1382"/>
      <c r="AN61" s="209"/>
    </row>
    <row r="62" spans="1:43" s="65" customFormat="1" ht="12.75" customHeight="1" thickBot="1">
      <c r="A62" s="861"/>
      <c r="B62" s="904"/>
    </row>
    <row r="63" spans="1:43" s="3" customFormat="1" ht="12.75" customHeight="1" thickTop="1">
      <c r="A63"/>
      <c r="B63" s="137"/>
      <c r="C63" s="138"/>
      <c r="D63" s="138"/>
      <c r="E63" s="138"/>
      <c r="F63" s="138"/>
      <c r="G63" s="138"/>
      <c r="H63" s="138"/>
      <c r="I63" s="816"/>
      <c r="J63" s="816"/>
      <c r="K63" s="816"/>
      <c r="L63" s="816"/>
      <c r="M63" s="816"/>
      <c r="N63" s="816"/>
      <c r="O63" s="816"/>
      <c r="P63" s="816"/>
      <c r="Q63" s="816"/>
      <c r="R63"/>
      <c r="S63" s="2"/>
      <c r="T63" s="2"/>
      <c r="U63" s="2"/>
      <c r="V63" s="2"/>
      <c r="W63" s="2"/>
      <c r="X63" s="2"/>
      <c r="Y63" s="2"/>
      <c r="Z63" s="2"/>
      <c r="AA63" s="2"/>
      <c r="AB63" s="2"/>
      <c r="AC63" s="2"/>
      <c r="AD63" s="2"/>
      <c r="AE63" s="2"/>
      <c r="AF63"/>
      <c r="AG63" s="2"/>
      <c r="AH63" s="2"/>
      <c r="AI63" s="2"/>
      <c r="AJ63" s="2"/>
      <c r="AN63" s="209"/>
    </row>
    <row r="64" spans="1:43" s="3" customFormat="1" ht="12.75" customHeight="1">
      <c r="A64" s="769" t="s">
        <v>1940</v>
      </c>
      <c r="B64" s="771"/>
      <c r="C64" s="67"/>
      <c r="D64" s="68"/>
      <c r="E64" s="68"/>
      <c r="F64" s="68"/>
      <c r="G64" s="68"/>
      <c r="H64" s="68"/>
      <c r="I64" s="68"/>
      <c r="J64" s="68"/>
      <c r="Y64" s="756"/>
      <c r="Z64" s="756"/>
      <c r="AA64" s="756"/>
      <c r="AB64" s="756"/>
      <c r="AE64" s="1679" t="s">
        <v>1907</v>
      </c>
      <c r="AF64" s="1679"/>
      <c r="AG64" s="1679"/>
      <c r="AH64" s="1679"/>
      <c r="AI64" s="1679"/>
      <c r="AJ64" s="1679"/>
      <c r="AK64" s="1679"/>
      <c r="AL64" s="815"/>
      <c r="AN64" s="209"/>
    </row>
    <row r="65" spans="1:42" s="3" customFormat="1" ht="12.75" customHeight="1">
      <c r="A65" s="769"/>
      <c r="B65" s="771"/>
      <c r="C65" s="69"/>
      <c r="D65" s="68"/>
      <c r="E65" s="68"/>
      <c r="F65" s="68"/>
      <c r="G65" s="68"/>
      <c r="R65" s="756"/>
      <c r="S65" s="756"/>
      <c r="T65" s="756"/>
      <c r="U65" s="756"/>
      <c r="V65" s="756"/>
      <c r="W65" s="756"/>
      <c r="X65" s="756"/>
      <c r="Y65" s="756"/>
      <c r="Z65" s="756"/>
      <c r="AA65" s="756"/>
      <c r="AB65" s="756"/>
      <c r="AC65" s="815"/>
      <c r="AD65" s="815"/>
      <c r="AN65" s="209"/>
    </row>
    <row r="66" spans="1:42" s="3" customFormat="1" ht="12.75" customHeight="1">
      <c r="B66" s="1302" t="s">
        <v>916</v>
      </c>
      <c r="C66" s="1302"/>
      <c r="D66" s="1302"/>
      <c r="E66" s="1302"/>
      <c r="F66" s="1302"/>
      <c r="G66" s="1302"/>
      <c r="H66" s="1302"/>
      <c r="I66" s="1302"/>
      <c r="J66" s="1302"/>
      <c r="K66" s="1302"/>
      <c r="AF66" s="1592" t="s">
        <v>1941</v>
      </c>
      <c r="AG66" s="1592"/>
      <c r="AH66" s="1592"/>
      <c r="AI66" s="1592"/>
      <c r="AJ66" s="1592"/>
      <c r="AK66" s="1592"/>
      <c r="AL66" s="1592"/>
      <c r="AN66" s="209"/>
      <c r="AP66" s="3" t="s">
        <v>325</v>
      </c>
    </row>
    <row r="67" spans="1:42" s="3" customFormat="1" ht="12.75" customHeight="1">
      <c r="B67" s="1685" t="s">
        <v>1942</v>
      </c>
      <c r="C67" s="1685"/>
      <c r="D67" s="1685"/>
      <c r="E67" s="1685"/>
      <c r="F67" s="1685"/>
      <c r="G67" s="1685"/>
      <c r="H67" s="1685"/>
      <c r="I67" s="1685"/>
      <c r="J67" s="1685"/>
      <c r="K67" s="1685"/>
      <c r="L67" s="1685"/>
      <c r="M67" s="1685"/>
      <c r="N67" s="1685"/>
      <c r="O67" s="1685"/>
      <c r="P67" s="1685"/>
      <c r="Q67" s="1685"/>
      <c r="R67" s="1685"/>
      <c r="S67" s="1685"/>
      <c r="T67" s="1302" t="s">
        <v>325</v>
      </c>
      <c r="U67" s="1302"/>
      <c r="V67" s="1302"/>
      <c r="W67" s="1302"/>
      <c r="X67" s="1302"/>
      <c r="Y67" s="1302"/>
      <c r="Z67" s="1302"/>
      <c r="AA67" s="1302"/>
      <c r="AB67" s="1302"/>
      <c r="AC67" s="1302"/>
      <c r="AJ67" s="836"/>
      <c r="AK67" s="801"/>
      <c r="AL67" s="801"/>
      <c r="AM67" s="801"/>
      <c r="AN67" s="209"/>
      <c r="AP67" s="3" t="s">
        <v>1943</v>
      </c>
    </row>
    <row r="68" spans="1:42" s="3" customFormat="1" ht="12.75" customHeight="1">
      <c r="A68" s="60"/>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788"/>
      <c r="AJ68" s="788" t="s">
        <v>1944</v>
      </c>
      <c r="AK68" s="1194">
        <f>VLOOKUP($B$66,$AP$45:$AR$50,2,FALSE)</f>
        <v>10</v>
      </c>
      <c r="AL68" s="1195"/>
      <c r="AM68" s="1195"/>
      <c r="AN68" s="901"/>
      <c r="AP68" s="3" t="s">
        <v>1945</v>
      </c>
    </row>
    <row r="69" spans="1:42" s="3" customFormat="1" ht="12.75" customHeight="1" thickBot="1">
      <c r="A69" s="905"/>
      <c r="B69" s="905"/>
      <c r="C69" s="70"/>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209"/>
    </row>
    <row r="70" spans="1:42" s="3" customFormat="1" ht="12.75" customHeight="1" thickTop="1">
      <c r="A70"/>
      <c r="B70" s="137"/>
      <c r="C70" s="138"/>
      <c r="D70" s="138"/>
      <c r="E70" s="138"/>
      <c r="F70" s="138"/>
      <c r="G70" s="138"/>
      <c r="H70" s="138"/>
      <c r="I70" s="816"/>
      <c r="J70" s="816"/>
      <c r="K70" s="816"/>
      <c r="L70" s="816"/>
      <c r="M70" s="816"/>
      <c r="N70" s="816"/>
      <c r="O70" s="816"/>
      <c r="P70" s="816"/>
      <c r="Q70" s="816"/>
      <c r="R70"/>
      <c r="S70" s="2"/>
      <c r="T70" s="2"/>
      <c r="U70" s="2"/>
      <c r="V70" s="2"/>
      <c r="W70" s="2"/>
      <c r="X70" s="2"/>
      <c r="Y70" s="2"/>
      <c r="Z70" s="2"/>
      <c r="AA70" s="2"/>
      <c r="AB70" s="2"/>
      <c r="AC70" s="2"/>
      <c r="AD70" s="2"/>
      <c r="AE70" s="2"/>
      <c r="AF70"/>
      <c r="AG70" s="2"/>
      <c r="AH70" s="2"/>
      <c r="AI70" s="2"/>
      <c r="AJ70" s="2"/>
      <c r="AN70" s="209"/>
    </row>
    <row r="71" spans="1:42" s="3" customFormat="1" ht="12.75" customHeight="1">
      <c r="A71" s="2" t="s">
        <v>1946</v>
      </c>
      <c r="B71" s="33"/>
      <c r="C71" s="2"/>
      <c r="AE71" s="2"/>
      <c r="AF71" s="2"/>
      <c r="AG71" s="2"/>
      <c r="AH71" s="2"/>
      <c r="AI71" s="2"/>
      <c r="AJ71" s="2"/>
      <c r="AK71" s="2"/>
      <c r="AL71" s="2"/>
      <c r="AN71" s="209"/>
    </row>
    <row r="72" spans="1:42" s="3" customFormat="1" ht="12.75" customHeight="1">
      <c r="A72" s="2"/>
      <c r="C72" s="2"/>
      <c r="AC72" s="815"/>
      <c r="AD72" s="815"/>
      <c r="AE72" s="815"/>
      <c r="AN72" s="209"/>
    </row>
    <row r="73" spans="1:42" s="3" customFormat="1" ht="12.75" customHeight="1">
      <c r="A73" s="71"/>
      <c r="B73" s="2" t="s">
        <v>1947</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1679" t="s">
        <v>1948</v>
      </c>
      <c r="AF73" s="1679"/>
      <c r="AG73" s="1679"/>
      <c r="AH73" s="1679"/>
      <c r="AI73" s="1679"/>
      <c r="AJ73" s="1679"/>
      <c r="AK73" s="1679"/>
      <c r="AL73" s="815"/>
      <c r="AM73" s="23"/>
      <c r="AN73" s="209"/>
    </row>
    <row r="74" spans="1:42" s="3" customFormat="1" ht="12.75" customHeight="1">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09"/>
    </row>
    <row r="75" spans="1:42" s="3" customFormat="1" ht="12.75" customHeight="1">
      <c r="A75" s="23"/>
      <c r="B75" s="1529" t="s">
        <v>1949</v>
      </c>
      <c r="C75" s="1529"/>
      <c r="D75" s="1529"/>
      <c r="E75" s="1529"/>
      <c r="F75" s="1529"/>
      <c r="G75" s="1529"/>
      <c r="H75" s="1529"/>
      <c r="I75" s="1529"/>
      <c r="J75" s="1529"/>
      <c r="K75" s="1529"/>
      <c r="L75" s="1529"/>
      <c r="M75" s="1529"/>
      <c r="N75" s="1529"/>
      <c r="O75" s="1529"/>
      <c r="P75" s="1529"/>
      <c r="Q75" s="1529"/>
      <c r="R75" s="1529"/>
      <c r="S75" s="1529"/>
      <c r="T75" s="1529"/>
      <c r="U75" s="1529"/>
      <c r="V75" s="1529"/>
      <c r="W75" s="1529"/>
      <c r="X75" s="1529"/>
      <c r="Y75" s="1529"/>
      <c r="Z75" s="1529"/>
      <c r="AA75" s="1529"/>
      <c r="AB75" s="1529"/>
      <c r="AC75" s="1529"/>
      <c r="AD75" s="1529"/>
      <c r="AE75" s="1529"/>
      <c r="AF75" s="1529"/>
      <c r="AG75" s="1529"/>
      <c r="AH75" s="1529"/>
      <c r="AI75" s="1529"/>
      <c r="AJ75" s="1529"/>
      <c r="AK75" s="1529"/>
      <c r="AL75" s="816"/>
      <c r="AM75" s="23"/>
      <c r="AN75" s="209"/>
    </row>
    <row r="76" spans="1:42" s="3" customFormat="1" ht="12.75" customHeight="1">
      <c r="A76" s="23"/>
      <c r="B76" s="1529"/>
      <c r="C76" s="1529"/>
      <c r="D76" s="1529"/>
      <c r="E76" s="1529"/>
      <c r="F76" s="1529"/>
      <c r="G76" s="1529"/>
      <c r="H76" s="1529"/>
      <c r="I76" s="1529"/>
      <c r="J76" s="1529"/>
      <c r="K76" s="1529"/>
      <c r="L76" s="1529"/>
      <c r="M76" s="1529"/>
      <c r="N76" s="1529"/>
      <c r="O76" s="1529"/>
      <c r="P76" s="1529"/>
      <c r="Q76" s="1529"/>
      <c r="R76" s="1529"/>
      <c r="S76" s="1529"/>
      <c r="T76" s="1529"/>
      <c r="U76" s="1529"/>
      <c r="V76" s="1529"/>
      <c r="W76" s="1529"/>
      <c r="X76" s="1529"/>
      <c r="Y76" s="1529"/>
      <c r="Z76" s="1529"/>
      <c r="AA76" s="1529"/>
      <c r="AB76" s="1529"/>
      <c r="AC76" s="1529"/>
      <c r="AD76" s="1529"/>
      <c r="AE76" s="1529"/>
      <c r="AF76" s="1529"/>
      <c r="AG76" s="1529"/>
      <c r="AH76" s="1529"/>
      <c r="AI76" s="1529"/>
      <c r="AJ76" s="1529"/>
      <c r="AK76" s="1529"/>
      <c r="AL76" s="816"/>
      <c r="AM76" s="23"/>
      <c r="AN76" s="209"/>
    </row>
    <row r="77" spans="1:42" s="3" customFormat="1" ht="12.75" customHeight="1">
      <c r="A77" s="23"/>
      <c r="B77" s="1529"/>
      <c r="C77" s="1529"/>
      <c r="D77" s="1529"/>
      <c r="E77" s="1529"/>
      <c r="F77" s="1529"/>
      <c r="G77" s="1529"/>
      <c r="H77" s="1529"/>
      <c r="I77" s="1529"/>
      <c r="J77" s="1529"/>
      <c r="K77" s="1529"/>
      <c r="L77" s="1529"/>
      <c r="M77" s="1529"/>
      <c r="N77" s="1529"/>
      <c r="O77" s="1529"/>
      <c r="P77" s="1529"/>
      <c r="Q77" s="1529"/>
      <c r="R77" s="1529"/>
      <c r="S77" s="1529"/>
      <c r="T77" s="1529"/>
      <c r="U77" s="1529"/>
      <c r="V77" s="1529"/>
      <c r="W77" s="1529"/>
      <c r="X77" s="1529"/>
      <c r="Y77" s="1529"/>
      <c r="Z77" s="1529"/>
      <c r="AA77" s="1529"/>
      <c r="AB77" s="1529"/>
      <c r="AC77" s="1529"/>
      <c r="AD77" s="1529"/>
      <c r="AE77" s="1529"/>
      <c r="AF77" s="1529"/>
      <c r="AG77" s="1529"/>
      <c r="AH77" s="1529"/>
      <c r="AI77" s="1529"/>
      <c r="AJ77" s="1529"/>
      <c r="AK77" s="1529"/>
      <c r="AL77" s="816"/>
      <c r="AM77" s="23"/>
      <c r="AN77" s="209"/>
    </row>
    <row r="78" spans="1:42" s="3" customFormat="1" ht="12.75" customHeight="1">
      <c r="A78" s="23"/>
      <c r="B78" s="1529"/>
      <c r="C78" s="1529"/>
      <c r="D78" s="1529"/>
      <c r="E78" s="1529"/>
      <c r="F78" s="1529"/>
      <c r="G78" s="1529"/>
      <c r="H78" s="1529"/>
      <c r="I78" s="1529"/>
      <c r="J78" s="1529"/>
      <c r="K78" s="1529"/>
      <c r="L78" s="1529"/>
      <c r="M78" s="1529"/>
      <c r="N78" s="1529"/>
      <c r="O78" s="1529"/>
      <c r="P78" s="1529"/>
      <c r="Q78" s="1529"/>
      <c r="R78" s="1529"/>
      <c r="S78" s="1529"/>
      <c r="T78" s="1529"/>
      <c r="U78" s="1529"/>
      <c r="V78" s="1529"/>
      <c r="W78" s="1529"/>
      <c r="X78" s="1529"/>
      <c r="Y78" s="1529"/>
      <c r="Z78" s="1529"/>
      <c r="AA78" s="1529"/>
      <c r="AB78" s="1529"/>
      <c r="AC78" s="1529"/>
      <c r="AD78" s="1529"/>
      <c r="AE78" s="1529"/>
      <c r="AF78" s="1529"/>
      <c r="AG78" s="1529"/>
      <c r="AH78" s="1529"/>
      <c r="AI78" s="1529"/>
      <c r="AJ78" s="1529"/>
      <c r="AK78" s="1529"/>
      <c r="AL78" s="816"/>
      <c r="AM78" s="23"/>
      <c r="AN78" s="209"/>
    </row>
    <row r="79" spans="1:42" s="3" customFormat="1" ht="12.75" customHeight="1">
      <c r="A79" s="23"/>
      <c r="B79" s="1529"/>
      <c r="C79" s="1529"/>
      <c r="D79" s="1529"/>
      <c r="E79" s="1529"/>
      <c r="F79" s="1529"/>
      <c r="G79" s="1529"/>
      <c r="H79" s="1529"/>
      <c r="I79" s="1529"/>
      <c r="J79" s="1529"/>
      <c r="K79" s="1529"/>
      <c r="L79" s="1529"/>
      <c r="M79" s="1529"/>
      <c r="N79" s="1529"/>
      <c r="O79" s="1529"/>
      <c r="P79" s="1529"/>
      <c r="Q79" s="1529"/>
      <c r="R79" s="1529"/>
      <c r="S79" s="1529"/>
      <c r="T79" s="1529"/>
      <c r="U79" s="1529"/>
      <c r="V79" s="1529"/>
      <c r="W79" s="1529"/>
      <c r="X79" s="1529"/>
      <c r="Y79" s="1529"/>
      <c r="Z79" s="1529"/>
      <c r="AA79" s="1529"/>
      <c r="AB79" s="1529"/>
      <c r="AC79" s="1529"/>
      <c r="AD79" s="1529"/>
      <c r="AE79" s="1529"/>
      <c r="AF79" s="1529"/>
      <c r="AG79" s="1529"/>
      <c r="AH79" s="1529"/>
      <c r="AI79" s="1529"/>
      <c r="AJ79" s="1529"/>
      <c r="AK79" s="1529"/>
      <c r="AL79" s="816"/>
      <c r="AM79" s="23"/>
      <c r="AN79" s="209"/>
    </row>
    <row r="80" spans="1:42" s="3" customFormat="1" ht="12.75" customHeight="1">
      <c r="A80" s="23"/>
      <c r="B80" s="1529"/>
      <c r="C80" s="1529"/>
      <c r="D80" s="1529"/>
      <c r="E80" s="1529"/>
      <c r="F80" s="1529"/>
      <c r="G80" s="1529"/>
      <c r="H80" s="1529"/>
      <c r="I80" s="1529"/>
      <c r="J80" s="1529"/>
      <c r="K80" s="1529"/>
      <c r="L80" s="1529"/>
      <c r="M80" s="1529"/>
      <c r="N80" s="1529"/>
      <c r="O80" s="1529"/>
      <c r="P80" s="1529"/>
      <c r="Q80" s="1529"/>
      <c r="R80" s="1529"/>
      <c r="S80" s="1529"/>
      <c r="T80" s="1529"/>
      <c r="U80" s="1529"/>
      <c r="V80" s="1529"/>
      <c r="W80" s="1529"/>
      <c r="X80" s="1529"/>
      <c r="Y80" s="1529"/>
      <c r="Z80" s="1529"/>
      <c r="AA80" s="1529"/>
      <c r="AB80" s="1529"/>
      <c r="AC80" s="1529"/>
      <c r="AD80" s="1529"/>
      <c r="AE80" s="1529"/>
      <c r="AF80" s="1529"/>
      <c r="AG80" s="1529"/>
      <c r="AH80" s="1529"/>
      <c r="AI80" s="1529"/>
      <c r="AJ80" s="1529"/>
      <c r="AK80" s="1529"/>
      <c r="AL80" s="816"/>
      <c r="AM80" s="23"/>
      <c r="AN80" s="209"/>
    </row>
    <row r="81" spans="1:42" ht="12.75" customHeight="1">
      <c r="A81" s="23"/>
      <c r="B81" s="1529"/>
      <c r="C81" s="1529"/>
      <c r="D81" s="1529"/>
      <c r="E81" s="1529"/>
      <c r="F81" s="1529"/>
      <c r="G81" s="1529"/>
      <c r="H81" s="1529"/>
      <c r="I81" s="1529"/>
      <c r="J81" s="1529"/>
      <c r="K81" s="1529"/>
      <c r="L81" s="1529"/>
      <c r="M81" s="1529"/>
      <c r="N81" s="1529"/>
      <c r="O81" s="1529"/>
      <c r="P81" s="1529"/>
      <c r="Q81" s="1529"/>
      <c r="R81" s="1529"/>
      <c r="S81" s="1529"/>
      <c r="T81" s="1529"/>
      <c r="U81" s="1529"/>
      <c r="V81" s="1529"/>
      <c r="W81" s="1529"/>
      <c r="X81" s="1529"/>
      <c r="Y81" s="1529"/>
      <c r="Z81" s="1529"/>
      <c r="AA81" s="1529"/>
      <c r="AB81" s="1529"/>
      <c r="AC81" s="1529"/>
      <c r="AD81" s="1529"/>
      <c r="AE81" s="1529"/>
      <c r="AF81" s="1529"/>
      <c r="AG81" s="1529"/>
      <c r="AH81" s="1529"/>
      <c r="AI81" s="1529"/>
      <c r="AJ81" s="1529"/>
      <c r="AK81" s="1529"/>
      <c r="AL81" s="816"/>
      <c r="AM81" s="23"/>
    </row>
    <row r="82" spans="1:42" s="3" customFormat="1" ht="12.75" customHeight="1">
      <c r="B82" s="1529"/>
      <c r="C82" s="1529"/>
      <c r="D82" s="1529"/>
      <c r="E82" s="1529"/>
      <c r="F82" s="1529"/>
      <c r="G82" s="1529"/>
      <c r="H82" s="1529"/>
      <c r="I82" s="1529"/>
      <c r="J82" s="1529"/>
      <c r="K82" s="1529"/>
      <c r="L82" s="1529"/>
      <c r="M82" s="1529"/>
      <c r="N82" s="1529"/>
      <c r="O82" s="1529"/>
      <c r="P82" s="1529"/>
      <c r="Q82" s="1529"/>
      <c r="R82" s="1529"/>
      <c r="S82" s="1529"/>
      <c r="T82" s="1529"/>
      <c r="U82" s="1529"/>
      <c r="V82" s="1529"/>
      <c r="W82" s="1529"/>
      <c r="X82" s="1529"/>
      <c r="Y82" s="1529"/>
      <c r="Z82" s="1529"/>
      <c r="AA82" s="1529"/>
      <c r="AB82" s="1529"/>
      <c r="AC82" s="1529"/>
      <c r="AD82" s="1529"/>
      <c r="AE82" s="1529"/>
      <c r="AF82" s="1529"/>
      <c r="AG82" s="1529"/>
      <c r="AH82" s="1529"/>
      <c r="AI82" s="1529"/>
      <c r="AJ82" s="1529"/>
      <c r="AK82" s="1529"/>
      <c r="AL82" s="816"/>
      <c r="AN82" s="209"/>
    </row>
    <row r="83" spans="1:42" s="3" customFormat="1" ht="12.75" customHeight="1">
      <c r="B83" s="1529"/>
      <c r="C83" s="1529"/>
      <c r="D83" s="1529"/>
      <c r="E83" s="1529"/>
      <c r="F83" s="1529"/>
      <c r="G83" s="1529"/>
      <c r="H83" s="1529"/>
      <c r="I83" s="1529"/>
      <c r="J83" s="1529"/>
      <c r="K83" s="1529"/>
      <c r="L83" s="1529"/>
      <c r="M83" s="1529"/>
      <c r="N83" s="1529"/>
      <c r="O83" s="1529"/>
      <c r="P83" s="1529"/>
      <c r="Q83" s="1529"/>
      <c r="R83" s="1529"/>
      <c r="S83" s="1529"/>
      <c r="T83" s="1529"/>
      <c r="U83" s="1529"/>
      <c r="V83" s="1529"/>
      <c r="W83" s="1529"/>
      <c r="X83" s="1529"/>
      <c r="Y83" s="1529"/>
      <c r="Z83" s="1529"/>
      <c r="AA83" s="1529"/>
      <c r="AB83" s="1529"/>
      <c r="AC83" s="1529"/>
      <c r="AD83" s="1529"/>
      <c r="AE83" s="1529"/>
      <c r="AF83" s="1529"/>
      <c r="AG83" s="1529"/>
      <c r="AH83" s="1529"/>
      <c r="AI83" s="1529"/>
      <c r="AJ83" s="1529"/>
      <c r="AK83" s="1529"/>
      <c r="AL83" s="816"/>
      <c r="AN83" s="209"/>
    </row>
    <row r="84" spans="1:42" s="3" customFormat="1" ht="14.45" customHeight="1">
      <c r="B84" s="1529"/>
      <c r="C84" s="1529"/>
      <c r="D84" s="1529"/>
      <c r="E84" s="1529"/>
      <c r="F84" s="1529"/>
      <c r="G84" s="1529"/>
      <c r="H84" s="1529"/>
      <c r="I84" s="1529"/>
      <c r="J84" s="1529"/>
      <c r="K84" s="1529"/>
      <c r="L84" s="1529"/>
      <c r="M84" s="1529"/>
      <c r="N84" s="1529"/>
      <c r="O84" s="1529"/>
      <c r="P84" s="1529"/>
      <c r="Q84" s="1529"/>
      <c r="R84" s="1529"/>
      <c r="S84" s="1529"/>
      <c r="T84" s="1529"/>
      <c r="U84" s="1529"/>
      <c r="V84" s="1529"/>
      <c r="W84" s="1529"/>
      <c r="X84" s="1529"/>
      <c r="Y84" s="1529"/>
      <c r="Z84" s="1529"/>
      <c r="AA84" s="1529"/>
      <c r="AB84" s="1529"/>
      <c r="AC84" s="1529"/>
      <c r="AD84" s="1529"/>
      <c r="AE84" s="1529"/>
      <c r="AF84" s="1529"/>
      <c r="AG84" s="1529"/>
      <c r="AH84" s="1529"/>
      <c r="AI84" s="1529"/>
      <c r="AJ84" s="1529"/>
      <c r="AK84" s="1529"/>
      <c r="AL84" s="816"/>
      <c r="AN84" s="209"/>
    </row>
    <row r="85" spans="1:42" s="3" customFormat="1" ht="12.75" customHeight="1">
      <c r="B85" s="1529"/>
      <c r="C85" s="1529"/>
      <c r="D85" s="1529"/>
      <c r="E85" s="1529"/>
      <c r="F85" s="1529"/>
      <c r="G85" s="1529"/>
      <c r="H85" s="1529"/>
      <c r="I85" s="1529"/>
      <c r="J85" s="1529"/>
      <c r="K85" s="1529"/>
      <c r="L85" s="1529"/>
      <c r="M85" s="1529"/>
      <c r="N85" s="1529"/>
      <c r="O85" s="1529"/>
      <c r="P85" s="1529"/>
      <c r="Q85" s="1529"/>
      <c r="R85" s="1529"/>
      <c r="S85" s="1529"/>
      <c r="T85" s="1529"/>
      <c r="U85" s="1529"/>
      <c r="V85" s="1529"/>
      <c r="W85" s="1529"/>
      <c r="X85" s="1529"/>
      <c r="Y85" s="1529"/>
      <c r="Z85" s="1529"/>
      <c r="AA85" s="1529"/>
      <c r="AB85" s="1529"/>
      <c r="AC85" s="1529"/>
      <c r="AD85" s="1529"/>
      <c r="AE85" s="1529"/>
      <c r="AF85" s="1529"/>
      <c r="AG85" s="1529"/>
      <c r="AH85" s="1529"/>
      <c r="AI85" s="1529"/>
      <c r="AJ85" s="1529"/>
      <c r="AK85" s="1529"/>
      <c r="AN85" s="209"/>
    </row>
    <row r="86" spans="1:42" s="3" customFormat="1" ht="12.75" customHeight="1">
      <c r="B86" s="22" t="s">
        <v>1950</v>
      </c>
      <c r="C86" s="72"/>
      <c r="D86" s="816"/>
      <c r="E86" s="816"/>
      <c r="F86" s="816"/>
      <c r="G86" s="816"/>
      <c r="H86" s="816"/>
      <c r="I86" s="816"/>
      <c r="J86" s="816"/>
      <c r="K86" s="816"/>
      <c r="L86" s="816"/>
      <c r="M86" s="816"/>
      <c r="N86" s="816"/>
      <c r="O86" s="816"/>
      <c r="P86" s="816"/>
      <c r="Q86" s="816"/>
      <c r="R86" s="816"/>
      <c r="S86" s="816"/>
      <c r="T86" s="816"/>
      <c r="U86" s="816"/>
      <c r="V86" s="816"/>
      <c r="W86" s="816"/>
      <c r="X86" s="816"/>
      <c r="Y86" s="816"/>
      <c r="Z86" s="816"/>
      <c r="AA86" s="816"/>
      <c r="AB86" s="816"/>
      <c r="AC86" s="816"/>
      <c r="AD86" s="816"/>
      <c r="AE86" s="816"/>
      <c r="AF86" s="816"/>
      <c r="AG86" s="816"/>
      <c r="AH86" s="816"/>
      <c r="AI86" s="816"/>
      <c r="AN86" s="209"/>
      <c r="AP86" s="3" t="s">
        <v>325</v>
      </c>
    </row>
    <row r="87" spans="1:42" s="3" customFormat="1" ht="12.75" customHeight="1">
      <c r="B87" s="33"/>
      <c r="C87" s="72"/>
      <c r="D87" s="816"/>
      <c r="E87" s="816"/>
      <c r="F87" s="816"/>
      <c r="G87" s="816"/>
      <c r="H87" s="816"/>
      <c r="I87" s="816"/>
      <c r="J87" s="816"/>
      <c r="K87" s="816"/>
      <c r="L87" s="816"/>
      <c r="M87" s="816"/>
      <c r="N87" s="816"/>
      <c r="O87" s="816"/>
      <c r="P87" s="816"/>
      <c r="Q87" s="816"/>
      <c r="R87" s="816"/>
      <c r="S87" s="816"/>
      <c r="T87" s="816"/>
      <c r="U87" s="816"/>
      <c r="V87" s="816"/>
      <c r="W87" s="816"/>
      <c r="X87" s="816"/>
      <c r="Y87" s="816"/>
      <c r="Z87" s="816"/>
      <c r="AA87" s="816"/>
      <c r="AB87" s="816"/>
      <c r="AC87" s="816"/>
      <c r="AD87" s="816"/>
      <c r="AE87" s="816"/>
      <c r="AF87" s="816"/>
      <c r="AG87" s="816"/>
      <c r="AH87" s="816"/>
      <c r="AI87" s="816"/>
      <c r="AN87" s="209"/>
      <c r="AP87" s="3" t="s">
        <v>712</v>
      </c>
    </row>
    <row r="88" spans="1:42" s="3" customFormat="1" ht="12.75" customHeight="1">
      <c r="C88" s="2" t="s">
        <v>1951</v>
      </c>
      <c r="D88" s="73"/>
      <c r="E88" s="816"/>
      <c r="F88" s="816"/>
      <c r="G88" s="816"/>
      <c r="H88" s="816"/>
      <c r="I88" s="816"/>
      <c r="J88" s="816"/>
      <c r="K88" s="816"/>
      <c r="L88" s="816"/>
      <c r="M88" s="816"/>
      <c r="N88" s="816"/>
      <c r="O88" s="816"/>
      <c r="P88" s="816"/>
      <c r="Q88" s="816"/>
      <c r="R88" s="816"/>
      <c r="S88" s="816"/>
      <c r="T88" s="816"/>
      <c r="U88" s="816"/>
      <c r="V88" s="816"/>
      <c r="W88" s="816"/>
      <c r="X88" s="816"/>
      <c r="Y88" s="816"/>
      <c r="Z88" s="816"/>
      <c r="AA88" s="816"/>
      <c r="AB88" s="816"/>
      <c r="AC88" s="816"/>
      <c r="AD88" s="816"/>
      <c r="AE88" s="816"/>
      <c r="AF88" s="816"/>
      <c r="AG88" s="816"/>
      <c r="AH88" s="816"/>
      <c r="AI88" s="816"/>
      <c r="AN88" s="209"/>
    </row>
    <row r="89" spans="1:42" s="3" customFormat="1" ht="12.75" customHeight="1">
      <c r="C89" s="33"/>
      <c r="D89" s="73"/>
      <c r="E89" s="816"/>
      <c r="F89" s="816"/>
      <c r="G89" s="816"/>
      <c r="H89" s="816"/>
      <c r="I89" s="816"/>
      <c r="J89" s="816"/>
      <c r="K89" s="816"/>
      <c r="L89" s="816"/>
      <c r="M89" s="816"/>
      <c r="N89" s="816"/>
      <c r="O89" s="816"/>
      <c r="P89" s="816"/>
      <c r="Q89" s="816"/>
      <c r="R89" s="816"/>
      <c r="S89" s="816"/>
      <c r="T89" s="816"/>
      <c r="U89" s="816"/>
      <c r="V89" s="816"/>
      <c r="W89" s="816"/>
      <c r="X89" s="816"/>
      <c r="Y89" s="816"/>
      <c r="Z89" s="816"/>
      <c r="AA89" s="816"/>
      <c r="AB89" s="816"/>
      <c r="AC89" s="816"/>
      <c r="AD89" s="816"/>
      <c r="AE89" s="816"/>
      <c r="AN89" s="209"/>
    </row>
    <row r="90" spans="1:42" s="3" customFormat="1" ht="12.75" customHeight="1">
      <c r="D90" s="22" t="s">
        <v>18</v>
      </c>
      <c r="E90" s="306" t="s">
        <v>1952</v>
      </c>
      <c r="F90" s="23"/>
      <c r="G90" s="23"/>
      <c r="H90" s="23"/>
      <c r="I90" s="23"/>
      <c r="J90" s="23"/>
      <c r="K90" s="23"/>
      <c r="L90" s="23"/>
      <c r="M90" s="23"/>
      <c r="N90" s="23"/>
      <c r="O90" s="23"/>
      <c r="P90" s="23"/>
      <c r="Q90" s="23"/>
      <c r="R90" s="23"/>
      <c r="S90" s="23"/>
      <c r="T90" s="23"/>
      <c r="U90" s="23"/>
      <c r="V90" s="23"/>
      <c r="W90" s="23"/>
      <c r="X90" s="23"/>
      <c r="Y90" s="23"/>
      <c r="Z90" s="23"/>
      <c r="AA90" s="23"/>
      <c r="AB90" s="23"/>
      <c r="AF90" s="1592" t="s">
        <v>1909</v>
      </c>
      <c r="AG90" s="1592"/>
      <c r="AH90" s="1592"/>
      <c r="AI90" s="1592"/>
      <c r="AJ90" s="1592"/>
      <c r="AK90" s="1592"/>
      <c r="AL90" s="1592"/>
      <c r="AN90" s="209"/>
    </row>
    <row r="91" spans="1:42" s="3" customFormat="1" ht="12.75" customHeight="1">
      <c r="C91" s="16"/>
      <c r="D91" s="22"/>
      <c r="E91" s="306" t="s">
        <v>1953</v>
      </c>
      <c r="F91" s="23"/>
      <c r="G91" s="23"/>
      <c r="H91" s="23"/>
      <c r="I91" s="23"/>
      <c r="J91" s="23"/>
      <c r="K91" s="23"/>
      <c r="L91" s="23"/>
      <c r="M91" s="23"/>
      <c r="N91" s="23"/>
      <c r="O91" s="23"/>
      <c r="P91" s="23"/>
      <c r="Q91" s="23"/>
      <c r="R91" s="23"/>
      <c r="S91" s="23"/>
      <c r="T91" s="23"/>
      <c r="U91" s="23"/>
      <c r="V91" s="23"/>
      <c r="W91" s="23"/>
      <c r="X91" s="23"/>
      <c r="Y91" s="23"/>
      <c r="Z91" s="23"/>
      <c r="AA91" s="23"/>
      <c r="AB91" s="23"/>
      <c r="AE91" s="16"/>
      <c r="AF91" s="16"/>
      <c r="AG91" s="16"/>
      <c r="AH91" s="16"/>
      <c r="AI91" s="16"/>
      <c r="AJ91" s="16"/>
      <c r="AK91" s="16"/>
      <c r="AL91" s="16"/>
      <c r="AN91" s="209"/>
    </row>
    <row r="92" spans="1:42" s="3" customFormat="1" ht="12.75" customHeight="1">
      <c r="C92" s="16"/>
      <c r="D92" s="22"/>
      <c r="E92" s="306" t="s">
        <v>1954</v>
      </c>
      <c r="F92" s="23"/>
      <c r="G92" s="23"/>
      <c r="H92" s="23"/>
      <c r="I92" s="23"/>
      <c r="J92" s="23"/>
      <c r="K92" s="23"/>
      <c r="L92" s="23"/>
      <c r="M92" s="23"/>
      <c r="N92" s="23"/>
      <c r="O92" s="23"/>
      <c r="P92" s="23"/>
      <c r="Q92" s="23"/>
      <c r="R92" s="23"/>
      <c r="S92" s="23"/>
      <c r="T92" s="23"/>
      <c r="U92" s="23"/>
      <c r="V92" s="23"/>
      <c r="W92" s="23"/>
      <c r="X92" s="23"/>
      <c r="Y92" s="23"/>
      <c r="Z92" s="23"/>
      <c r="AA92" s="23"/>
      <c r="AB92" s="23"/>
      <c r="AE92" s="16"/>
      <c r="AF92" s="16"/>
      <c r="AG92" s="16"/>
      <c r="AH92" s="16"/>
      <c r="AI92" s="16"/>
      <c r="AJ92" s="16"/>
      <c r="AK92" s="16"/>
      <c r="AL92" s="16"/>
      <c r="AN92" s="209"/>
    </row>
    <row r="93" spans="1:42" s="3" customFormat="1" ht="12.75" customHeight="1">
      <c r="C93" s="16"/>
      <c r="D93" s="22"/>
      <c r="E93" s="306" t="s">
        <v>1955</v>
      </c>
      <c r="F93" s="23"/>
      <c r="G93" s="23"/>
      <c r="H93" s="23"/>
      <c r="I93" s="23"/>
      <c r="J93" s="23"/>
      <c r="K93" s="23"/>
      <c r="L93" s="23"/>
      <c r="M93" s="23"/>
      <c r="N93" s="23"/>
      <c r="O93" s="23"/>
      <c r="P93" s="23"/>
      <c r="Q93" s="23"/>
      <c r="R93" s="23"/>
      <c r="S93" s="23"/>
      <c r="T93" s="23"/>
      <c r="U93" s="23"/>
      <c r="V93" s="23"/>
      <c r="W93" s="23"/>
      <c r="X93" s="23"/>
      <c r="Y93" s="23"/>
      <c r="Z93" s="23"/>
      <c r="AA93" s="23"/>
      <c r="AB93" s="23"/>
      <c r="AE93" s="16"/>
      <c r="AF93" s="16"/>
      <c r="AG93" s="16"/>
      <c r="AH93" s="16"/>
      <c r="AI93" s="16"/>
      <c r="AJ93" s="16"/>
      <c r="AK93" s="16"/>
      <c r="AL93" s="16"/>
      <c r="AN93" s="209"/>
    </row>
    <row r="94" spans="1:42" s="3" customFormat="1" ht="12.75" customHeight="1">
      <c r="C94" s="16"/>
      <c r="D94" s="22"/>
      <c r="E94" s="306"/>
      <c r="F94" s="23"/>
      <c r="G94" s="23"/>
      <c r="H94" s="23"/>
      <c r="I94" s="23"/>
      <c r="J94" s="23"/>
      <c r="K94" s="23"/>
      <c r="L94" s="23"/>
      <c r="M94" s="23"/>
      <c r="N94" s="23"/>
      <c r="O94" s="23"/>
      <c r="P94" s="23"/>
      <c r="Q94" s="23"/>
      <c r="R94" s="23"/>
      <c r="S94" s="23"/>
      <c r="T94" s="23"/>
      <c r="U94" s="23"/>
      <c r="V94" s="23"/>
      <c r="W94" s="23"/>
      <c r="X94" s="23"/>
      <c r="Y94" s="23"/>
      <c r="Z94" s="23"/>
      <c r="AA94" s="23"/>
      <c r="AB94" s="23"/>
      <c r="AE94" s="16"/>
      <c r="AN94" s="209"/>
    </row>
    <row r="95" spans="1:42" s="3" customFormat="1" ht="12.75" customHeight="1">
      <c r="A95" s="28"/>
      <c r="B95" s="33"/>
      <c r="C95" s="34"/>
      <c r="D95" s="22" t="s">
        <v>23</v>
      </c>
      <c r="E95" s="306" t="s">
        <v>1956</v>
      </c>
      <c r="F95" s="74"/>
      <c r="G95" s="74"/>
      <c r="H95" s="74"/>
      <c r="I95" s="74"/>
      <c r="J95" s="74"/>
      <c r="K95" s="74"/>
      <c r="L95" s="74"/>
      <c r="M95" s="74"/>
      <c r="N95" s="74"/>
      <c r="O95" s="74"/>
      <c r="P95" s="74"/>
      <c r="Q95" s="74"/>
      <c r="R95" s="74"/>
      <c r="S95" s="74"/>
      <c r="T95" s="74"/>
      <c r="U95" s="74"/>
      <c r="V95" s="74"/>
      <c r="W95" s="74"/>
      <c r="X95" s="74"/>
      <c r="Y95" s="74"/>
      <c r="Z95" s="74"/>
      <c r="AA95" s="74"/>
      <c r="AB95" s="74"/>
      <c r="AF95" s="1592" t="s">
        <v>1957</v>
      </c>
      <c r="AG95" s="1592"/>
      <c r="AH95" s="1592"/>
      <c r="AI95" s="1592"/>
      <c r="AJ95" s="1592"/>
      <c r="AK95" s="1592"/>
      <c r="AL95" s="1592"/>
      <c r="AN95" s="209"/>
    </row>
    <row r="96" spans="1:42" s="3" customFormat="1" ht="12.75" customHeight="1">
      <c r="B96" s="33"/>
      <c r="C96" s="75"/>
      <c r="D96" s="22"/>
      <c r="E96" s="306" t="s">
        <v>1958</v>
      </c>
      <c r="F96" s="74"/>
      <c r="G96" s="74"/>
      <c r="H96" s="74"/>
      <c r="I96" s="74"/>
      <c r="J96" s="74"/>
      <c r="K96" s="74"/>
      <c r="L96" s="74"/>
      <c r="M96" s="74"/>
      <c r="N96" s="74"/>
      <c r="O96" s="74"/>
      <c r="P96" s="74"/>
      <c r="Q96" s="74"/>
      <c r="R96" s="74"/>
      <c r="S96" s="74"/>
      <c r="T96" s="74"/>
      <c r="U96" s="74"/>
      <c r="V96" s="74"/>
      <c r="W96" s="74"/>
      <c r="X96" s="74"/>
      <c r="Y96" s="74"/>
      <c r="Z96" s="74"/>
      <c r="AA96" s="74"/>
      <c r="AB96" s="74"/>
      <c r="AF96" s="33"/>
      <c r="AN96" s="209"/>
      <c r="AO96" s="3" t="s">
        <v>325</v>
      </c>
      <c r="AP96" s="344">
        <v>0</v>
      </c>
    </row>
    <row r="97" spans="1:53" s="3" customFormat="1" ht="12.75" customHeight="1">
      <c r="B97" s="722"/>
      <c r="C97" s="34"/>
      <c r="D97" s="22"/>
      <c r="E97" s="306" t="s">
        <v>1959</v>
      </c>
      <c r="F97" s="74"/>
      <c r="G97" s="74"/>
      <c r="H97" s="74"/>
      <c r="I97" s="74"/>
      <c r="J97" s="74"/>
      <c r="K97" s="74"/>
      <c r="L97" s="74"/>
      <c r="M97" s="74"/>
      <c r="N97" s="74"/>
      <c r="O97" s="74"/>
      <c r="P97" s="74"/>
      <c r="Q97" s="74"/>
      <c r="R97" s="74"/>
      <c r="S97" s="74"/>
      <c r="T97" s="74"/>
      <c r="U97" s="74"/>
      <c r="V97" s="74"/>
      <c r="W97" s="74"/>
      <c r="X97" s="74"/>
      <c r="Y97" s="74"/>
      <c r="Z97" s="74"/>
      <c r="AA97" s="74"/>
      <c r="AB97" s="74"/>
      <c r="AF97" s="33"/>
      <c r="AN97" s="209"/>
      <c r="AO97" s="22" t="s">
        <v>18</v>
      </c>
      <c r="AP97" s="3">
        <v>7</v>
      </c>
    </row>
    <row r="98" spans="1:53" s="3" customFormat="1" ht="12.75" customHeight="1">
      <c r="B98" s="722"/>
      <c r="C98" s="34"/>
      <c r="D98" s="22"/>
      <c r="E98" s="306" t="s">
        <v>1960</v>
      </c>
      <c r="F98" s="74"/>
      <c r="G98" s="74"/>
      <c r="H98" s="74"/>
      <c r="I98" s="74"/>
      <c r="J98" s="74"/>
      <c r="K98" s="74"/>
      <c r="L98" s="74"/>
      <c r="M98" s="74"/>
      <c r="N98" s="74"/>
      <c r="O98" s="74"/>
      <c r="P98" s="74"/>
      <c r="Q98" s="74"/>
      <c r="R98" s="74"/>
      <c r="S98" s="74"/>
      <c r="T98" s="74"/>
      <c r="U98" s="74"/>
      <c r="V98" s="74"/>
      <c r="W98" s="74"/>
      <c r="X98" s="74"/>
      <c r="Y98" s="74"/>
      <c r="Z98" s="74"/>
      <c r="AA98" s="74"/>
      <c r="AB98" s="74"/>
      <c r="AF98" s="33"/>
      <c r="AN98" s="209"/>
      <c r="AO98" s="22" t="s">
        <v>23</v>
      </c>
      <c r="AP98" s="3">
        <v>6</v>
      </c>
    </row>
    <row r="99" spans="1:53" s="3" customFormat="1" ht="12.75" customHeight="1">
      <c r="B99" s="722"/>
      <c r="C99" s="34"/>
      <c r="D99" s="22"/>
      <c r="E99" s="307"/>
      <c r="F99" s="1"/>
      <c r="G99" s="1"/>
      <c r="H99" s="1"/>
      <c r="I99" s="16"/>
      <c r="J99" s="16"/>
      <c r="K99" s="16"/>
      <c r="L99" s="16"/>
      <c r="M99" s="16"/>
      <c r="N99" s="16"/>
      <c r="O99" s="16"/>
      <c r="P99" s="16"/>
      <c r="Q99" s="16"/>
      <c r="R99" s="16"/>
      <c r="S99" s="16"/>
      <c r="T99" s="16"/>
      <c r="U99" s="16"/>
      <c r="V99" s="16"/>
      <c r="W99" s="16"/>
      <c r="X99" s="16"/>
      <c r="Y99" s="16"/>
      <c r="Z99" s="16"/>
      <c r="AA99" s="16"/>
      <c r="AB99" s="16"/>
      <c r="AE99" s="16"/>
      <c r="AN99" s="209"/>
      <c r="AO99" s="22" t="s">
        <v>43</v>
      </c>
      <c r="AP99" s="3">
        <v>5</v>
      </c>
    </row>
    <row r="100" spans="1:53" s="3" customFormat="1" ht="12.75" customHeight="1">
      <c r="B100" s="33"/>
      <c r="C100" s="34"/>
      <c r="D100" s="22" t="s">
        <v>43</v>
      </c>
      <c r="E100" s="306" t="s">
        <v>1961</v>
      </c>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F100" s="1592" t="s">
        <v>1962</v>
      </c>
      <c r="AG100" s="1592"/>
      <c r="AH100" s="1592"/>
      <c r="AI100" s="1592"/>
      <c r="AJ100" s="1592"/>
      <c r="AK100" s="1592"/>
      <c r="AL100" s="1592"/>
      <c r="AN100" s="209"/>
      <c r="AO100" s="22" t="s">
        <v>1963</v>
      </c>
      <c r="AP100" s="3">
        <v>4</v>
      </c>
    </row>
    <row r="101" spans="1:53" s="3" customFormat="1" ht="12.75" customHeight="1">
      <c r="B101" s="33"/>
      <c r="C101" s="75"/>
      <c r="D101" s="22"/>
      <c r="E101" s="306" t="s">
        <v>1964</v>
      </c>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F101" s="33"/>
      <c r="AN101" s="209"/>
      <c r="AO101" s="22" t="s">
        <v>1965</v>
      </c>
      <c r="AP101" s="3">
        <v>3</v>
      </c>
    </row>
    <row r="102" spans="1:53" s="3" customFormat="1" ht="12.75" customHeight="1">
      <c r="B102" s="33"/>
      <c r="C102" s="75"/>
      <c r="D102" s="22"/>
      <c r="E102" s="306" t="s">
        <v>1959</v>
      </c>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F102" s="33"/>
      <c r="AN102" s="209"/>
    </row>
    <row r="103" spans="1:53" s="3" customFormat="1" ht="12.75" customHeight="1">
      <c r="B103" s="33"/>
      <c r="C103" s="75"/>
      <c r="D103" s="22"/>
      <c r="E103" s="306" t="s">
        <v>1960</v>
      </c>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F103" s="33"/>
      <c r="AN103" s="209"/>
    </row>
    <row r="104" spans="1:53" s="3" customFormat="1" ht="12.75" customHeight="1">
      <c r="A104" s="18"/>
      <c r="B104" s="18"/>
      <c r="C104" s="18"/>
      <c r="D104" s="22"/>
      <c r="E104" s="30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E104" s="18"/>
      <c r="AM104" s="18"/>
      <c r="AN104" s="209"/>
    </row>
    <row r="105" spans="1:53" s="3" customFormat="1" ht="12.75" customHeight="1">
      <c r="B105" s="33"/>
      <c r="C105" s="34"/>
      <c r="D105" s="22" t="s">
        <v>1963</v>
      </c>
      <c r="E105" s="306" t="s">
        <v>1956</v>
      </c>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F105" s="1592" t="s">
        <v>1966</v>
      </c>
      <c r="AG105" s="1592"/>
      <c r="AH105" s="1592"/>
      <c r="AI105" s="1592"/>
      <c r="AJ105" s="1592"/>
      <c r="AK105" s="1592"/>
      <c r="AL105" s="1592"/>
      <c r="AN105" s="209"/>
      <c r="AO105" s="3" t="str">
        <f>S133</f>
        <v>N/A</v>
      </c>
    </row>
    <row r="106" spans="1:53" s="3" customFormat="1" ht="12.75" customHeight="1">
      <c r="B106" s="33"/>
      <c r="C106" s="75"/>
      <c r="D106" s="22"/>
      <c r="E106" s="306" t="s">
        <v>1967</v>
      </c>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18"/>
      <c r="AD106" s="18"/>
      <c r="AF106" s="33"/>
      <c r="AN106" s="209"/>
      <c r="AU106" s="831"/>
      <c r="AV106" s="831"/>
      <c r="AW106" s="831"/>
      <c r="AX106" s="831"/>
      <c r="AY106" s="831"/>
      <c r="AZ106" s="831"/>
      <c r="BA106" s="831"/>
    </row>
    <row r="107" spans="1:53" s="3" customFormat="1" ht="12.75" customHeight="1">
      <c r="B107" s="722"/>
      <c r="C107" s="34"/>
      <c r="D107" s="22"/>
      <c r="E107" s="306" t="s">
        <v>1968</v>
      </c>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F107" s="33"/>
      <c r="AN107" s="209"/>
      <c r="AO107" s="3" t="s">
        <v>1969</v>
      </c>
    </row>
    <row r="108" spans="1:53" s="3" customFormat="1" ht="12.75" customHeight="1">
      <c r="B108" s="722"/>
      <c r="C108" s="34"/>
      <c r="D108" s="22"/>
      <c r="E108" s="306"/>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F108" s="33"/>
      <c r="AN108" s="209"/>
      <c r="AO108" s="3" t="s">
        <v>1970</v>
      </c>
    </row>
    <row r="109" spans="1:53" s="3" customFormat="1" ht="12.75" customHeight="1">
      <c r="B109" s="33"/>
      <c r="C109" s="34"/>
      <c r="D109" s="22" t="s">
        <v>1965</v>
      </c>
      <c r="E109" s="306" t="s">
        <v>1961</v>
      </c>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F109" s="1592" t="s">
        <v>1926</v>
      </c>
      <c r="AG109" s="1592"/>
      <c r="AH109" s="1592"/>
      <c r="AI109" s="1592"/>
      <c r="AJ109" s="1592"/>
      <c r="AK109" s="1592"/>
      <c r="AL109" s="1592"/>
      <c r="AN109" s="209"/>
      <c r="AO109" s="3" t="s">
        <v>1971</v>
      </c>
    </row>
    <row r="110" spans="1:53" s="3" customFormat="1" ht="12.75" customHeight="1">
      <c r="B110" s="33"/>
      <c r="C110" s="34"/>
      <c r="D110" s="22"/>
      <c r="E110" s="306" t="s">
        <v>1972</v>
      </c>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E110" s="831"/>
      <c r="AN110" s="209"/>
    </row>
    <row r="111" spans="1:53" s="3" customFormat="1" ht="12.75" customHeight="1">
      <c r="B111" s="33"/>
      <c r="C111" s="75"/>
      <c r="E111" s="16"/>
      <c r="F111" s="835"/>
      <c r="G111" s="835"/>
      <c r="H111" s="835"/>
      <c r="I111" s="835"/>
      <c r="J111" s="835"/>
      <c r="K111" s="835"/>
      <c r="L111" s="835"/>
      <c r="M111" s="835"/>
      <c r="N111" s="835"/>
      <c r="O111" s="835"/>
      <c r="P111" s="835"/>
      <c r="Q111" s="835"/>
      <c r="R111" s="835"/>
      <c r="S111" s="835"/>
      <c r="T111" s="835"/>
      <c r="U111" s="835"/>
      <c r="V111" s="835"/>
      <c r="W111" s="835"/>
      <c r="X111" s="835"/>
      <c r="Y111" s="835"/>
      <c r="Z111" s="835"/>
      <c r="AA111" s="835"/>
      <c r="AB111" s="835"/>
      <c r="AD111" s="33"/>
      <c r="AN111" s="209"/>
      <c r="AO111" s="3" t="s">
        <v>325</v>
      </c>
      <c r="AP111" s="344">
        <v>0</v>
      </c>
      <c r="AT111" s="3" t="s">
        <v>325</v>
      </c>
      <c r="AU111" s="344">
        <v>0</v>
      </c>
    </row>
    <row r="112" spans="1:53" s="3" customFormat="1" ht="12.75" customHeight="1">
      <c r="B112" s="33"/>
      <c r="C112" s="75"/>
      <c r="D112" s="3" t="s">
        <v>1973</v>
      </c>
      <c r="E112" s="835"/>
      <c r="F112" s="835"/>
      <c r="G112" s="835"/>
      <c r="H112" s="1680" t="s">
        <v>18</v>
      </c>
      <c r="I112" s="1680"/>
      <c r="J112" s="835"/>
      <c r="K112" s="835"/>
      <c r="L112" s="835"/>
      <c r="M112" s="835"/>
      <c r="O112" s="736" t="s">
        <v>1974</v>
      </c>
      <c r="T112" s="1684"/>
      <c r="U112" s="1684"/>
      <c r="V112" s="1684"/>
      <c r="W112" s="1684"/>
      <c r="X112" s="1684"/>
      <c r="Y112" s="1684"/>
      <c r="AN112" s="209"/>
      <c r="AO112" s="22" t="s">
        <v>18</v>
      </c>
      <c r="AP112" s="3">
        <v>3</v>
      </c>
      <c r="AT112" s="22" t="s">
        <v>18</v>
      </c>
      <c r="AU112" s="3">
        <v>3</v>
      </c>
    </row>
    <row r="113" spans="1:47" s="3" customFormat="1" ht="12.75" customHeight="1">
      <c r="B113" s="33"/>
      <c r="C113" s="75"/>
      <c r="E113" s="835"/>
      <c r="F113" s="835"/>
      <c r="G113" s="835"/>
      <c r="H113" s="835"/>
      <c r="I113" s="835"/>
      <c r="J113" s="835"/>
      <c r="K113" s="835"/>
      <c r="L113" s="835"/>
      <c r="M113" s="835"/>
      <c r="AN113" s="209"/>
      <c r="AO113" s="22" t="s">
        <v>23</v>
      </c>
      <c r="AP113" s="3">
        <v>2</v>
      </c>
      <c r="AT113" s="22" t="s">
        <v>23</v>
      </c>
      <c r="AU113" s="3">
        <v>2</v>
      </c>
    </row>
    <row r="114" spans="1:47" s="3" customFormat="1" ht="12.75" customHeight="1">
      <c r="B114" s="33"/>
      <c r="C114" s="75"/>
      <c r="D114" s="3" t="s">
        <v>1975</v>
      </c>
      <c r="E114" s="835"/>
      <c r="F114" s="835"/>
      <c r="G114" s="835"/>
      <c r="H114" s="835"/>
      <c r="I114" s="835"/>
      <c r="J114" s="835"/>
      <c r="K114" s="835"/>
      <c r="L114" s="835"/>
      <c r="M114" s="835"/>
      <c r="AN114" s="209"/>
    </row>
    <row r="115" spans="1:47" s="3" customFormat="1" ht="12.75" customHeight="1">
      <c r="B115" s="33"/>
      <c r="C115" s="75"/>
      <c r="D115" s="3" t="s">
        <v>1976</v>
      </c>
      <c r="E115" s="835"/>
      <c r="F115" s="835"/>
      <c r="G115" s="835"/>
      <c r="H115" s="835"/>
      <c r="I115" s="835"/>
      <c r="J115" s="835"/>
      <c r="K115" s="835"/>
      <c r="L115" s="835"/>
      <c r="M115" s="835"/>
      <c r="AN115" s="209"/>
    </row>
    <row r="116" spans="1:47" s="3" customFormat="1" ht="12.75" customHeight="1">
      <c r="B116" s="33"/>
      <c r="C116" s="75"/>
      <c r="D116" s="814" t="s">
        <v>1977</v>
      </c>
      <c r="E116" s="835"/>
      <c r="F116" s="835"/>
      <c r="G116" s="835"/>
      <c r="H116" s="835"/>
      <c r="I116" s="835"/>
      <c r="J116" s="835"/>
      <c r="K116" s="835"/>
      <c r="L116" s="835"/>
      <c r="M116" s="835"/>
      <c r="AN116" s="209"/>
      <c r="AO116" s="3" t="s">
        <v>325</v>
      </c>
      <c r="AP116" s="344">
        <v>0</v>
      </c>
    </row>
    <row r="117" spans="1:47" s="3" customFormat="1" ht="12.75" customHeight="1">
      <c r="B117" s="33"/>
      <c r="C117" s="75"/>
      <c r="D117" s="3" t="s">
        <v>1978</v>
      </c>
      <c r="AN117" s="209"/>
      <c r="AO117" s="3" t="s">
        <v>1979</v>
      </c>
      <c r="AP117" s="3">
        <v>3</v>
      </c>
    </row>
    <row r="118" spans="1:47" s="3" customFormat="1" ht="12.75" customHeight="1">
      <c r="B118" s="33"/>
      <c r="C118" s="75"/>
      <c r="E118" s="3" t="s">
        <v>1973</v>
      </c>
      <c r="F118" s="835"/>
      <c r="G118" s="835"/>
      <c r="H118" s="1683" t="s">
        <v>325</v>
      </c>
      <c r="I118" s="1683"/>
      <c r="J118" s="1683"/>
      <c r="K118" s="1683"/>
      <c r="L118" s="1683"/>
      <c r="M118" s="1683"/>
      <c r="N118" s="1683"/>
      <c r="O118" s="1683"/>
      <c r="P118" s="1683"/>
      <c r="Q118" s="1683"/>
      <c r="R118" s="1683"/>
      <c r="S118" s="1683"/>
      <c r="T118" s="1683"/>
      <c r="U118" s="1683"/>
      <c r="V118" s="1683"/>
      <c r="W118" s="1683"/>
      <c r="X118" s="1683"/>
      <c r="Y118" s="1683"/>
      <c r="Z118" s="1683"/>
      <c r="AA118" s="1683"/>
      <c r="AB118" s="1683"/>
      <c r="AC118" s="1683"/>
      <c r="AD118" s="1683"/>
      <c r="AE118" s="1683"/>
      <c r="AN118" s="209"/>
      <c r="AO118" s="3" t="s">
        <v>1980</v>
      </c>
      <c r="AP118" s="3">
        <v>2</v>
      </c>
    </row>
    <row r="119" spans="1:47" s="3" customFormat="1" ht="12.75" customHeight="1">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812"/>
      <c r="AG119" s="812"/>
      <c r="AH119" s="812"/>
      <c r="AI119" s="812"/>
      <c r="AJ119" s="812"/>
      <c r="AK119" s="812"/>
      <c r="AL119" s="812"/>
      <c r="AN119" s="209"/>
    </row>
    <row r="120" spans="1:47" s="3" customFormat="1" ht="12.75" customHeight="1">
      <c r="B120" s="1204" t="s">
        <v>325</v>
      </c>
      <c r="C120" s="1204"/>
      <c r="D120" s="812"/>
      <c r="E120" s="1529" t="s">
        <v>1981</v>
      </c>
      <c r="F120" s="1529"/>
      <c r="G120" s="1529"/>
      <c r="H120" s="1529"/>
      <c r="I120" s="1529"/>
      <c r="J120" s="1529"/>
      <c r="K120" s="1529"/>
      <c r="L120" s="1529"/>
      <c r="M120" s="1529"/>
      <c r="N120" s="1529"/>
      <c r="O120" s="1529"/>
      <c r="P120" s="1529"/>
      <c r="Q120" s="1529"/>
      <c r="R120" s="1529"/>
      <c r="S120" s="1529"/>
      <c r="T120" s="1529"/>
      <c r="U120" s="1529"/>
      <c r="V120" s="1529"/>
      <c r="W120" s="1529"/>
      <c r="X120" s="1529"/>
      <c r="Y120" s="1529"/>
      <c r="Z120" s="1529"/>
      <c r="AA120" s="1529"/>
      <c r="AB120" s="1529"/>
      <c r="AC120" s="1529"/>
      <c r="AD120" s="1529"/>
      <c r="AE120" s="1529"/>
      <c r="AF120" s="1529"/>
      <c r="AG120" s="1529"/>
      <c r="AH120" s="812"/>
      <c r="AI120" s="812"/>
      <c r="AJ120" s="812"/>
      <c r="AK120" s="812"/>
      <c r="AL120" s="812"/>
      <c r="AN120" s="209"/>
    </row>
    <row r="121" spans="1:47" s="3" customFormat="1" ht="12.75" customHeight="1">
      <c r="B121" s="33"/>
      <c r="C121" s="75"/>
      <c r="D121" s="812"/>
      <c r="E121" s="1529"/>
      <c r="F121" s="1529"/>
      <c r="G121" s="1529"/>
      <c r="H121" s="1529"/>
      <c r="I121" s="1529"/>
      <c r="J121" s="1529"/>
      <c r="K121" s="1529"/>
      <c r="L121" s="1529"/>
      <c r="M121" s="1529"/>
      <c r="N121" s="1529"/>
      <c r="O121" s="1529"/>
      <c r="P121" s="1529"/>
      <c r="Q121" s="1529"/>
      <c r="R121" s="1529"/>
      <c r="S121" s="1529"/>
      <c r="T121" s="1529"/>
      <c r="U121" s="1529"/>
      <c r="V121" s="1529"/>
      <c r="W121" s="1529"/>
      <c r="X121" s="1529"/>
      <c r="Y121" s="1529"/>
      <c r="Z121" s="1529"/>
      <c r="AA121" s="1529"/>
      <c r="AB121" s="1529"/>
      <c r="AC121" s="1529"/>
      <c r="AD121" s="1529"/>
      <c r="AE121" s="1529"/>
      <c r="AF121" s="1529"/>
      <c r="AG121" s="1529"/>
      <c r="AH121" s="812"/>
      <c r="AI121" s="812"/>
      <c r="AJ121" s="812"/>
      <c r="AK121" s="812"/>
      <c r="AL121" s="812"/>
      <c r="AN121" s="209"/>
    </row>
    <row r="122" spans="1:47" s="3" customFormat="1" ht="12.75" customHeight="1">
      <c r="B122" s="33"/>
      <c r="C122" s="75"/>
      <c r="D122" s="812"/>
      <c r="E122" s="1529"/>
      <c r="F122" s="1529"/>
      <c r="G122" s="1529"/>
      <c r="H122" s="1529"/>
      <c r="I122" s="1529"/>
      <c r="J122" s="1529"/>
      <c r="K122" s="1529"/>
      <c r="L122" s="1529"/>
      <c r="M122" s="1529"/>
      <c r="N122" s="1529"/>
      <c r="O122" s="1529"/>
      <c r="P122" s="1529"/>
      <c r="Q122" s="1529"/>
      <c r="R122" s="1529"/>
      <c r="S122" s="1529"/>
      <c r="T122" s="1529"/>
      <c r="U122" s="1529"/>
      <c r="V122" s="1529"/>
      <c r="W122" s="1529"/>
      <c r="X122" s="1529"/>
      <c r="Y122" s="1529"/>
      <c r="Z122" s="1529"/>
      <c r="AA122" s="1529"/>
      <c r="AB122" s="1529"/>
      <c r="AC122" s="1529"/>
      <c r="AD122" s="1529"/>
      <c r="AE122" s="1529"/>
      <c r="AF122" s="1529"/>
      <c r="AG122" s="1529"/>
      <c r="AH122" s="812"/>
      <c r="AI122" s="812"/>
      <c r="AJ122" s="812"/>
      <c r="AK122" s="812"/>
      <c r="AL122" s="812"/>
      <c r="AN122" s="209"/>
    </row>
    <row r="123" spans="1:47" s="3" customFormat="1" ht="12.75" customHeight="1">
      <c r="B123" s="33"/>
      <c r="C123" s="75"/>
      <c r="D123" s="221"/>
      <c r="E123" s="1682"/>
      <c r="F123" s="1682"/>
      <c r="G123" s="1682"/>
      <c r="H123" s="1682"/>
      <c r="I123" s="1682"/>
      <c r="J123" s="1682"/>
      <c r="K123" s="1682"/>
      <c r="L123" s="1682"/>
      <c r="M123" s="1682"/>
      <c r="N123" s="1682"/>
      <c r="O123" s="1682"/>
      <c r="P123" s="1682"/>
      <c r="Q123" s="1682"/>
      <c r="R123" s="1682"/>
      <c r="S123" s="1682"/>
      <c r="T123" s="1682"/>
      <c r="U123" s="1682"/>
      <c r="V123" s="1682"/>
      <c r="W123" s="1682"/>
      <c r="X123" s="1682"/>
      <c r="Y123" s="1682"/>
      <c r="Z123" s="1682"/>
      <c r="AA123" s="1682"/>
      <c r="AB123" s="1682"/>
      <c r="AC123" s="1682"/>
      <c r="AD123" s="1682"/>
      <c r="AE123" s="1682"/>
      <c r="AF123" s="1682"/>
      <c r="AG123" s="1682"/>
      <c r="AH123" s="221"/>
      <c r="AI123" s="221"/>
      <c r="AJ123" s="221"/>
      <c r="AK123" s="221"/>
      <c r="AL123" s="812"/>
      <c r="AN123" s="209"/>
    </row>
    <row r="124" spans="1:47" s="3" customFormat="1" ht="12.75" customHeight="1">
      <c r="A124" s="60"/>
      <c r="B124" s="302"/>
      <c r="C124" s="76"/>
      <c r="D124" s="61"/>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61"/>
      <c r="AC124" s="302"/>
      <c r="AD124" s="61"/>
      <c r="AE124" s="61"/>
      <c r="AF124" s="61"/>
      <c r="AG124" s="61"/>
      <c r="AH124" s="61"/>
      <c r="AI124" s="788" t="s">
        <v>1982</v>
      </c>
      <c r="AJ124" s="1194">
        <f>VLOOKUP($H$112,$AO$96:$AP$101,2,FALSE)+IF(T112=AO108,0,VLOOKUP($H$118,$AO$116:$AP$118,2,FALSE))</f>
        <v>7</v>
      </c>
      <c r="AK124" s="1196"/>
      <c r="AL124" s="801"/>
      <c r="AM124" s="835"/>
      <c r="AN124" s="209"/>
    </row>
    <row r="125" spans="1:47" s="3" customFormat="1" ht="12.75" customHeight="1">
      <c r="B125" s="33"/>
      <c r="C125" s="75"/>
      <c r="E125" s="835"/>
      <c r="F125" s="835"/>
      <c r="G125" s="835"/>
      <c r="H125" s="835"/>
      <c r="I125" s="835"/>
      <c r="J125" s="835"/>
      <c r="K125" s="835"/>
      <c r="L125" s="835"/>
      <c r="M125" s="835"/>
      <c r="N125" s="835"/>
      <c r="O125" s="835"/>
      <c r="P125" s="835"/>
      <c r="Q125" s="835"/>
      <c r="R125" s="835"/>
      <c r="S125" s="835"/>
      <c r="T125" s="835"/>
      <c r="U125" s="835"/>
      <c r="V125" s="835"/>
      <c r="W125" s="835"/>
      <c r="X125" s="835"/>
      <c r="Y125" s="835"/>
      <c r="Z125" s="835"/>
      <c r="AA125" s="835"/>
      <c r="AB125" s="835"/>
      <c r="AD125" s="33"/>
      <c r="AE125" s="835"/>
      <c r="AF125" s="835"/>
      <c r="AG125" s="835"/>
      <c r="AH125" s="835"/>
      <c r="AI125" s="835"/>
      <c r="AJ125" s="835"/>
      <c r="AK125" s="835"/>
      <c r="AL125" s="835"/>
      <c r="AM125" s="835"/>
      <c r="AN125" s="209"/>
    </row>
    <row r="126" spans="1:47" s="3" customFormat="1" ht="12.75" customHeight="1">
      <c r="B126" s="33"/>
      <c r="C126" s="2" t="s">
        <v>1983</v>
      </c>
      <c r="D126" s="17"/>
      <c r="E126" s="835"/>
      <c r="F126" s="835"/>
      <c r="G126" s="835"/>
      <c r="H126" s="835"/>
      <c r="I126" s="835"/>
      <c r="J126" s="835"/>
      <c r="K126" s="835"/>
      <c r="L126" s="835"/>
      <c r="M126" s="835"/>
      <c r="N126" s="835"/>
      <c r="O126" s="835"/>
      <c r="P126" s="835"/>
      <c r="Q126" s="835"/>
      <c r="R126" s="835"/>
      <c r="S126" s="835"/>
      <c r="T126" s="835"/>
      <c r="U126" s="835"/>
      <c r="V126" s="835"/>
      <c r="W126" s="835"/>
      <c r="X126" s="835"/>
      <c r="Y126" s="835"/>
      <c r="Z126" s="835"/>
      <c r="AA126" s="835"/>
      <c r="AB126" s="835"/>
      <c r="AD126" s="33"/>
      <c r="AN126" s="209"/>
    </row>
    <row r="127" spans="1:47" s="3" customFormat="1" ht="12.75" customHeight="1">
      <c r="B127" s="722"/>
      <c r="D127" s="1"/>
      <c r="E127" s="835"/>
      <c r="F127" s="835"/>
      <c r="G127" s="835"/>
      <c r="H127" s="835"/>
      <c r="I127" s="835"/>
      <c r="J127" s="835"/>
      <c r="K127" s="835"/>
      <c r="L127" s="835"/>
      <c r="M127" s="835"/>
      <c r="N127" s="835"/>
      <c r="O127" s="835"/>
      <c r="P127" s="835"/>
      <c r="Q127" s="835"/>
      <c r="R127" s="835"/>
      <c r="S127" s="835"/>
      <c r="T127" s="835"/>
      <c r="U127" s="835"/>
      <c r="V127" s="835"/>
      <c r="W127" s="835"/>
      <c r="X127" s="835"/>
      <c r="Y127" s="835"/>
      <c r="Z127" s="835"/>
      <c r="AA127" s="835"/>
      <c r="AB127" s="835"/>
      <c r="AD127" s="33"/>
      <c r="AN127" s="209"/>
    </row>
    <row r="128" spans="1:47" s="17" customFormat="1" ht="12.75" customHeight="1">
      <c r="A128" s="3"/>
      <c r="B128" s="3"/>
      <c r="C128" s="3"/>
      <c r="D128" s="22" t="s">
        <v>18</v>
      </c>
      <c r="E128" s="1681" t="s">
        <v>1984</v>
      </c>
      <c r="F128" s="1681"/>
      <c r="G128" s="1681"/>
      <c r="H128" s="1681"/>
      <c r="I128" s="1681"/>
      <c r="J128" s="1681"/>
      <c r="K128" s="1681"/>
      <c r="L128" s="1681"/>
      <c r="M128" s="1681"/>
      <c r="N128" s="1681"/>
      <c r="O128" s="1681"/>
      <c r="P128" s="1681"/>
      <c r="Q128" s="1681"/>
      <c r="R128" s="1681"/>
      <c r="S128" s="1681"/>
      <c r="T128" s="1681"/>
      <c r="U128" s="1681"/>
      <c r="V128" s="1681"/>
      <c r="W128" s="1681"/>
      <c r="X128" s="1681"/>
      <c r="Y128" s="1681"/>
      <c r="Z128" s="1681"/>
      <c r="AA128" s="1681"/>
      <c r="AB128" s="1681"/>
      <c r="AC128" s="1681"/>
      <c r="AD128" s="1681"/>
      <c r="AF128" s="1592" t="s">
        <v>1926</v>
      </c>
      <c r="AG128" s="1592"/>
      <c r="AH128" s="1592"/>
      <c r="AI128" s="1592"/>
      <c r="AJ128" s="1592"/>
      <c r="AK128" s="1592"/>
      <c r="AL128" s="1592"/>
      <c r="AM128" s="3"/>
      <c r="AN128" s="220"/>
    </row>
    <row r="129" spans="1:42" s="3" customFormat="1" ht="12.75" customHeight="1">
      <c r="A129" s="802"/>
      <c r="B129" s="33"/>
      <c r="C129" s="75"/>
      <c r="D129" s="22"/>
      <c r="E129" s="1681"/>
      <c r="F129" s="1681"/>
      <c r="G129" s="1681"/>
      <c r="H129" s="1681"/>
      <c r="I129" s="1681"/>
      <c r="J129" s="1681"/>
      <c r="K129" s="1681"/>
      <c r="L129" s="1681"/>
      <c r="M129" s="1681"/>
      <c r="N129" s="1681"/>
      <c r="O129" s="1681"/>
      <c r="P129" s="1681"/>
      <c r="Q129" s="1681"/>
      <c r="R129" s="1681"/>
      <c r="S129" s="1681"/>
      <c r="T129" s="1681"/>
      <c r="U129" s="1681"/>
      <c r="V129" s="1681"/>
      <c r="W129" s="1681"/>
      <c r="X129" s="1681"/>
      <c r="Y129" s="1681"/>
      <c r="Z129" s="1681"/>
      <c r="AA129" s="1681"/>
      <c r="AB129" s="1681"/>
      <c r="AC129" s="1681"/>
      <c r="AD129" s="1681"/>
      <c r="AF129" s="33"/>
      <c r="AN129" s="209"/>
    </row>
    <row r="130" spans="1:42" s="3" customFormat="1" ht="12.75" customHeight="1">
      <c r="B130" s="33"/>
      <c r="C130" s="34"/>
      <c r="D130" s="22"/>
      <c r="E130" s="1681"/>
      <c r="F130" s="1681"/>
      <c r="G130" s="1681"/>
      <c r="H130" s="1681"/>
      <c r="I130" s="1681"/>
      <c r="J130" s="1681"/>
      <c r="K130" s="1681"/>
      <c r="L130" s="1681"/>
      <c r="M130" s="1681"/>
      <c r="N130" s="1681"/>
      <c r="O130" s="1681"/>
      <c r="P130" s="1681"/>
      <c r="Q130" s="1681"/>
      <c r="R130" s="1681"/>
      <c r="S130" s="1681"/>
      <c r="T130" s="1681"/>
      <c r="U130" s="1681"/>
      <c r="V130" s="1681"/>
      <c r="W130" s="1681"/>
      <c r="X130" s="1681"/>
      <c r="Y130" s="1681"/>
      <c r="Z130" s="1681"/>
      <c r="AA130" s="1681"/>
      <c r="AB130" s="1681"/>
      <c r="AC130" s="1681"/>
      <c r="AD130" s="1681"/>
      <c r="AF130" s="33"/>
      <c r="AN130" s="209"/>
    </row>
    <row r="131" spans="1:42" s="3" customFormat="1" ht="12.75" customHeight="1">
      <c r="A131" s="28"/>
      <c r="B131" s="771"/>
      <c r="C131" s="78"/>
      <c r="D131" s="22"/>
      <c r="E131" s="1681"/>
      <c r="F131" s="1681"/>
      <c r="G131" s="1681"/>
      <c r="H131" s="1681"/>
      <c r="I131" s="1681"/>
      <c r="J131" s="1681"/>
      <c r="K131" s="1681"/>
      <c r="L131" s="1681"/>
      <c r="M131" s="1681"/>
      <c r="N131" s="1681"/>
      <c r="O131" s="1681"/>
      <c r="P131" s="1681"/>
      <c r="Q131" s="1681"/>
      <c r="R131" s="1681"/>
      <c r="S131" s="1681"/>
      <c r="T131" s="1681"/>
      <c r="U131" s="1681"/>
      <c r="V131" s="1681"/>
      <c r="W131" s="1681"/>
      <c r="X131" s="1681"/>
      <c r="Y131" s="1681"/>
      <c r="Z131" s="1681"/>
      <c r="AA131" s="1681"/>
      <c r="AB131" s="1681"/>
      <c r="AC131" s="1681"/>
      <c r="AD131" s="1681"/>
      <c r="AE131" s="16"/>
      <c r="AF131" s="771"/>
      <c r="AG131" s="16"/>
      <c r="AH131" s="16"/>
      <c r="AI131" s="16"/>
      <c r="AJ131" s="16"/>
      <c r="AN131" s="209"/>
    </row>
    <row r="132" spans="1:42" s="3" customFormat="1" ht="22.9" customHeight="1">
      <c r="B132" s="771"/>
      <c r="C132" s="78"/>
      <c r="D132" s="22"/>
      <c r="E132" s="1681"/>
      <c r="F132" s="1681"/>
      <c r="G132" s="1681"/>
      <c r="H132" s="1681"/>
      <c r="I132" s="1681"/>
      <c r="J132" s="1681"/>
      <c r="K132" s="1681"/>
      <c r="L132" s="1681"/>
      <c r="M132" s="1681"/>
      <c r="N132" s="1681"/>
      <c r="O132" s="1681"/>
      <c r="P132" s="1681"/>
      <c r="Q132" s="1681"/>
      <c r="R132" s="1681"/>
      <c r="S132" s="1681"/>
      <c r="T132" s="1681"/>
      <c r="U132" s="1681"/>
      <c r="V132" s="1681"/>
      <c r="W132" s="1681"/>
      <c r="X132" s="1681"/>
      <c r="Y132" s="1681"/>
      <c r="Z132" s="1681"/>
      <c r="AA132" s="1681"/>
      <c r="AB132" s="1681"/>
      <c r="AC132" s="1681"/>
      <c r="AD132" s="1681"/>
      <c r="AE132" s="16"/>
      <c r="AF132" s="771"/>
      <c r="AG132" s="16"/>
      <c r="AH132" s="16"/>
      <c r="AI132" s="16"/>
      <c r="AJ132" s="16"/>
      <c r="AN132" s="209"/>
      <c r="AO132" s="3" t="s">
        <v>325</v>
      </c>
      <c r="AP132" s="344">
        <v>0</v>
      </c>
    </row>
    <row r="133" spans="1:42" s="3" customFormat="1" ht="12.75" customHeight="1">
      <c r="B133" s="771"/>
      <c r="C133" s="34"/>
      <c r="D133" s="22"/>
      <c r="E133" s="16" t="s">
        <v>1985</v>
      </c>
      <c r="F133" s="521"/>
      <c r="G133" s="521"/>
      <c r="H133" s="521"/>
      <c r="I133" s="521"/>
      <c r="J133" s="521"/>
      <c r="K133" s="521"/>
      <c r="L133" s="521"/>
      <c r="M133" s="521"/>
      <c r="N133" s="521"/>
      <c r="O133" s="521"/>
      <c r="P133" s="521"/>
      <c r="Q133" s="521"/>
      <c r="R133" s="521"/>
      <c r="S133" s="1677" t="s">
        <v>325</v>
      </c>
      <c r="T133" s="1677"/>
      <c r="U133" s="521"/>
      <c r="V133" s="521"/>
      <c r="W133" s="521"/>
      <c r="X133" s="521"/>
      <c r="Y133" s="521"/>
      <c r="Z133" s="521"/>
      <c r="AA133" s="521"/>
      <c r="AB133" s="521"/>
      <c r="AC133" s="521"/>
      <c r="AD133" s="521"/>
      <c r="AF133" s="771"/>
      <c r="AG133" s="16"/>
      <c r="AH133" s="16"/>
      <c r="AI133" s="16"/>
      <c r="AJ133" s="16"/>
      <c r="AN133" s="209"/>
      <c r="AO133" s="22" t="s">
        <v>18</v>
      </c>
      <c r="AP133" s="3">
        <v>5</v>
      </c>
    </row>
    <row r="134" spans="1:42" s="3" customFormat="1" ht="12.75" customHeight="1">
      <c r="B134" s="771"/>
      <c r="C134" s="78"/>
      <c r="W134" s="16"/>
      <c r="X134" s="16"/>
      <c r="Y134" s="16"/>
      <c r="Z134" s="16"/>
      <c r="AA134" s="16"/>
      <c r="AB134" s="16"/>
      <c r="AN134" s="209"/>
      <c r="AO134" s="22" t="s">
        <v>23</v>
      </c>
      <c r="AP134" s="84">
        <v>4</v>
      </c>
    </row>
    <row r="135" spans="1:42" s="3" customFormat="1" ht="12.75" customHeight="1">
      <c r="B135" s="33"/>
      <c r="C135" s="34"/>
      <c r="D135" s="22" t="s">
        <v>23</v>
      </c>
      <c r="E135" s="248" t="s">
        <v>1986</v>
      </c>
      <c r="F135" s="79"/>
      <c r="G135" s="79"/>
      <c r="H135" s="79"/>
      <c r="I135" s="79"/>
      <c r="J135" s="79"/>
      <c r="K135" s="79"/>
      <c r="L135" s="79"/>
      <c r="M135" s="79"/>
      <c r="N135" s="79"/>
      <c r="O135" s="79"/>
      <c r="P135" s="79"/>
      <c r="Q135" s="79"/>
      <c r="R135" s="79"/>
      <c r="S135" s="79"/>
      <c r="T135" s="79"/>
      <c r="W135" s="79"/>
      <c r="X135" s="79"/>
      <c r="Y135" s="79"/>
      <c r="Z135" s="79"/>
      <c r="AA135" s="79"/>
      <c r="AB135" s="79"/>
      <c r="AF135" s="1592" t="s">
        <v>1987</v>
      </c>
      <c r="AG135" s="1592"/>
      <c r="AH135" s="1592"/>
      <c r="AI135" s="1592"/>
      <c r="AJ135" s="1592"/>
      <c r="AK135" s="1592"/>
      <c r="AL135" s="1592"/>
      <c r="AN135" s="209"/>
      <c r="AO135" s="22" t="s">
        <v>43</v>
      </c>
      <c r="AP135" s="3">
        <v>3</v>
      </c>
    </row>
    <row r="136" spans="1:42" s="3" customFormat="1" ht="12.75" customHeight="1">
      <c r="B136" s="33"/>
      <c r="C136" s="34"/>
      <c r="F136" s="79"/>
      <c r="G136" s="79"/>
      <c r="H136" s="79"/>
      <c r="I136" s="79"/>
      <c r="J136" s="79"/>
      <c r="K136" s="79"/>
      <c r="L136" s="79"/>
      <c r="M136" s="79"/>
      <c r="N136" s="79"/>
      <c r="O136" s="79"/>
      <c r="P136" s="79"/>
      <c r="Q136" s="79"/>
      <c r="R136" s="79"/>
      <c r="S136" s="79"/>
      <c r="T136" s="79"/>
      <c r="X136" s="79"/>
      <c r="Y136" s="79"/>
      <c r="Z136" s="79"/>
      <c r="AA136" s="79"/>
      <c r="AB136" s="79"/>
      <c r="AN136" s="209"/>
      <c r="AO136" s="22" t="s">
        <v>1963</v>
      </c>
      <c r="AP136" s="84">
        <v>4</v>
      </c>
    </row>
    <row r="137" spans="1:42" s="3" customFormat="1" ht="12.75" customHeight="1">
      <c r="B137" s="33"/>
      <c r="C137" s="34"/>
      <c r="D137" s="3" t="s">
        <v>1973</v>
      </c>
      <c r="E137" s="835"/>
      <c r="F137" s="835"/>
      <c r="G137" s="835"/>
      <c r="H137" s="1680" t="s">
        <v>18</v>
      </c>
      <c r="I137" s="1680"/>
      <c r="J137" s="79"/>
      <c r="K137" s="79"/>
      <c r="L137" s="79"/>
      <c r="M137" s="79"/>
      <c r="N137" s="79"/>
      <c r="O137" s="79"/>
      <c r="P137" s="79"/>
      <c r="Q137" s="79"/>
      <c r="R137" s="79"/>
      <c r="S137" s="79"/>
      <c r="T137" s="79"/>
      <c r="U137" s="835"/>
      <c r="V137" s="835"/>
      <c r="W137" s="835"/>
      <c r="AN137" s="209"/>
      <c r="AO137" s="22" t="s">
        <v>1965</v>
      </c>
      <c r="AP137" s="3">
        <v>3</v>
      </c>
    </row>
    <row r="138" spans="1:42" s="3" customFormat="1" ht="12.75" customHeight="1">
      <c r="B138" s="33"/>
      <c r="C138" s="34"/>
      <c r="E138" s="835"/>
      <c r="F138" s="79"/>
      <c r="G138" s="79"/>
      <c r="H138" s="79"/>
      <c r="I138" s="377"/>
      <c r="J138" s="79"/>
      <c r="K138" s="79"/>
      <c r="L138" s="79"/>
      <c r="M138" s="79"/>
      <c r="N138" s="79"/>
      <c r="O138" s="79"/>
      <c r="P138" s="79"/>
      <c r="Q138" s="79"/>
      <c r="T138" s="79"/>
      <c r="U138" s="835"/>
      <c r="V138" s="835"/>
      <c r="W138" s="835"/>
      <c r="X138" s="835"/>
      <c r="Y138" s="835"/>
      <c r="Z138" s="835"/>
      <c r="AA138" s="835"/>
      <c r="AB138" s="835"/>
      <c r="AD138" s="33"/>
      <c r="AI138" s="79"/>
      <c r="AJ138" s="79"/>
      <c r="AK138" s="79"/>
      <c r="AL138" s="79"/>
      <c r="AM138" s="79"/>
      <c r="AN138" s="209"/>
      <c r="AO138" s="22" t="s">
        <v>1988</v>
      </c>
      <c r="AP138" s="3">
        <v>2</v>
      </c>
    </row>
    <row r="139" spans="1:42" s="3" customFormat="1" ht="12.75" customHeight="1">
      <c r="A139" s="60"/>
      <c r="B139" s="302"/>
      <c r="C139" s="80"/>
      <c r="D139" s="61"/>
      <c r="E139" s="77"/>
      <c r="F139" s="77"/>
      <c r="G139" s="81"/>
      <c r="H139" s="81"/>
      <c r="I139" s="81"/>
      <c r="J139" s="81"/>
      <c r="K139" s="81"/>
      <c r="L139" s="81"/>
      <c r="M139" s="81"/>
      <c r="N139" s="81"/>
      <c r="O139" s="81"/>
      <c r="P139" s="81"/>
      <c r="Q139" s="81"/>
      <c r="R139" s="81"/>
      <c r="S139" s="81"/>
      <c r="T139" s="77"/>
      <c r="U139" s="77"/>
      <c r="V139" s="77"/>
      <c r="W139" s="77"/>
      <c r="X139" s="77"/>
      <c r="Y139" s="77"/>
      <c r="Z139" s="77"/>
      <c r="AA139" s="77"/>
      <c r="AB139" s="61"/>
      <c r="AC139" s="302"/>
      <c r="AD139" s="61"/>
      <c r="AE139" s="61"/>
      <c r="AF139" s="61"/>
      <c r="AG139" s="61"/>
      <c r="AH139" s="61"/>
      <c r="AI139" s="788" t="s">
        <v>1989</v>
      </c>
      <c r="AJ139" s="1194">
        <f>VLOOKUP($H$137,$AO$111:$AP$113,2,FALSE)</f>
        <v>3</v>
      </c>
      <c r="AK139" s="1196"/>
      <c r="AL139" s="801"/>
      <c r="AN139" s="209"/>
      <c r="AO139" s="22" t="s">
        <v>1990</v>
      </c>
      <c r="AP139" s="3">
        <v>1</v>
      </c>
    </row>
    <row r="140" spans="1:42" s="3" customFormat="1" ht="12.75" customHeight="1">
      <c r="B140" s="33"/>
      <c r="C140" s="34"/>
      <c r="E140" s="835"/>
      <c r="F140" s="835"/>
      <c r="G140" s="835"/>
      <c r="J140" s="79"/>
      <c r="K140" s="79"/>
      <c r="L140" s="79"/>
      <c r="M140" s="79"/>
      <c r="N140" s="79"/>
      <c r="O140" s="79"/>
      <c r="P140" s="79"/>
      <c r="Q140" s="79"/>
      <c r="R140" s="79"/>
      <c r="S140" s="79"/>
      <c r="T140" s="79"/>
      <c r="U140" s="835"/>
      <c r="V140" s="835"/>
      <c r="W140" s="835"/>
      <c r="X140" s="835"/>
      <c r="Y140" s="835"/>
      <c r="Z140" s="835"/>
      <c r="AA140" s="835"/>
      <c r="AB140" s="835"/>
      <c r="AD140" s="33"/>
      <c r="AJ140" s="71"/>
      <c r="AN140" s="209"/>
    </row>
    <row r="141" spans="1:42" s="3" customFormat="1" ht="12.75" customHeight="1">
      <c r="B141" s="33"/>
      <c r="C141" s="2" t="s">
        <v>1991</v>
      </c>
      <c r="E141" s="835"/>
      <c r="F141" s="79"/>
      <c r="G141" s="79"/>
      <c r="H141" s="79"/>
      <c r="I141" s="79"/>
      <c r="J141" s="79"/>
      <c r="K141" s="79"/>
      <c r="L141" s="79"/>
      <c r="M141" s="79"/>
      <c r="N141" s="79"/>
      <c r="O141" s="79"/>
      <c r="P141" s="79"/>
      <c r="Q141" s="79"/>
      <c r="R141" s="79"/>
      <c r="S141" s="79"/>
      <c r="T141" s="79"/>
      <c r="W141" s="79"/>
      <c r="X141" s="79"/>
      <c r="Y141" s="79"/>
      <c r="Z141" s="79"/>
      <c r="AA141" s="79"/>
      <c r="AB141" s="79"/>
      <c r="AC141" s="831"/>
      <c r="AD141" s="831"/>
      <c r="AE141" s="831"/>
      <c r="AF141" s="831"/>
      <c r="AG141" s="831"/>
      <c r="AH141" s="831"/>
      <c r="AI141" s="831"/>
      <c r="AN141" s="209"/>
    </row>
    <row r="142" spans="1:42" s="3" customFormat="1" ht="12.75" customHeight="1">
      <c r="A142" s="28"/>
      <c r="B142" s="33"/>
      <c r="C142" s="75"/>
      <c r="E142" s="79"/>
      <c r="F142" s="79"/>
      <c r="G142" s="79"/>
      <c r="H142" s="79"/>
      <c r="I142" s="79"/>
      <c r="J142" s="79"/>
      <c r="K142" s="79"/>
      <c r="L142" s="79"/>
      <c r="M142" s="79"/>
      <c r="N142" s="79"/>
      <c r="O142" s="79"/>
      <c r="P142" s="79"/>
      <c r="Q142" s="79"/>
      <c r="R142" s="79"/>
      <c r="S142" s="79"/>
      <c r="T142" s="79"/>
      <c r="U142" s="79"/>
      <c r="V142" s="79"/>
      <c r="W142" s="79"/>
      <c r="X142" s="79"/>
      <c r="Y142" s="79"/>
      <c r="Z142" s="79"/>
      <c r="AA142" s="79"/>
      <c r="AB142" s="79"/>
      <c r="AD142" s="33"/>
      <c r="AN142" s="209"/>
    </row>
    <row r="143" spans="1:42" s="3" customFormat="1" ht="12.75" customHeight="1">
      <c r="D143" s="22" t="s">
        <v>18</v>
      </c>
      <c r="E143" s="16" t="s">
        <v>1992</v>
      </c>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F143" s="1592" t="s">
        <v>1926</v>
      </c>
      <c r="AG143" s="1592"/>
      <c r="AH143" s="1592"/>
      <c r="AI143" s="1592"/>
      <c r="AJ143" s="1592"/>
      <c r="AK143" s="1592"/>
      <c r="AL143" s="1592"/>
      <c r="AN143" s="209"/>
    </row>
    <row r="144" spans="1:42" s="3" customFormat="1" ht="12.75" customHeight="1">
      <c r="D144" s="22"/>
      <c r="E144" s="16" t="s">
        <v>1993</v>
      </c>
      <c r="F144" s="79"/>
      <c r="G144" s="79"/>
      <c r="H144" s="79"/>
      <c r="I144" s="79"/>
      <c r="J144" s="79"/>
      <c r="K144" s="79"/>
      <c r="L144" s="79"/>
      <c r="M144" s="79"/>
      <c r="N144" s="79"/>
      <c r="O144" s="79"/>
      <c r="P144" s="79"/>
      <c r="Q144" s="79"/>
      <c r="R144" s="79"/>
      <c r="S144" s="79"/>
      <c r="T144" s="79"/>
      <c r="U144" s="79"/>
      <c r="V144" s="79"/>
      <c r="W144" s="79"/>
      <c r="X144" s="79"/>
      <c r="Y144" s="79"/>
      <c r="Z144" s="79"/>
      <c r="AA144" s="79"/>
      <c r="AB144" s="79"/>
      <c r="AE144" s="831"/>
      <c r="AF144" s="831"/>
      <c r="AG144" s="831"/>
      <c r="AH144" s="831"/>
      <c r="AI144" s="831"/>
      <c r="AJ144" s="831"/>
      <c r="AK144" s="831"/>
      <c r="AL144" s="831"/>
      <c r="AN144" s="209"/>
    </row>
    <row r="145" spans="1:42" s="3" customFormat="1" ht="12.75" customHeight="1">
      <c r="B145" s="771"/>
      <c r="C145" s="78"/>
      <c r="D145" s="22"/>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E145" s="16"/>
      <c r="AN145" s="209"/>
    </row>
    <row r="146" spans="1:42" s="3" customFormat="1" ht="12.75" customHeight="1">
      <c r="B146" s="33"/>
      <c r="C146" s="34"/>
      <c r="D146" s="22" t="s">
        <v>23</v>
      </c>
      <c r="E146" s="16" t="s">
        <v>1994</v>
      </c>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F146" s="1592" t="s">
        <v>1987</v>
      </c>
      <c r="AG146" s="1592"/>
      <c r="AH146" s="1592"/>
      <c r="AI146" s="1592"/>
      <c r="AJ146" s="1592"/>
      <c r="AK146" s="1592"/>
      <c r="AL146" s="1592"/>
      <c r="AN146" s="209"/>
    </row>
    <row r="147" spans="1:42" s="3" customFormat="1" ht="12.75" customHeight="1">
      <c r="B147" s="33"/>
      <c r="C147" s="34"/>
      <c r="D147" s="22"/>
      <c r="E147" s="16" t="s">
        <v>1995</v>
      </c>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E147" s="831"/>
      <c r="AF147" s="831"/>
      <c r="AG147" s="831"/>
      <c r="AH147" s="831"/>
      <c r="AI147" s="831"/>
      <c r="AJ147" s="831"/>
      <c r="AK147" s="831"/>
      <c r="AL147" s="831"/>
      <c r="AN147" s="209"/>
    </row>
    <row r="148" spans="1:42" s="3" customFormat="1" ht="12.75" customHeight="1">
      <c r="B148" s="33"/>
      <c r="C148" s="34"/>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N148" s="209"/>
      <c r="AP148" s="84"/>
    </row>
    <row r="149" spans="1:42" s="3" customFormat="1" ht="12.75" customHeight="1">
      <c r="B149" s="33"/>
      <c r="C149" s="34"/>
      <c r="D149" s="3" t="s">
        <v>1973</v>
      </c>
      <c r="E149" s="835"/>
      <c r="F149" s="835"/>
      <c r="G149" s="835"/>
      <c r="H149" s="1680" t="s">
        <v>325</v>
      </c>
      <c r="I149" s="1680"/>
      <c r="J149" s="16"/>
      <c r="K149" s="16"/>
      <c r="L149" s="16"/>
      <c r="M149" s="16"/>
      <c r="N149" s="16"/>
      <c r="O149" s="16"/>
      <c r="P149" s="16"/>
      <c r="Q149" s="16"/>
      <c r="R149" s="16"/>
      <c r="S149" s="16"/>
      <c r="T149" s="16"/>
      <c r="U149" s="16"/>
      <c r="V149" s="16"/>
      <c r="AN149" s="209"/>
    </row>
    <row r="150" spans="1:42" s="3" customFormat="1" ht="12.75" customHeight="1">
      <c r="B150" s="33"/>
      <c r="C150" s="34"/>
      <c r="E150" s="835"/>
      <c r="F150" s="835"/>
      <c r="G150" s="16"/>
      <c r="H150" s="16"/>
      <c r="I150" s="16"/>
      <c r="J150" s="16"/>
      <c r="K150" s="16"/>
      <c r="L150" s="16"/>
      <c r="M150" s="16"/>
      <c r="N150" s="16"/>
      <c r="O150" s="16"/>
      <c r="P150" s="16"/>
      <c r="Q150" s="16"/>
      <c r="R150" s="16"/>
      <c r="S150" s="16"/>
      <c r="T150" s="16"/>
      <c r="U150" s="16"/>
      <c r="V150" s="16"/>
      <c r="W150" s="16"/>
      <c r="X150" s="16"/>
      <c r="Y150" s="16"/>
      <c r="Z150" s="835"/>
      <c r="AA150" s="835"/>
      <c r="AB150" s="835"/>
      <c r="AJ150" s="16"/>
      <c r="AK150" s="16"/>
      <c r="AL150" s="16"/>
      <c r="AM150" s="16"/>
      <c r="AN150" s="209"/>
    </row>
    <row r="151" spans="1:42" s="3" customFormat="1" ht="12.75" customHeight="1">
      <c r="A151" s="60"/>
      <c r="B151" s="302"/>
      <c r="C151" s="80"/>
      <c r="D151" s="61"/>
      <c r="E151" s="77"/>
      <c r="F151" s="77"/>
      <c r="G151" s="82"/>
      <c r="H151" s="82"/>
      <c r="I151" s="82"/>
      <c r="J151" s="82"/>
      <c r="K151" s="82"/>
      <c r="L151" s="82"/>
      <c r="M151" s="82"/>
      <c r="N151" s="82"/>
      <c r="O151" s="82"/>
      <c r="P151" s="82"/>
      <c r="Q151" s="82"/>
      <c r="R151" s="82"/>
      <c r="S151" s="82"/>
      <c r="T151" s="82"/>
      <c r="U151" s="82"/>
      <c r="V151" s="82"/>
      <c r="W151" s="82"/>
      <c r="X151" s="82"/>
      <c r="Y151" s="77"/>
      <c r="Z151" s="77"/>
      <c r="AA151" s="77"/>
      <c r="AB151" s="61"/>
      <c r="AC151" s="302"/>
      <c r="AD151" s="61"/>
      <c r="AE151" s="61"/>
      <c r="AF151" s="61"/>
      <c r="AG151" s="61"/>
      <c r="AH151" s="61"/>
      <c r="AI151" s="788" t="s">
        <v>1996</v>
      </c>
      <c r="AJ151" s="1194">
        <f>VLOOKUP(H149,AT111:AU113,2,FALSE)</f>
        <v>0</v>
      </c>
      <c r="AK151" s="1196"/>
      <c r="AL151" s="801"/>
      <c r="AN151" s="209"/>
      <c r="AO151" s="3" t="s">
        <v>325</v>
      </c>
      <c r="AP151" s="344">
        <v>0</v>
      </c>
    </row>
    <row r="152" spans="1:42" s="3" customFormat="1" ht="12.75" customHeight="1">
      <c r="B152" s="33"/>
      <c r="C152" s="34"/>
      <c r="AN152" s="209"/>
      <c r="AO152" s="22" t="s">
        <v>18</v>
      </c>
      <c r="AP152" s="3">
        <v>3</v>
      </c>
    </row>
    <row r="153" spans="1:42" s="3" customFormat="1" ht="12.75" customHeight="1">
      <c r="C153" s="2" t="s">
        <v>1997</v>
      </c>
      <c r="AN153" s="209"/>
      <c r="AO153" s="22" t="s">
        <v>23</v>
      </c>
      <c r="AP153" s="3">
        <v>2</v>
      </c>
    </row>
    <row r="154" spans="1:42" s="3" customFormat="1" ht="12.75" customHeight="1">
      <c r="C154" s="2"/>
      <c r="D154" s="200" t="s">
        <v>1998</v>
      </c>
      <c r="AN154" s="209"/>
    </row>
    <row r="155" spans="1:42" s="3" customFormat="1" ht="12.75" customHeight="1">
      <c r="C155" s="2"/>
      <c r="AN155" s="209"/>
    </row>
    <row r="156" spans="1:42" s="3" customFormat="1" ht="12.75" customHeight="1">
      <c r="C156" s="2"/>
      <c r="D156" s="22" t="s">
        <v>18</v>
      </c>
      <c r="E156" s="1529" t="s">
        <v>1999</v>
      </c>
      <c r="F156" s="1529"/>
      <c r="G156" s="1529"/>
      <c r="H156" s="1529"/>
      <c r="I156" s="1529"/>
      <c r="J156" s="1529"/>
      <c r="K156" s="1529"/>
      <c r="L156" s="1529"/>
      <c r="M156" s="1529"/>
      <c r="N156" s="1529"/>
      <c r="O156" s="1529"/>
      <c r="P156" s="1529"/>
      <c r="Q156" s="1529"/>
      <c r="R156" s="1529"/>
      <c r="S156" s="1529"/>
      <c r="T156" s="1529"/>
      <c r="U156" s="1529"/>
      <c r="V156" s="1529"/>
      <c r="W156" s="1529"/>
      <c r="X156" s="1529"/>
      <c r="Y156" s="1529"/>
      <c r="Z156" s="1529"/>
      <c r="AA156" s="1529"/>
      <c r="AB156" s="1529"/>
      <c r="AC156" s="1529"/>
      <c r="AF156" s="1592" t="s">
        <v>1962</v>
      </c>
      <c r="AG156" s="1592"/>
      <c r="AH156" s="1592"/>
      <c r="AI156" s="1592"/>
      <c r="AJ156" s="1592"/>
      <c r="AK156" s="1592"/>
      <c r="AL156" s="1592"/>
      <c r="AN156" s="209"/>
    </row>
    <row r="157" spans="1:42" s="3" customFormat="1" ht="12.75" customHeight="1">
      <c r="C157" s="2"/>
      <c r="E157" s="1529"/>
      <c r="F157" s="1529"/>
      <c r="G157" s="1529"/>
      <c r="H157" s="1529"/>
      <c r="I157" s="1529"/>
      <c r="J157" s="1529"/>
      <c r="K157" s="1529"/>
      <c r="L157" s="1529"/>
      <c r="M157" s="1529"/>
      <c r="N157" s="1529"/>
      <c r="O157" s="1529"/>
      <c r="P157" s="1529"/>
      <c r="Q157" s="1529"/>
      <c r="R157" s="1529"/>
      <c r="S157" s="1529"/>
      <c r="T157" s="1529"/>
      <c r="U157" s="1529"/>
      <c r="V157" s="1529"/>
      <c r="W157" s="1529"/>
      <c r="X157" s="1529"/>
      <c r="Y157" s="1529"/>
      <c r="Z157" s="1529"/>
      <c r="AA157" s="1529"/>
      <c r="AB157" s="1529"/>
      <c r="AC157" s="1529"/>
      <c r="AN157" s="209"/>
    </row>
    <row r="158" spans="1:42" s="3" customFormat="1" ht="12.75" customHeight="1">
      <c r="C158" s="2"/>
      <c r="D158" s="22"/>
      <c r="E158" s="1529"/>
      <c r="F158" s="1529"/>
      <c r="G158" s="1529"/>
      <c r="H158" s="1529"/>
      <c r="I158" s="1529"/>
      <c r="J158" s="1529"/>
      <c r="K158" s="1529"/>
      <c r="L158" s="1529"/>
      <c r="M158" s="1529"/>
      <c r="N158" s="1529"/>
      <c r="O158" s="1529"/>
      <c r="P158" s="1529"/>
      <c r="Q158" s="1529"/>
      <c r="R158" s="1529"/>
      <c r="S158" s="1529"/>
      <c r="T158" s="1529"/>
      <c r="U158" s="1529"/>
      <c r="V158" s="1529"/>
      <c r="W158" s="1529"/>
      <c r="X158" s="1529"/>
      <c r="Y158" s="1529"/>
      <c r="Z158" s="1529"/>
      <c r="AA158" s="1529"/>
      <c r="AB158" s="1529"/>
      <c r="AC158" s="1529"/>
      <c r="AN158" s="209"/>
    </row>
    <row r="159" spans="1:42" s="3" customFormat="1" ht="15" customHeight="1">
      <c r="C159" s="2"/>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N159" s="209"/>
    </row>
    <row r="160" spans="1:42" s="3" customFormat="1" ht="12.75" customHeight="1">
      <c r="C160" s="2"/>
      <c r="D160" s="22" t="s">
        <v>23</v>
      </c>
      <c r="E160" s="1529" t="s">
        <v>2000</v>
      </c>
      <c r="F160" s="1529"/>
      <c r="G160" s="1529"/>
      <c r="H160" s="1529"/>
      <c r="I160" s="1529"/>
      <c r="J160" s="1529"/>
      <c r="K160" s="1529"/>
      <c r="L160" s="1529"/>
      <c r="M160" s="1529"/>
      <c r="N160" s="1529"/>
      <c r="O160" s="1529"/>
      <c r="P160" s="1529"/>
      <c r="Q160" s="1529"/>
      <c r="R160" s="1529"/>
      <c r="S160" s="1529"/>
      <c r="T160" s="1529"/>
      <c r="U160" s="1529"/>
      <c r="V160" s="1529"/>
      <c r="W160" s="1529"/>
      <c r="X160" s="1529"/>
      <c r="Y160" s="1529"/>
      <c r="Z160" s="1529"/>
      <c r="AA160" s="1529"/>
      <c r="AB160" s="1529"/>
      <c r="AC160" s="1529"/>
      <c r="AF160" s="1592" t="s">
        <v>1966</v>
      </c>
      <c r="AG160" s="1592"/>
      <c r="AH160" s="1592"/>
      <c r="AI160" s="1592"/>
      <c r="AJ160" s="1592"/>
      <c r="AK160" s="1592"/>
      <c r="AL160" s="1592"/>
      <c r="AN160" s="209"/>
    </row>
    <row r="161" spans="1:42" s="3" customFormat="1" ht="12.75" customHeight="1">
      <c r="C161" s="2"/>
      <c r="E161" s="1529"/>
      <c r="F161" s="1529"/>
      <c r="G161" s="1529"/>
      <c r="H161" s="1529"/>
      <c r="I161" s="1529"/>
      <c r="J161" s="1529"/>
      <c r="K161" s="1529"/>
      <c r="L161" s="1529"/>
      <c r="M161" s="1529"/>
      <c r="N161" s="1529"/>
      <c r="O161" s="1529"/>
      <c r="P161" s="1529"/>
      <c r="Q161" s="1529"/>
      <c r="R161" s="1529"/>
      <c r="S161" s="1529"/>
      <c r="T161" s="1529"/>
      <c r="U161" s="1529"/>
      <c r="V161" s="1529"/>
      <c r="W161" s="1529"/>
      <c r="X161" s="1529"/>
      <c r="Y161" s="1529"/>
      <c r="Z161" s="1529"/>
      <c r="AA161" s="1529"/>
      <c r="AB161" s="1529"/>
      <c r="AC161" s="1529"/>
      <c r="AN161" s="209"/>
    </row>
    <row r="162" spans="1:42" s="3" customFormat="1" ht="15" customHeight="1">
      <c r="C162" s="2"/>
      <c r="D162" s="22"/>
      <c r="E162" s="1529"/>
      <c r="F162" s="1529"/>
      <c r="G162" s="1529"/>
      <c r="H162" s="1529"/>
      <c r="I162" s="1529"/>
      <c r="J162" s="1529"/>
      <c r="K162" s="1529"/>
      <c r="L162" s="1529"/>
      <c r="M162" s="1529"/>
      <c r="N162" s="1529"/>
      <c r="O162" s="1529"/>
      <c r="P162" s="1529"/>
      <c r="Q162" s="1529"/>
      <c r="R162" s="1529"/>
      <c r="S162" s="1529"/>
      <c r="T162" s="1529"/>
      <c r="U162" s="1529"/>
      <c r="V162" s="1529"/>
      <c r="W162" s="1529"/>
      <c r="X162" s="1529"/>
      <c r="Y162" s="1529"/>
      <c r="Z162" s="1529"/>
      <c r="AA162" s="1529"/>
      <c r="AB162" s="1529"/>
      <c r="AC162" s="1529"/>
      <c r="AN162" s="209"/>
    </row>
    <row r="163" spans="1:42" s="3" customFormat="1" ht="12.75" customHeight="1">
      <c r="C163" s="2"/>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N163" s="209"/>
    </row>
    <row r="164" spans="1:42" s="3" customFormat="1" ht="12.75" customHeight="1">
      <c r="C164" s="2"/>
      <c r="D164" s="22" t="s">
        <v>43</v>
      </c>
      <c r="E164" s="1529" t="s">
        <v>2001</v>
      </c>
      <c r="F164" s="1529"/>
      <c r="G164" s="1529"/>
      <c r="H164" s="1529"/>
      <c r="I164" s="1529"/>
      <c r="J164" s="1529"/>
      <c r="K164" s="1529"/>
      <c r="L164" s="1529"/>
      <c r="M164" s="1529"/>
      <c r="N164" s="1529"/>
      <c r="O164" s="1529"/>
      <c r="P164" s="1529"/>
      <c r="Q164" s="1529"/>
      <c r="R164" s="1529"/>
      <c r="S164" s="1529"/>
      <c r="T164" s="1529"/>
      <c r="U164" s="1529"/>
      <c r="V164" s="1529"/>
      <c r="W164" s="1529"/>
      <c r="X164" s="1529"/>
      <c r="Y164" s="1529"/>
      <c r="Z164" s="1529"/>
      <c r="AA164" s="1529"/>
      <c r="AB164" s="1529"/>
      <c r="AC164" s="1529"/>
      <c r="AF164" s="1592" t="s">
        <v>1926</v>
      </c>
      <c r="AG164" s="1592"/>
      <c r="AH164" s="1592"/>
      <c r="AI164" s="1592"/>
      <c r="AJ164" s="1592"/>
      <c r="AK164" s="1592"/>
      <c r="AL164" s="1592"/>
      <c r="AN164" s="209"/>
    </row>
    <row r="165" spans="1:42" s="3" customFormat="1" ht="12.75" customHeight="1">
      <c r="B165" s="33"/>
      <c r="C165" s="34"/>
      <c r="E165" s="1529"/>
      <c r="F165" s="1529"/>
      <c r="G165" s="1529"/>
      <c r="H165" s="1529"/>
      <c r="I165" s="1529"/>
      <c r="J165" s="1529"/>
      <c r="K165" s="1529"/>
      <c r="L165" s="1529"/>
      <c r="M165" s="1529"/>
      <c r="N165" s="1529"/>
      <c r="O165" s="1529"/>
      <c r="P165" s="1529"/>
      <c r="Q165" s="1529"/>
      <c r="R165" s="1529"/>
      <c r="S165" s="1529"/>
      <c r="T165" s="1529"/>
      <c r="U165" s="1529"/>
      <c r="V165" s="1529"/>
      <c r="W165" s="1529"/>
      <c r="X165" s="1529"/>
      <c r="Y165" s="1529"/>
      <c r="Z165" s="1529"/>
      <c r="AA165" s="1529"/>
      <c r="AB165" s="1529"/>
      <c r="AC165" s="1529"/>
      <c r="AE165" s="1592"/>
      <c r="AF165" s="1592"/>
      <c r="AG165" s="1592"/>
      <c r="AH165" s="1592"/>
      <c r="AI165" s="1592"/>
      <c r="AJ165" s="1592"/>
      <c r="AK165" s="1592"/>
      <c r="AL165" s="831"/>
      <c r="AN165" s="209"/>
      <c r="AO165" s="3" t="s">
        <v>325</v>
      </c>
      <c r="AP165" s="344">
        <v>0</v>
      </c>
    </row>
    <row r="166" spans="1:42" s="3" customFormat="1" ht="12.75" customHeight="1">
      <c r="A166" s="802"/>
      <c r="D166" s="22"/>
      <c r="E166" s="1529"/>
      <c r="F166" s="1529"/>
      <c r="G166" s="1529"/>
      <c r="H166" s="1529"/>
      <c r="I166" s="1529"/>
      <c r="J166" s="1529"/>
      <c r="K166" s="1529"/>
      <c r="L166" s="1529"/>
      <c r="M166" s="1529"/>
      <c r="N166" s="1529"/>
      <c r="O166" s="1529"/>
      <c r="P166" s="1529"/>
      <c r="Q166" s="1529"/>
      <c r="R166" s="1529"/>
      <c r="S166" s="1529"/>
      <c r="T166" s="1529"/>
      <c r="U166" s="1529"/>
      <c r="V166" s="1529"/>
      <c r="W166" s="1529"/>
      <c r="X166" s="1529"/>
      <c r="Y166" s="1529"/>
      <c r="Z166" s="1529"/>
      <c r="AA166" s="1529"/>
      <c r="AB166" s="1529"/>
      <c r="AC166" s="1529"/>
      <c r="AF166" s="33"/>
      <c r="AN166" s="209"/>
      <c r="AO166" s="22" t="s">
        <v>18</v>
      </c>
      <c r="AP166" s="3">
        <v>3</v>
      </c>
    </row>
    <row r="167" spans="1:42" s="3" customFormat="1" ht="12.75" customHeight="1">
      <c r="B167" s="33"/>
      <c r="C167" s="34"/>
      <c r="D167" s="22"/>
      <c r="E167" s="247"/>
      <c r="F167" s="247"/>
      <c r="G167" s="247"/>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N167" s="209"/>
      <c r="AO167" s="22" t="s">
        <v>23</v>
      </c>
      <c r="AP167" s="3">
        <v>2</v>
      </c>
    </row>
    <row r="168" spans="1:42" s="3" customFormat="1" ht="12.75" customHeight="1">
      <c r="A168" s="71"/>
      <c r="B168" s="33"/>
      <c r="C168" s="83"/>
      <c r="D168" s="22" t="s">
        <v>1963</v>
      </c>
      <c r="E168" s="1529" t="s">
        <v>2002</v>
      </c>
      <c r="F168" s="1529"/>
      <c r="G168" s="1529"/>
      <c r="H168" s="1529"/>
      <c r="I168" s="1529"/>
      <c r="J168" s="1529"/>
      <c r="K168" s="1529"/>
      <c r="L168" s="1529"/>
      <c r="M168" s="1529"/>
      <c r="N168" s="1529"/>
      <c r="O168" s="1529"/>
      <c r="P168" s="1529"/>
      <c r="Q168" s="1529"/>
      <c r="R168" s="1529"/>
      <c r="S168" s="1529"/>
      <c r="T168" s="1529"/>
      <c r="U168" s="1529"/>
      <c r="V168" s="1529"/>
      <c r="W168" s="1529"/>
      <c r="X168" s="1529"/>
      <c r="Y168" s="1529"/>
      <c r="Z168" s="1529"/>
      <c r="AA168" s="1529"/>
      <c r="AB168" s="1529"/>
      <c r="AC168" s="1529"/>
      <c r="AF168" s="1592" t="s">
        <v>1966</v>
      </c>
      <c r="AG168" s="1592"/>
      <c r="AH168" s="1592"/>
      <c r="AI168" s="1592"/>
      <c r="AJ168" s="1592"/>
      <c r="AK168" s="1592"/>
      <c r="AL168" s="1592"/>
      <c r="AN168" s="209"/>
    </row>
    <row r="169" spans="1:42" s="3" customFormat="1" ht="12.75" customHeight="1">
      <c r="A169" s="71"/>
      <c r="B169" s="33"/>
      <c r="C169" s="83"/>
      <c r="D169" s="22"/>
      <c r="E169" s="1529"/>
      <c r="F169" s="1529"/>
      <c r="G169" s="1529"/>
      <c r="H169" s="1529"/>
      <c r="I169" s="1529"/>
      <c r="J169" s="1529"/>
      <c r="K169" s="1529"/>
      <c r="L169" s="1529"/>
      <c r="M169" s="1529"/>
      <c r="N169" s="1529"/>
      <c r="O169" s="1529"/>
      <c r="P169" s="1529"/>
      <c r="Q169" s="1529"/>
      <c r="R169" s="1529"/>
      <c r="S169" s="1529"/>
      <c r="T169" s="1529"/>
      <c r="U169" s="1529"/>
      <c r="V169" s="1529"/>
      <c r="W169" s="1529"/>
      <c r="X169" s="1529"/>
      <c r="Y169" s="1529"/>
      <c r="Z169" s="1529"/>
      <c r="AA169" s="1529"/>
      <c r="AB169" s="1529"/>
      <c r="AC169" s="1529"/>
      <c r="AE169" s="831"/>
      <c r="AF169" s="831"/>
      <c r="AG169" s="831"/>
      <c r="AH169" s="831"/>
      <c r="AI169" s="831"/>
      <c r="AJ169" s="831"/>
      <c r="AK169" s="831"/>
      <c r="AL169" s="831"/>
      <c r="AM169" s="17"/>
      <c r="AN169" s="209"/>
    </row>
    <row r="170" spans="1:42" s="3" customFormat="1" ht="12.75" customHeight="1">
      <c r="A170" s="71"/>
      <c r="B170" s="33"/>
      <c r="C170" s="83"/>
      <c r="D170" s="22"/>
      <c r="E170" s="1529"/>
      <c r="F170" s="1529"/>
      <c r="G170" s="1529"/>
      <c r="H170" s="1529"/>
      <c r="I170" s="1529"/>
      <c r="J170" s="1529"/>
      <c r="K170" s="1529"/>
      <c r="L170" s="1529"/>
      <c r="M170" s="1529"/>
      <c r="N170" s="1529"/>
      <c r="O170" s="1529"/>
      <c r="P170" s="1529"/>
      <c r="Q170" s="1529"/>
      <c r="R170" s="1529"/>
      <c r="S170" s="1529"/>
      <c r="T170" s="1529"/>
      <c r="U170" s="1529"/>
      <c r="V170" s="1529"/>
      <c r="W170" s="1529"/>
      <c r="X170" s="1529"/>
      <c r="Y170" s="1529"/>
      <c r="Z170" s="1529"/>
      <c r="AA170" s="1529"/>
      <c r="AB170" s="1529"/>
      <c r="AC170" s="1529"/>
      <c r="AE170" s="831"/>
      <c r="AF170" s="831"/>
      <c r="AG170" s="831"/>
      <c r="AH170" s="831"/>
      <c r="AI170" s="831"/>
      <c r="AJ170" s="831"/>
      <c r="AK170" s="831"/>
      <c r="AL170" s="831"/>
      <c r="AM170" s="17"/>
      <c r="AN170" s="209"/>
    </row>
    <row r="171" spans="1:42" s="3" customFormat="1" ht="12.75" customHeight="1">
      <c r="B171" s="33"/>
      <c r="C171" s="34"/>
      <c r="D171" s="22"/>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17"/>
      <c r="AD171" s="17"/>
      <c r="AL171" s="831"/>
      <c r="AM171" s="17"/>
      <c r="AN171" s="209"/>
    </row>
    <row r="172" spans="1:42" s="3" customFormat="1" ht="12.75" customHeight="1">
      <c r="B172" s="33"/>
      <c r="C172" s="34"/>
      <c r="D172" s="22" t="s">
        <v>1965</v>
      </c>
      <c r="E172" s="1529" t="s">
        <v>2003</v>
      </c>
      <c r="F172" s="1529"/>
      <c r="G172" s="1529"/>
      <c r="H172" s="1529"/>
      <c r="I172" s="1529"/>
      <c r="J172" s="1529"/>
      <c r="K172" s="1529"/>
      <c r="L172" s="1529"/>
      <c r="M172" s="1529"/>
      <c r="N172" s="1529"/>
      <c r="O172" s="1529"/>
      <c r="P172" s="1529"/>
      <c r="Q172" s="1529"/>
      <c r="R172" s="1529"/>
      <c r="S172" s="1529"/>
      <c r="T172" s="1529"/>
      <c r="U172" s="1529"/>
      <c r="V172" s="1529"/>
      <c r="W172" s="1529"/>
      <c r="X172" s="1529"/>
      <c r="Y172" s="1529"/>
      <c r="Z172" s="1529"/>
      <c r="AA172" s="1529"/>
      <c r="AB172" s="1529"/>
      <c r="AC172" s="1529"/>
      <c r="AF172" s="1592" t="s">
        <v>1926</v>
      </c>
      <c r="AG172" s="1592"/>
      <c r="AH172" s="1592"/>
      <c r="AI172" s="1592"/>
      <c r="AJ172" s="1592"/>
      <c r="AK172" s="1592"/>
      <c r="AL172" s="1592"/>
      <c r="AM172" s="17"/>
      <c r="AN172" s="209"/>
    </row>
    <row r="173" spans="1:42" s="3" customFormat="1" ht="12.75" customHeight="1">
      <c r="B173" s="33"/>
      <c r="C173" s="34"/>
      <c r="D173" s="22"/>
      <c r="E173" s="1529"/>
      <c r="F173" s="1529"/>
      <c r="G173" s="1529"/>
      <c r="H173" s="1529"/>
      <c r="I173" s="1529"/>
      <c r="J173" s="1529"/>
      <c r="K173" s="1529"/>
      <c r="L173" s="1529"/>
      <c r="M173" s="1529"/>
      <c r="N173" s="1529"/>
      <c r="O173" s="1529"/>
      <c r="P173" s="1529"/>
      <c r="Q173" s="1529"/>
      <c r="R173" s="1529"/>
      <c r="S173" s="1529"/>
      <c r="T173" s="1529"/>
      <c r="U173" s="1529"/>
      <c r="V173" s="1529"/>
      <c r="W173" s="1529"/>
      <c r="X173" s="1529"/>
      <c r="Y173" s="1529"/>
      <c r="Z173" s="1529"/>
      <c r="AA173" s="1529"/>
      <c r="AB173" s="1529"/>
      <c r="AC173" s="1529"/>
      <c r="AF173" s="33"/>
      <c r="AM173" s="17"/>
      <c r="AN173" s="209"/>
    </row>
    <row r="174" spans="1:42" s="3" customFormat="1" ht="12.75" customHeight="1">
      <c r="B174" s="33"/>
      <c r="C174" s="34"/>
      <c r="D174" s="22"/>
      <c r="E174" s="1529"/>
      <c r="F174" s="1529"/>
      <c r="G174" s="1529"/>
      <c r="H174" s="1529"/>
      <c r="I174" s="1529"/>
      <c r="J174" s="1529"/>
      <c r="K174" s="1529"/>
      <c r="L174" s="1529"/>
      <c r="M174" s="1529"/>
      <c r="N174" s="1529"/>
      <c r="O174" s="1529"/>
      <c r="P174" s="1529"/>
      <c r="Q174" s="1529"/>
      <c r="R174" s="1529"/>
      <c r="S174" s="1529"/>
      <c r="T174" s="1529"/>
      <c r="U174" s="1529"/>
      <c r="V174" s="1529"/>
      <c r="W174" s="1529"/>
      <c r="X174" s="1529"/>
      <c r="Y174" s="1529"/>
      <c r="Z174" s="1529"/>
      <c r="AA174" s="1529"/>
      <c r="AB174" s="1529"/>
      <c r="AC174" s="1529"/>
      <c r="AF174" s="33"/>
      <c r="AM174" s="17"/>
      <c r="AN174" s="209"/>
    </row>
    <row r="175" spans="1:42" s="3" customFormat="1" ht="12.75" customHeight="1">
      <c r="B175" s="33"/>
      <c r="C175" s="34"/>
      <c r="D175" s="22"/>
      <c r="AM175" s="17"/>
      <c r="AN175" s="209"/>
    </row>
    <row r="176" spans="1:42" s="3" customFormat="1" ht="12.75" customHeight="1">
      <c r="A176" s="802"/>
      <c r="B176" s="33"/>
      <c r="C176" s="34"/>
      <c r="D176" s="22" t="s">
        <v>1988</v>
      </c>
      <c r="E176" s="1529" t="s">
        <v>2004</v>
      </c>
      <c r="F176" s="1529"/>
      <c r="G176" s="1529"/>
      <c r="H176" s="1529"/>
      <c r="I176" s="1529"/>
      <c r="J176" s="1529"/>
      <c r="K176" s="1529"/>
      <c r="L176" s="1529"/>
      <c r="M176" s="1529"/>
      <c r="N176" s="1529"/>
      <c r="O176" s="1529"/>
      <c r="P176" s="1529"/>
      <c r="Q176" s="1529"/>
      <c r="R176" s="1529"/>
      <c r="S176" s="1529"/>
      <c r="T176" s="1529"/>
      <c r="U176" s="1529"/>
      <c r="V176" s="1529"/>
      <c r="W176" s="1529"/>
      <c r="X176" s="1529"/>
      <c r="Y176" s="1529"/>
      <c r="Z176" s="1529"/>
      <c r="AA176" s="1529"/>
      <c r="AB176" s="1529"/>
      <c r="AC176" s="1529"/>
      <c r="AF176" s="1592" t="s">
        <v>1987</v>
      </c>
      <c r="AG176" s="1592"/>
      <c r="AH176" s="1592"/>
      <c r="AI176" s="1592"/>
      <c r="AJ176" s="1592"/>
      <c r="AK176" s="1592"/>
      <c r="AL176" s="1592"/>
      <c r="AM176" s="17"/>
      <c r="AN176" s="209"/>
    </row>
    <row r="177" spans="1:42" s="3" customFormat="1" ht="22.9" customHeight="1">
      <c r="A177" s="802"/>
      <c r="B177" s="33"/>
      <c r="C177" s="34"/>
      <c r="D177" s="22"/>
      <c r="E177" s="1529"/>
      <c r="F177" s="1529"/>
      <c r="G177" s="1529"/>
      <c r="H177" s="1529"/>
      <c r="I177" s="1529"/>
      <c r="J177" s="1529"/>
      <c r="K177" s="1529"/>
      <c r="L177" s="1529"/>
      <c r="M177" s="1529"/>
      <c r="N177" s="1529"/>
      <c r="O177" s="1529"/>
      <c r="P177" s="1529"/>
      <c r="Q177" s="1529"/>
      <c r="R177" s="1529"/>
      <c r="S177" s="1529"/>
      <c r="T177" s="1529"/>
      <c r="U177" s="1529"/>
      <c r="V177" s="1529"/>
      <c r="W177" s="1529"/>
      <c r="X177" s="1529"/>
      <c r="Y177" s="1529"/>
      <c r="Z177" s="1529"/>
      <c r="AA177" s="1529"/>
      <c r="AB177" s="1529"/>
      <c r="AC177" s="1529"/>
      <c r="AE177" s="831"/>
      <c r="AF177" s="831"/>
      <c r="AG177" s="831"/>
      <c r="AH177" s="831"/>
      <c r="AI177" s="831"/>
      <c r="AJ177" s="831"/>
      <c r="AK177" s="831"/>
      <c r="AL177" s="831"/>
      <c r="AM177" s="17"/>
      <c r="AN177" s="209"/>
    </row>
    <row r="178" spans="1:42" s="3" customFormat="1" ht="12.75" customHeight="1">
      <c r="A178" s="802"/>
      <c r="B178" s="33"/>
      <c r="C178" s="34"/>
      <c r="D178" s="22"/>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E178" s="831"/>
      <c r="AM178" s="17"/>
      <c r="AN178" s="209"/>
      <c r="AO178" s="3" t="s">
        <v>325</v>
      </c>
      <c r="AP178" s="28">
        <v>0</v>
      </c>
    </row>
    <row r="179" spans="1:42" s="3" customFormat="1" ht="12.75" customHeight="1">
      <c r="A179" s="802"/>
      <c r="B179" s="33"/>
      <c r="C179" s="34"/>
      <c r="D179" s="22" t="s">
        <v>1990</v>
      </c>
      <c r="E179" s="1529" t="s">
        <v>2005</v>
      </c>
      <c r="F179" s="1529"/>
      <c r="G179" s="1529"/>
      <c r="H179" s="1529"/>
      <c r="I179" s="1529"/>
      <c r="J179" s="1529"/>
      <c r="K179" s="1529"/>
      <c r="L179" s="1529"/>
      <c r="M179" s="1529"/>
      <c r="N179" s="1529"/>
      <c r="O179" s="1529"/>
      <c r="P179" s="1529"/>
      <c r="Q179" s="1529"/>
      <c r="R179" s="1529"/>
      <c r="S179" s="1529"/>
      <c r="T179" s="1529"/>
      <c r="U179" s="1529"/>
      <c r="V179" s="1529"/>
      <c r="W179" s="1529"/>
      <c r="X179" s="1529"/>
      <c r="Y179" s="1529"/>
      <c r="Z179" s="1529"/>
      <c r="AA179" s="1529"/>
      <c r="AB179" s="1529"/>
      <c r="AC179" s="1529"/>
      <c r="AF179" s="1592" t="s">
        <v>2006</v>
      </c>
      <c r="AG179" s="1592"/>
      <c r="AH179" s="1592"/>
      <c r="AI179" s="1592"/>
      <c r="AJ179" s="1592"/>
      <c r="AK179" s="1592"/>
      <c r="AL179" s="1592"/>
      <c r="AM179" s="17"/>
      <c r="AN179" s="209"/>
      <c r="AO179" s="22" t="s">
        <v>18</v>
      </c>
      <c r="AP179" s="3">
        <v>3</v>
      </c>
    </row>
    <row r="180" spans="1:42" s="3" customFormat="1" ht="22.9" customHeight="1">
      <c r="A180" s="802"/>
      <c r="B180" s="33"/>
      <c r="C180" s="34"/>
      <c r="D180" s="22"/>
      <c r="E180" s="1529"/>
      <c r="F180" s="1529"/>
      <c r="G180" s="1529"/>
      <c r="H180" s="1529"/>
      <c r="I180" s="1529"/>
      <c r="J180" s="1529"/>
      <c r="K180" s="1529"/>
      <c r="L180" s="1529"/>
      <c r="M180" s="1529"/>
      <c r="N180" s="1529"/>
      <c r="O180" s="1529"/>
      <c r="P180" s="1529"/>
      <c r="Q180" s="1529"/>
      <c r="R180" s="1529"/>
      <c r="S180" s="1529"/>
      <c r="T180" s="1529"/>
      <c r="U180" s="1529"/>
      <c r="V180" s="1529"/>
      <c r="W180" s="1529"/>
      <c r="X180" s="1529"/>
      <c r="Y180" s="1529"/>
      <c r="Z180" s="1529"/>
      <c r="AA180" s="1529"/>
      <c r="AB180" s="1529"/>
      <c r="AC180" s="1529"/>
      <c r="AE180" s="831"/>
      <c r="AF180" s="831"/>
      <c r="AG180" s="831"/>
      <c r="AH180" s="831"/>
      <c r="AI180" s="831"/>
      <c r="AJ180" s="831"/>
      <c r="AK180" s="831"/>
      <c r="AL180" s="831"/>
      <c r="AM180" s="17"/>
      <c r="AN180" s="209"/>
      <c r="AO180" s="22" t="s">
        <v>23</v>
      </c>
      <c r="AP180" s="22">
        <v>2</v>
      </c>
    </row>
    <row r="181" spans="1:42" s="3" customFormat="1" ht="12.75" customHeight="1">
      <c r="A181" s="71"/>
      <c r="B181" s="33"/>
      <c r="C181" s="83"/>
      <c r="D181" s="22"/>
      <c r="E181" s="816"/>
      <c r="F181" s="816"/>
      <c r="G181" s="816"/>
      <c r="H181" s="816"/>
      <c r="I181" s="816"/>
      <c r="J181" s="816"/>
      <c r="K181" s="816"/>
      <c r="L181" s="816"/>
      <c r="M181" s="816"/>
      <c r="N181" s="816"/>
      <c r="O181" s="816"/>
      <c r="P181" s="816"/>
      <c r="Q181" s="816"/>
      <c r="R181" s="816"/>
      <c r="S181" s="816"/>
      <c r="T181" s="816"/>
      <c r="U181" s="816"/>
      <c r="V181" s="816"/>
      <c r="W181" s="816"/>
      <c r="X181" s="816"/>
      <c r="Y181" s="816"/>
      <c r="Z181" s="816"/>
      <c r="AA181" s="816"/>
      <c r="AB181" s="816"/>
      <c r="AC181" s="816"/>
      <c r="AE181" s="831"/>
      <c r="AF181" s="831"/>
      <c r="AG181" s="831"/>
      <c r="AH181" s="831"/>
      <c r="AI181" s="831"/>
      <c r="AJ181" s="831"/>
      <c r="AK181" s="831"/>
      <c r="AL181" s="831"/>
      <c r="AM181" s="17"/>
      <c r="AN181" s="209"/>
    </row>
    <row r="182" spans="1:42" s="3" customFormat="1" ht="12.75" customHeight="1">
      <c r="A182" s="802"/>
      <c r="B182" s="33"/>
      <c r="C182" s="34"/>
      <c r="D182" s="3" t="s">
        <v>1973</v>
      </c>
      <c r="E182" s="835"/>
      <c r="F182" s="835"/>
      <c r="G182" s="835"/>
      <c r="H182" s="1680" t="s">
        <v>43</v>
      </c>
      <c r="I182" s="1680"/>
      <c r="J182" s="16"/>
      <c r="K182" s="16"/>
      <c r="AN182" s="209"/>
    </row>
    <row r="183" spans="1:42" s="3" customFormat="1" ht="12.75" customHeight="1">
      <c r="A183" s="802"/>
      <c r="B183" s="33"/>
      <c r="C183" s="34"/>
      <c r="E183" s="835"/>
      <c r="F183" s="835"/>
      <c r="G183" s="16"/>
      <c r="H183" s="16"/>
      <c r="I183" s="16"/>
      <c r="J183" s="16"/>
      <c r="K183" s="16"/>
      <c r="L183" s="16"/>
      <c r="M183" s="16"/>
      <c r="N183" s="16"/>
      <c r="O183" s="16"/>
      <c r="P183" s="16"/>
      <c r="Q183" s="16"/>
      <c r="R183" s="16"/>
      <c r="S183" s="16"/>
      <c r="T183" s="16"/>
      <c r="U183" s="16"/>
      <c r="V183" s="16"/>
      <c r="W183" s="16"/>
      <c r="X183" s="16"/>
      <c r="Y183" s="16"/>
      <c r="Z183" s="835"/>
      <c r="AA183" s="835"/>
      <c r="AB183" s="835"/>
      <c r="AD183" s="33"/>
      <c r="AG183" s="16"/>
      <c r="AH183" s="16"/>
      <c r="AI183" s="16"/>
      <c r="AJ183" s="16"/>
      <c r="AK183" s="16"/>
      <c r="AL183" s="16"/>
      <c r="AM183" s="16"/>
      <c r="AN183" s="209"/>
    </row>
    <row r="184" spans="1:42" s="3" customFormat="1" ht="12.75" customHeight="1">
      <c r="A184" s="820"/>
      <c r="B184" s="302"/>
      <c r="C184" s="80"/>
      <c r="D184" s="61"/>
      <c r="E184" s="77"/>
      <c r="F184" s="82"/>
      <c r="G184" s="82"/>
      <c r="H184" s="82"/>
      <c r="I184" s="82"/>
      <c r="J184" s="82"/>
      <c r="K184" s="82"/>
      <c r="L184" s="82"/>
      <c r="M184" s="82"/>
      <c r="N184" s="82"/>
      <c r="O184" s="82"/>
      <c r="P184" s="82"/>
      <c r="Q184" s="82"/>
      <c r="R184" s="82"/>
      <c r="S184" s="82"/>
      <c r="T184" s="82"/>
      <c r="U184" s="82"/>
      <c r="V184" s="82"/>
      <c r="W184" s="82"/>
      <c r="X184" s="82"/>
      <c r="Y184" s="77"/>
      <c r="Z184" s="77"/>
      <c r="AA184" s="77"/>
      <c r="AB184" s="61"/>
      <c r="AC184" s="302"/>
      <c r="AD184" s="61"/>
      <c r="AE184" s="61"/>
      <c r="AF184" s="61"/>
      <c r="AG184" s="61"/>
      <c r="AH184" s="61"/>
      <c r="AI184" s="788" t="s">
        <v>2007</v>
      </c>
      <c r="AJ184" s="1194">
        <f>VLOOKUP($H$182,$AO$132:$AP$139,2,FALSE)</f>
        <v>3</v>
      </c>
      <c r="AK184" s="1196"/>
      <c r="AL184" s="801"/>
      <c r="AN184" s="209"/>
    </row>
    <row r="185" spans="1:42" s="3" customFormat="1" ht="12.75" customHeight="1">
      <c r="A185" s="802"/>
      <c r="B185" s="33"/>
      <c r="C185" s="34"/>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776"/>
      <c r="AN185" s="209"/>
    </row>
    <row r="186" spans="1:42" s="3" customFormat="1" ht="12.75" customHeight="1">
      <c r="A186" s="802"/>
      <c r="C186" s="2" t="s">
        <v>2008</v>
      </c>
      <c r="D186" s="85"/>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776"/>
      <c r="AN186" s="209"/>
    </row>
    <row r="187" spans="1:42" s="3" customFormat="1" ht="12.75" customHeight="1">
      <c r="A187" s="802"/>
      <c r="B187" s="33"/>
      <c r="C187" s="86"/>
      <c r="AD187" s="33"/>
      <c r="AN187" s="209"/>
    </row>
    <row r="188" spans="1:42" s="3" customFormat="1" ht="12.75" customHeight="1">
      <c r="C188" s="34"/>
      <c r="D188" s="22" t="s">
        <v>18</v>
      </c>
      <c r="E188" s="1529" t="s">
        <v>2009</v>
      </c>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F188" s="1592" t="s">
        <v>1926</v>
      </c>
      <c r="AG188" s="1592"/>
      <c r="AH188" s="1592"/>
      <c r="AI188" s="1592"/>
      <c r="AJ188" s="1592"/>
      <c r="AK188" s="1592"/>
      <c r="AL188" s="1592"/>
      <c r="AN188" s="209"/>
    </row>
    <row r="189" spans="1:42" s="3" customFormat="1" ht="12.75" customHeight="1">
      <c r="B189" s="33"/>
      <c r="C189" s="78"/>
      <c r="D189" s="22"/>
      <c r="E189" s="1529"/>
      <c r="F189" s="1529"/>
      <c r="G189" s="1529"/>
      <c r="H189" s="1529"/>
      <c r="I189" s="1529"/>
      <c r="J189" s="1529"/>
      <c r="K189" s="1529"/>
      <c r="L189" s="1529"/>
      <c r="M189" s="1529"/>
      <c r="N189" s="1529"/>
      <c r="O189" s="1529"/>
      <c r="P189" s="1529"/>
      <c r="Q189" s="1529"/>
      <c r="R189" s="1529"/>
      <c r="S189" s="1529"/>
      <c r="T189" s="1529"/>
      <c r="U189" s="1529"/>
      <c r="V189" s="1529"/>
      <c r="W189" s="1529"/>
      <c r="X189" s="1529"/>
      <c r="Y189" s="1529"/>
      <c r="Z189" s="1529"/>
      <c r="AA189" s="1529"/>
      <c r="AB189" s="1529"/>
      <c r="AE189" s="16"/>
      <c r="AN189" s="209"/>
      <c r="AO189" s="1315"/>
      <c r="AP189" s="1315"/>
    </row>
    <row r="190" spans="1:42" s="3" customFormat="1" ht="12.75" customHeight="1">
      <c r="B190" s="33"/>
      <c r="C190" s="78"/>
      <c r="D190" s="22"/>
      <c r="E190" s="1529"/>
      <c r="F190" s="1529"/>
      <c r="G190" s="1529"/>
      <c r="H190" s="1529"/>
      <c r="I190" s="1529"/>
      <c r="J190" s="1529"/>
      <c r="K190" s="1529"/>
      <c r="L190" s="1529"/>
      <c r="M190" s="1529"/>
      <c r="N190" s="1529"/>
      <c r="O190" s="1529"/>
      <c r="P190" s="1529"/>
      <c r="Q190" s="1529"/>
      <c r="R190" s="1529"/>
      <c r="S190" s="1529"/>
      <c r="T190" s="1529"/>
      <c r="U190" s="1529"/>
      <c r="V190" s="1529"/>
      <c r="W190" s="1529"/>
      <c r="X190" s="1529"/>
      <c r="Y190" s="1529"/>
      <c r="Z190" s="1529"/>
      <c r="AA190" s="1529"/>
      <c r="AB190" s="1529"/>
      <c r="AE190" s="16"/>
      <c r="AF190" s="771"/>
      <c r="AG190" s="16"/>
      <c r="AH190" s="16"/>
      <c r="AI190" s="16"/>
      <c r="AJ190" s="16"/>
      <c r="AK190" s="16"/>
      <c r="AL190" s="16"/>
      <c r="AN190" s="209"/>
    </row>
    <row r="191" spans="1:42" s="3" customFormat="1" ht="11.25" customHeight="1">
      <c r="B191" s="33"/>
      <c r="C191" s="78"/>
      <c r="D191" s="22"/>
      <c r="E191" s="1529"/>
      <c r="F191" s="1529"/>
      <c r="G191" s="1529"/>
      <c r="H191" s="1529"/>
      <c r="I191" s="1529"/>
      <c r="J191" s="1529"/>
      <c r="K191" s="1529"/>
      <c r="L191" s="1529"/>
      <c r="M191" s="1529"/>
      <c r="N191" s="1529"/>
      <c r="O191" s="1529"/>
      <c r="P191" s="1529"/>
      <c r="Q191" s="1529"/>
      <c r="R191" s="1529"/>
      <c r="S191" s="1529"/>
      <c r="T191" s="1529"/>
      <c r="U191" s="1529"/>
      <c r="V191" s="1529"/>
      <c r="W191" s="1529"/>
      <c r="X191" s="1529"/>
      <c r="Y191" s="1529"/>
      <c r="Z191" s="1529"/>
      <c r="AA191" s="1529"/>
      <c r="AB191" s="1529"/>
      <c r="AE191" s="16"/>
      <c r="AF191" s="771"/>
      <c r="AG191" s="16"/>
      <c r="AH191" s="16"/>
      <c r="AI191" s="16"/>
      <c r="AJ191" s="16"/>
      <c r="AK191" s="16"/>
      <c r="AL191" s="16"/>
      <c r="AN191" s="209"/>
      <c r="AO191" s="3" t="s">
        <v>325</v>
      </c>
      <c r="AP191" s="344">
        <v>0</v>
      </c>
    </row>
    <row r="192" spans="1:42" s="3" customFormat="1" ht="12.75" customHeight="1">
      <c r="B192" s="33"/>
      <c r="C192" s="78"/>
      <c r="D192" s="22"/>
      <c r="E192" s="247"/>
      <c r="F192" s="247"/>
      <c r="G192" s="247"/>
      <c r="H192" s="247"/>
      <c r="I192" s="247"/>
      <c r="J192" s="247"/>
      <c r="K192" s="247"/>
      <c r="L192" s="247"/>
      <c r="M192" s="247"/>
      <c r="N192" s="247"/>
      <c r="O192" s="247"/>
      <c r="P192" s="247"/>
      <c r="Q192" s="247"/>
      <c r="R192" s="247"/>
      <c r="S192" s="247"/>
      <c r="T192" s="247"/>
      <c r="U192" s="247"/>
      <c r="V192" s="247"/>
      <c r="W192" s="247"/>
      <c r="X192" s="247"/>
      <c r="Y192" s="247"/>
      <c r="Z192" s="247"/>
      <c r="AA192" s="247"/>
      <c r="AB192" s="247"/>
      <c r="AE192" s="16"/>
      <c r="AF192" s="771"/>
      <c r="AG192" s="16"/>
      <c r="AH192" s="16"/>
      <c r="AI192" s="16"/>
      <c r="AJ192" s="16"/>
      <c r="AK192" s="16"/>
      <c r="AL192" s="16"/>
      <c r="AN192" s="209"/>
      <c r="AO192" s="22" t="s">
        <v>18</v>
      </c>
      <c r="AP192" s="3">
        <v>2</v>
      </c>
    </row>
    <row r="193" spans="1:42" s="3" customFormat="1" ht="12.75" customHeight="1">
      <c r="B193" s="33"/>
      <c r="C193" s="34"/>
      <c r="D193" s="22" t="s">
        <v>23</v>
      </c>
      <c r="E193" s="1529" t="s">
        <v>2010</v>
      </c>
      <c r="F193" s="1529"/>
      <c r="G193" s="1529"/>
      <c r="H193" s="1529"/>
      <c r="I193" s="1529"/>
      <c r="J193" s="1529"/>
      <c r="K193" s="1529"/>
      <c r="L193" s="1529"/>
      <c r="M193" s="1529"/>
      <c r="N193" s="1529"/>
      <c r="O193" s="1529"/>
      <c r="P193" s="1529"/>
      <c r="Q193" s="1529"/>
      <c r="R193" s="1529"/>
      <c r="S193" s="1529"/>
      <c r="T193" s="1529"/>
      <c r="U193" s="1529"/>
      <c r="V193" s="1529"/>
      <c r="W193" s="1529"/>
      <c r="X193" s="1529"/>
      <c r="Y193" s="1529"/>
      <c r="Z193" s="1529"/>
      <c r="AA193" s="1529"/>
      <c r="AB193" s="1529"/>
      <c r="AF193" s="1592" t="s">
        <v>1987</v>
      </c>
      <c r="AG193" s="1592"/>
      <c r="AH193" s="1592"/>
      <c r="AI193" s="1592"/>
      <c r="AJ193" s="1592"/>
      <c r="AK193" s="1592"/>
      <c r="AL193" s="1592"/>
      <c r="AN193" s="209"/>
      <c r="AO193" s="22" t="s">
        <v>23</v>
      </c>
      <c r="AP193" s="3">
        <v>1</v>
      </c>
    </row>
    <row r="194" spans="1:42" s="3" customFormat="1" ht="12.75" customHeight="1">
      <c r="B194" s="33"/>
      <c r="C194" s="34"/>
      <c r="E194" s="1529"/>
      <c r="F194" s="1529"/>
      <c r="G194" s="1529"/>
      <c r="H194" s="1529"/>
      <c r="I194" s="1529"/>
      <c r="J194" s="1529"/>
      <c r="K194" s="1529"/>
      <c r="L194" s="1529"/>
      <c r="M194" s="1529"/>
      <c r="N194" s="1529"/>
      <c r="O194" s="1529"/>
      <c r="P194" s="1529"/>
      <c r="Q194" s="1529"/>
      <c r="R194" s="1529"/>
      <c r="S194" s="1529"/>
      <c r="T194" s="1529"/>
      <c r="U194" s="1529"/>
      <c r="V194" s="1529"/>
      <c r="W194" s="1529"/>
      <c r="X194" s="1529"/>
      <c r="Y194" s="1529"/>
      <c r="Z194" s="1529"/>
      <c r="AA194" s="1529"/>
      <c r="AB194" s="1529"/>
      <c r="AD194" s="33"/>
      <c r="AE194" s="16"/>
      <c r="AN194" s="209"/>
    </row>
    <row r="195" spans="1:42" s="3" customFormat="1" ht="12.75" customHeight="1">
      <c r="B195" s="33"/>
      <c r="C195" s="34"/>
      <c r="E195" s="1529"/>
      <c r="F195" s="1529"/>
      <c r="G195" s="1529"/>
      <c r="H195" s="1529"/>
      <c r="I195" s="1529"/>
      <c r="J195" s="1529"/>
      <c r="K195" s="1529"/>
      <c r="L195" s="1529"/>
      <c r="M195" s="1529"/>
      <c r="N195" s="1529"/>
      <c r="O195" s="1529"/>
      <c r="P195" s="1529"/>
      <c r="Q195" s="1529"/>
      <c r="R195" s="1529"/>
      <c r="S195" s="1529"/>
      <c r="T195" s="1529"/>
      <c r="U195" s="1529"/>
      <c r="V195" s="1529"/>
      <c r="W195" s="1529"/>
      <c r="X195" s="1529"/>
      <c r="Y195" s="1529"/>
      <c r="Z195" s="1529"/>
      <c r="AA195" s="1529"/>
      <c r="AB195" s="1529"/>
      <c r="AD195" s="33"/>
      <c r="AE195" s="16"/>
      <c r="AN195" s="209"/>
    </row>
    <row r="196" spans="1:42" customFormat="1" ht="12.75" customHeight="1">
      <c r="A196" s="3"/>
      <c r="B196" s="33"/>
      <c r="C196" s="34"/>
      <c r="D196" s="3"/>
      <c r="E196" s="1529"/>
      <c r="F196" s="1529"/>
      <c r="G196" s="1529"/>
      <c r="H196" s="1529"/>
      <c r="I196" s="1529"/>
      <c r="J196" s="1529"/>
      <c r="K196" s="1529"/>
      <c r="L196" s="1529"/>
      <c r="M196" s="1529"/>
      <c r="N196" s="1529"/>
      <c r="O196" s="1529"/>
      <c r="P196" s="1529"/>
      <c r="Q196" s="1529"/>
      <c r="R196" s="1529"/>
      <c r="S196" s="1529"/>
      <c r="T196" s="1529"/>
      <c r="U196" s="1529"/>
      <c r="V196" s="1529"/>
      <c r="W196" s="1529"/>
      <c r="X196" s="1529"/>
      <c r="Y196" s="1529"/>
      <c r="Z196" s="1529"/>
      <c r="AA196" s="1529"/>
      <c r="AB196" s="1529"/>
      <c r="AC196" s="3"/>
      <c r="AD196" s="33"/>
      <c r="AE196" s="16"/>
      <c r="AF196" s="16"/>
      <c r="AG196" s="16"/>
      <c r="AH196" s="16"/>
      <c r="AI196" s="16"/>
      <c r="AJ196" s="3"/>
      <c r="AK196" s="3"/>
      <c r="AL196" s="3"/>
      <c r="AM196" s="3"/>
      <c r="AN196" s="146"/>
    </row>
    <row r="197" spans="1:42" customFormat="1" ht="5.0999999999999996" customHeight="1">
      <c r="A197" s="3"/>
      <c r="B197" s="33"/>
      <c r="C197" s="34"/>
      <c r="D197" s="3"/>
      <c r="E197" s="816"/>
      <c r="F197" s="816"/>
      <c r="G197" s="816"/>
      <c r="H197" s="816"/>
      <c r="I197" s="816"/>
      <c r="J197" s="816"/>
      <c r="K197" s="816"/>
      <c r="L197" s="816"/>
      <c r="M197" s="816"/>
      <c r="N197" s="816"/>
      <c r="O197" s="816"/>
      <c r="P197" s="816"/>
      <c r="Q197" s="816"/>
      <c r="R197" s="816"/>
      <c r="S197" s="816"/>
      <c r="T197" s="816"/>
      <c r="U197" s="816"/>
      <c r="V197" s="816"/>
      <c r="W197" s="816"/>
      <c r="X197" s="816"/>
      <c r="Y197" s="816"/>
      <c r="Z197" s="816"/>
      <c r="AA197" s="816"/>
      <c r="AB197" s="816"/>
      <c r="AC197" s="3"/>
      <c r="AD197" s="33"/>
      <c r="AE197" s="16"/>
      <c r="AF197" s="16"/>
      <c r="AG197" s="16"/>
      <c r="AH197" s="16"/>
      <c r="AI197" s="16"/>
      <c r="AJ197" s="3"/>
      <c r="AK197" s="3"/>
      <c r="AL197" s="3"/>
      <c r="AM197" s="3"/>
      <c r="AN197" s="146"/>
    </row>
    <row r="198" spans="1:42" customFormat="1" ht="12.75" customHeight="1">
      <c r="A198" s="3"/>
      <c r="B198" s="33"/>
      <c r="C198" s="34"/>
      <c r="D198" s="3"/>
      <c r="E198" s="1594" t="s">
        <v>2011</v>
      </c>
      <c r="F198" s="1594"/>
      <c r="G198" s="1594"/>
      <c r="H198" s="1594"/>
      <c r="I198" s="1594"/>
      <c r="J198" s="1594"/>
      <c r="K198" s="1594"/>
      <c r="L198" s="1594"/>
      <c r="M198" s="1594"/>
      <c r="N198" s="1594"/>
      <c r="O198" s="1594"/>
      <c r="P198" s="1594"/>
      <c r="Q198" s="1594"/>
      <c r="R198" s="1594"/>
      <c r="S198" s="1594"/>
      <c r="T198" s="1594"/>
      <c r="U198" s="1594"/>
      <c r="V198" s="1594"/>
      <c r="W198" s="1594"/>
      <c r="X198" s="1594"/>
      <c r="Y198" s="1594"/>
      <c r="Z198" s="1594"/>
      <c r="AA198" s="1594"/>
      <c r="AB198" s="1594"/>
      <c r="AC198" s="3"/>
      <c r="AD198" s="33"/>
      <c r="AE198" s="16"/>
      <c r="AF198" s="16"/>
      <c r="AG198" s="16"/>
      <c r="AH198" s="16"/>
      <c r="AI198" s="16"/>
      <c r="AJ198" s="3"/>
      <c r="AK198" s="3"/>
      <c r="AL198" s="3"/>
      <c r="AM198" s="3"/>
      <c r="AN198" s="146"/>
    </row>
    <row r="199" spans="1:42" customFormat="1" ht="12.75" customHeight="1">
      <c r="A199" s="3"/>
      <c r="B199" s="33"/>
      <c r="C199" s="34"/>
      <c r="D199" s="3"/>
      <c r="E199" s="1594"/>
      <c r="F199" s="1594"/>
      <c r="G199" s="1594"/>
      <c r="H199" s="1594"/>
      <c r="I199" s="1594"/>
      <c r="J199" s="1594"/>
      <c r="K199" s="1594"/>
      <c r="L199" s="1594"/>
      <c r="M199" s="1594"/>
      <c r="N199" s="1594"/>
      <c r="O199" s="1594"/>
      <c r="P199" s="1594"/>
      <c r="Q199" s="1594"/>
      <c r="R199" s="1594"/>
      <c r="S199" s="1594"/>
      <c r="T199" s="1594"/>
      <c r="U199" s="1594"/>
      <c r="V199" s="1594"/>
      <c r="W199" s="1594"/>
      <c r="X199" s="1594"/>
      <c r="Y199" s="1594"/>
      <c r="Z199" s="1594"/>
      <c r="AA199" s="1594"/>
      <c r="AB199" s="1594"/>
      <c r="AC199" s="3"/>
      <c r="AD199" s="33"/>
      <c r="AE199" s="16"/>
      <c r="AF199" s="16"/>
      <c r="AG199" s="16"/>
      <c r="AH199" s="16"/>
      <c r="AI199" s="16"/>
      <c r="AJ199" s="3"/>
      <c r="AK199" s="3"/>
      <c r="AL199" s="3"/>
      <c r="AM199" s="3"/>
      <c r="AN199" s="146"/>
    </row>
    <row r="200" spans="1:42" customFormat="1" ht="18" customHeight="1">
      <c r="A200" s="3"/>
      <c r="B200" s="33"/>
      <c r="C200" s="34"/>
      <c r="D200" s="3"/>
      <c r="E200" s="1594"/>
      <c r="F200" s="1594"/>
      <c r="G200" s="1594"/>
      <c r="H200" s="1594"/>
      <c r="I200" s="1594"/>
      <c r="J200" s="1594"/>
      <c r="K200" s="1594"/>
      <c r="L200" s="1594"/>
      <c r="M200" s="1594"/>
      <c r="N200" s="1594"/>
      <c r="O200" s="1594"/>
      <c r="P200" s="1594"/>
      <c r="Q200" s="1594"/>
      <c r="R200" s="1594"/>
      <c r="S200" s="1594"/>
      <c r="T200" s="1594"/>
      <c r="U200" s="1594"/>
      <c r="V200" s="1594"/>
      <c r="W200" s="1594"/>
      <c r="X200" s="1594"/>
      <c r="Y200" s="1594"/>
      <c r="Z200" s="1594"/>
      <c r="AA200" s="1594"/>
      <c r="AB200" s="1594"/>
      <c r="AC200" s="3"/>
      <c r="AD200" s="33"/>
      <c r="AE200" s="16"/>
      <c r="AF200" s="16"/>
      <c r="AG200" s="16"/>
      <c r="AH200" s="16"/>
      <c r="AI200" s="16"/>
      <c r="AJ200" s="3"/>
      <c r="AK200" s="3"/>
      <c r="AL200" s="3"/>
      <c r="AM200" s="3"/>
      <c r="AN200" s="146"/>
    </row>
    <row r="201" spans="1:42" customFormat="1" ht="12.75" customHeight="1">
      <c r="A201" s="3"/>
      <c r="B201" s="33"/>
      <c r="C201" s="34"/>
      <c r="D201" s="3" t="s">
        <v>1973</v>
      </c>
      <c r="E201" s="835"/>
      <c r="F201" s="835"/>
      <c r="G201" s="835"/>
      <c r="H201" s="1680" t="s">
        <v>23</v>
      </c>
      <c r="I201" s="1680"/>
      <c r="J201" s="816"/>
      <c r="K201" s="816"/>
      <c r="L201" s="816"/>
      <c r="M201" s="816"/>
      <c r="N201" s="816"/>
      <c r="O201" s="816"/>
      <c r="P201" s="816"/>
      <c r="Q201" s="816"/>
      <c r="R201" s="816"/>
      <c r="S201" s="816"/>
      <c r="T201" s="816"/>
      <c r="U201" s="816"/>
      <c r="V201" s="816"/>
      <c r="W201" s="816"/>
      <c r="X201" s="816"/>
      <c r="Y201" s="816"/>
      <c r="Z201" s="816"/>
      <c r="AA201" s="816"/>
      <c r="AB201" s="816"/>
      <c r="AC201" s="3"/>
      <c r="AD201" s="33"/>
      <c r="AE201" s="16"/>
      <c r="AF201" s="16"/>
      <c r="AG201" s="16"/>
      <c r="AH201" s="16"/>
      <c r="AI201" s="16"/>
      <c r="AJ201" s="3"/>
      <c r="AK201" s="3"/>
      <c r="AL201" s="3"/>
      <c r="AM201" s="3"/>
      <c r="AN201" s="146"/>
      <c r="AP201" t="s">
        <v>2012</v>
      </c>
    </row>
    <row r="202" spans="1:42" customFormat="1">
      <c r="A202" s="3"/>
      <c r="B202" s="33"/>
      <c r="C202" s="34"/>
      <c r="D202" s="3"/>
      <c r="E202" s="816"/>
      <c r="F202" s="816"/>
      <c r="G202" s="816"/>
      <c r="H202" s="816"/>
      <c r="I202" s="816"/>
      <c r="J202" s="816"/>
      <c r="K202" s="816"/>
      <c r="L202" s="816"/>
      <c r="M202" s="816"/>
      <c r="N202" s="816"/>
      <c r="O202" s="816"/>
      <c r="P202" s="816"/>
      <c r="Q202" s="816"/>
      <c r="R202" s="816"/>
      <c r="S202" s="816"/>
      <c r="T202" s="816"/>
      <c r="U202" s="816"/>
      <c r="V202" s="816"/>
      <c r="W202" s="816"/>
      <c r="X202" s="816"/>
      <c r="Y202" s="816"/>
      <c r="Z202" s="816"/>
      <c r="AA202" s="816"/>
      <c r="AB202" s="816"/>
      <c r="AC202" s="3"/>
      <c r="AD202" s="33"/>
      <c r="AE202" s="16"/>
      <c r="AF202" s="16"/>
      <c r="AG202" s="16"/>
      <c r="AH202" s="16"/>
      <c r="AI202" s="16"/>
      <c r="AJ202" s="3"/>
      <c r="AK202" s="3"/>
      <c r="AL202" s="3"/>
      <c r="AM202" s="3"/>
      <c r="AN202" s="146"/>
      <c r="AP202" t="s">
        <v>2013</v>
      </c>
    </row>
    <row r="203" spans="1:42" customFormat="1" ht="12.75" customHeight="1">
      <c r="A203" s="60"/>
      <c r="B203" s="302"/>
      <c r="C203" s="80"/>
      <c r="D203" s="61"/>
      <c r="E203" s="61"/>
      <c r="F203" s="61"/>
      <c r="G203" s="61"/>
      <c r="H203" s="61"/>
      <c r="I203" s="61"/>
      <c r="J203" s="87"/>
      <c r="K203" s="87"/>
      <c r="L203" s="82"/>
      <c r="M203" s="82"/>
      <c r="N203" s="82"/>
      <c r="O203" s="82"/>
      <c r="P203" s="82"/>
      <c r="Q203" s="82"/>
      <c r="R203" s="82"/>
      <c r="S203" s="82"/>
      <c r="T203" s="82"/>
      <c r="U203" s="82"/>
      <c r="V203" s="82"/>
      <c r="W203" s="82"/>
      <c r="X203" s="82"/>
      <c r="Y203" s="77"/>
      <c r="Z203" s="77"/>
      <c r="AA203" s="77"/>
      <c r="AB203" s="61"/>
      <c r="AC203" s="302"/>
      <c r="AD203" s="61"/>
      <c r="AE203" s="61"/>
      <c r="AF203" s="61"/>
      <c r="AG203" s="61"/>
      <c r="AH203" s="61"/>
      <c r="AI203" s="788" t="s">
        <v>2014</v>
      </c>
      <c r="AJ203" s="1194">
        <f>VLOOKUP($H$201,$AO$151:$AP$153,2,FALSE)</f>
        <v>2</v>
      </c>
      <c r="AK203" s="1196"/>
      <c r="AL203" s="801"/>
      <c r="AM203" s="3"/>
      <c r="AN203" s="146"/>
      <c r="AP203" t="s">
        <v>2015</v>
      </c>
    </row>
    <row r="204" spans="1:42" customFormat="1">
      <c r="A204" s="3"/>
      <c r="B204" s="3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3"/>
      <c r="AE204" s="16"/>
      <c r="AF204" s="16"/>
      <c r="AG204" s="16"/>
      <c r="AH204" s="16"/>
      <c r="AI204" s="16"/>
      <c r="AJ204" s="3"/>
      <c r="AK204" s="3"/>
      <c r="AL204" s="3"/>
      <c r="AM204" s="3"/>
      <c r="AN204" s="146"/>
      <c r="AP204" t="s">
        <v>2016</v>
      </c>
    </row>
    <row r="205" spans="1:42" customFormat="1" ht="12.75" customHeight="1">
      <c r="A205" s="3"/>
      <c r="B205" s="3"/>
      <c r="C205" s="2" t="s">
        <v>2017</v>
      </c>
      <c r="D205" s="85"/>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3"/>
      <c r="AE205" s="16"/>
      <c r="AF205" s="16"/>
      <c r="AG205" s="16"/>
      <c r="AH205" s="16"/>
      <c r="AI205" s="16"/>
      <c r="AJ205" s="3"/>
      <c r="AK205" s="3"/>
      <c r="AL205" s="3"/>
      <c r="AM205" s="3"/>
      <c r="AN205" s="146"/>
      <c r="AP205" t="s">
        <v>2018</v>
      </c>
    </row>
    <row r="206" spans="1:42" customFormat="1" ht="12.75" customHeight="1">
      <c r="A206" s="3"/>
      <c r="B206" s="33"/>
      <c r="C206" s="59"/>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3"/>
      <c r="AE206" s="16"/>
      <c r="AF206" s="16"/>
      <c r="AG206" s="16"/>
      <c r="AH206" s="16"/>
      <c r="AI206" s="16"/>
      <c r="AJ206" s="3"/>
      <c r="AK206" s="3"/>
      <c r="AL206" s="3"/>
      <c r="AM206" s="3"/>
      <c r="AN206" s="146"/>
      <c r="AP206" t="s">
        <v>2019</v>
      </c>
    </row>
    <row r="207" spans="1:42" customFormat="1" ht="12.75" customHeight="1">
      <c r="A207" s="28"/>
      <c r="B207" s="3"/>
      <c r="C207" s="34"/>
      <c r="D207" s="22" t="s">
        <v>18</v>
      </c>
      <c r="E207" s="1678" t="s">
        <v>2020</v>
      </c>
      <c r="F207" s="1678"/>
      <c r="G207" s="1678"/>
      <c r="H207" s="1678"/>
      <c r="I207" s="1678"/>
      <c r="J207" s="1678"/>
      <c r="K207" s="1678"/>
      <c r="L207" s="1678"/>
      <c r="M207" s="1678"/>
      <c r="N207" s="1678"/>
      <c r="O207" s="1678"/>
      <c r="P207" s="1678"/>
      <c r="Q207" s="1678"/>
      <c r="R207" s="1678"/>
      <c r="S207" s="1678"/>
      <c r="T207" s="1678"/>
      <c r="U207" s="1678"/>
      <c r="V207" s="1678"/>
      <c r="W207" s="1678"/>
      <c r="X207" s="1678"/>
      <c r="Y207" s="1678"/>
      <c r="Z207" s="1678"/>
      <c r="AA207" s="1678"/>
      <c r="AB207" s="1678"/>
      <c r="AC207" s="3"/>
      <c r="AD207" s="3"/>
      <c r="AF207" s="1592" t="s">
        <v>1926</v>
      </c>
      <c r="AG207" s="1592"/>
      <c r="AH207" s="1592"/>
      <c r="AI207" s="1592"/>
      <c r="AJ207" s="1592"/>
      <c r="AK207" s="1592"/>
      <c r="AL207" s="1592"/>
      <c r="AM207" s="3"/>
      <c r="AN207" s="146"/>
      <c r="AP207" t="s">
        <v>2021</v>
      </c>
    </row>
    <row r="208" spans="1:42" customFormat="1" ht="11.85" customHeight="1">
      <c r="A208" s="3"/>
      <c r="B208" s="33"/>
      <c r="C208" s="75"/>
      <c r="D208" s="22"/>
      <c r="E208" s="1678"/>
      <c r="F208" s="1678"/>
      <c r="G208" s="1678"/>
      <c r="H208" s="1678"/>
      <c r="I208" s="1678"/>
      <c r="J208" s="1678"/>
      <c r="K208" s="1678"/>
      <c r="L208" s="1678"/>
      <c r="M208" s="1678"/>
      <c r="N208" s="1678"/>
      <c r="O208" s="1678"/>
      <c r="P208" s="1678"/>
      <c r="Q208" s="1678"/>
      <c r="R208" s="1678"/>
      <c r="S208" s="1678"/>
      <c r="T208" s="1678"/>
      <c r="U208" s="1678"/>
      <c r="V208" s="1678"/>
      <c r="W208" s="1678"/>
      <c r="X208" s="1678"/>
      <c r="Y208" s="1678"/>
      <c r="Z208" s="1678"/>
      <c r="AA208" s="1678"/>
      <c r="AB208" s="1678"/>
      <c r="AC208" s="3"/>
      <c r="AD208" s="3"/>
      <c r="AE208" s="3"/>
      <c r="AM208" s="3"/>
      <c r="AN208" s="146"/>
      <c r="AP208" t="s">
        <v>2022</v>
      </c>
    </row>
    <row r="209" spans="1:52" customFormat="1" ht="13.9" customHeight="1">
      <c r="A209" s="3"/>
      <c r="B209" s="722"/>
      <c r="C209" s="34"/>
      <c r="D209" s="22"/>
      <c r="E209" s="1678"/>
      <c r="F209" s="1678"/>
      <c r="G209" s="1678"/>
      <c r="H209" s="1678"/>
      <c r="I209" s="1678"/>
      <c r="J209" s="1678"/>
      <c r="K209" s="1678"/>
      <c r="L209" s="1678"/>
      <c r="M209" s="1678"/>
      <c r="N209" s="1678"/>
      <c r="O209" s="1678"/>
      <c r="P209" s="1678"/>
      <c r="Q209" s="1678"/>
      <c r="R209" s="1678"/>
      <c r="S209" s="1678"/>
      <c r="T209" s="1678"/>
      <c r="U209" s="1678"/>
      <c r="V209" s="1678"/>
      <c r="W209" s="1678"/>
      <c r="X209" s="1678"/>
      <c r="Y209" s="1678"/>
      <c r="Z209" s="1678"/>
      <c r="AA209" s="1678"/>
      <c r="AB209" s="1678"/>
      <c r="AC209" s="3"/>
      <c r="AD209" s="3"/>
      <c r="AE209" s="16"/>
      <c r="AM209" s="3"/>
      <c r="AN209" s="146"/>
      <c r="AP209" t="s">
        <v>2023</v>
      </c>
    </row>
    <row r="210" spans="1:52" customFormat="1" ht="13.9" customHeight="1">
      <c r="A210" s="3"/>
      <c r="B210" s="33"/>
      <c r="C210" s="34"/>
      <c r="D210" s="22" t="s">
        <v>23</v>
      </c>
      <c r="E210" s="1742" t="s">
        <v>2024</v>
      </c>
      <c r="F210" s="1742"/>
      <c r="G210" s="1742"/>
      <c r="H210" s="1742"/>
      <c r="I210" s="1742"/>
      <c r="J210" s="1742"/>
      <c r="K210" s="1742"/>
      <c r="L210" s="1742"/>
      <c r="M210" s="1742"/>
      <c r="N210" s="1742"/>
      <c r="O210" s="1742"/>
      <c r="P210" s="1742"/>
      <c r="Q210" s="1742"/>
      <c r="R210" s="1742"/>
      <c r="S210" s="1742"/>
      <c r="T210" s="1742"/>
      <c r="U210" s="1742"/>
      <c r="V210" s="1742"/>
      <c r="W210" s="1742"/>
      <c r="X210" s="1742"/>
      <c r="Y210" s="1742"/>
      <c r="Z210" s="1742"/>
      <c r="AA210" s="1742"/>
      <c r="AB210" s="1742"/>
      <c r="AC210" s="3"/>
      <c r="AD210" s="3"/>
      <c r="AF210" s="1592" t="s">
        <v>1987</v>
      </c>
      <c r="AG210" s="1592"/>
      <c r="AH210" s="1592"/>
      <c r="AI210" s="1592"/>
      <c r="AJ210" s="1592"/>
      <c r="AK210" s="1592"/>
      <c r="AL210" s="1592"/>
      <c r="AM210" s="3"/>
      <c r="AN210" s="511"/>
      <c r="AP210" s="36" t="s">
        <v>2025</v>
      </c>
    </row>
    <row r="211" spans="1:52" customFormat="1" ht="12.75" customHeight="1">
      <c r="A211" s="3"/>
      <c r="B211" s="33"/>
      <c r="C211" s="75"/>
      <c r="D211" s="3"/>
      <c r="E211" s="1742"/>
      <c r="F211" s="1742"/>
      <c r="G211" s="1742"/>
      <c r="H211" s="1742"/>
      <c r="I211" s="1742"/>
      <c r="J211" s="1742"/>
      <c r="K211" s="1742"/>
      <c r="L211" s="1742"/>
      <c r="M211" s="1742"/>
      <c r="N211" s="1742"/>
      <c r="O211" s="1742"/>
      <c r="P211" s="1742"/>
      <c r="Q211" s="1742"/>
      <c r="R211" s="1742"/>
      <c r="S211" s="1742"/>
      <c r="T211" s="1742"/>
      <c r="U211" s="1742"/>
      <c r="V211" s="1742"/>
      <c r="W211" s="1742"/>
      <c r="X211" s="1742"/>
      <c r="Y211" s="1742"/>
      <c r="Z211" s="1742"/>
      <c r="AA211" s="1742"/>
      <c r="AB211" s="1742"/>
      <c r="AC211" s="3"/>
      <c r="AD211" s="33"/>
      <c r="AE211" s="3"/>
      <c r="AF211" s="3"/>
      <c r="AG211" s="3"/>
      <c r="AH211" s="3"/>
      <c r="AI211" s="3"/>
      <c r="AJ211" s="3"/>
      <c r="AK211" s="3"/>
      <c r="AL211" s="3"/>
      <c r="AM211" s="3"/>
      <c r="AN211" s="146"/>
      <c r="AP211" s="3" t="s">
        <v>325</v>
      </c>
      <c r="AQ211" s="344">
        <v>0</v>
      </c>
    </row>
    <row r="212" spans="1:52" customFormat="1" ht="13.9" customHeight="1">
      <c r="A212" s="3"/>
      <c r="B212" s="33"/>
      <c r="C212" s="75"/>
      <c r="D212" s="3"/>
      <c r="E212" s="1742"/>
      <c r="F212" s="1742"/>
      <c r="G212" s="1742"/>
      <c r="H212" s="1742"/>
      <c r="I212" s="1742"/>
      <c r="J212" s="1742"/>
      <c r="K212" s="1742"/>
      <c r="L212" s="1742"/>
      <c r="M212" s="1742"/>
      <c r="N212" s="1742"/>
      <c r="O212" s="1742"/>
      <c r="P212" s="1742"/>
      <c r="Q212" s="1742"/>
      <c r="R212" s="1742"/>
      <c r="S212" s="1742"/>
      <c r="T212" s="1742"/>
      <c r="U212" s="1742"/>
      <c r="V212" s="1742"/>
      <c r="W212" s="1742"/>
      <c r="X212" s="1742"/>
      <c r="Y212" s="1742"/>
      <c r="Z212" s="1742"/>
      <c r="AA212" s="1742"/>
      <c r="AB212" s="1742"/>
      <c r="AC212" s="3"/>
      <c r="AD212" s="33"/>
      <c r="AE212" s="3"/>
      <c r="AF212" s="3"/>
      <c r="AG212" s="3"/>
      <c r="AH212" s="3"/>
      <c r="AI212" s="3"/>
      <c r="AJ212" s="3"/>
      <c r="AK212" s="3"/>
      <c r="AL212" s="3"/>
      <c r="AM212" s="3"/>
      <c r="AN212" s="146"/>
      <c r="AP212" s="22" t="s">
        <v>18</v>
      </c>
      <c r="AQ212" s="3">
        <v>2</v>
      </c>
    </row>
    <row r="213" spans="1:52" customFormat="1" ht="13.9" customHeight="1">
      <c r="A213" s="3"/>
      <c r="B213" s="33"/>
      <c r="C213" s="75"/>
      <c r="D213" s="3" t="s">
        <v>1973</v>
      </c>
      <c r="E213" s="835"/>
      <c r="F213" s="835"/>
      <c r="G213" s="835"/>
      <c r="H213" s="1680" t="s">
        <v>325</v>
      </c>
      <c r="I213" s="1680"/>
      <c r="J213" s="838"/>
      <c r="K213" s="838"/>
      <c r="L213" s="838"/>
      <c r="M213" s="838"/>
      <c r="N213" s="838"/>
      <c r="O213" s="838"/>
      <c r="P213" s="838"/>
      <c r="Q213" s="838"/>
      <c r="R213" s="838"/>
      <c r="S213" s="838"/>
      <c r="T213" s="838"/>
      <c r="U213" s="838"/>
      <c r="V213" s="838"/>
      <c r="W213" s="838"/>
      <c r="X213" s="838"/>
      <c r="Y213" s="838"/>
      <c r="Z213" s="838"/>
      <c r="AA213" s="838"/>
      <c r="AB213" s="838"/>
      <c r="AC213" s="3"/>
      <c r="AD213" s="33"/>
      <c r="AE213" s="3"/>
      <c r="AF213" s="3"/>
      <c r="AG213" s="3"/>
      <c r="AH213" s="3"/>
      <c r="AI213" s="3"/>
      <c r="AJ213" s="3"/>
      <c r="AK213" s="3"/>
      <c r="AL213" s="3"/>
      <c r="AM213" s="3"/>
      <c r="AN213" s="146"/>
      <c r="AP213" s="22" t="s">
        <v>23</v>
      </c>
      <c r="AQ213" s="3">
        <v>3</v>
      </c>
    </row>
    <row r="214" spans="1:52" customFormat="1" ht="14.25" customHeight="1">
      <c r="A214" s="3"/>
      <c r="B214" s="33"/>
      <c r="C214" s="75"/>
      <c r="D214" s="3"/>
      <c r="E214" s="838"/>
      <c r="F214" s="838"/>
      <c r="G214" s="838"/>
      <c r="H214" s="838"/>
      <c r="I214" s="838"/>
      <c r="J214" s="838"/>
      <c r="K214" s="838"/>
      <c r="L214" s="838"/>
      <c r="M214" s="838"/>
      <c r="N214" s="838"/>
      <c r="O214" s="838"/>
      <c r="P214" s="838"/>
      <c r="Q214" s="838"/>
      <c r="R214" s="838"/>
      <c r="S214" s="838"/>
      <c r="T214" s="838"/>
      <c r="U214" s="838"/>
      <c r="V214" s="838"/>
      <c r="W214" s="838"/>
      <c r="X214" s="838"/>
      <c r="Y214" s="838"/>
      <c r="Z214" s="838"/>
      <c r="AA214" s="838"/>
      <c r="AB214" s="838"/>
      <c r="AC214" s="3"/>
      <c r="AD214" s="33"/>
      <c r="AE214" s="3"/>
      <c r="AF214" s="3"/>
      <c r="AG214" s="3"/>
      <c r="AH214" s="3"/>
      <c r="AI214" s="3"/>
      <c r="AJ214" s="3"/>
      <c r="AK214" s="3"/>
      <c r="AL214" s="3"/>
      <c r="AM214" s="3"/>
      <c r="AN214" s="146"/>
    </row>
    <row r="215" spans="1:52" customFormat="1" ht="12.75" customHeight="1">
      <c r="A215" s="60"/>
      <c r="B215" s="302"/>
      <c r="C215" s="76"/>
      <c r="D215" s="61"/>
      <c r="E215" s="61"/>
      <c r="F215" s="61"/>
      <c r="G215" s="61"/>
      <c r="H215" s="61"/>
      <c r="I215" s="61"/>
      <c r="J215" s="88"/>
      <c r="K215" s="88"/>
      <c r="L215" s="88"/>
      <c r="M215" s="88"/>
      <c r="N215" s="88"/>
      <c r="O215" s="88"/>
      <c r="P215" s="88"/>
      <c r="Q215" s="88"/>
      <c r="R215" s="88"/>
      <c r="S215" s="88"/>
      <c r="T215" s="88"/>
      <c r="U215" s="82"/>
      <c r="V215" s="82"/>
      <c r="W215" s="82"/>
      <c r="X215" s="82"/>
      <c r="Y215" s="77"/>
      <c r="Z215" s="77"/>
      <c r="AA215" s="77"/>
      <c r="AB215" s="61"/>
      <c r="AC215" s="302"/>
      <c r="AD215" s="61"/>
      <c r="AE215" s="61"/>
      <c r="AF215" s="61"/>
      <c r="AG215" s="61"/>
      <c r="AH215" s="61"/>
      <c r="AI215" s="788" t="s">
        <v>2026</v>
      </c>
      <c r="AJ215" s="1194">
        <f>VLOOKUP($H$213,$AO$151:$AP$153,2,FALSE)</f>
        <v>0</v>
      </c>
      <c r="AK215" s="1196"/>
      <c r="AL215" s="801"/>
      <c r="AM215" s="3"/>
      <c r="AN215" s="146"/>
      <c r="AP215" s="1194"/>
      <c r="AQ215" s="1196"/>
    </row>
    <row r="216" spans="1:52" customFormat="1">
      <c r="A216" s="3"/>
      <c r="B216" s="722"/>
      <c r="C216" s="34"/>
      <c r="D216" s="1"/>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3"/>
      <c r="AD216" s="33"/>
      <c r="AE216" s="3"/>
      <c r="AF216" s="3"/>
      <c r="AG216" s="3"/>
      <c r="AH216" s="3"/>
      <c r="AI216" s="3"/>
      <c r="AJ216" s="3"/>
      <c r="AK216" s="3"/>
      <c r="AL216" s="3"/>
      <c r="AM216" s="3"/>
      <c r="AN216" s="146"/>
      <c r="AT216" s="18"/>
      <c r="AU216" s="18"/>
      <c r="AV216" s="18"/>
      <c r="AW216" s="18"/>
      <c r="AX216" s="18"/>
      <c r="AY216" s="18"/>
      <c r="AZ216" s="18"/>
    </row>
    <row r="217" spans="1:52" customFormat="1">
      <c r="A217" s="3"/>
      <c r="B217" s="3"/>
      <c r="C217" s="2" t="s">
        <v>2027</v>
      </c>
      <c r="D217" s="89"/>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3"/>
      <c r="AD217" s="33"/>
      <c r="AE217" s="3"/>
      <c r="AF217" s="3"/>
      <c r="AG217" s="3"/>
      <c r="AH217" s="3"/>
      <c r="AI217" s="3"/>
      <c r="AJ217" s="3"/>
      <c r="AK217" s="3"/>
      <c r="AL217" s="3"/>
      <c r="AM217" s="3"/>
      <c r="AN217" s="146"/>
      <c r="AT217" s="18"/>
      <c r="AU217" s="18"/>
      <c r="AV217" s="18"/>
      <c r="AW217" s="18"/>
      <c r="AX217" s="18"/>
      <c r="AY217" s="18"/>
      <c r="AZ217" s="18"/>
    </row>
    <row r="218" spans="1:52" customFormat="1">
      <c r="A218" s="3"/>
      <c r="B218" s="722"/>
      <c r="C218" s="34"/>
      <c r="D218" s="1"/>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3"/>
      <c r="AD218" s="33"/>
      <c r="AE218" s="3"/>
      <c r="AF218" s="3"/>
      <c r="AG218" s="3"/>
      <c r="AH218" s="3"/>
      <c r="AI218" s="3"/>
      <c r="AJ218" s="3"/>
      <c r="AK218" s="3"/>
      <c r="AL218" s="3"/>
      <c r="AM218" s="3"/>
      <c r="AN218" s="146"/>
      <c r="AT218" s="18"/>
      <c r="AU218" s="18"/>
      <c r="AV218" s="18"/>
      <c r="AW218" s="18"/>
      <c r="AX218" s="18"/>
      <c r="AY218" s="18"/>
      <c r="AZ218" s="18"/>
    </row>
    <row r="219" spans="1:52" customFormat="1">
      <c r="A219" s="3"/>
      <c r="B219" s="3"/>
      <c r="C219" s="34"/>
      <c r="D219" s="22" t="s">
        <v>18</v>
      </c>
      <c r="E219" s="1529" t="s">
        <v>2028</v>
      </c>
      <c r="F219" s="1529"/>
      <c r="G219" s="1529"/>
      <c r="H219" s="1529"/>
      <c r="I219" s="1529"/>
      <c r="J219" s="1529"/>
      <c r="K219" s="1529"/>
      <c r="L219" s="1529"/>
      <c r="M219" s="1529"/>
      <c r="N219" s="1529"/>
      <c r="O219" s="1529"/>
      <c r="P219" s="1529"/>
      <c r="Q219" s="1529"/>
      <c r="R219" s="1529"/>
      <c r="S219" s="1529"/>
      <c r="T219" s="1529"/>
      <c r="U219" s="1529"/>
      <c r="V219" s="1529"/>
      <c r="W219" s="1529"/>
      <c r="X219" s="1529"/>
      <c r="Y219" s="1529"/>
      <c r="Z219" s="1529"/>
      <c r="AA219" s="1529"/>
      <c r="AB219" s="1529"/>
      <c r="AC219" s="3"/>
      <c r="AD219" s="3"/>
      <c r="AF219" s="1592" t="s">
        <v>1926</v>
      </c>
      <c r="AG219" s="1592"/>
      <c r="AH219" s="1592"/>
      <c r="AI219" s="1592"/>
      <c r="AJ219" s="1592"/>
      <c r="AK219" s="1592"/>
      <c r="AL219" s="1592"/>
      <c r="AM219" s="3"/>
      <c r="AN219" s="146"/>
      <c r="AT219" s="18"/>
      <c r="AU219" s="18"/>
      <c r="AV219" s="18"/>
      <c r="AW219" s="18"/>
      <c r="AX219" s="18"/>
      <c r="AY219" s="18"/>
      <c r="AZ219" s="18"/>
    </row>
    <row r="220" spans="1:52" customFormat="1">
      <c r="A220" s="3"/>
      <c r="B220" s="33"/>
      <c r="C220" s="75"/>
      <c r="D220" s="22"/>
      <c r="E220" s="1529"/>
      <c r="F220" s="1529"/>
      <c r="G220" s="1529"/>
      <c r="H220" s="1529"/>
      <c r="I220" s="1529"/>
      <c r="J220" s="1529"/>
      <c r="K220" s="1529"/>
      <c r="L220" s="1529"/>
      <c r="M220" s="1529"/>
      <c r="N220" s="1529"/>
      <c r="O220" s="1529"/>
      <c r="P220" s="1529"/>
      <c r="Q220" s="1529"/>
      <c r="R220" s="1529"/>
      <c r="S220" s="1529"/>
      <c r="T220" s="1529"/>
      <c r="U220" s="1529"/>
      <c r="V220" s="1529"/>
      <c r="W220" s="1529"/>
      <c r="X220" s="1529"/>
      <c r="Y220" s="1529"/>
      <c r="Z220" s="1529"/>
      <c r="AA220" s="1529"/>
      <c r="AB220" s="1529"/>
      <c r="AC220" s="3"/>
      <c r="AD220" s="3"/>
      <c r="AE220" s="3"/>
      <c r="AF220" s="33"/>
      <c r="AG220" s="3"/>
      <c r="AH220" s="3"/>
      <c r="AI220" s="3"/>
      <c r="AJ220" s="3"/>
      <c r="AK220" s="3"/>
      <c r="AL220" s="3"/>
      <c r="AM220" s="3"/>
      <c r="AN220" s="146"/>
      <c r="AT220" s="18"/>
      <c r="AU220" s="18"/>
      <c r="AV220" s="18"/>
      <c r="AW220" s="18"/>
      <c r="AX220" s="18"/>
      <c r="AY220" s="18"/>
      <c r="AZ220" s="18"/>
    </row>
    <row r="221" spans="1:52" customFormat="1">
      <c r="A221" s="3"/>
      <c r="B221" s="722"/>
      <c r="C221" s="34"/>
      <c r="D221" s="22"/>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3"/>
      <c r="AD221" s="3"/>
      <c r="AE221" s="3"/>
      <c r="AF221" s="33"/>
      <c r="AG221" s="3"/>
      <c r="AH221" s="3"/>
      <c r="AI221" s="3"/>
      <c r="AJ221" s="3"/>
      <c r="AK221" s="3"/>
      <c r="AL221" s="3"/>
      <c r="AM221" s="3"/>
      <c r="AN221" s="146"/>
      <c r="AT221" s="18"/>
      <c r="AU221" s="18"/>
      <c r="AV221" s="18"/>
      <c r="AW221" s="18"/>
      <c r="AX221" s="18"/>
      <c r="AY221" s="18"/>
      <c r="AZ221" s="18"/>
    </row>
    <row r="222" spans="1:52" customFormat="1" ht="12.75" customHeight="1">
      <c r="A222" s="3"/>
      <c r="B222" s="33"/>
      <c r="C222" s="34"/>
      <c r="D222" s="22" t="s">
        <v>23</v>
      </c>
      <c r="E222" s="1529" t="s">
        <v>2029</v>
      </c>
      <c r="F222" s="1529"/>
      <c r="G222" s="1529"/>
      <c r="H222" s="1529"/>
      <c r="I222" s="1529"/>
      <c r="J222" s="1529"/>
      <c r="K222" s="1529"/>
      <c r="L222" s="1529"/>
      <c r="M222" s="1529"/>
      <c r="N222" s="1529"/>
      <c r="O222" s="1529"/>
      <c r="P222" s="1529"/>
      <c r="Q222" s="1529"/>
      <c r="R222" s="1529"/>
      <c r="S222" s="1529"/>
      <c r="T222" s="1529"/>
      <c r="U222" s="1529"/>
      <c r="V222" s="1529"/>
      <c r="W222" s="1529"/>
      <c r="X222" s="1529"/>
      <c r="Y222" s="1529"/>
      <c r="Z222" s="1529"/>
      <c r="AA222" s="1529"/>
      <c r="AB222" s="1529"/>
      <c r="AC222" s="3"/>
      <c r="AD222" s="3"/>
      <c r="AF222" s="1592" t="s">
        <v>1987</v>
      </c>
      <c r="AG222" s="1592"/>
      <c r="AH222" s="1592"/>
      <c r="AI222" s="1592"/>
      <c r="AJ222" s="1592"/>
      <c r="AK222" s="1592"/>
      <c r="AL222" s="1592"/>
      <c r="AM222" s="3"/>
      <c r="AN222" s="146"/>
      <c r="AT222" s="18"/>
      <c r="AU222" s="18"/>
      <c r="AV222" s="18"/>
      <c r="AW222" s="18"/>
      <c r="AX222" s="18"/>
      <c r="AY222" s="18"/>
      <c r="AZ222" s="18"/>
    </row>
    <row r="223" spans="1:52" customFormat="1">
      <c r="A223" s="3"/>
      <c r="B223" s="33"/>
      <c r="C223" s="75"/>
      <c r="D223" s="3"/>
      <c r="E223" s="1529"/>
      <c r="F223" s="1529"/>
      <c r="G223" s="1529"/>
      <c r="H223" s="1529"/>
      <c r="I223" s="1529"/>
      <c r="J223" s="1529"/>
      <c r="K223" s="1529"/>
      <c r="L223" s="1529"/>
      <c r="M223" s="1529"/>
      <c r="N223" s="1529"/>
      <c r="O223" s="1529"/>
      <c r="P223" s="1529"/>
      <c r="Q223" s="1529"/>
      <c r="R223" s="1529"/>
      <c r="S223" s="1529"/>
      <c r="T223" s="1529"/>
      <c r="U223" s="1529"/>
      <c r="V223" s="1529"/>
      <c r="W223" s="1529"/>
      <c r="X223" s="1529"/>
      <c r="Y223" s="1529"/>
      <c r="Z223" s="1529"/>
      <c r="AA223" s="1529"/>
      <c r="AB223" s="1529"/>
      <c r="AC223" s="3"/>
      <c r="AD223" s="33"/>
      <c r="AE223" s="3"/>
      <c r="AF223" s="3"/>
      <c r="AG223" s="3"/>
      <c r="AH223" s="3"/>
      <c r="AI223" s="3"/>
      <c r="AJ223" s="3"/>
      <c r="AK223" s="3"/>
      <c r="AL223" s="3"/>
      <c r="AM223" s="3"/>
      <c r="AN223" s="146"/>
      <c r="AT223" s="18"/>
      <c r="AU223" s="18"/>
      <c r="AV223" s="18"/>
      <c r="AW223" s="18"/>
      <c r="AX223" s="18"/>
      <c r="AY223" s="18"/>
      <c r="AZ223" s="18"/>
    </row>
    <row r="224" spans="1:52" customFormat="1">
      <c r="A224" s="3"/>
      <c r="B224" s="33"/>
      <c r="C224" s="75"/>
      <c r="D224" s="3"/>
      <c r="E224" s="816"/>
      <c r="F224" s="816"/>
      <c r="G224" s="816"/>
      <c r="H224" s="816"/>
      <c r="I224" s="816"/>
      <c r="J224" s="816"/>
      <c r="K224" s="816"/>
      <c r="L224" s="816"/>
      <c r="M224" s="816"/>
      <c r="N224" s="816"/>
      <c r="O224" s="816"/>
      <c r="P224" s="816"/>
      <c r="Q224" s="816"/>
      <c r="R224" s="816"/>
      <c r="S224" s="816"/>
      <c r="T224" s="816"/>
      <c r="U224" s="816"/>
      <c r="V224" s="816"/>
      <c r="W224" s="816"/>
      <c r="X224" s="816"/>
      <c r="Y224" s="816"/>
      <c r="Z224" s="816"/>
      <c r="AA224" s="816"/>
      <c r="AB224" s="816"/>
      <c r="AC224" s="3"/>
      <c r="AD224" s="33"/>
      <c r="AE224" s="3"/>
      <c r="AF224" s="3"/>
      <c r="AG224" s="3"/>
      <c r="AH224" s="3"/>
      <c r="AI224" s="3"/>
      <c r="AJ224" s="3"/>
      <c r="AK224" s="3"/>
      <c r="AL224" s="3"/>
      <c r="AM224" s="3"/>
      <c r="AN224" s="146"/>
      <c r="AT224" s="18"/>
      <c r="AU224" s="18"/>
      <c r="AV224" s="18"/>
      <c r="AW224" s="18"/>
      <c r="AX224" s="18"/>
      <c r="AY224" s="18"/>
      <c r="AZ224" s="18"/>
    </row>
    <row r="225" spans="1:82" customFormat="1" ht="12.75" customHeight="1">
      <c r="A225" s="3"/>
      <c r="B225" s="33"/>
      <c r="C225" s="75"/>
      <c r="D225" s="3" t="s">
        <v>1973</v>
      </c>
      <c r="E225" s="835"/>
      <c r="F225" s="835"/>
      <c r="G225" s="835"/>
      <c r="H225" s="1680" t="s">
        <v>325</v>
      </c>
      <c r="I225" s="1680"/>
      <c r="J225" s="816"/>
      <c r="K225" s="816"/>
      <c r="L225" s="816"/>
      <c r="M225" s="816"/>
      <c r="N225" s="816"/>
      <c r="O225" s="816"/>
      <c r="P225" s="816"/>
      <c r="Q225" s="816"/>
      <c r="R225" s="816"/>
      <c r="S225" s="816"/>
      <c r="T225" s="816"/>
      <c r="U225" s="816"/>
      <c r="V225" s="816"/>
      <c r="W225" s="816"/>
      <c r="X225" s="816"/>
      <c r="Y225" s="816"/>
      <c r="Z225" s="816"/>
      <c r="AA225" s="816"/>
      <c r="AB225" s="816"/>
      <c r="AC225" s="3"/>
      <c r="AD225" s="33"/>
      <c r="AE225" s="3"/>
      <c r="AF225" s="3"/>
      <c r="AG225" s="3"/>
      <c r="AH225" s="3"/>
      <c r="AI225" s="3"/>
      <c r="AJ225" s="3"/>
      <c r="AK225" s="3"/>
      <c r="AL225" s="3"/>
      <c r="AM225" s="3"/>
      <c r="AN225" s="146"/>
      <c r="AT225" s="18"/>
      <c r="AU225" s="18"/>
      <c r="AV225" s="18"/>
      <c r="AW225" s="18"/>
      <c r="AX225" s="18"/>
      <c r="AY225" s="18"/>
      <c r="AZ225" s="18"/>
    </row>
    <row r="226" spans="1:82" customFormat="1">
      <c r="A226" s="3"/>
      <c r="B226" s="33"/>
      <c r="C226" s="75"/>
      <c r="D226" s="3"/>
      <c r="E226" s="816"/>
      <c r="F226" s="816"/>
      <c r="G226" s="816"/>
      <c r="H226" s="816"/>
      <c r="I226" s="816"/>
      <c r="J226" s="816"/>
      <c r="K226" s="816"/>
      <c r="L226" s="816"/>
      <c r="M226" s="816"/>
      <c r="N226" s="816"/>
      <c r="O226" s="816"/>
      <c r="P226" s="816"/>
      <c r="Q226" s="816"/>
      <c r="R226" s="816"/>
      <c r="S226" s="816"/>
      <c r="T226" s="816"/>
      <c r="U226" s="816"/>
      <c r="V226" s="816"/>
      <c r="W226" s="816"/>
      <c r="X226" s="816"/>
      <c r="Y226" s="816"/>
      <c r="Z226" s="816"/>
      <c r="AA226" s="816"/>
      <c r="AB226" s="816"/>
      <c r="AC226" s="3"/>
      <c r="AD226" s="33"/>
      <c r="AE226" s="3"/>
      <c r="AF226" s="3"/>
      <c r="AG226" s="3"/>
      <c r="AH226" s="3"/>
      <c r="AI226" s="3"/>
      <c r="AJ226" s="3"/>
      <c r="AK226" s="3"/>
      <c r="AL226" s="3"/>
      <c r="AM226" s="3"/>
      <c r="AN226" s="146"/>
      <c r="AS226" s="18"/>
      <c r="AT226" s="18"/>
      <c r="AU226" s="18"/>
      <c r="AV226" s="18"/>
      <c r="AW226" s="18"/>
      <c r="AX226" s="18"/>
      <c r="AY226" s="18"/>
      <c r="AZ226" s="18"/>
      <c r="BA226" s="18"/>
      <c r="BB226" s="18"/>
      <c r="BC226" s="18"/>
      <c r="BD226" s="32"/>
      <c r="BE226" s="32"/>
      <c r="BF226" s="32"/>
      <c r="BG226" s="32"/>
      <c r="BH226" s="32"/>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row>
    <row r="227" spans="1:82" customFormat="1">
      <c r="A227" s="60"/>
      <c r="B227" s="302"/>
      <c r="C227" s="76"/>
      <c r="D227" s="61"/>
      <c r="E227" s="87"/>
      <c r="F227" s="87"/>
      <c r="G227" s="87"/>
      <c r="H227" s="87"/>
      <c r="I227" s="87"/>
      <c r="J227" s="87"/>
      <c r="K227" s="87"/>
      <c r="L227" s="87"/>
      <c r="M227" s="87"/>
      <c r="N227" s="87"/>
      <c r="O227" s="87"/>
      <c r="P227" s="87"/>
      <c r="Q227" s="87"/>
      <c r="R227" s="87"/>
      <c r="S227" s="87"/>
      <c r="T227" s="87"/>
      <c r="U227" s="87"/>
      <c r="V227" s="82"/>
      <c r="W227" s="82"/>
      <c r="X227" s="82"/>
      <c r="Y227" s="77"/>
      <c r="Z227" s="77"/>
      <c r="AA227" s="77"/>
      <c r="AB227" s="61"/>
      <c r="AC227" s="302"/>
      <c r="AD227" s="61"/>
      <c r="AE227" s="61"/>
      <c r="AF227" s="61"/>
      <c r="AG227" s="61"/>
      <c r="AH227" s="61"/>
      <c r="AI227" s="788" t="s">
        <v>2030</v>
      </c>
      <c r="AJ227" s="1194">
        <f>VLOOKUP($H$225,$AO$165:$AP$167,2,FALSE)</f>
        <v>0</v>
      </c>
      <c r="AK227" s="1196"/>
      <c r="AL227" s="801"/>
      <c r="AM227" s="3"/>
      <c r="AN227" s="146"/>
      <c r="AS227" s="18"/>
      <c r="AT227" s="18"/>
      <c r="AU227" s="18"/>
      <c r="AV227" s="18"/>
      <c r="AW227" s="18"/>
      <c r="AX227" s="18"/>
      <c r="AY227" s="18"/>
      <c r="AZ227" s="18"/>
      <c r="BA227" s="18"/>
      <c r="BB227" s="18"/>
      <c r="BC227" s="18"/>
      <c r="BD227" s="32"/>
      <c r="BE227" s="32"/>
      <c r="BF227" s="32"/>
      <c r="BG227" s="32"/>
      <c r="BH227" s="32"/>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row>
    <row r="228" spans="1:82" customFormat="1" ht="12.75" customHeight="1">
      <c r="A228" s="3"/>
      <c r="B228" s="33"/>
      <c r="C228" s="75"/>
      <c r="D228" s="3"/>
      <c r="E228" s="3"/>
      <c r="F228" s="3"/>
      <c r="G228" s="3"/>
      <c r="H228" s="3"/>
      <c r="I228" s="3"/>
      <c r="J228" s="816"/>
      <c r="K228" s="816"/>
      <c r="L228" s="816"/>
      <c r="M228" s="816"/>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146"/>
      <c r="AS228" s="18"/>
      <c r="AT228" s="18"/>
      <c r="AU228" s="18"/>
      <c r="AV228" s="18"/>
      <c r="AW228" s="18"/>
      <c r="AX228" s="18"/>
      <c r="AY228" s="18"/>
      <c r="AZ228" s="18"/>
      <c r="BA228" s="18"/>
      <c r="BB228" s="18"/>
      <c r="BC228" s="18"/>
      <c r="BD228" s="32"/>
      <c r="BE228" s="32"/>
      <c r="BF228" s="32"/>
      <c r="BG228" s="32"/>
      <c r="BH228" s="32"/>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row>
    <row r="229" spans="1:82" customFormat="1" ht="12.75" customHeight="1">
      <c r="A229" s="3"/>
      <c r="B229" s="3"/>
      <c r="C229" s="2" t="s">
        <v>2031</v>
      </c>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146"/>
      <c r="AS229" s="18"/>
      <c r="AT229" s="18"/>
      <c r="AU229" s="18"/>
      <c r="AV229" s="18"/>
      <c r="AW229" s="18"/>
      <c r="AX229" s="18"/>
      <c r="AY229" s="18"/>
      <c r="AZ229" s="18"/>
      <c r="BA229" s="18"/>
      <c r="BB229" s="18"/>
      <c r="BC229" s="18"/>
      <c r="BD229" s="32"/>
      <c r="BE229" s="32"/>
      <c r="BF229" s="32"/>
      <c r="BG229" s="32"/>
      <c r="BH229" s="32"/>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row>
    <row r="230" spans="1:82" customFormat="1">
      <c r="A230" s="3"/>
      <c r="B230" s="722"/>
      <c r="C230" s="90"/>
      <c r="D230" s="28"/>
      <c r="E230" s="28"/>
      <c r="F230" s="3"/>
      <c r="G230" s="3"/>
      <c r="H230" s="28"/>
      <c r="I230" s="28"/>
      <c r="J230" s="28"/>
      <c r="K230" s="28"/>
      <c r="L230" s="28"/>
      <c r="M230" s="28"/>
      <c r="N230" s="28"/>
      <c r="O230" s="28"/>
      <c r="P230" s="28"/>
      <c r="Q230" s="28"/>
      <c r="R230" s="28"/>
      <c r="S230" s="28"/>
      <c r="T230" s="3"/>
      <c r="U230" s="3"/>
      <c r="V230" s="3"/>
      <c r="W230" s="3"/>
      <c r="X230" s="802"/>
      <c r="Y230" s="802"/>
      <c r="Z230" s="802"/>
      <c r="AA230" s="802"/>
      <c r="AB230" s="802"/>
      <c r="AC230" s="19"/>
      <c r="AD230" s="33"/>
      <c r="AE230" s="3"/>
      <c r="AF230" s="3"/>
      <c r="AG230" s="3"/>
      <c r="AH230" s="3"/>
      <c r="AI230" s="3"/>
      <c r="AJ230" s="3"/>
      <c r="AK230" s="3"/>
      <c r="AL230" s="3"/>
      <c r="AM230" s="3"/>
      <c r="AN230" s="146"/>
      <c r="AS230" s="18"/>
      <c r="AT230" s="18"/>
      <c r="AU230" s="18"/>
      <c r="AV230" s="18"/>
      <c r="AW230" s="18"/>
      <c r="AX230" s="18"/>
      <c r="AY230" s="18"/>
      <c r="AZ230" s="18"/>
      <c r="BA230" s="18"/>
      <c r="BB230" s="18"/>
      <c r="BC230" s="18"/>
      <c r="BD230" s="32"/>
      <c r="BE230" s="32"/>
      <c r="BF230" s="32"/>
      <c r="BG230" s="32"/>
      <c r="BH230" s="32"/>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row>
    <row r="231" spans="1:82" customFormat="1">
      <c r="A231" s="3"/>
      <c r="B231" s="3"/>
      <c r="C231" s="34"/>
      <c r="D231" s="22" t="s">
        <v>18</v>
      </c>
      <c r="E231" s="1529" t="s">
        <v>2032</v>
      </c>
      <c r="F231" s="1529"/>
      <c r="G231" s="1529"/>
      <c r="H231" s="1529"/>
      <c r="I231" s="1529"/>
      <c r="J231" s="1529"/>
      <c r="K231" s="1529"/>
      <c r="L231" s="1529"/>
      <c r="M231" s="1529"/>
      <c r="N231" s="1529"/>
      <c r="O231" s="1529"/>
      <c r="P231" s="1529"/>
      <c r="Q231" s="1529"/>
      <c r="R231" s="1529"/>
      <c r="S231" s="1529"/>
      <c r="T231" s="1529"/>
      <c r="U231" s="1529"/>
      <c r="V231" s="1529"/>
      <c r="W231" s="1529"/>
      <c r="X231" s="1529"/>
      <c r="Y231" s="1529"/>
      <c r="Z231" s="1529"/>
      <c r="AA231" s="1529"/>
      <c r="AB231" s="1529"/>
      <c r="AC231" s="3"/>
      <c r="AD231" s="3"/>
      <c r="AF231" s="1592" t="s">
        <v>1926</v>
      </c>
      <c r="AG231" s="1592"/>
      <c r="AH231" s="1592"/>
      <c r="AI231" s="1592"/>
      <c r="AJ231" s="1592"/>
      <c r="AK231" s="1592"/>
      <c r="AL231" s="1592"/>
      <c r="AM231" s="3"/>
      <c r="AN231" s="146"/>
      <c r="AT231" s="18"/>
      <c r="AU231" s="18"/>
      <c r="AV231" s="18"/>
      <c r="AW231" s="18"/>
      <c r="AX231" s="18"/>
      <c r="AY231" s="18"/>
      <c r="AZ231" s="18"/>
    </row>
    <row r="232" spans="1:82" customFormat="1">
      <c r="A232" s="3"/>
      <c r="B232" s="33"/>
      <c r="C232" s="75"/>
      <c r="D232" s="22"/>
      <c r="E232" s="1529"/>
      <c r="F232" s="1529"/>
      <c r="G232" s="1529"/>
      <c r="H232" s="1529"/>
      <c r="I232" s="1529"/>
      <c r="J232" s="1529"/>
      <c r="K232" s="1529"/>
      <c r="L232" s="1529"/>
      <c r="M232" s="1529"/>
      <c r="N232" s="1529"/>
      <c r="O232" s="1529"/>
      <c r="P232" s="1529"/>
      <c r="Q232" s="1529"/>
      <c r="R232" s="1529"/>
      <c r="S232" s="1529"/>
      <c r="T232" s="1529"/>
      <c r="U232" s="1529"/>
      <c r="V232" s="1529"/>
      <c r="W232" s="1529"/>
      <c r="X232" s="1529"/>
      <c r="Y232" s="1529"/>
      <c r="Z232" s="1529"/>
      <c r="AA232" s="1529"/>
      <c r="AB232" s="1529"/>
      <c r="AC232" s="3"/>
      <c r="AD232" s="3"/>
      <c r="AL232" s="3"/>
      <c r="AM232" s="3"/>
      <c r="AN232" s="146"/>
    </row>
    <row r="233" spans="1:82" customFormat="1" ht="12.75" customHeight="1">
      <c r="A233" s="3"/>
      <c r="B233" s="33"/>
      <c r="C233" s="75"/>
      <c r="D233" s="22"/>
      <c r="E233" s="1529"/>
      <c r="F233" s="1529"/>
      <c r="G233" s="1529"/>
      <c r="H233" s="1529"/>
      <c r="I233" s="1529"/>
      <c r="J233" s="1529"/>
      <c r="K233" s="1529"/>
      <c r="L233" s="1529"/>
      <c r="M233" s="1529"/>
      <c r="N233" s="1529"/>
      <c r="O233" s="1529"/>
      <c r="P233" s="1529"/>
      <c r="Q233" s="1529"/>
      <c r="R233" s="1529"/>
      <c r="S233" s="1529"/>
      <c r="T233" s="1529"/>
      <c r="U233" s="1529"/>
      <c r="V233" s="1529"/>
      <c r="W233" s="1529"/>
      <c r="X233" s="1529"/>
      <c r="Y233" s="1529"/>
      <c r="Z233" s="1529"/>
      <c r="AA233" s="1529"/>
      <c r="AB233" s="1529"/>
      <c r="AC233" s="3"/>
      <c r="AD233" s="3"/>
      <c r="AE233" s="3"/>
      <c r="AF233" s="33"/>
      <c r="AG233" s="3"/>
      <c r="AH233" s="3"/>
      <c r="AI233" s="3"/>
      <c r="AJ233" s="3"/>
      <c r="AK233" s="3"/>
      <c r="AL233" s="3"/>
      <c r="AM233" s="3"/>
      <c r="AN233" s="508"/>
      <c r="AO233" s="18"/>
    </row>
    <row r="234" spans="1:82" customFormat="1">
      <c r="A234" s="802"/>
      <c r="B234" s="801"/>
      <c r="C234" s="34"/>
      <c r="D234" s="22"/>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3"/>
      <c r="AD234" s="3"/>
      <c r="AE234" s="3"/>
      <c r="AM234" s="3"/>
      <c r="AN234" s="146"/>
      <c r="AO234" s="30"/>
      <c r="AP234" s="18"/>
    </row>
    <row r="235" spans="1:82" customFormat="1">
      <c r="A235" s="3"/>
      <c r="B235" s="33"/>
      <c r="C235" s="34"/>
      <c r="D235" s="22" t="s">
        <v>23</v>
      </c>
      <c r="E235" s="1529" t="s">
        <v>2033</v>
      </c>
      <c r="F235" s="1529"/>
      <c r="G235" s="1529"/>
      <c r="H235" s="1529"/>
      <c r="I235" s="1529"/>
      <c r="J235" s="1529"/>
      <c r="K235" s="1529"/>
      <c r="L235" s="1529"/>
      <c r="M235" s="1529"/>
      <c r="N235" s="1529"/>
      <c r="O235" s="1529"/>
      <c r="P235" s="1529"/>
      <c r="Q235" s="1529"/>
      <c r="R235" s="1529"/>
      <c r="S235" s="1529"/>
      <c r="T235" s="1529"/>
      <c r="U235" s="1529"/>
      <c r="V235" s="1529"/>
      <c r="W235" s="1529"/>
      <c r="X235" s="1529"/>
      <c r="Y235" s="1529"/>
      <c r="Z235" s="1529"/>
      <c r="AA235" s="1529"/>
      <c r="AB235" s="247"/>
      <c r="AC235" s="3"/>
      <c r="AD235" s="3"/>
      <c r="AF235" s="1592" t="s">
        <v>1987</v>
      </c>
      <c r="AG235" s="1592"/>
      <c r="AH235" s="1592"/>
      <c r="AI235" s="1592"/>
      <c r="AJ235" s="1592"/>
      <c r="AK235" s="1592"/>
      <c r="AL235" s="1592"/>
      <c r="AM235" s="3"/>
      <c r="AN235" s="146"/>
      <c r="AO235" s="30"/>
      <c r="AP235" s="18"/>
    </row>
    <row r="236" spans="1:82" customFormat="1">
      <c r="A236" s="3"/>
      <c r="B236" s="33"/>
      <c r="C236" s="34"/>
      <c r="D236" s="3"/>
      <c r="E236" s="1529"/>
      <c r="F236" s="1529"/>
      <c r="G236" s="1529"/>
      <c r="H236" s="1529"/>
      <c r="I236" s="1529"/>
      <c r="J236" s="1529"/>
      <c r="K236" s="1529"/>
      <c r="L236" s="1529"/>
      <c r="M236" s="1529"/>
      <c r="N236" s="1529"/>
      <c r="O236" s="1529"/>
      <c r="P236" s="1529"/>
      <c r="Q236" s="1529"/>
      <c r="R236" s="1529"/>
      <c r="S236" s="1529"/>
      <c r="T236" s="1529"/>
      <c r="U236" s="1529"/>
      <c r="V236" s="1529"/>
      <c r="W236" s="1529"/>
      <c r="X236" s="1529"/>
      <c r="Y236" s="1529"/>
      <c r="Z236" s="1529"/>
      <c r="AA236" s="1529"/>
      <c r="AB236" s="247"/>
      <c r="AC236" s="831"/>
      <c r="AD236" s="831"/>
      <c r="AE236" s="831"/>
      <c r="AF236" s="831"/>
      <c r="AG236" s="831"/>
      <c r="AH236" s="831"/>
      <c r="AI236" s="831"/>
      <c r="AJ236" s="3"/>
      <c r="AK236" s="3"/>
      <c r="AL236" s="3"/>
      <c r="AM236" s="3"/>
      <c r="AN236" s="146"/>
      <c r="AO236" s="30"/>
      <c r="AP236" s="18"/>
    </row>
    <row r="237" spans="1:82" customFormat="1">
      <c r="A237" s="3"/>
      <c r="B237" s="33"/>
      <c r="C237" s="34"/>
      <c r="D237" s="3"/>
      <c r="E237" s="1529"/>
      <c r="F237" s="1529"/>
      <c r="G237" s="1529"/>
      <c r="H237" s="1529"/>
      <c r="I237" s="1529"/>
      <c r="J237" s="1529"/>
      <c r="K237" s="1529"/>
      <c r="L237" s="1529"/>
      <c r="M237" s="1529"/>
      <c r="N237" s="1529"/>
      <c r="O237" s="1529"/>
      <c r="P237" s="1529"/>
      <c r="Q237" s="1529"/>
      <c r="R237" s="1529"/>
      <c r="S237" s="1529"/>
      <c r="T237" s="1529"/>
      <c r="U237" s="1529"/>
      <c r="V237" s="1529"/>
      <c r="W237" s="1529"/>
      <c r="X237" s="1529"/>
      <c r="Y237" s="1529"/>
      <c r="Z237" s="1529"/>
      <c r="AA237" s="1529"/>
      <c r="AB237" s="247"/>
      <c r="AC237" s="831"/>
      <c r="AD237" s="831"/>
      <c r="AE237" s="831"/>
      <c r="AF237" s="831"/>
      <c r="AG237" s="831"/>
      <c r="AH237" s="831"/>
      <c r="AI237" s="831"/>
      <c r="AJ237" s="3"/>
      <c r="AK237" s="3"/>
      <c r="AL237" s="3"/>
      <c r="AM237" s="3"/>
      <c r="AN237" s="146"/>
      <c r="AO237" s="30"/>
      <c r="AP237" s="18"/>
    </row>
    <row r="238" spans="1:82" customFormat="1">
      <c r="A238" s="3"/>
      <c r="B238" s="33"/>
      <c r="C238" s="34"/>
      <c r="D238" s="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831"/>
      <c r="AD238" s="831"/>
      <c r="AE238" s="831"/>
      <c r="AF238" s="831"/>
      <c r="AG238" s="831"/>
      <c r="AH238" s="831"/>
      <c r="AI238" s="831"/>
      <c r="AJ238" s="3"/>
      <c r="AK238" s="3"/>
      <c r="AL238" s="3"/>
      <c r="AM238" s="3"/>
      <c r="AN238" s="146"/>
    </row>
    <row r="239" spans="1:82" customFormat="1" ht="12.75" customHeight="1">
      <c r="A239" s="3"/>
      <c r="B239" s="33"/>
      <c r="C239" s="34"/>
      <c r="D239" s="3" t="s">
        <v>1973</v>
      </c>
      <c r="E239" s="835"/>
      <c r="F239" s="835"/>
      <c r="G239" s="835"/>
      <c r="H239" s="1680" t="s">
        <v>18</v>
      </c>
      <c r="I239" s="1680"/>
      <c r="J239" s="23"/>
      <c r="K239" s="23"/>
      <c r="L239" s="23"/>
      <c r="M239" s="23"/>
      <c r="N239" s="23"/>
      <c r="O239" s="23"/>
      <c r="P239" s="23"/>
      <c r="Q239" s="23"/>
      <c r="R239" s="23"/>
      <c r="S239" s="23"/>
      <c r="T239" s="23"/>
      <c r="U239" s="23"/>
      <c r="V239" s="23"/>
      <c r="W239" s="23"/>
      <c r="X239" s="23"/>
      <c r="Y239" s="23"/>
      <c r="Z239" s="23"/>
      <c r="AA239" s="23"/>
      <c r="AB239" s="23"/>
      <c r="AC239" s="831"/>
      <c r="AD239" s="831"/>
      <c r="AE239" s="831"/>
      <c r="AF239" s="831"/>
      <c r="AG239" s="831"/>
      <c r="AH239" s="831"/>
      <c r="AI239" s="831"/>
      <c r="AJ239" s="3"/>
      <c r="AK239" s="3"/>
      <c r="AL239" s="3"/>
      <c r="AM239" s="3"/>
      <c r="AN239" s="146"/>
    </row>
    <row r="240" spans="1:82" customFormat="1" ht="12.75" customHeight="1">
      <c r="A240" s="3"/>
      <c r="B240" s="33"/>
      <c r="C240" s="34"/>
      <c r="D240" s="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831"/>
      <c r="AD240" s="831"/>
      <c r="AE240" s="831"/>
      <c r="AF240" s="831"/>
      <c r="AG240" s="831"/>
      <c r="AH240" s="831"/>
      <c r="AI240" s="831"/>
      <c r="AJ240" s="3"/>
      <c r="AK240" s="3"/>
      <c r="AL240" s="3"/>
      <c r="AM240" s="3"/>
      <c r="AN240" s="508"/>
      <c r="AO240" s="30"/>
      <c r="AP240" s="18"/>
      <c r="AQ240" s="18"/>
      <c r="AR240" s="18"/>
      <c r="AS240" s="18"/>
      <c r="AT240" s="18"/>
      <c r="AU240" s="18"/>
      <c r="AV240" s="18"/>
      <c r="AW240" s="18"/>
      <c r="AX240" s="18"/>
      <c r="AY240" s="18"/>
      <c r="AZ240" s="18"/>
      <c r="BA240" s="18"/>
      <c r="BB240" s="18"/>
      <c r="BC240" s="18"/>
      <c r="BD240" s="32"/>
      <c r="BE240" s="32"/>
      <c r="BF240" s="32"/>
      <c r="BG240" s="32"/>
      <c r="BH240" s="32"/>
      <c r="BI240" s="18"/>
      <c r="BJ240" s="18"/>
      <c r="BK240" s="18"/>
      <c r="BL240" s="18"/>
      <c r="BM240" s="18"/>
      <c r="BN240" s="18"/>
      <c r="BO240" s="18"/>
      <c r="BP240" s="18"/>
      <c r="BQ240" s="18"/>
      <c r="BR240" s="18"/>
      <c r="BS240" s="18"/>
      <c r="BT240" s="18"/>
      <c r="BU240" s="18"/>
      <c r="BV240" s="18"/>
    </row>
    <row r="241" spans="1:74" customFormat="1">
      <c r="A241" s="60"/>
      <c r="B241" s="302"/>
      <c r="C241" s="80"/>
      <c r="D241" s="61"/>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91"/>
      <c r="AC241" s="91"/>
      <c r="AD241" s="91"/>
      <c r="AE241" s="91"/>
      <c r="AF241" s="91"/>
      <c r="AG241" s="91"/>
      <c r="AH241" s="61"/>
      <c r="AI241" s="788" t="s">
        <v>2034</v>
      </c>
      <c r="AJ241" s="1194">
        <f>VLOOKUP($H$239,$AO$178:$AP$180,2,FALSE)</f>
        <v>3</v>
      </c>
      <c r="AK241" s="1196"/>
      <c r="AL241" s="801"/>
      <c r="AM241" s="3"/>
      <c r="AN241" s="508"/>
      <c r="AO241" s="30"/>
      <c r="AP241" s="18"/>
      <c r="AQ241" s="18"/>
      <c r="AR241" s="18"/>
      <c r="AS241" s="18"/>
      <c r="AT241" s="18"/>
      <c r="AU241" s="18"/>
      <c r="AV241" s="18"/>
      <c r="AW241" s="18"/>
      <c r="AX241" s="18"/>
      <c r="AY241" s="18"/>
      <c r="AZ241" s="18"/>
      <c r="BA241" s="18"/>
      <c r="BB241" s="18"/>
      <c r="BC241" s="18"/>
      <c r="BD241" s="32"/>
      <c r="BE241" s="32"/>
      <c r="BF241" s="32"/>
      <c r="BG241" s="32"/>
      <c r="BH241" s="32"/>
      <c r="BI241" s="18"/>
      <c r="BJ241" s="18"/>
      <c r="BK241" s="18"/>
      <c r="BL241" s="18"/>
      <c r="BM241" s="18"/>
      <c r="BN241" s="18"/>
      <c r="BO241" s="18"/>
      <c r="BP241" s="18"/>
      <c r="BQ241" s="18"/>
      <c r="BR241" s="18"/>
      <c r="BS241" s="18"/>
      <c r="BT241" s="18"/>
      <c r="BU241" s="18"/>
      <c r="BV241" s="18"/>
    </row>
    <row r="242" spans="1:74" customFormat="1" ht="12.75" customHeight="1">
      <c r="A242" s="28"/>
      <c r="B242" s="33"/>
      <c r="C242" s="75"/>
      <c r="D242" s="3"/>
      <c r="E242" s="3"/>
      <c r="F242" s="3"/>
      <c r="G242" s="3"/>
      <c r="H242" s="3"/>
      <c r="I242" s="3"/>
      <c r="J242" s="23"/>
      <c r="K242" s="23"/>
      <c r="L242" s="816"/>
      <c r="M242" s="816"/>
      <c r="N242" s="816"/>
      <c r="O242" s="816"/>
      <c r="P242" s="816"/>
      <c r="Q242" s="816"/>
      <c r="R242" s="816"/>
      <c r="S242" s="816"/>
      <c r="T242" s="816"/>
      <c r="U242" s="816"/>
      <c r="V242" s="16"/>
      <c r="W242" s="16"/>
      <c r="X242" s="16"/>
      <c r="Y242" s="16"/>
      <c r="Z242" s="835"/>
      <c r="AA242" s="835"/>
      <c r="AB242" s="835"/>
      <c r="AC242" s="3"/>
      <c r="AD242" s="33"/>
      <c r="AE242" s="3"/>
      <c r="AF242" s="3"/>
      <c r="AG242" s="3"/>
      <c r="AH242" s="3"/>
      <c r="AI242" s="3"/>
      <c r="AJ242" s="3"/>
      <c r="AK242" s="3"/>
      <c r="AL242" s="3"/>
      <c r="AM242" s="3"/>
      <c r="AN242" s="508"/>
      <c r="AO242" s="30"/>
      <c r="AP242" s="18"/>
      <c r="AQ242" s="18"/>
      <c r="AR242" s="18"/>
      <c r="AS242" s="18"/>
      <c r="AT242" s="18"/>
      <c r="AU242" s="18"/>
      <c r="AV242" s="18"/>
      <c r="AW242" s="18"/>
      <c r="AX242" s="18"/>
      <c r="AY242" s="18"/>
      <c r="AZ242" s="18"/>
      <c r="BA242" s="18"/>
      <c r="BB242" s="18"/>
      <c r="BC242" s="18"/>
      <c r="BD242" s="32"/>
      <c r="BE242" s="32"/>
      <c r="BF242" s="32"/>
      <c r="BG242" s="32"/>
      <c r="BH242" s="32"/>
      <c r="BI242" s="18"/>
      <c r="BJ242" s="18"/>
      <c r="BK242" s="18"/>
      <c r="BL242" s="18"/>
      <c r="BM242" s="18"/>
      <c r="BN242" s="18"/>
      <c r="BO242" s="18"/>
      <c r="BP242" s="18"/>
      <c r="BQ242" s="18"/>
      <c r="BR242" s="18"/>
      <c r="BS242" s="18"/>
      <c r="BT242" s="18"/>
      <c r="BU242" s="18"/>
      <c r="BV242" s="18"/>
    </row>
    <row r="243" spans="1:74" customFormat="1">
      <c r="A243" s="3"/>
      <c r="B243" s="3"/>
      <c r="C243" s="2" t="s">
        <v>2035</v>
      </c>
      <c r="D243" s="16"/>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508"/>
      <c r="AO243" s="30"/>
      <c r="AP243" s="18"/>
      <c r="AQ243" s="18"/>
      <c r="AR243" s="18"/>
      <c r="AS243" s="18"/>
      <c r="AT243" s="18"/>
      <c r="AU243" s="18"/>
      <c r="AV243" s="18"/>
      <c r="AW243" s="18"/>
      <c r="AX243" s="18"/>
      <c r="AY243" s="18"/>
      <c r="AZ243" s="18"/>
      <c r="BA243" s="18"/>
      <c r="BB243" s="18"/>
      <c r="BC243" s="18"/>
      <c r="BD243" s="32"/>
      <c r="BE243" s="32"/>
      <c r="BF243" s="32"/>
      <c r="BG243" s="32"/>
      <c r="BH243" s="32"/>
      <c r="BI243" s="18"/>
      <c r="BJ243" s="18"/>
      <c r="BK243" s="18"/>
      <c r="BL243" s="18"/>
      <c r="BM243" s="18"/>
      <c r="BN243" s="18"/>
      <c r="BO243" s="18"/>
      <c r="BP243" s="18"/>
      <c r="BQ243" s="18"/>
      <c r="BR243" s="18"/>
      <c r="BS243" s="18"/>
      <c r="BT243" s="18"/>
      <c r="BU243" s="18"/>
      <c r="BV243" s="18"/>
    </row>
    <row r="244" spans="1:74" customFormat="1">
      <c r="A244" s="3"/>
      <c r="B244" s="771"/>
      <c r="C244" s="3"/>
      <c r="D244" s="3"/>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771"/>
      <c r="AE244" s="16"/>
      <c r="AF244" s="16"/>
      <c r="AG244" s="16"/>
      <c r="AH244" s="16"/>
      <c r="AI244" s="3"/>
      <c r="AJ244" s="3"/>
      <c r="AK244" s="3"/>
      <c r="AL244" s="3"/>
      <c r="AM244" s="3"/>
      <c r="AN244" s="508"/>
      <c r="AO244" s="30"/>
      <c r="AP244" s="18"/>
      <c r="AQ244" s="18"/>
      <c r="AR244" s="18"/>
      <c r="AS244" s="18"/>
      <c r="AT244" s="18"/>
      <c r="AU244" s="18"/>
      <c r="AV244" s="18"/>
      <c r="AW244" s="18"/>
      <c r="AX244" s="18"/>
      <c r="AY244" s="18"/>
      <c r="AZ244" s="18"/>
      <c r="BA244" s="18"/>
      <c r="BB244" s="18"/>
      <c r="BC244" s="18"/>
      <c r="BD244" s="32"/>
      <c r="BE244" s="32"/>
      <c r="BF244" s="32"/>
      <c r="BG244" s="32"/>
      <c r="BH244" s="32"/>
      <c r="BI244" s="18"/>
      <c r="BJ244" s="18"/>
      <c r="BK244" s="18"/>
      <c r="BL244" s="18"/>
      <c r="BM244" s="18"/>
      <c r="BN244" s="18"/>
      <c r="BO244" s="18"/>
      <c r="BP244" s="18"/>
      <c r="BQ244" s="18"/>
      <c r="BR244" s="18"/>
      <c r="BS244" s="18"/>
      <c r="BT244" s="18"/>
      <c r="BU244" s="18"/>
      <c r="BV244" s="18"/>
    </row>
    <row r="245" spans="1:74" customFormat="1">
      <c r="A245" s="3"/>
      <c r="B245" s="3"/>
      <c r="C245" s="34"/>
      <c r="D245" s="22" t="s">
        <v>18</v>
      </c>
      <c r="E245" s="1529" t="s">
        <v>2036</v>
      </c>
      <c r="F245" s="1529"/>
      <c r="G245" s="1529"/>
      <c r="H245" s="1529"/>
      <c r="I245" s="1529"/>
      <c r="J245" s="1529"/>
      <c r="K245" s="1529"/>
      <c r="L245" s="1529"/>
      <c r="M245" s="1529"/>
      <c r="N245" s="1529"/>
      <c r="O245" s="1529"/>
      <c r="P245" s="1529"/>
      <c r="Q245" s="1529"/>
      <c r="R245" s="1529"/>
      <c r="S245" s="1529"/>
      <c r="T245" s="1529"/>
      <c r="U245" s="1529"/>
      <c r="V245" s="1529"/>
      <c r="W245" s="1529"/>
      <c r="X245" s="1529"/>
      <c r="Y245" s="1529"/>
      <c r="Z245" s="1529"/>
      <c r="AA245" s="1529"/>
      <c r="AB245" s="1529"/>
      <c r="AC245" s="3"/>
      <c r="AD245" s="3"/>
      <c r="AF245" s="1592" t="s">
        <v>1987</v>
      </c>
      <c r="AG245" s="1592"/>
      <c r="AH245" s="1592"/>
      <c r="AI245" s="1592"/>
      <c r="AJ245" s="1592"/>
      <c r="AK245" s="1592"/>
      <c r="AL245" s="1592"/>
      <c r="AM245" s="3"/>
      <c r="AN245" s="508"/>
      <c r="AO245" s="30"/>
      <c r="AP245" s="18"/>
      <c r="AQ245" s="18"/>
      <c r="AR245" s="18"/>
      <c r="AS245" s="18"/>
      <c r="AT245" s="18"/>
      <c r="AU245" s="18"/>
      <c r="AV245" s="18"/>
      <c r="AW245" s="18"/>
      <c r="AX245" s="18"/>
      <c r="AY245" s="18"/>
      <c r="AZ245" s="18"/>
      <c r="BA245" s="18"/>
      <c r="BB245" s="18"/>
      <c r="BC245" s="18"/>
      <c r="BD245" s="32"/>
      <c r="BE245" s="32"/>
      <c r="BF245" s="32"/>
      <c r="BG245" s="32"/>
      <c r="BH245" s="32"/>
      <c r="BI245" s="18"/>
      <c r="BJ245" s="18"/>
      <c r="BK245" s="18"/>
      <c r="BL245" s="18"/>
      <c r="BM245" s="18"/>
      <c r="BN245" s="18"/>
      <c r="BO245" s="18"/>
      <c r="BP245" s="18"/>
      <c r="BQ245" s="18"/>
      <c r="BR245" s="18"/>
      <c r="BS245" s="18"/>
      <c r="BT245" s="18"/>
      <c r="BU245" s="18"/>
      <c r="BV245" s="18"/>
    </row>
    <row r="246" spans="1:74" customFormat="1">
      <c r="A246" s="3"/>
      <c r="B246" s="33"/>
      <c r="C246" s="75"/>
      <c r="D246" s="22"/>
      <c r="E246" s="1529"/>
      <c r="F246" s="1529"/>
      <c r="G246" s="1529"/>
      <c r="H246" s="1529"/>
      <c r="I246" s="1529"/>
      <c r="J246" s="1529"/>
      <c r="K246" s="1529"/>
      <c r="L246" s="1529"/>
      <c r="M246" s="1529"/>
      <c r="N246" s="1529"/>
      <c r="O246" s="1529"/>
      <c r="P246" s="1529"/>
      <c r="Q246" s="1529"/>
      <c r="R246" s="1529"/>
      <c r="S246" s="1529"/>
      <c r="T246" s="1529"/>
      <c r="U246" s="1529"/>
      <c r="V246" s="1529"/>
      <c r="W246" s="1529"/>
      <c r="X246" s="1529"/>
      <c r="Y246" s="1529"/>
      <c r="Z246" s="1529"/>
      <c r="AA246" s="1529"/>
      <c r="AB246" s="1529"/>
      <c r="AC246" s="3"/>
      <c r="AD246" s="3"/>
      <c r="AL246" s="3"/>
      <c r="AM246" s="3"/>
      <c r="AN246" s="508"/>
      <c r="AO246" s="30"/>
      <c r="AP246" s="18"/>
      <c r="AQ246" s="18"/>
      <c r="AR246" s="18"/>
      <c r="AS246" s="18"/>
      <c r="AT246" s="18"/>
      <c r="AU246" s="18"/>
      <c r="AV246" s="18"/>
      <c r="AW246" s="18"/>
      <c r="AX246" s="18"/>
      <c r="AY246" s="18"/>
      <c r="AZ246" s="18"/>
      <c r="BA246" s="18"/>
      <c r="BB246" s="18"/>
      <c r="BC246" s="18"/>
      <c r="BD246" s="32"/>
      <c r="BE246" s="32"/>
      <c r="BF246" s="32"/>
      <c r="BG246" s="32"/>
      <c r="BH246" s="32"/>
      <c r="BI246" s="18"/>
      <c r="BJ246" s="18"/>
      <c r="BK246" s="18"/>
      <c r="BL246" s="18"/>
      <c r="BM246" s="18"/>
      <c r="BN246" s="18"/>
      <c r="BO246" s="18"/>
      <c r="BP246" s="18"/>
      <c r="BQ246" s="18"/>
      <c r="BR246" s="18"/>
      <c r="BS246" s="18"/>
      <c r="BT246" s="18"/>
      <c r="BU246" s="18"/>
      <c r="BV246" s="18"/>
    </row>
    <row r="247" spans="1:74" customFormat="1">
      <c r="A247" s="3"/>
      <c r="B247" s="771"/>
      <c r="C247" s="78"/>
      <c r="D247" s="22"/>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3"/>
      <c r="AD247" s="3"/>
      <c r="AE247" s="16"/>
      <c r="AF247" s="771"/>
      <c r="AG247" s="16"/>
      <c r="AH247" s="16"/>
      <c r="AI247" s="16"/>
      <c r="AJ247" s="16"/>
      <c r="AK247" s="3"/>
      <c r="AL247" s="3"/>
      <c r="AM247" s="3"/>
      <c r="AN247" s="508"/>
      <c r="AO247" s="30"/>
      <c r="AP247" s="18"/>
      <c r="AQ247" s="18"/>
      <c r="AR247" s="18"/>
      <c r="AS247" s="18"/>
      <c r="AT247" s="18"/>
      <c r="AU247" s="18"/>
      <c r="AV247" s="18"/>
      <c r="AW247" s="18"/>
      <c r="AX247" s="18"/>
      <c r="AY247" s="18"/>
      <c r="AZ247" s="18"/>
      <c r="BA247" s="18"/>
      <c r="BB247" s="18"/>
      <c r="BC247" s="18"/>
      <c r="BD247" s="32"/>
      <c r="BE247" s="32"/>
      <c r="BF247" s="32"/>
      <c r="BG247" s="32"/>
      <c r="BH247" s="32"/>
      <c r="BI247" s="18"/>
      <c r="BJ247" s="18"/>
      <c r="BK247" s="18"/>
      <c r="BL247" s="18"/>
      <c r="BM247" s="18"/>
      <c r="BN247" s="18"/>
      <c r="BO247" s="18"/>
      <c r="BP247" s="18"/>
      <c r="BQ247" s="18"/>
      <c r="BR247" s="18"/>
      <c r="BS247" s="18"/>
      <c r="BT247" s="18"/>
      <c r="BU247" s="18"/>
      <c r="BV247" s="18"/>
    </row>
    <row r="248" spans="1:74" customFormat="1">
      <c r="A248" s="28"/>
      <c r="B248" s="33"/>
      <c r="C248" s="34"/>
      <c r="D248" s="22" t="s">
        <v>23</v>
      </c>
      <c r="E248" s="1529" t="s">
        <v>2037</v>
      </c>
      <c r="F248" s="1529"/>
      <c r="G248" s="1529"/>
      <c r="H248" s="1529"/>
      <c r="I248" s="1529"/>
      <c r="J248" s="1529"/>
      <c r="K248" s="1529"/>
      <c r="L248" s="1529"/>
      <c r="M248" s="1529"/>
      <c r="N248" s="1529"/>
      <c r="O248" s="1529"/>
      <c r="P248" s="1529"/>
      <c r="Q248" s="1529"/>
      <c r="R248" s="1529"/>
      <c r="S248" s="1529"/>
      <c r="T248" s="1529"/>
      <c r="U248" s="1529"/>
      <c r="V248" s="1529"/>
      <c r="W248" s="1529"/>
      <c r="X248" s="1529"/>
      <c r="Y248" s="1529"/>
      <c r="Z248" s="1529"/>
      <c r="AA248" s="1529"/>
      <c r="AB248" s="1529"/>
      <c r="AC248" s="3"/>
      <c r="AD248" s="3"/>
      <c r="AF248" s="1592" t="s">
        <v>2006</v>
      </c>
      <c r="AG248" s="1592"/>
      <c r="AH248" s="1592"/>
      <c r="AI248" s="1592"/>
      <c r="AJ248" s="1592"/>
      <c r="AK248" s="1592"/>
      <c r="AL248" s="1592"/>
      <c r="AM248" s="3"/>
      <c r="AN248" s="508"/>
      <c r="AO248" s="30"/>
      <c r="AP248" s="18"/>
      <c r="AQ248" s="18"/>
      <c r="AR248" s="18"/>
      <c r="AS248" s="18"/>
      <c r="AT248" s="18"/>
      <c r="AU248" s="18"/>
      <c r="AV248" s="18"/>
      <c r="AW248" s="18"/>
      <c r="AX248" s="18"/>
      <c r="AY248" s="18"/>
      <c r="AZ248" s="18"/>
      <c r="BA248" s="18"/>
      <c r="BB248" s="18"/>
      <c r="BC248" s="18"/>
      <c r="BD248" s="32"/>
      <c r="BE248" s="32"/>
      <c r="BF248" s="32"/>
      <c r="BG248" s="32"/>
      <c r="BH248" s="32"/>
      <c r="BI248" s="18"/>
      <c r="BJ248" s="18"/>
      <c r="BK248" s="18"/>
      <c r="BL248" s="18"/>
      <c r="BM248" s="18"/>
      <c r="BN248" s="18"/>
      <c r="BO248" s="18"/>
      <c r="BP248" s="18"/>
      <c r="BQ248" s="18"/>
      <c r="BR248" s="18"/>
      <c r="BS248" s="18"/>
      <c r="BT248" s="18"/>
      <c r="BU248" s="18"/>
      <c r="BV248" s="18"/>
    </row>
    <row r="249" spans="1:74" customFormat="1" ht="12.75" customHeight="1">
      <c r="A249" s="28"/>
      <c r="B249" s="33"/>
      <c r="C249" s="34"/>
      <c r="D249" s="22"/>
      <c r="E249" s="1529"/>
      <c r="F249" s="1529"/>
      <c r="G249" s="1529"/>
      <c r="H249" s="1529"/>
      <c r="I249" s="1529"/>
      <c r="J249" s="1529"/>
      <c r="K249" s="1529"/>
      <c r="L249" s="1529"/>
      <c r="M249" s="1529"/>
      <c r="N249" s="1529"/>
      <c r="O249" s="1529"/>
      <c r="P249" s="1529"/>
      <c r="Q249" s="1529"/>
      <c r="R249" s="1529"/>
      <c r="S249" s="1529"/>
      <c r="T249" s="1529"/>
      <c r="U249" s="1529"/>
      <c r="V249" s="1529"/>
      <c r="W249" s="1529"/>
      <c r="X249" s="1529"/>
      <c r="Y249" s="1529"/>
      <c r="Z249" s="1529"/>
      <c r="AA249" s="1529"/>
      <c r="AB249" s="1529"/>
      <c r="AC249" s="3"/>
      <c r="AD249" s="3"/>
      <c r="AE249" s="831"/>
      <c r="AM249" s="3"/>
      <c r="AN249" s="508"/>
      <c r="AO249" s="30"/>
      <c r="AP249" s="18"/>
      <c r="AQ249" s="18"/>
      <c r="AR249" s="18"/>
      <c r="AS249" s="18"/>
      <c r="AT249" s="18"/>
      <c r="AU249" s="18"/>
      <c r="AV249" s="18"/>
      <c r="AW249" s="18"/>
      <c r="AX249" s="18"/>
      <c r="AY249" s="18"/>
      <c r="AZ249" s="18"/>
      <c r="BA249" s="18"/>
      <c r="BB249" s="18"/>
      <c r="BC249" s="18"/>
      <c r="BD249" s="32"/>
      <c r="BE249" s="32"/>
      <c r="BF249" s="32"/>
      <c r="BG249" s="32"/>
      <c r="BH249" s="32"/>
      <c r="BI249" s="18"/>
      <c r="BJ249" s="18"/>
      <c r="BK249" s="18"/>
      <c r="BL249" s="18"/>
      <c r="BM249" s="18"/>
      <c r="BN249" s="18"/>
      <c r="BO249" s="18"/>
      <c r="BP249" s="18"/>
      <c r="BQ249" s="18"/>
      <c r="BR249" s="18"/>
      <c r="BS249" s="18"/>
      <c r="BT249" s="18"/>
      <c r="BU249" s="18"/>
      <c r="BV249" s="18"/>
    </row>
    <row r="250" spans="1:74" customFormat="1">
      <c r="A250" s="3"/>
      <c r="B250" s="33"/>
      <c r="C250" s="75"/>
      <c r="D250" s="3"/>
      <c r="E250" s="816"/>
      <c r="F250" s="816"/>
      <c r="G250" s="816"/>
      <c r="H250" s="816"/>
      <c r="I250" s="816"/>
      <c r="J250" s="816"/>
      <c r="K250" s="816"/>
      <c r="L250" s="816"/>
      <c r="M250" s="816"/>
      <c r="N250" s="816"/>
      <c r="O250" s="816"/>
      <c r="P250" s="816"/>
      <c r="Q250" s="816"/>
      <c r="R250" s="816"/>
      <c r="S250" s="816"/>
      <c r="T250" s="816"/>
      <c r="U250" s="816"/>
      <c r="V250" s="816"/>
      <c r="W250" s="816"/>
      <c r="X250" s="816"/>
      <c r="Y250" s="816"/>
      <c r="Z250" s="816"/>
      <c r="AA250" s="816"/>
      <c r="AB250" s="816"/>
      <c r="AC250" s="3"/>
      <c r="AD250" s="33"/>
      <c r="AE250" s="16"/>
      <c r="AF250" s="16"/>
      <c r="AG250" s="16"/>
      <c r="AH250" s="16"/>
      <c r="AI250" s="3"/>
      <c r="AJ250" s="3"/>
      <c r="AK250" s="3"/>
      <c r="AL250" s="3"/>
      <c r="AM250" s="3"/>
      <c r="AN250" s="508"/>
      <c r="AO250" s="30"/>
      <c r="AP250" s="18"/>
      <c r="AQ250" s="18"/>
      <c r="AR250" s="18"/>
      <c r="AS250" s="18"/>
      <c r="AT250" s="18"/>
      <c r="AU250" s="18"/>
      <c r="AV250" s="18"/>
      <c r="AW250" s="18"/>
      <c r="AX250" s="18"/>
      <c r="AY250" s="18"/>
      <c r="AZ250" s="18"/>
      <c r="BA250" s="18"/>
      <c r="BB250" s="18"/>
      <c r="BC250" s="18"/>
      <c r="BD250" s="32"/>
      <c r="BE250" s="32"/>
      <c r="BF250" s="32"/>
      <c r="BG250" s="32"/>
      <c r="BH250" s="32"/>
      <c r="BI250" s="18"/>
      <c r="BJ250" s="18"/>
      <c r="BK250" s="18"/>
      <c r="BL250" s="18"/>
      <c r="BM250" s="18"/>
      <c r="BN250" s="18"/>
      <c r="BO250" s="18"/>
      <c r="BP250" s="18"/>
      <c r="BQ250" s="18"/>
      <c r="BR250" s="18"/>
      <c r="BS250" s="18"/>
      <c r="BT250" s="18"/>
      <c r="BU250" s="18"/>
      <c r="BV250" s="18"/>
    </row>
    <row r="251" spans="1:74" customFormat="1" ht="12.75" customHeight="1">
      <c r="A251" s="3"/>
      <c r="B251" s="33"/>
      <c r="C251" s="3"/>
      <c r="D251" s="3" t="s">
        <v>1973</v>
      </c>
      <c r="E251" s="835"/>
      <c r="F251" s="835"/>
      <c r="G251" s="835"/>
      <c r="H251" s="1680" t="s">
        <v>325</v>
      </c>
      <c r="I251" s="1680"/>
      <c r="J251" s="816"/>
      <c r="K251" s="816"/>
      <c r="L251" s="816"/>
      <c r="M251" s="816"/>
      <c r="N251" s="816"/>
      <c r="O251" s="816"/>
      <c r="P251" s="816"/>
      <c r="Q251" s="3"/>
      <c r="R251" s="3"/>
      <c r="S251" s="3"/>
      <c r="T251" s="3"/>
      <c r="U251" s="3"/>
      <c r="V251" s="3"/>
      <c r="W251" s="816"/>
      <c r="X251" s="816"/>
      <c r="Y251" s="816"/>
      <c r="Z251" s="816"/>
      <c r="AA251" s="816"/>
      <c r="AB251" s="816"/>
      <c r="AC251" s="3"/>
      <c r="AD251" s="33"/>
      <c r="AE251" s="16"/>
      <c r="AF251" s="16"/>
      <c r="AG251" s="16"/>
      <c r="AH251" s="16"/>
      <c r="AI251" s="3"/>
      <c r="AJ251" s="3"/>
      <c r="AK251" s="3"/>
      <c r="AL251" s="3"/>
      <c r="AM251" s="3"/>
      <c r="AN251" s="508"/>
      <c r="AO251" s="30"/>
      <c r="AP251" s="18"/>
      <c r="AQ251" s="18"/>
      <c r="AR251" s="18"/>
      <c r="AS251" s="18"/>
      <c r="AT251" s="18"/>
      <c r="AU251" s="18"/>
      <c r="AV251" s="18"/>
      <c r="AW251" s="18"/>
      <c r="AX251" s="18"/>
      <c r="AY251" s="18"/>
      <c r="AZ251" s="18"/>
      <c r="BA251" s="18"/>
      <c r="BB251" s="18"/>
      <c r="BC251" s="18"/>
      <c r="BD251" s="32"/>
      <c r="BE251" s="32"/>
      <c r="BF251" s="32"/>
      <c r="BG251" s="32"/>
      <c r="BH251" s="32"/>
      <c r="BI251" s="18"/>
      <c r="BJ251" s="18"/>
      <c r="BK251" s="18"/>
      <c r="BL251" s="18"/>
      <c r="BM251" s="18"/>
      <c r="BN251" s="18"/>
      <c r="BO251" s="18"/>
      <c r="BP251" s="18"/>
      <c r="BQ251" s="18"/>
      <c r="BR251" s="18"/>
      <c r="BS251" s="18"/>
      <c r="BT251" s="18"/>
      <c r="BU251" s="18"/>
      <c r="BV251" s="18"/>
    </row>
    <row r="252" spans="1:74" customFormat="1" ht="12.75" customHeight="1">
      <c r="A252" s="3"/>
      <c r="B252" s="771"/>
      <c r="C252" s="92"/>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771"/>
      <c r="AE252" s="16"/>
      <c r="AF252" s="16"/>
      <c r="AG252" s="16"/>
      <c r="AH252" s="16"/>
      <c r="AI252" s="3"/>
      <c r="AJ252" s="3"/>
      <c r="AK252" s="3"/>
      <c r="AL252" s="3"/>
      <c r="AM252" s="3"/>
      <c r="AN252" s="508"/>
      <c r="AO252" s="30"/>
      <c r="AP252" s="18"/>
      <c r="AQ252" s="18"/>
      <c r="AR252" s="18"/>
      <c r="AS252" s="18"/>
      <c r="AT252" s="18"/>
      <c r="AU252" s="18"/>
      <c r="AV252" s="18"/>
      <c r="AW252" s="18"/>
      <c r="AX252" s="18"/>
      <c r="AY252" s="18"/>
      <c r="AZ252" s="18"/>
      <c r="BA252" s="18"/>
      <c r="BB252" s="18"/>
      <c r="BC252" s="18"/>
      <c r="BD252" s="32"/>
      <c r="BE252" s="32"/>
      <c r="BF252" s="32"/>
      <c r="BG252" s="32"/>
      <c r="BH252" s="32"/>
      <c r="BI252" s="18"/>
      <c r="BJ252" s="18"/>
      <c r="BK252" s="18"/>
      <c r="BL252" s="18"/>
      <c r="BM252" s="18"/>
      <c r="BN252" s="18"/>
      <c r="BO252" s="18"/>
      <c r="BP252" s="18"/>
      <c r="BQ252" s="18"/>
      <c r="BR252" s="18"/>
      <c r="BS252" s="18"/>
      <c r="BT252" s="18"/>
      <c r="BU252" s="18"/>
      <c r="BV252" s="18"/>
    </row>
    <row r="253" spans="1:74" customFormat="1" ht="13.9" customHeight="1">
      <c r="A253" s="60"/>
      <c r="B253" s="906"/>
      <c r="C253" s="93"/>
      <c r="D253" s="82"/>
      <c r="E253" s="82"/>
      <c r="F253" s="82"/>
      <c r="G253" s="82"/>
      <c r="H253" s="82"/>
      <c r="I253" s="82"/>
      <c r="J253" s="82"/>
      <c r="K253" s="82"/>
      <c r="L253" s="82"/>
      <c r="M253" s="82"/>
      <c r="N253" s="82"/>
      <c r="O253" s="82"/>
      <c r="P253" s="82"/>
      <c r="Q253" s="82"/>
      <c r="R253" s="82"/>
      <c r="S253" s="82"/>
      <c r="T253" s="82"/>
      <c r="U253" s="82"/>
      <c r="V253" s="82"/>
      <c r="W253" s="82"/>
      <c r="X253" s="82"/>
      <c r="Y253" s="82"/>
      <c r="Z253" s="82"/>
      <c r="AA253" s="82"/>
      <c r="AB253" s="82"/>
      <c r="AC253" s="906"/>
      <c r="AD253" s="82"/>
      <c r="AE253" s="82"/>
      <c r="AF253" s="82"/>
      <c r="AG253" s="82"/>
      <c r="AH253" s="61"/>
      <c r="AI253" s="788" t="s">
        <v>2038</v>
      </c>
      <c r="AJ253" s="1194">
        <f>VLOOKUP($H$251,$AO$191:$AP$193,2,FALSE)</f>
        <v>0</v>
      </c>
      <c r="AK253" s="1196"/>
      <c r="AL253" s="801"/>
      <c r="AM253" s="3"/>
      <c r="AN253" s="508"/>
      <c r="AO253" s="30"/>
      <c r="AP253" s="18"/>
      <c r="AQ253" s="18"/>
      <c r="AR253" s="18"/>
      <c r="AS253" s="18"/>
      <c r="AT253" s="18"/>
      <c r="AU253" s="18"/>
      <c r="AV253" s="18"/>
      <c r="AW253" s="18"/>
      <c r="AX253" s="18"/>
      <c r="AY253" s="18"/>
      <c r="AZ253" s="18"/>
      <c r="BA253" s="18"/>
      <c r="BB253" s="18"/>
      <c r="BC253" s="18"/>
      <c r="BD253" s="32"/>
      <c r="BE253" s="32"/>
      <c r="BF253" s="32"/>
      <c r="BG253" s="32"/>
      <c r="BH253" s="32"/>
      <c r="BI253" s="18"/>
      <c r="BJ253" s="18"/>
      <c r="BK253" s="18"/>
      <c r="BL253" s="18"/>
      <c r="BM253" s="18"/>
      <c r="BN253" s="18"/>
      <c r="BO253" s="18"/>
      <c r="BP253" s="18"/>
      <c r="BQ253" s="18"/>
      <c r="BR253" s="18"/>
      <c r="BS253" s="18"/>
      <c r="BT253" s="18"/>
      <c r="BU253" s="18"/>
      <c r="BV253" s="18"/>
    </row>
    <row r="254" spans="1:74" customFormat="1">
      <c r="A254" s="3"/>
      <c r="B254" s="771"/>
      <c r="C254" s="92"/>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771"/>
      <c r="AD254" s="16"/>
      <c r="AE254" s="16"/>
      <c r="AF254" s="16"/>
      <c r="AG254" s="16"/>
      <c r="AH254" s="3"/>
      <c r="AI254" s="836"/>
      <c r="AJ254" s="801"/>
      <c r="AK254" s="801"/>
      <c r="AL254" s="801"/>
      <c r="AM254" s="3"/>
      <c r="AN254" s="508"/>
      <c r="AO254" s="30"/>
      <c r="AP254" s="18"/>
      <c r="AQ254" s="18"/>
      <c r="AR254" s="18"/>
      <c r="AS254" s="18"/>
      <c r="AT254" s="18"/>
      <c r="AU254" s="18"/>
      <c r="AV254" s="18"/>
      <c r="AW254" s="18"/>
      <c r="AX254" s="18"/>
      <c r="AY254" s="18"/>
      <c r="AZ254" s="18"/>
      <c r="BA254" s="18"/>
      <c r="BB254" s="18"/>
      <c r="BC254" s="18"/>
      <c r="BD254" s="32"/>
      <c r="BE254" s="32"/>
      <c r="BF254" s="32"/>
      <c r="BG254" s="32"/>
      <c r="BH254" s="32"/>
      <c r="BI254" s="18"/>
      <c r="BJ254" s="18"/>
      <c r="BK254" s="18"/>
      <c r="BL254" s="18"/>
      <c r="BM254" s="18"/>
      <c r="BN254" s="18"/>
      <c r="BO254" s="18"/>
      <c r="BP254" s="18"/>
      <c r="BQ254" s="18"/>
      <c r="BR254" s="18"/>
      <c r="BS254" s="18"/>
      <c r="BT254" s="18"/>
      <c r="BU254" s="18"/>
      <c r="BV254" s="18"/>
    </row>
    <row r="255" spans="1:74" customFormat="1">
      <c r="A255" s="3"/>
      <c r="B255" s="771"/>
      <c r="C255" s="2" t="s">
        <v>2039</v>
      </c>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771"/>
      <c r="AD255" s="16"/>
      <c r="AE255" s="16"/>
      <c r="AF255" s="16"/>
      <c r="AG255" s="16"/>
      <c r="AH255" s="3"/>
      <c r="AI255" s="836"/>
      <c r="AJ255" s="801"/>
      <c r="AK255" s="801"/>
      <c r="AL255" s="801"/>
      <c r="AM255" s="3"/>
      <c r="AN255" s="508"/>
      <c r="AO255" s="30"/>
      <c r="AP255" s="18"/>
      <c r="AQ255" s="18"/>
      <c r="AR255" s="18"/>
      <c r="AS255" s="18"/>
      <c r="AT255" s="18"/>
      <c r="AU255" s="18"/>
      <c r="AV255" s="18"/>
      <c r="AW255" s="18"/>
      <c r="AX255" s="18"/>
      <c r="AY255" s="18"/>
      <c r="AZ255" s="18"/>
      <c r="BA255" s="18"/>
      <c r="BB255" s="18"/>
      <c r="BC255" s="18"/>
      <c r="BD255" s="32"/>
      <c r="BE255" s="32"/>
      <c r="BF255" s="32"/>
      <c r="BG255" s="32"/>
      <c r="BH255" s="32"/>
      <c r="BI255" s="18"/>
      <c r="BJ255" s="18"/>
      <c r="BK255" s="18"/>
      <c r="BL255" s="18"/>
      <c r="BM255" s="18"/>
      <c r="BN255" s="18"/>
      <c r="BO255" s="18"/>
      <c r="BP255" s="18"/>
      <c r="BQ255" s="18"/>
      <c r="BR255" s="18"/>
      <c r="BS255" s="18"/>
      <c r="BT255" s="18"/>
      <c r="BU255" s="18"/>
      <c r="BV255" s="18"/>
    </row>
    <row r="256" spans="1:74" customFormat="1">
      <c r="A256" s="3"/>
      <c r="B256" s="771"/>
      <c r="C256" s="92"/>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771"/>
      <c r="AD256" s="16"/>
      <c r="AE256" s="16"/>
      <c r="AF256" s="16"/>
      <c r="AG256" s="16"/>
      <c r="AH256" s="3"/>
      <c r="AI256" s="836"/>
      <c r="AJ256" s="801"/>
      <c r="AK256" s="801"/>
      <c r="AL256" s="801"/>
      <c r="AM256" s="3"/>
      <c r="AN256" s="146"/>
    </row>
    <row r="257" spans="1:82" customFormat="1" ht="13.7" customHeight="1">
      <c r="A257" s="3"/>
      <c r="B257" s="771"/>
      <c r="C257" s="92"/>
      <c r="D257" s="22" t="s">
        <v>18</v>
      </c>
      <c r="E257" s="1529" t="s">
        <v>2040</v>
      </c>
      <c r="F257" s="1529"/>
      <c r="G257" s="1529"/>
      <c r="H257" s="1529"/>
      <c r="I257" s="1529"/>
      <c r="J257" s="1529"/>
      <c r="K257" s="1529"/>
      <c r="L257" s="1529"/>
      <c r="M257" s="1529"/>
      <c r="N257" s="1529"/>
      <c r="O257" s="1529"/>
      <c r="P257" s="1529"/>
      <c r="Q257" s="1529"/>
      <c r="R257" s="1529"/>
      <c r="S257" s="1529"/>
      <c r="T257" s="1529"/>
      <c r="U257" s="1529"/>
      <c r="V257" s="1529"/>
      <c r="W257" s="1529"/>
      <c r="X257" s="1529"/>
      <c r="Y257" s="1529"/>
      <c r="Z257" s="1529"/>
      <c r="AA257" s="1529"/>
      <c r="AB257" s="1529"/>
      <c r="AC257" s="1529"/>
      <c r="AD257" s="1529"/>
      <c r="AF257" s="1592" t="s">
        <v>1987</v>
      </c>
      <c r="AG257" s="1592"/>
      <c r="AH257" s="1592"/>
      <c r="AI257" s="1592"/>
      <c r="AJ257" s="1592"/>
      <c r="AK257" s="1592"/>
      <c r="AL257" s="1592"/>
      <c r="AM257" s="67"/>
      <c r="AN257" s="146"/>
    </row>
    <row r="258" spans="1:82" customFormat="1">
      <c r="A258" s="3"/>
      <c r="B258" s="771"/>
      <c r="C258" s="92"/>
      <c r="D258" s="22"/>
      <c r="E258" s="1529"/>
      <c r="F258" s="1529"/>
      <c r="G258" s="1529"/>
      <c r="H258" s="1529"/>
      <c r="I258" s="1529"/>
      <c r="J258" s="1529"/>
      <c r="K258" s="1529"/>
      <c r="L258" s="1529"/>
      <c r="M258" s="1529"/>
      <c r="N258" s="1529"/>
      <c r="O258" s="1529"/>
      <c r="P258" s="1529"/>
      <c r="Q258" s="1529"/>
      <c r="R258" s="1529"/>
      <c r="S258" s="1529"/>
      <c r="T258" s="1529"/>
      <c r="U258" s="1529"/>
      <c r="V258" s="1529"/>
      <c r="W258" s="1529"/>
      <c r="X258" s="1529"/>
      <c r="Y258" s="1529"/>
      <c r="Z258" s="1529"/>
      <c r="AA258" s="1529"/>
      <c r="AB258" s="1529"/>
      <c r="AC258" s="1529"/>
      <c r="AD258" s="1529"/>
      <c r="AL258" s="831"/>
      <c r="AM258" s="67"/>
      <c r="AN258" s="508"/>
      <c r="AO258" s="30"/>
      <c r="AP258" s="18"/>
      <c r="AQ258" s="18"/>
      <c r="AR258" s="18"/>
      <c r="AS258" s="18"/>
      <c r="AT258" s="18"/>
      <c r="AU258" s="18"/>
      <c r="AV258" s="18"/>
      <c r="AW258" s="18"/>
      <c r="AX258" s="18"/>
      <c r="AY258" s="18"/>
      <c r="AZ258" s="18"/>
      <c r="BA258" s="18"/>
      <c r="BB258" s="18"/>
      <c r="BC258" s="18"/>
      <c r="BD258" s="32"/>
      <c r="BE258" s="32"/>
      <c r="BF258" s="32"/>
      <c r="BG258" s="32"/>
      <c r="BH258" s="32"/>
      <c r="BI258" s="18"/>
      <c r="BJ258" s="18"/>
      <c r="BK258" s="18"/>
      <c r="BL258" s="18"/>
      <c r="BM258" s="18"/>
      <c r="BN258" s="18"/>
      <c r="BO258" s="18"/>
      <c r="BP258" s="18"/>
      <c r="BQ258" s="18"/>
      <c r="BR258" s="18"/>
      <c r="BS258" s="18"/>
      <c r="BT258" s="18"/>
      <c r="BU258" s="18"/>
    </row>
    <row r="259" spans="1:82" customFormat="1" ht="18.600000000000001" customHeight="1">
      <c r="A259" s="3"/>
      <c r="B259" s="771"/>
      <c r="C259" s="92"/>
      <c r="D259" s="22"/>
      <c r="E259" s="1529"/>
      <c r="F259" s="1529"/>
      <c r="G259" s="1529"/>
      <c r="H259" s="1529"/>
      <c r="I259" s="1529"/>
      <c r="J259" s="1529"/>
      <c r="K259" s="1529"/>
      <c r="L259" s="1529"/>
      <c r="M259" s="1529"/>
      <c r="N259" s="1529"/>
      <c r="O259" s="1529"/>
      <c r="P259" s="1529"/>
      <c r="Q259" s="1529"/>
      <c r="R259" s="1529"/>
      <c r="S259" s="1529"/>
      <c r="T259" s="1529"/>
      <c r="U259" s="1529"/>
      <c r="V259" s="1529"/>
      <c r="W259" s="1529"/>
      <c r="X259" s="1529"/>
      <c r="Y259" s="1529"/>
      <c r="Z259" s="1529"/>
      <c r="AA259" s="1529"/>
      <c r="AB259" s="1529"/>
      <c r="AC259" s="1529"/>
      <c r="AD259" s="1529"/>
      <c r="AE259" s="831"/>
      <c r="AF259" s="831"/>
      <c r="AG259" s="831"/>
      <c r="AH259" s="831"/>
      <c r="AI259" s="831"/>
      <c r="AJ259" s="831"/>
      <c r="AK259" s="831"/>
      <c r="AL259" s="831"/>
      <c r="AM259" s="67"/>
      <c r="AN259" s="508"/>
      <c r="AO259" s="30"/>
      <c r="AP259" s="18"/>
      <c r="AQ259" s="18"/>
      <c r="AR259" s="18"/>
      <c r="AS259" s="18"/>
      <c r="AT259" s="18"/>
      <c r="AU259" s="18"/>
      <c r="AV259" s="18"/>
      <c r="AW259" s="18"/>
      <c r="AX259" s="18"/>
      <c r="AY259" s="18"/>
      <c r="AZ259" s="18"/>
      <c r="BA259" s="18"/>
      <c r="BB259" s="18"/>
      <c r="BC259" s="18"/>
      <c r="BD259" s="32"/>
      <c r="BE259" s="32"/>
      <c r="BF259" s="32"/>
      <c r="BG259" s="32"/>
      <c r="BH259" s="32"/>
      <c r="BI259" s="18"/>
      <c r="BJ259" s="18"/>
      <c r="BK259" s="18"/>
      <c r="BL259" s="18"/>
      <c r="BM259" s="18"/>
      <c r="BN259" s="18"/>
      <c r="BO259" s="18"/>
      <c r="BP259" s="18"/>
      <c r="BQ259" s="18"/>
      <c r="BR259" s="18"/>
      <c r="BS259" s="18"/>
      <c r="BT259" s="18"/>
      <c r="BU259" s="18"/>
    </row>
    <row r="260" spans="1:82" s="3" customFormat="1" ht="12.75" customHeight="1">
      <c r="B260" s="771"/>
      <c r="C260" s="92"/>
      <c r="D260" s="22"/>
      <c r="E260" s="245"/>
      <c r="F260" s="245"/>
      <c r="G260" s="245"/>
      <c r="H260" s="245"/>
      <c r="I260" s="245"/>
      <c r="J260" s="245"/>
      <c r="K260" s="245"/>
      <c r="L260" s="245"/>
      <c r="M260" s="245"/>
      <c r="N260" s="245"/>
      <c r="O260" s="245"/>
      <c r="P260" s="245"/>
      <c r="Q260" s="245"/>
      <c r="R260" s="245"/>
      <c r="S260" s="245"/>
      <c r="T260" s="245"/>
      <c r="U260" s="245"/>
      <c r="V260" s="245"/>
      <c r="W260" s="245"/>
      <c r="X260" s="245"/>
      <c r="Y260" s="245"/>
      <c r="Z260" s="245"/>
      <c r="AA260" s="245"/>
      <c r="AB260" s="245"/>
      <c r="AC260" s="245"/>
      <c r="AD260" s="245"/>
      <c r="AE260" s="831"/>
      <c r="AM260" s="67"/>
      <c r="AN260" s="209"/>
    </row>
    <row r="261" spans="1:82" s="3" customFormat="1" ht="12.75" customHeight="1">
      <c r="B261" s="771"/>
      <c r="C261" s="92"/>
      <c r="D261" s="22" t="s">
        <v>23</v>
      </c>
      <c r="E261" s="1747" t="s">
        <v>2041</v>
      </c>
      <c r="F261" s="1747"/>
      <c r="G261" s="1747"/>
      <c r="H261" s="1747"/>
      <c r="I261" s="1747"/>
      <c r="J261" s="1747"/>
      <c r="K261" s="1747"/>
      <c r="L261" s="1747"/>
      <c r="M261" s="1747"/>
      <c r="N261" s="1747"/>
      <c r="O261" s="1747"/>
      <c r="P261" s="1747"/>
      <c r="Q261" s="1747"/>
      <c r="R261" s="1747"/>
      <c r="S261" s="1747"/>
      <c r="T261" s="1747"/>
      <c r="U261" s="1747"/>
      <c r="V261" s="1747"/>
      <c r="W261" s="1747"/>
      <c r="X261" s="1747"/>
      <c r="Y261" s="1747"/>
      <c r="Z261" s="1747"/>
      <c r="AA261" s="1747"/>
      <c r="AB261" s="1747"/>
      <c r="AC261" s="1747"/>
      <c r="AD261" s="1747"/>
      <c r="AF261" s="1592" t="s">
        <v>1926</v>
      </c>
      <c r="AG261" s="1592"/>
      <c r="AH261" s="1592"/>
      <c r="AI261" s="1592"/>
      <c r="AJ261" s="1592"/>
      <c r="AK261" s="1592"/>
      <c r="AL261" s="1592"/>
      <c r="AM261" s="67"/>
      <c r="AN261" s="209"/>
    </row>
    <row r="262" spans="1:82" s="3" customFormat="1" ht="12.75" customHeight="1">
      <c r="B262" s="771"/>
      <c r="C262" s="92"/>
      <c r="D262" s="22"/>
      <c r="E262" s="1747"/>
      <c r="F262" s="1747"/>
      <c r="G262" s="1747"/>
      <c r="H262" s="1747"/>
      <c r="I262" s="1747"/>
      <c r="J262" s="1747"/>
      <c r="K262" s="1747"/>
      <c r="L262" s="1747"/>
      <c r="M262" s="1747"/>
      <c r="N262" s="1747"/>
      <c r="O262" s="1747"/>
      <c r="P262" s="1747"/>
      <c r="Q262" s="1747"/>
      <c r="R262" s="1747"/>
      <c r="S262" s="1747"/>
      <c r="T262" s="1747"/>
      <c r="U262" s="1747"/>
      <c r="V262" s="1747"/>
      <c r="W262" s="1747"/>
      <c r="X262" s="1747"/>
      <c r="Y262" s="1747"/>
      <c r="Z262" s="1747"/>
      <c r="AA262" s="1747"/>
      <c r="AB262" s="1747"/>
      <c r="AC262" s="1747"/>
      <c r="AD262" s="1747"/>
      <c r="AE262" s="831"/>
      <c r="AF262" s="831"/>
      <c r="AG262" s="831"/>
      <c r="AH262" s="831"/>
      <c r="AI262" s="831"/>
      <c r="AJ262" s="831"/>
      <c r="AK262" s="831"/>
      <c r="AL262" s="831"/>
      <c r="AM262" s="67"/>
      <c r="AN262" s="209"/>
    </row>
    <row r="263" spans="1:82" s="3" customFormat="1" ht="12.75" customHeight="1">
      <c r="B263" s="771"/>
      <c r="C263" s="92"/>
      <c r="D263" s="22"/>
      <c r="E263" s="1747"/>
      <c r="F263" s="1747"/>
      <c r="G263" s="1747"/>
      <c r="H263" s="1747"/>
      <c r="I263" s="1747"/>
      <c r="J263" s="1747"/>
      <c r="K263" s="1747"/>
      <c r="L263" s="1747"/>
      <c r="M263" s="1747"/>
      <c r="N263" s="1747"/>
      <c r="O263" s="1747"/>
      <c r="P263" s="1747"/>
      <c r="Q263" s="1747"/>
      <c r="R263" s="1747"/>
      <c r="S263" s="1747"/>
      <c r="T263" s="1747"/>
      <c r="U263" s="1747"/>
      <c r="V263" s="1747"/>
      <c r="W263" s="1747"/>
      <c r="X263" s="1747"/>
      <c r="Y263" s="1747"/>
      <c r="Z263" s="1747"/>
      <c r="AA263" s="1747"/>
      <c r="AB263" s="1747"/>
      <c r="AC263" s="1747"/>
      <c r="AD263" s="1747"/>
      <c r="AE263" s="831"/>
      <c r="AF263" s="831"/>
      <c r="AG263" s="831"/>
      <c r="AH263" s="831"/>
      <c r="AI263" s="831"/>
      <c r="AJ263" s="831"/>
      <c r="AK263" s="831"/>
      <c r="AL263" s="831"/>
      <c r="AM263" s="67"/>
      <c r="AN263" s="209"/>
    </row>
    <row r="264" spans="1:82" s="3" customFormat="1" ht="12.75" customHeight="1">
      <c r="B264" s="771"/>
      <c r="C264" s="92"/>
      <c r="D264" s="22"/>
      <c r="E264" s="1747"/>
      <c r="F264" s="1747"/>
      <c r="G264" s="1747"/>
      <c r="H264" s="1747"/>
      <c r="I264" s="1747"/>
      <c r="J264" s="1747"/>
      <c r="K264" s="1747"/>
      <c r="L264" s="1747"/>
      <c r="M264" s="1747"/>
      <c r="N264" s="1747"/>
      <c r="O264" s="1747"/>
      <c r="P264" s="1747"/>
      <c r="Q264" s="1747"/>
      <c r="R264" s="1747"/>
      <c r="S264" s="1747"/>
      <c r="T264" s="1747"/>
      <c r="U264" s="1747"/>
      <c r="V264" s="1747"/>
      <c r="W264" s="1747"/>
      <c r="X264" s="1747"/>
      <c r="Y264" s="1747"/>
      <c r="Z264" s="1747"/>
      <c r="AA264" s="1747"/>
      <c r="AB264" s="1747"/>
      <c r="AC264" s="1747"/>
      <c r="AD264" s="1747"/>
      <c r="AE264" s="831"/>
      <c r="AF264" s="831"/>
      <c r="AG264" s="831"/>
      <c r="AH264" s="831"/>
      <c r="AI264" s="831"/>
      <c r="AJ264" s="831"/>
      <c r="AK264" s="831"/>
      <c r="AL264" s="831"/>
      <c r="AM264" s="67"/>
      <c r="AN264" s="209"/>
    </row>
    <row r="265" spans="1:82" s="3"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09"/>
    </row>
    <row r="266" spans="1:82" s="3" customFormat="1" ht="12.75" customHeight="1">
      <c r="B266" s="771"/>
      <c r="C266" s="92"/>
      <c r="D266" s="3" t="s">
        <v>1973</v>
      </c>
      <c r="E266" s="835"/>
      <c r="F266" s="835"/>
      <c r="G266" s="835"/>
      <c r="H266" s="1680" t="s">
        <v>325</v>
      </c>
      <c r="I266" s="1680"/>
      <c r="J266" s="816"/>
      <c r="K266" s="816"/>
      <c r="L266" s="816"/>
      <c r="M266" s="816"/>
      <c r="N266" s="816"/>
      <c r="O266" s="816"/>
      <c r="P266" s="816"/>
      <c r="Q266" s="816"/>
      <c r="R266" s="816"/>
      <c r="S266" s="816"/>
      <c r="T266" s="816"/>
      <c r="U266" s="816"/>
      <c r="V266" s="816"/>
      <c r="W266" s="816"/>
      <c r="X266" s="816"/>
      <c r="Y266" s="816"/>
      <c r="Z266" s="816"/>
      <c r="AA266" s="816"/>
      <c r="AB266" s="816"/>
      <c r="AC266" s="816"/>
      <c r="AD266" s="816"/>
      <c r="AE266" s="816"/>
      <c r="AF266" s="816"/>
      <c r="AG266" s="16"/>
      <c r="AI266" s="836"/>
      <c r="AJ266" s="801"/>
      <c r="AK266" s="801"/>
      <c r="AL266" s="801"/>
      <c r="AN266" s="209"/>
    </row>
    <row r="267" spans="1:82" s="3" customFormat="1" ht="12.75" customHeight="1">
      <c r="B267" s="771"/>
      <c r="C267" s="92"/>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771"/>
      <c r="AD267" s="16"/>
      <c r="AE267" s="16"/>
      <c r="AF267" s="16"/>
      <c r="AG267" s="16"/>
      <c r="AI267" s="836"/>
      <c r="AJ267" s="801"/>
      <c r="AK267" s="801"/>
      <c r="AL267" s="801"/>
      <c r="AN267" s="209"/>
    </row>
    <row r="268" spans="1:82" s="3" customFormat="1" ht="12.75" customHeight="1">
      <c r="A268" s="60"/>
      <c r="B268" s="906"/>
      <c r="C268" s="93"/>
      <c r="D268" s="82"/>
      <c r="E268" s="82"/>
      <c r="F268" s="82"/>
      <c r="G268" s="82"/>
      <c r="H268" s="82"/>
      <c r="I268" s="82"/>
      <c r="J268" s="82"/>
      <c r="K268" s="82"/>
      <c r="L268" s="82"/>
      <c r="M268" s="82"/>
      <c r="N268" s="82"/>
      <c r="O268" s="82"/>
      <c r="P268" s="82"/>
      <c r="Q268" s="82"/>
      <c r="R268" s="82"/>
      <c r="S268" s="82"/>
      <c r="T268" s="82"/>
      <c r="U268" s="82"/>
      <c r="V268" s="82"/>
      <c r="W268" s="82"/>
      <c r="X268" s="82"/>
      <c r="Y268" s="82"/>
      <c r="Z268" s="82"/>
      <c r="AA268" s="82"/>
      <c r="AB268" s="82"/>
      <c r="AC268" s="906"/>
      <c r="AD268" s="82"/>
      <c r="AE268" s="82"/>
      <c r="AF268" s="82"/>
      <c r="AG268" s="82"/>
      <c r="AH268" s="61"/>
      <c r="AI268" s="788" t="s">
        <v>2042</v>
      </c>
      <c r="AJ268" s="1194">
        <f>VLOOKUP($H$266,$AP$211:$AQ$213,2,FALSE)</f>
        <v>0</v>
      </c>
      <c r="AK268" s="1196"/>
      <c r="AL268" s="801"/>
      <c r="AN268" s="209"/>
    </row>
    <row r="269" spans="1:82" customFormat="1">
      <c r="A269" s="3"/>
      <c r="B269" s="771"/>
      <c r="C269" s="92"/>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771"/>
      <c r="AD269" s="16"/>
      <c r="AE269" s="16"/>
      <c r="AF269" s="16"/>
      <c r="AG269" s="16"/>
      <c r="AH269" s="3"/>
      <c r="AI269" s="836"/>
      <c r="AJ269" s="801"/>
      <c r="AK269" s="801"/>
      <c r="AL269" s="801"/>
      <c r="AM269" s="3"/>
      <c r="AN269" s="146"/>
      <c r="AS269" s="308"/>
      <c r="AT269" s="308"/>
      <c r="AU269" s="308"/>
      <c r="AV269" s="308"/>
      <c r="AW269" s="308"/>
      <c r="AX269" s="308"/>
      <c r="AY269" s="308"/>
      <c r="AZ269" s="308"/>
      <c r="BA269" s="308"/>
      <c r="BB269" s="308"/>
      <c r="BC269" s="308"/>
      <c r="BD269" s="490"/>
      <c r="BE269" s="490"/>
      <c r="BF269" s="490"/>
      <c r="BG269" s="490"/>
      <c r="BH269" s="490"/>
      <c r="BI269" s="308"/>
      <c r="BJ269" s="308"/>
      <c r="BK269" s="308"/>
      <c r="BL269" s="308"/>
      <c r="BM269" s="308"/>
      <c r="BN269" s="308"/>
      <c r="BO269" s="308"/>
      <c r="BP269" s="308"/>
      <c r="BQ269" s="308"/>
      <c r="BR269" s="308"/>
      <c r="BS269" s="308"/>
      <c r="BT269" s="308"/>
      <c r="BU269" s="308"/>
      <c r="BV269" s="308"/>
      <c r="BW269" s="308"/>
      <c r="BX269" s="308"/>
      <c r="BY269" s="308"/>
      <c r="BZ269" s="308"/>
      <c r="CA269" s="308"/>
      <c r="CB269" s="308"/>
      <c r="CC269" s="308"/>
      <c r="CD269" s="308"/>
    </row>
    <row r="270" spans="1:82" customFormat="1">
      <c r="A270" s="3"/>
      <c r="B270" s="771"/>
      <c r="C270" s="2" t="s">
        <v>2043</v>
      </c>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771"/>
      <c r="AD270" s="16"/>
      <c r="AE270" s="16"/>
      <c r="AF270" s="16"/>
      <c r="AG270" s="16"/>
      <c r="AH270" s="3"/>
      <c r="AI270" s="836"/>
      <c r="AJ270" s="801"/>
      <c r="AK270" s="801"/>
      <c r="AL270" s="801"/>
      <c r="AM270" s="3"/>
      <c r="AN270" s="146"/>
      <c r="AT270" s="308"/>
      <c r="AU270" s="308"/>
      <c r="AV270" s="308"/>
      <c r="AW270" s="308"/>
      <c r="AX270" s="308"/>
      <c r="AY270" s="308"/>
      <c r="AZ270" s="308"/>
    </row>
    <row r="271" spans="1:82" customFormat="1">
      <c r="A271" s="3"/>
      <c r="B271" s="771"/>
      <c r="C271" s="92"/>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771"/>
      <c r="AD271" s="16"/>
      <c r="AL271" s="801"/>
      <c r="AM271" s="3"/>
      <c r="AN271" s="146"/>
      <c r="AO271" s="3" t="s">
        <v>325</v>
      </c>
      <c r="AP271" s="84">
        <v>0</v>
      </c>
      <c r="AS271" s="308"/>
      <c r="AT271" s="308"/>
      <c r="AU271" s="308"/>
      <c r="AV271" s="308"/>
      <c r="AW271" s="308"/>
      <c r="AX271" s="308"/>
      <c r="AY271" s="308"/>
      <c r="AZ271" s="308"/>
      <c r="BA271" s="308"/>
      <c r="BB271" s="308"/>
      <c r="BC271" s="308"/>
      <c r="BD271" s="490"/>
      <c r="BE271" s="490"/>
      <c r="BF271" s="490"/>
      <c r="BG271" s="490"/>
      <c r="BH271" s="490"/>
      <c r="BI271" s="308"/>
      <c r="BJ271" s="308"/>
      <c r="BK271" s="308"/>
      <c r="BL271" s="308"/>
      <c r="BM271" s="308"/>
      <c r="BN271" s="308"/>
      <c r="BO271" s="308"/>
      <c r="BP271" s="308"/>
      <c r="BQ271" s="308"/>
      <c r="BR271" s="308"/>
      <c r="BS271" s="308"/>
      <c r="BT271" s="308"/>
      <c r="BU271" s="308"/>
      <c r="BV271" s="308"/>
      <c r="BW271" s="308"/>
      <c r="BX271" s="308"/>
      <c r="BY271" s="308"/>
      <c r="BZ271" s="308"/>
      <c r="CA271" s="308"/>
      <c r="CB271" s="308"/>
      <c r="CC271" s="308"/>
      <c r="CD271" s="308"/>
    </row>
    <row r="272" spans="1:82" customFormat="1" ht="13.7" customHeight="1">
      <c r="A272" s="3"/>
      <c r="B272" s="771"/>
      <c r="C272" s="92"/>
      <c r="D272" s="22" t="s">
        <v>18</v>
      </c>
      <c r="E272" s="1529" t="s">
        <v>2044</v>
      </c>
      <c r="F272" s="1529"/>
      <c r="G272" s="1529"/>
      <c r="H272" s="1529"/>
      <c r="I272" s="1529"/>
      <c r="J272" s="1529"/>
      <c r="K272" s="1529"/>
      <c r="L272" s="1529"/>
      <c r="M272" s="1529"/>
      <c r="N272" s="1529"/>
      <c r="O272" s="1529"/>
      <c r="P272" s="1529"/>
      <c r="Q272" s="1529"/>
      <c r="R272" s="1529"/>
      <c r="S272" s="1529"/>
      <c r="T272" s="1529"/>
      <c r="U272" s="1529"/>
      <c r="V272" s="1529"/>
      <c r="W272" s="1529"/>
      <c r="X272" s="1529"/>
      <c r="Y272" s="1529"/>
      <c r="Z272" s="1529"/>
      <c r="AA272" s="1529"/>
      <c r="AB272" s="1529"/>
      <c r="AC272" s="1529"/>
      <c r="AD272" s="1529"/>
      <c r="AF272" s="1592" t="s">
        <v>2045</v>
      </c>
      <c r="AG272" s="1592"/>
      <c r="AH272" s="1592"/>
      <c r="AI272" s="1592"/>
      <c r="AJ272" s="1592"/>
      <c r="AK272" s="1592"/>
      <c r="AL272" s="1592"/>
      <c r="AM272" s="67"/>
      <c r="AN272" s="146"/>
      <c r="AO272" s="22" t="s">
        <v>712</v>
      </c>
      <c r="AP272" s="3">
        <v>8</v>
      </c>
      <c r="AT272" s="308"/>
      <c r="AU272" s="308"/>
      <c r="AV272" s="308"/>
      <c r="AW272" s="308"/>
      <c r="AX272" s="308"/>
      <c r="AY272" s="308"/>
      <c r="AZ272" s="308"/>
    </row>
    <row r="273" spans="1:82" customFormat="1">
      <c r="A273" s="3"/>
      <c r="B273" s="771"/>
      <c r="C273" s="92"/>
      <c r="D273" s="22"/>
      <c r="E273" s="1529"/>
      <c r="F273" s="1529"/>
      <c r="G273" s="1529"/>
      <c r="H273" s="1529"/>
      <c r="I273" s="1529"/>
      <c r="J273" s="1529"/>
      <c r="K273" s="1529"/>
      <c r="L273" s="1529"/>
      <c r="M273" s="1529"/>
      <c r="N273" s="1529"/>
      <c r="O273" s="1529"/>
      <c r="P273" s="1529"/>
      <c r="Q273" s="1529"/>
      <c r="R273" s="1529"/>
      <c r="S273" s="1529"/>
      <c r="T273" s="1529"/>
      <c r="U273" s="1529"/>
      <c r="V273" s="1529"/>
      <c r="W273" s="1529"/>
      <c r="X273" s="1529"/>
      <c r="Y273" s="1529"/>
      <c r="Z273" s="1529"/>
      <c r="AA273" s="1529"/>
      <c r="AB273" s="1529"/>
      <c r="AC273" s="1529"/>
      <c r="AD273" s="1529"/>
      <c r="AE273" s="831"/>
      <c r="AF273" s="831"/>
      <c r="AG273" s="831"/>
      <c r="AH273" s="831"/>
      <c r="AI273" s="831"/>
      <c r="AJ273" s="831"/>
      <c r="AK273" s="831"/>
      <c r="AL273" s="831"/>
      <c r="AM273" s="67"/>
      <c r="AN273" s="146"/>
      <c r="AO273" s="22"/>
      <c r="AP273" s="3"/>
      <c r="AT273" s="308"/>
      <c r="AU273" s="308"/>
      <c r="AV273" s="308"/>
      <c r="AW273" s="308"/>
      <c r="AX273" s="308"/>
      <c r="AY273" s="308"/>
      <c r="AZ273" s="308"/>
    </row>
    <row r="274" spans="1:82" customFormat="1" ht="18.75" customHeight="1">
      <c r="A274" s="3"/>
      <c r="B274" s="771"/>
      <c r="C274" s="92"/>
      <c r="D274" s="22"/>
      <c r="E274" s="1529"/>
      <c r="F274" s="1529"/>
      <c r="G274" s="1529"/>
      <c r="H274" s="1529"/>
      <c r="I274" s="1529"/>
      <c r="J274" s="1529"/>
      <c r="K274" s="1529"/>
      <c r="L274" s="1529"/>
      <c r="M274" s="1529"/>
      <c r="N274" s="1529"/>
      <c r="O274" s="1529"/>
      <c r="P274" s="1529"/>
      <c r="Q274" s="1529"/>
      <c r="R274" s="1529"/>
      <c r="S274" s="1529"/>
      <c r="T274" s="1529"/>
      <c r="U274" s="1529"/>
      <c r="V274" s="1529"/>
      <c r="W274" s="1529"/>
      <c r="X274" s="1529"/>
      <c r="Y274" s="1529"/>
      <c r="Z274" s="1529"/>
      <c r="AA274" s="1529"/>
      <c r="AB274" s="1529"/>
      <c r="AC274" s="1529"/>
      <c r="AD274" s="1529"/>
      <c r="AE274" s="831"/>
      <c r="AF274" s="831"/>
      <c r="AG274" s="831"/>
      <c r="AH274" s="831"/>
      <c r="AI274" s="831"/>
      <c r="AJ274" s="831"/>
      <c r="AK274" s="831"/>
      <c r="AL274" s="831"/>
      <c r="AM274" s="67"/>
      <c r="AN274" s="146"/>
      <c r="AO274" s="141"/>
      <c r="AT274" s="308"/>
      <c r="AU274" s="308"/>
      <c r="AV274" s="308"/>
      <c r="AW274" s="308"/>
      <c r="AX274" s="308"/>
      <c r="AY274" s="308"/>
      <c r="AZ274" s="308"/>
    </row>
    <row r="275" spans="1:82" customFormat="1">
      <c r="A275" s="3"/>
      <c r="B275" s="771"/>
      <c r="C275" s="92"/>
      <c r="D275" s="22"/>
      <c r="E275" s="816"/>
      <c r="F275" s="816"/>
      <c r="G275" s="816"/>
      <c r="H275" s="816"/>
      <c r="I275" s="816"/>
      <c r="J275" s="816"/>
      <c r="K275" s="816"/>
      <c r="L275" s="816"/>
      <c r="M275" s="816"/>
      <c r="N275" s="816"/>
      <c r="O275" s="816"/>
      <c r="P275" s="816"/>
      <c r="Q275" s="816"/>
      <c r="R275" s="816"/>
      <c r="S275" s="816"/>
      <c r="T275" s="816"/>
      <c r="U275" s="816"/>
      <c r="V275" s="816"/>
      <c r="W275" s="816"/>
      <c r="X275" s="816"/>
      <c r="Y275" s="816"/>
      <c r="Z275" s="816"/>
      <c r="AA275" s="816"/>
      <c r="AB275" s="816"/>
      <c r="AC275" s="816"/>
      <c r="AD275" s="816"/>
      <c r="AE275" s="831"/>
      <c r="AF275" s="831"/>
      <c r="AG275" s="831"/>
      <c r="AH275" s="831"/>
      <c r="AI275" s="831"/>
      <c r="AJ275" s="831"/>
      <c r="AK275" s="831"/>
      <c r="AL275" s="831"/>
      <c r="AM275" s="67"/>
      <c r="AN275" s="146"/>
      <c r="AO275" s="141"/>
      <c r="AT275" s="308"/>
      <c r="AU275" s="308"/>
      <c r="AV275" s="308"/>
      <c r="AW275" s="308"/>
      <c r="AX275" s="308"/>
      <c r="AY275" s="308"/>
      <c r="AZ275" s="308"/>
    </row>
    <row r="276" spans="1:82" customFormat="1">
      <c r="A276" s="3"/>
      <c r="B276" s="771"/>
      <c r="C276" s="92"/>
      <c r="D276" s="3" t="s">
        <v>1973</v>
      </c>
      <c r="E276" s="835"/>
      <c r="F276" s="835"/>
      <c r="G276" s="835"/>
      <c r="H276" s="1680" t="s">
        <v>325</v>
      </c>
      <c r="I276" s="1680"/>
      <c r="J276" s="16"/>
      <c r="K276" s="16"/>
      <c r="L276" s="16"/>
      <c r="M276" s="16"/>
      <c r="N276" s="16"/>
      <c r="O276" s="16"/>
      <c r="P276" s="16"/>
      <c r="Q276" s="16"/>
      <c r="R276" s="16"/>
      <c r="S276" s="16"/>
      <c r="T276" s="16"/>
      <c r="U276" s="16"/>
      <c r="V276" s="16"/>
      <c r="W276" s="16"/>
      <c r="X276" s="16"/>
      <c r="Y276" s="16"/>
      <c r="Z276" s="16"/>
      <c r="AA276" s="16"/>
      <c r="AB276" s="16"/>
      <c r="AC276" s="771"/>
      <c r="AD276" s="16"/>
      <c r="AE276" s="16"/>
      <c r="AF276" s="16"/>
      <c r="AG276" s="16"/>
      <c r="AH276" s="3"/>
      <c r="AI276" s="836"/>
      <c r="AJ276" s="801"/>
      <c r="AK276" s="801"/>
      <c r="AL276" s="801"/>
      <c r="AM276" s="3"/>
      <c r="AN276" s="146"/>
      <c r="AS276" s="308"/>
      <c r="AT276" s="308"/>
      <c r="AU276" s="308"/>
      <c r="AV276" s="308"/>
      <c r="AW276" s="308"/>
      <c r="AX276" s="308"/>
      <c r="AY276" s="308"/>
      <c r="AZ276" s="308"/>
      <c r="BA276" s="308"/>
      <c r="BB276" s="308"/>
      <c r="BC276" s="308"/>
      <c r="BD276" s="490"/>
      <c r="BE276" s="490"/>
      <c r="BF276" s="490"/>
      <c r="BG276" s="490"/>
      <c r="BH276" s="490"/>
      <c r="BI276" s="308"/>
      <c r="BJ276" s="308"/>
      <c r="BK276" s="308"/>
      <c r="BL276" s="308"/>
      <c r="BM276" s="308"/>
      <c r="BN276" s="308"/>
      <c r="BO276" s="308"/>
      <c r="BP276" s="308"/>
      <c r="BQ276" s="308"/>
      <c r="BR276" s="308"/>
      <c r="BS276" s="308"/>
      <c r="BT276" s="308"/>
      <c r="BU276" s="308"/>
      <c r="BV276" s="308"/>
      <c r="BW276" s="308"/>
      <c r="BX276" s="308"/>
      <c r="BY276" s="308"/>
      <c r="BZ276" s="308"/>
      <c r="CA276" s="308"/>
      <c r="CB276" s="308"/>
      <c r="CC276" s="308"/>
      <c r="CD276" s="308"/>
    </row>
    <row r="277" spans="1:82" customFormat="1">
      <c r="A277" s="3"/>
      <c r="B277" s="771"/>
      <c r="C277" s="92"/>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771"/>
      <c r="AE277" s="16"/>
      <c r="AF277" s="16"/>
      <c r="AG277" s="16"/>
      <c r="AH277" s="16"/>
      <c r="AI277" s="3"/>
      <c r="AJ277" s="3"/>
      <c r="AK277" s="3"/>
      <c r="AL277" s="3"/>
      <c r="AM277" s="3"/>
      <c r="AN277" s="146"/>
      <c r="AT277" s="308"/>
      <c r="AU277" s="308"/>
      <c r="AV277" s="308"/>
      <c r="AW277" s="308"/>
      <c r="AX277" s="308"/>
      <c r="AY277" s="308"/>
      <c r="AZ277" s="308"/>
    </row>
    <row r="278" spans="1:82" customFormat="1">
      <c r="A278" s="60"/>
      <c r="B278" s="906"/>
      <c r="C278" s="93"/>
      <c r="D278" s="82"/>
      <c r="E278" s="82"/>
      <c r="F278" s="82"/>
      <c r="G278" s="82"/>
      <c r="H278" s="82"/>
      <c r="I278" s="82"/>
      <c r="J278" s="82"/>
      <c r="K278" s="82"/>
      <c r="L278" s="82"/>
      <c r="M278" s="82"/>
      <c r="N278" s="82"/>
      <c r="O278" s="82"/>
      <c r="P278" s="82"/>
      <c r="Q278" s="82"/>
      <c r="R278" s="82"/>
      <c r="S278" s="82"/>
      <c r="T278" s="82"/>
      <c r="U278" s="82"/>
      <c r="V278" s="82"/>
      <c r="W278" s="82"/>
      <c r="X278" s="82"/>
      <c r="Y278" s="82"/>
      <c r="Z278" s="82"/>
      <c r="AA278" s="82"/>
      <c r="AB278" s="82"/>
      <c r="AC278" s="906"/>
      <c r="AD278" s="82"/>
      <c r="AE278" s="82"/>
      <c r="AF278" s="82"/>
      <c r="AG278" s="82"/>
      <c r="AH278" s="61"/>
      <c r="AI278" s="788" t="s">
        <v>2046</v>
      </c>
      <c r="AJ278" s="1194">
        <f>VLOOKUP($H$276,$AO$271:$AP$272,2,FALSE)</f>
        <v>0</v>
      </c>
      <c r="AK278" s="1196"/>
      <c r="AL278" s="801"/>
      <c r="AM278" s="3"/>
      <c r="AN278" s="146"/>
      <c r="AS278" s="308"/>
      <c r="AT278" s="308"/>
      <c r="AU278" s="308"/>
      <c r="AV278" s="308"/>
      <c r="AW278" s="308"/>
      <c r="AX278" s="308"/>
      <c r="AY278" s="308"/>
      <c r="AZ278" s="308"/>
      <c r="BA278" s="308"/>
      <c r="BB278" s="308"/>
      <c r="BC278" s="308"/>
      <c r="BD278" s="490"/>
      <c r="BE278" s="490"/>
      <c r="BF278" s="490"/>
      <c r="BG278" s="490"/>
      <c r="BH278" s="490"/>
      <c r="BI278" s="308"/>
      <c r="BJ278" s="308"/>
      <c r="BK278" s="308"/>
      <c r="BL278" s="308"/>
      <c r="BM278" s="308"/>
      <c r="BN278" s="308"/>
      <c r="BO278" s="308"/>
      <c r="BP278" s="308"/>
      <c r="BQ278" s="308"/>
      <c r="BR278" s="308"/>
      <c r="BS278" s="308"/>
      <c r="BT278" s="308"/>
      <c r="BU278" s="308"/>
      <c r="BV278" s="308"/>
      <c r="BW278" s="308"/>
      <c r="BX278" s="308"/>
      <c r="BY278" s="308"/>
      <c r="BZ278" s="308"/>
      <c r="CA278" s="308"/>
      <c r="CB278" s="308"/>
      <c r="CC278" s="308"/>
      <c r="CD278" s="308"/>
    </row>
    <row r="279" spans="1:82" s="3" customFormat="1" ht="12.75" customHeight="1">
      <c r="B279" s="771"/>
      <c r="C279" s="92"/>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771"/>
      <c r="AE279" s="16"/>
      <c r="AF279" s="16"/>
      <c r="AG279" s="16"/>
      <c r="AH279" s="16"/>
      <c r="AN279" s="209"/>
    </row>
    <row r="280" spans="1:82" s="3" customFormat="1" ht="12.75" customHeight="1">
      <c r="A280" s="60"/>
      <c r="B280" s="82"/>
      <c r="C280" s="82"/>
      <c r="D280" s="82"/>
      <c r="E280" s="82"/>
      <c r="F280" s="82"/>
      <c r="G280" s="82"/>
      <c r="H280" s="82"/>
      <c r="I280" s="82"/>
      <c r="J280" s="82"/>
      <c r="K280" s="82"/>
      <c r="L280" s="82"/>
      <c r="M280" s="82"/>
      <c r="N280" s="82"/>
      <c r="O280" s="82"/>
      <c r="P280" s="82"/>
      <c r="Q280" s="82"/>
      <c r="R280" s="82"/>
      <c r="S280" s="82"/>
      <c r="T280" s="82"/>
      <c r="U280" s="82"/>
      <c r="V280" s="82"/>
      <c r="W280" s="82"/>
      <c r="X280" s="82"/>
      <c r="Y280" s="82"/>
      <c r="Z280" s="82"/>
      <c r="AA280" s="82"/>
      <c r="AB280" s="82"/>
      <c r="AC280" s="906"/>
      <c r="AD280" s="82"/>
      <c r="AE280" s="61"/>
      <c r="AF280" s="61"/>
      <c r="AG280" s="61"/>
      <c r="AH280" s="61"/>
      <c r="AI280" s="788"/>
      <c r="AJ280" s="788" t="s">
        <v>2047</v>
      </c>
      <c r="AK280" s="1194">
        <f>$AJ$124+$AJ$139+$AJ$151+$AJ$184+$AJ$203+$AJ$215+$AJ$227+$AJ$241+$AJ$253+$AJ$268+AJ278</f>
        <v>18</v>
      </c>
      <c r="AL280" s="1195"/>
      <c r="AM280" s="1196"/>
      <c r="AN280" s="209"/>
    </row>
    <row r="281" spans="1:82" s="3" customFormat="1" ht="12.75" customHeight="1" thickBot="1">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771"/>
      <c r="AD281" s="16"/>
      <c r="AI281" s="836"/>
      <c r="AJ281" s="801"/>
      <c r="AK281" s="801"/>
      <c r="AL281" s="801"/>
      <c r="AN281" s="209"/>
    </row>
    <row r="282" spans="1:82" s="3" customFormat="1" ht="12.75" customHeight="1" thickTop="1">
      <c r="A282" s="210"/>
      <c r="B282" s="211" t="s">
        <v>2048</v>
      </c>
      <c r="C282" s="212"/>
      <c r="D282" s="212"/>
      <c r="E282" s="212"/>
      <c r="F282" s="212"/>
      <c r="G282" s="212"/>
      <c r="H282" s="212"/>
      <c r="I282" s="212"/>
      <c r="J282" s="212"/>
      <c r="K282" s="212"/>
      <c r="L282" s="212"/>
      <c r="M282" s="212"/>
      <c r="N282" s="212"/>
      <c r="O282" s="212"/>
      <c r="P282" s="212"/>
      <c r="Q282" s="212"/>
      <c r="R282" s="212"/>
      <c r="S282" s="212"/>
      <c r="T282" s="212"/>
      <c r="U282" s="212"/>
      <c r="V282" s="212"/>
      <c r="W282" s="212"/>
      <c r="X282" s="212"/>
      <c r="Y282" s="212"/>
      <c r="Z282" s="212"/>
      <c r="AA282" s="212"/>
      <c r="AB282" s="212"/>
      <c r="AC282" s="907"/>
      <c r="AD282" s="212"/>
      <c r="AE282" s="210"/>
      <c r="AF282" s="210"/>
      <c r="AG282" s="210"/>
      <c r="AH282" s="210"/>
      <c r="AI282" s="213"/>
      <c r="AJ282" s="908"/>
      <c r="AK282" s="908"/>
      <c r="AL282" s="908"/>
      <c r="AM282" s="210"/>
      <c r="AN282" s="209"/>
    </row>
    <row r="283" spans="1:82" s="3" customFormat="1" ht="12.75" customHeight="1">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771"/>
      <c r="AD283" s="16"/>
      <c r="AI283" s="836"/>
      <c r="AJ283" s="801"/>
      <c r="AK283" s="801"/>
      <c r="AL283" s="801"/>
      <c r="AN283" s="209"/>
    </row>
    <row r="284" spans="1:82" s="3" customFormat="1" ht="12.75" customHeight="1">
      <c r="B284" s="33" t="s">
        <v>2049</v>
      </c>
      <c r="C284" s="33"/>
      <c r="D284" s="33"/>
      <c r="E284" s="33"/>
      <c r="F284" s="33"/>
      <c r="G284"/>
      <c r="H284" s="1312" t="s">
        <v>2050</v>
      </c>
      <c r="I284" s="1312"/>
      <c r="J284" s="1312"/>
      <c r="K284" s="1312"/>
      <c r="L284" s="1312"/>
      <c r="M284" s="1312"/>
      <c r="N284" s="1312"/>
      <c r="O284" s="1312"/>
      <c r="P284" s="1312"/>
      <c r="Q284" s="1312"/>
      <c r="R284" s="1312"/>
      <c r="S284"/>
      <c r="T284" s="33" t="s">
        <v>2049</v>
      </c>
      <c r="U284"/>
      <c r="V284" s="33"/>
      <c r="W284" s="33"/>
      <c r="X284" s="33"/>
      <c r="Y284" s="33"/>
      <c r="Z284"/>
      <c r="AA284" s="1312" t="s">
        <v>2051</v>
      </c>
      <c r="AB284" s="1312"/>
      <c r="AC284" s="1312"/>
      <c r="AD284" s="1312"/>
      <c r="AE284" s="1312"/>
      <c r="AF284" s="1312"/>
      <c r="AG284" s="1312"/>
      <c r="AH284" s="1312"/>
      <c r="AI284" s="1312"/>
      <c r="AJ284" s="1312"/>
      <c r="AK284" s="1312"/>
      <c r="AL284" s="801"/>
      <c r="AN284" s="209"/>
    </row>
    <row r="285" spans="1:82" s="3" customFormat="1" ht="12.75" customHeight="1">
      <c r="B285" s="33" t="s">
        <v>1104</v>
      </c>
      <c r="C285" s="33"/>
      <c r="D285" s="33"/>
      <c r="E285" s="33"/>
      <c r="F285" s="33"/>
      <c r="G285"/>
      <c r="H285" s="1427" t="s">
        <v>2052</v>
      </c>
      <c r="I285" s="1427"/>
      <c r="J285" s="1427"/>
      <c r="K285" s="1427"/>
      <c r="L285" s="1427"/>
      <c r="M285" s="1427"/>
      <c r="N285" s="1427"/>
      <c r="O285" s="1427"/>
      <c r="P285" s="1427"/>
      <c r="Q285" s="1427"/>
      <c r="R285" s="1427"/>
      <c r="S285"/>
      <c r="T285" s="33" t="s">
        <v>1104</v>
      </c>
      <c r="U285"/>
      <c r="V285" s="33"/>
      <c r="W285" s="33"/>
      <c r="X285" s="33"/>
      <c r="Y285" s="33"/>
      <c r="Z285"/>
      <c r="AA285" s="1427" t="s">
        <v>2053</v>
      </c>
      <c r="AB285" s="1427"/>
      <c r="AC285" s="1427"/>
      <c r="AD285" s="1427"/>
      <c r="AE285" s="1427"/>
      <c r="AF285" s="1427"/>
      <c r="AG285" s="1427"/>
      <c r="AH285" s="1427"/>
      <c r="AI285" s="1427"/>
      <c r="AJ285" s="1427"/>
      <c r="AK285" s="1427"/>
      <c r="AL285" s="801"/>
      <c r="AN285" s="209"/>
    </row>
    <row r="286" spans="1:82" s="3" customFormat="1" ht="12.75" customHeight="1">
      <c r="B286" s="33" t="s">
        <v>2054</v>
      </c>
      <c r="C286" s="33"/>
      <c r="D286" s="33"/>
      <c r="E286" s="33"/>
      <c r="F286" s="33"/>
      <c r="G286"/>
      <c r="H286" s="1427" t="s">
        <v>2055</v>
      </c>
      <c r="I286" s="1427"/>
      <c r="J286" s="1427"/>
      <c r="K286" s="1427"/>
      <c r="L286" s="1427"/>
      <c r="M286" s="1427"/>
      <c r="N286" s="1427"/>
      <c r="O286" s="1427"/>
      <c r="P286" s="1427"/>
      <c r="Q286" s="1427"/>
      <c r="R286" s="1427"/>
      <c r="S286"/>
      <c r="T286" s="33" t="s">
        <v>2054</v>
      </c>
      <c r="U286"/>
      <c r="V286" s="33"/>
      <c r="W286" s="33"/>
      <c r="X286" s="33"/>
      <c r="Y286" s="33"/>
      <c r="Z286"/>
      <c r="AA286" s="1427" t="s">
        <v>2056</v>
      </c>
      <c r="AB286" s="1427"/>
      <c r="AC286" s="1427"/>
      <c r="AD286" s="1427"/>
      <c r="AE286" s="1427"/>
      <c r="AF286" s="1427"/>
      <c r="AG286" s="1427"/>
      <c r="AH286" s="1427"/>
      <c r="AI286" s="1427"/>
      <c r="AJ286" s="1427"/>
      <c r="AK286" s="1427"/>
      <c r="AL286" s="801"/>
      <c r="AN286" s="209"/>
      <c r="AO286" s="149"/>
    </row>
    <row r="287" spans="1:82" s="3" customFormat="1" ht="12.75" customHeight="1">
      <c r="B287" s="33" t="s">
        <v>1054</v>
      </c>
      <c r="C287" s="33"/>
      <c r="D287" s="33"/>
      <c r="E287" s="33"/>
      <c r="F287" s="33"/>
      <c r="G287"/>
      <c r="H287" s="1427" t="s">
        <v>2057</v>
      </c>
      <c r="I287" s="1427"/>
      <c r="J287" s="1427"/>
      <c r="K287" s="1427"/>
      <c r="L287" s="1427"/>
      <c r="M287" s="1427"/>
      <c r="N287" s="1427"/>
      <c r="O287" s="1427"/>
      <c r="P287" s="1427"/>
      <c r="Q287" s="1427"/>
      <c r="R287" s="1427"/>
      <c r="S287"/>
      <c r="T287" s="33" t="s">
        <v>1054</v>
      </c>
      <c r="U287"/>
      <c r="V287" s="33"/>
      <c r="W287" s="33"/>
      <c r="X287" s="33"/>
      <c r="Y287" s="33"/>
      <c r="Z287"/>
      <c r="AA287" s="1427" t="s">
        <v>2058</v>
      </c>
      <c r="AB287" s="1427"/>
      <c r="AC287" s="1427"/>
      <c r="AD287" s="1427"/>
      <c r="AE287" s="1427"/>
      <c r="AF287" s="1427"/>
      <c r="AG287" s="1427"/>
      <c r="AH287" s="1427"/>
      <c r="AI287" s="1427"/>
      <c r="AJ287" s="1427"/>
      <c r="AK287" s="1427"/>
      <c r="AL287" s="801"/>
      <c r="AN287" s="209"/>
      <c r="AO287" s="149"/>
    </row>
    <row r="288" spans="1:82" s="3" customFormat="1" ht="12.75" customHeight="1">
      <c r="B288" s="33" t="s">
        <v>1056</v>
      </c>
      <c r="C288" s="33"/>
      <c r="D288" s="33"/>
      <c r="E288" s="33"/>
      <c r="F288" s="33"/>
      <c r="G288" s="33"/>
      <c r="H288" s="1426" t="s">
        <v>2059</v>
      </c>
      <c r="I288" s="1426"/>
      <c r="J288" s="1426"/>
      <c r="K288" s="1426"/>
      <c r="L288" s="1426"/>
      <c r="M288" s="1426"/>
      <c r="N288" s="33" t="s">
        <v>1058</v>
      </c>
      <c r="O288" s="33"/>
      <c r="P288" s="1184"/>
      <c r="Q288" s="1184"/>
      <c r="R288" s="1184"/>
      <c r="S288" s="33"/>
      <c r="T288" s="33" t="s">
        <v>1056</v>
      </c>
      <c r="U288"/>
      <c r="V288" s="33"/>
      <c r="W288" s="33"/>
      <c r="X288" s="33"/>
      <c r="Y288" s="33"/>
      <c r="Z288"/>
      <c r="AA288" s="1426" t="s">
        <v>2060</v>
      </c>
      <c r="AB288" s="1426"/>
      <c r="AC288" s="1426"/>
      <c r="AD288" s="1426"/>
      <c r="AE288" s="1426"/>
      <c r="AF288" s="1426"/>
      <c r="AG288" s="33" t="s">
        <v>1058</v>
      </c>
      <c r="AH288" s="33"/>
      <c r="AI288" s="1184"/>
      <c r="AJ288" s="1184"/>
      <c r="AK288" s="1184"/>
      <c r="AL288" s="801"/>
      <c r="AN288" s="209"/>
      <c r="AO288" s="149"/>
    </row>
    <row r="289" spans="1:41" s="3" customFormat="1" ht="12.75" customHeight="1">
      <c r="B289" s="33" t="s">
        <v>2061</v>
      </c>
      <c r="C289" s="33"/>
      <c r="D289" s="33"/>
      <c r="E289" s="33"/>
      <c r="F289" s="33"/>
      <c r="G289" s="33"/>
      <c r="H289" s="1183" t="s">
        <v>2012</v>
      </c>
      <c r="I289" s="1183"/>
      <c r="J289" s="1183"/>
      <c r="K289" s="1183"/>
      <c r="L289" s="1183"/>
      <c r="M289" s="1183"/>
      <c r="N289" s="1183"/>
      <c r="O289" s="1183"/>
      <c r="P289" s="1183"/>
      <c r="Q289" s="1183"/>
      <c r="R289" s="1183"/>
      <c r="S289" s="33"/>
      <c r="T289" s="33" t="s">
        <v>2061</v>
      </c>
      <c r="U289"/>
      <c r="V289" s="33"/>
      <c r="W289" s="33"/>
      <c r="X289" s="33"/>
      <c r="Y289" s="33"/>
      <c r="Z289"/>
      <c r="AA289" s="1183" t="s">
        <v>2013</v>
      </c>
      <c r="AB289" s="1183"/>
      <c r="AC289" s="1183"/>
      <c r="AD289" s="1183"/>
      <c r="AE289" s="1183"/>
      <c r="AF289" s="1183"/>
      <c r="AG289" s="1183"/>
      <c r="AH289" s="1183"/>
      <c r="AI289" s="1183"/>
      <c r="AJ289" s="1183"/>
      <c r="AK289" s="1183"/>
      <c r="AL289" s="801"/>
      <c r="AN289" s="209"/>
      <c r="AO289" s="149"/>
    </row>
    <row r="290" spans="1:41" s="3" customFormat="1" ht="12.75" customHeight="1">
      <c r="B290" s="33" t="s">
        <v>2062</v>
      </c>
      <c r="C290" s="33"/>
      <c r="D290" s="33"/>
      <c r="E290" s="33"/>
      <c r="F290" s="33"/>
      <c r="G290" s="33"/>
      <c r="H290" s="1427" t="s">
        <v>2063</v>
      </c>
      <c r="I290" s="1427"/>
      <c r="J290" s="1427"/>
      <c r="K290" s="1427"/>
      <c r="L290" s="1427"/>
      <c r="M290" s="1427"/>
      <c r="N290" s="1427"/>
      <c r="O290" s="1427"/>
      <c r="P290" s="1427"/>
      <c r="Q290" s="1427"/>
      <c r="R290" s="1427"/>
      <c r="S290" s="33"/>
      <c r="T290" s="33" t="s">
        <v>2062</v>
      </c>
      <c r="U290"/>
      <c r="V290" s="33"/>
      <c r="W290" s="33"/>
      <c r="X290" s="33"/>
      <c r="Y290" s="33"/>
      <c r="Z290"/>
      <c r="AA290" s="1427" t="s">
        <v>2064</v>
      </c>
      <c r="AB290" s="1427"/>
      <c r="AC290" s="1427"/>
      <c r="AD290" s="1427"/>
      <c r="AE290" s="1427"/>
      <c r="AF290" s="1427"/>
      <c r="AG290" s="1427"/>
      <c r="AH290" s="1427"/>
      <c r="AI290" s="1427"/>
      <c r="AJ290" s="1427"/>
      <c r="AK290" s="1427"/>
      <c r="AL290" s="801"/>
      <c r="AN290" s="209"/>
    </row>
    <row r="291" spans="1:41" s="3" customFormat="1" ht="12.6" customHeight="1">
      <c r="B291" s="33" t="s">
        <v>2065</v>
      </c>
      <c r="C291" s="33"/>
      <c r="D291" s="33"/>
      <c r="E291" s="33"/>
      <c r="F291" s="33"/>
      <c r="G291" s="33"/>
      <c r="H291" s="1552">
        <v>7.5999999999999998E-2</v>
      </c>
      <c r="I291" s="1552"/>
      <c r="J291" s="1552"/>
      <c r="K291" s="1552"/>
      <c r="L291" s="1552"/>
      <c r="M291" s="1552"/>
      <c r="N291" s="1552"/>
      <c r="O291" s="1552"/>
      <c r="P291" s="1552"/>
      <c r="Q291" s="1552"/>
      <c r="R291" s="1552"/>
      <c r="S291" s="33"/>
      <c r="T291" s="33" t="s">
        <v>2065</v>
      </c>
      <c r="U291" s="33"/>
      <c r="V291" s="33"/>
      <c r="W291" s="33"/>
      <c r="X291" s="33"/>
      <c r="Y291" s="33"/>
      <c r="Z291" s="11"/>
      <c r="AA291" s="1552">
        <v>0.21</v>
      </c>
      <c r="AB291" s="1552"/>
      <c r="AC291" s="1552"/>
      <c r="AD291" s="1552"/>
      <c r="AE291" s="1552"/>
      <c r="AF291" s="1552"/>
      <c r="AG291" s="1552"/>
      <c r="AH291" s="1552"/>
      <c r="AI291" s="1552"/>
      <c r="AJ291" s="1552"/>
      <c r="AK291" s="1552"/>
      <c r="AL291" s="801"/>
      <c r="AN291" s="209"/>
    </row>
    <row r="292" spans="1:41" s="3" customFormat="1" ht="12.75" customHeight="1">
      <c r="B292" s="33"/>
      <c r="C292" s="33"/>
      <c r="D292" s="33"/>
      <c r="E292" s="33"/>
      <c r="F292" s="33"/>
      <c r="G292" s="33"/>
      <c r="H292" s="202"/>
      <c r="I292" s="202"/>
      <c r="J292" s="202"/>
      <c r="K292" s="202"/>
      <c r="L292" s="202"/>
      <c r="M292" s="202"/>
      <c r="N292" s="202"/>
      <c r="O292" s="202"/>
      <c r="P292" s="203"/>
      <c r="Q292" s="203"/>
      <c r="R292" s="203"/>
      <c r="S292" s="33"/>
      <c r="T292" s="33"/>
      <c r="U292" s="33"/>
      <c r="V292" s="33"/>
      <c r="W292" s="33"/>
      <c r="X292" s="33"/>
      <c r="Y292" s="33"/>
      <c r="Z292" s="204"/>
      <c r="AA292" s="204"/>
      <c r="AB292" s="204"/>
      <c r="AC292" s="204"/>
      <c r="AD292" s="204"/>
      <c r="AE292" s="204"/>
      <c r="AF292" s="204"/>
      <c r="AG292" s="204"/>
      <c r="AH292" s="11"/>
      <c r="AI292" s="11"/>
      <c r="AJ292" s="11"/>
      <c r="AK292" s="33"/>
      <c r="AL292" s="801"/>
      <c r="AN292" s="209"/>
    </row>
    <row r="293" spans="1:41" s="3" customFormat="1" ht="12.75" customHeight="1">
      <c r="B293" s="33" t="s">
        <v>2049</v>
      </c>
      <c r="C293" s="33"/>
      <c r="D293" s="33"/>
      <c r="E293" s="33"/>
      <c r="F293" s="33"/>
      <c r="G293"/>
      <c r="H293" s="1312" t="s">
        <v>2066</v>
      </c>
      <c r="I293" s="1312"/>
      <c r="J293" s="1312"/>
      <c r="K293" s="1312"/>
      <c r="L293" s="1312"/>
      <c r="M293" s="1312"/>
      <c r="N293" s="1312"/>
      <c r="O293" s="1312"/>
      <c r="P293" s="1312"/>
      <c r="Q293" s="1312"/>
      <c r="R293" s="1312"/>
      <c r="S293"/>
      <c r="T293" s="33" t="s">
        <v>2049</v>
      </c>
      <c r="U293"/>
      <c r="V293" s="33"/>
      <c r="W293" s="33"/>
      <c r="X293" s="33"/>
      <c r="Y293" s="33"/>
      <c r="Z293"/>
      <c r="AA293" s="1312" t="s">
        <v>2067</v>
      </c>
      <c r="AB293" s="1312"/>
      <c r="AC293" s="1312"/>
      <c r="AD293" s="1312"/>
      <c r="AE293" s="1312"/>
      <c r="AF293" s="1312"/>
      <c r="AG293" s="1312"/>
      <c r="AH293" s="1312"/>
      <c r="AI293" s="1312"/>
      <c r="AJ293" s="1312"/>
      <c r="AK293" s="1312"/>
      <c r="AL293" s="801"/>
      <c r="AN293" s="209"/>
    </row>
    <row r="294" spans="1:41" s="17" customFormat="1" ht="12.6" customHeight="1">
      <c r="A294" s="3"/>
      <c r="B294" s="33" t="s">
        <v>1104</v>
      </c>
      <c r="C294" s="33"/>
      <c r="D294" s="33"/>
      <c r="E294" s="33"/>
      <c r="F294" s="33"/>
      <c r="G294"/>
      <c r="H294" s="1551" t="s">
        <v>2068</v>
      </c>
      <c r="I294" s="1551"/>
      <c r="J294" s="1551"/>
      <c r="K294" s="1551"/>
      <c r="L294" s="1551"/>
      <c r="M294" s="1551"/>
      <c r="N294" s="1551"/>
      <c r="O294" s="1551"/>
      <c r="P294" s="1551"/>
      <c r="Q294" s="1551"/>
      <c r="R294" s="1551"/>
      <c r="S294"/>
      <c r="T294" s="33" t="s">
        <v>1104</v>
      </c>
      <c r="U294"/>
      <c r="V294" s="33"/>
      <c r="W294" s="33"/>
      <c r="X294" s="33"/>
      <c r="Y294" s="33"/>
      <c r="Z294"/>
      <c r="AA294" s="1427" t="s">
        <v>2069</v>
      </c>
      <c r="AB294" s="1427"/>
      <c r="AC294" s="1427"/>
      <c r="AD294" s="1427"/>
      <c r="AE294" s="1427"/>
      <c r="AF294" s="1427"/>
      <c r="AG294" s="1427"/>
      <c r="AH294" s="1427"/>
      <c r="AI294" s="1427"/>
      <c r="AJ294" s="1427"/>
      <c r="AK294" s="1427"/>
      <c r="AL294" s="801"/>
      <c r="AM294" s="3"/>
      <c r="AN294" s="209"/>
      <c r="AO294" s="3"/>
    </row>
    <row r="295" spans="1:41" s="17" customFormat="1" ht="12.75" customHeight="1">
      <c r="A295" s="3"/>
      <c r="B295" s="33" t="s">
        <v>2054</v>
      </c>
      <c r="C295" s="33"/>
      <c r="D295" s="33"/>
      <c r="E295" s="33"/>
      <c r="F295" s="33"/>
      <c r="G295"/>
      <c r="H295" s="1427" t="s">
        <v>2056</v>
      </c>
      <c r="I295" s="1427"/>
      <c r="J295" s="1427"/>
      <c r="K295" s="1427"/>
      <c r="L295" s="1427"/>
      <c r="M295" s="1427"/>
      <c r="N295" s="1427"/>
      <c r="O295" s="1427"/>
      <c r="P295" s="1427"/>
      <c r="Q295" s="1427"/>
      <c r="R295" s="1427"/>
      <c r="S295"/>
      <c r="T295" s="33" t="s">
        <v>2054</v>
      </c>
      <c r="U295"/>
      <c r="V295" s="33"/>
      <c r="W295" s="33"/>
      <c r="X295" s="33"/>
      <c r="Y295" s="33"/>
      <c r="Z295"/>
      <c r="AA295" s="1183" t="s">
        <v>2070</v>
      </c>
      <c r="AB295" s="1183"/>
      <c r="AC295" s="1183"/>
      <c r="AD295" s="1183"/>
      <c r="AE295" s="1183"/>
      <c r="AF295" s="1183"/>
      <c r="AG295" s="1183"/>
      <c r="AH295" s="1183"/>
      <c r="AI295" s="1183"/>
      <c r="AJ295" s="1183"/>
      <c r="AK295" s="1183"/>
      <c r="AL295" s="801"/>
      <c r="AM295" s="3"/>
      <c r="AN295" s="209"/>
      <c r="AO295" s="3"/>
    </row>
    <row r="296" spans="1:41" s="3" customFormat="1" ht="12.75" customHeight="1">
      <c r="B296" s="33" t="s">
        <v>1054</v>
      </c>
      <c r="C296" s="33"/>
      <c r="D296" s="33"/>
      <c r="E296" s="33"/>
      <c r="F296" s="33"/>
      <c r="G296"/>
      <c r="H296" s="1183"/>
      <c r="I296" s="1183"/>
      <c r="J296" s="1183"/>
      <c r="K296" s="1183"/>
      <c r="L296" s="1183"/>
      <c r="M296" s="1183"/>
      <c r="N296" s="1183"/>
      <c r="O296" s="1183"/>
      <c r="P296" s="1183"/>
      <c r="Q296" s="1183"/>
      <c r="R296" s="1183"/>
      <c r="S296"/>
      <c r="T296" s="33" t="s">
        <v>1054</v>
      </c>
      <c r="U296"/>
      <c r="V296" s="33"/>
      <c r="W296" s="33"/>
      <c r="X296" s="33"/>
      <c r="Y296" s="33"/>
      <c r="Z296"/>
      <c r="AA296" s="1183"/>
      <c r="AB296" s="1183"/>
      <c r="AC296" s="1183"/>
      <c r="AD296" s="1183"/>
      <c r="AE296" s="1183"/>
      <c r="AF296" s="1183"/>
      <c r="AG296" s="1183"/>
      <c r="AH296" s="1183"/>
      <c r="AI296" s="1183"/>
      <c r="AJ296" s="1183"/>
      <c r="AK296" s="1183"/>
      <c r="AL296" s="801"/>
      <c r="AN296" s="209"/>
    </row>
    <row r="297" spans="1:41" s="3" customFormat="1" ht="12.75" customHeight="1">
      <c r="B297" s="33" t="s">
        <v>1056</v>
      </c>
      <c r="C297" s="33"/>
      <c r="D297" s="33"/>
      <c r="E297" s="33"/>
      <c r="F297" s="33"/>
      <c r="G297" s="33"/>
      <c r="H297" s="1426" t="s">
        <v>2071</v>
      </c>
      <c r="I297" s="1426"/>
      <c r="J297" s="1426"/>
      <c r="K297" s="1426"/>
      <c r="L297" s="1426"/>
      <c r="M297" s="1426"/>
      <c r="N297" s="33" t="s">
        <v>1058</v>
      </c>
      <c r="O297" s="33"/>
      <c r="P297" s="1184"/>
      <c r="Q297" s="1184"/>
      <c r="R297" s="1184"/>
      <c r="S297" s="33"/>
      <c r="T297" s="33" t="s">
        <v>1056</v>
      </c>
      <c r="U297"/>
      <c r="V297" s="33"/>
      <c r="W297" s="33"/>
      <c r="X297" s="33"/>
      <c r="Y297" s="33"/>
      <c r="Z297"/>
      <c r="AA297" s="1426" t="s">
        <v>2072</v>
      </c>
      <c r="AB297" s="1426"/>
      <c r="AC297" s="1426"/>
      <c r="AD297" s="1426"/>
      <c r="AE297" s="1426"/>
      <c r="AF297" s="1426"/>
      <c r="AG297" s="33" t="s">
        <v>1058</v>
      </c>
      <c r="AH297" s="33"/>
      <c r="AI297" s="1184"/>
      <c r="AJ297" s="1184"/>
      <c r="AK297" s="1184"/>
      <c r="AL297" s="801"/>
      <c r="AN297" s="209"/>
    </row>
    <row r="298" spans="1:41" s="3" customFormat="1" ht="12.75" customHeight="1">
      <c r="B298" s="33" t="s">
        <v>2061</v>
      </c>
      <c r="C298" s="33"/>
      <c r="D298" s="33"/>
      <c r="E298" s="33"/>
      <c r="F298" s="33"/>
      <c r="G298" s="33"/>
      <c r="H298" s="1183" t="s">
        <v>2016</v>
      </c>
      <c r="I298" s="1183"/>
      <c r="J298" s="1183"/>
      <c r="K298" s="1183"/>
      <c r="L298" s="1183"/>
      <c r="M298" s="1183"/>
      <c r="N298" s="1183"/>
      <c r="O298" s="1183"/>
      <c r="P298" s="1183"/>
      <c r="Q298" s="1183"/>
      <c r="R298" s="1183"/>
      <c r="S298" s="33"/>
      <c r="T298" s="33" t="s">
        <v>2061</v>
      </c>
      <c r="U298"/>
      <c r="V298" s="33"/>
      <c r="W298" s="33"/>
      <c r="X298" s="33"/>
      <c r="Y298" s="33"/>
      <c r="Z298"/>
      <c r="AA298" s="1183" t="s">
        <v>2018</v>
      </c>
      <c r="AB298" s="1183"/>
      <c r="AC298" s="1183"/>
      <c r="AD298" s="1183"/>
      <c r="AE298" s="1183"/>
      <c r="AF298" s="1183"/>
      <c r="AG298" s="1183"/>
      <c r="AH298" s="1183"/>
      <c r="AI298" s="1183"/>
      <c r="AJ298" s="1183"/>
      <c r="AK298" s="1183"/>
      <c r="AL298" s="801"/>
      <c r="AN298" s="209"/>
    </row>
    <row r="299" spans="1:41" s="3" customFormat="1" ht="12.75" customHeight="1">
      <c r="B299" s="33" t="s">
        <v>2062</v>
      </c>
      <c r="C299" s="33"/>
      <c r="D299" s="33"/>
      <c r="E299" s="33"/>
      <c r="F299" s="33"/>
      <c r="G299" s="33"/>
      <c r="H299" s="1427" t="s">
        <v>2073</v>
      </c>
      <c r="I299" s="1427"/>
      <c r="J299" s="1427"/>
      <c r="K299" s="1427"/>
      <c r="L299" s="1427"/>
      <c r="M299" s="1427"/>
      <c r="N299" s="1427"/>
      <c r="O299" s="1427"/>
      <c r="P299" s="1427"/>
      <c r="Q299" s="1427"/>
      <c r="R299" s="1427"/>
      <c r="S299" s="33"/>
      <c r="T299" s="33" t="s">
        <v>2062</v>
      </c>
      <c r="U299"/>
      <c r="V299" s="33"/>
      <c r="W299" s="33"/>
      <c r="X299" s="33"/>
      <c r="Y299" s="33"/>
      <c r="Z299"/>
      <c r="AA299" s="1427" t="s">
        <v>2074</v>
      </c>
      <c r="AB299" s="1427"/>
      <c r="AC299" s="1427"/>
      <c r="AD299" s="1427"/>
      <c r="AE299" s="1427"/>
      <c r="AF299" s="1427"/>
      <c r="AG299" s="1427"/>
      <c r="AH299" s="1427"/>
      <c r="AI299" s="1427"/>
      <c r="AJ299" s="1427"/>
      <c r="AK299" s="1427"/>
      <c r="AL299" s="801"/>
      <c r="AN299" s="209"/>
    </row>
    <row r="300" spans="1:41" s="3" customFormat="1" ht="12.6" customHeight="1">
      <c r="B300" s="33" t="s">
        <v>2065</v>
      </c>
      <c r="C300" s="33"/>
      <c r="D300" s="33"/>
      <c r="E300" s="33"/>
      <c r="F300" s="33"/>
      <c r="G300" s="33"/>
      <c r="H300" s="1552">
        <v>1.39</v>
      </c>
      <c r="I300" s="1552"/>
      <c r="J300" s="1552"/>
      <c r="K300" s="1552"/>
      <c r="L300" s="1552"/>
      <c r="M300" s="1552"/>
      <c r="N300" s="1552"/>
      <c r="O300" s="1552"/>
      <c r="P300" s="1552"/>
      <c r="Q300" s="1552"/>
      <c r="R300" s="1552"/>
      <c r="S300" s="33"/>
      <c r="T300" s="33" t="s">
        <v>2065</v>
      </c>
      <c r="U300" s="33"/>
      <c r="V300" s="33"/>
      <c r="W300" s="33"/>
      <c r="X300" s="33"/>
      <c r="Y300" s="33"/>
      <c r="Z300" s="11"/>
      <c r="AA300" s="1552">
        <v>1.1599999999999999</v>
      </c>
      <c r="AB300" s="1552"/>
      <c r="AC300" s="1552"/>
      <c r="AD300" s="1552"/>
      <c r="AE300" s="1552"/>
      <c r="AF300" s="1552"/>
      <c r="AG300" s="1552"/>
      <c r="AH300" s="1552"/>
      <c r="AI300" s="1552"/>
      <c r="AJ300" s="1552"/>
      <c r="AK300" s="1552"/>
      <c r="AL300" s="801"/>
      <c r="AN300" s="209"/>
    </row>
    <row r="301" spans="1:41" s="3" customFormat="1" ht="12.75" customHeight="1">
      <c r="B301" s="33"/>
      <c r="C301" s="33"/>
      <c r="D301" s="33"/>
      <c r="E301" s="33"/>
      <c r="F301" s="33"/>
      <c r="G301" s="33"/>
      <c r="H301" s="202"/>
      <c r="I301" s="202"/>
      <c r="J301" s="202"/>
      <c r="K301" s="202"/>
      <c r="L301" s="202"/>
      <c r="M301" s="202"/>
      <c r="N301" s="202"/>
      <c r="O301" s="202"/>
      <c r="P301" s="203"/>
      <c r="Q301" s="203"/>
      <c r="R301" s="203"/>
      <c r="S301" s="33"/>
      <c r="T301" s="33"/>
      <c r="U301" s="33"/>
      <c r="V301" s="33"/>
      <c r="W301" s="33"/>
      <c r="X301" s="33"/>
      <c r="Y301" s="33"/>
      <c r="Z301" s="204"/>
      <c r="AA301" s="204"/>
      <c r="AB301" s="204"/>
      <c r="AC301" s="204"/>
      <c r="AD301" s="204"/>
      <c r="AE301" s="204"/>
      <c r="AF301" s="204"/>
      <c r="AG301" s="204"/>
      <c r="AH301" s="11"/>
      <c r="AI301" s="11"/>
      <c r="AJ301" s="11"/>
      <c r="AK301" s="33"/>
      <c r="AL301" s="801"/>
      <c r="AN301" s="209"/>
    </row>
    <row r="302" spans="1:41" s="3" customFormat="1" ht="12.75" customHeight="1">
      <c r="B302" s="33" t="s">
        <v>2049</v>
      </c>
      <c r="C302" s="33"/>
      <c r="D302" s="33"/>
      <c r="E302" s="33"/>
      <c r="F302" s="33"/>
      <c r="G302"/>
      <c r="H302" s="1312" t="s">
        <v>2075</v>
      </c>
      <c r="I302" s="1312"/>
      <c r="J302" s="1312"/>
      <c r="K302" s="1312"/>
      <c r="L302" s="1312"/>
      <c r="M302" s="1312"/>
      <c r="N302" s="1312"/>
      <c r="O302" s="1312"/>
      <c r="P302" s="1312"/>
      <c r="Q302" s="1312"/>
      <c r="R302" s="1312"/>
      <c r="S302"/>
      <c r="T302" s="33" t="s">
        <v>2049</v>
      </c>
      <c r="U302"/>
      <c r="V302" s="33"/>
      <c r="W302" s="33"/>
      <c r="X302" s="33"/>
      <c r="Y302" s="33"/>
      <c r="Z302"/>
      <c r="AA302" s="1181"/>
      <c r="AB302" s="1181"/>
      <c r="AC302" s="1181"/>
      <c r="AD302" s="1181"/>
      <c r="AE302" s="1181"/>
      <c r="AF302" s="1181"/>
      <c r="AG302" s="1181"/>
      <c r="AH302" s="1181"/>
      <c r="AI302" s="1181"/>
      <c r="AJ302" s="1181"/>
      <c r="AK302" s="1181"/>
      <c r="AL302" s="801"/>
      <c r="AN302" s="209"/>
    </row>
    <row r="303" spans="1:41" s="3" customFormat="1" ht="12.75" customHeight="1">
      <c r="B303" s="33" t="s">
        <v>1104</v>
      </c>
      <c r="C303" s="33"/>
      <c r="D303" s="33"/>
      <c r="E303" s="33"/>
      <c r="F303" s="33"/>
      <c r="G303"/>
      <c r="H303" s="1427" t="s">
        <v>2076</v>
      </c>
      <c r="I303" s="1427"/>
      <c r="J303" s="1427"/>
      <c r="K303" s="1427"/>
      <c r="L303" s="1427"/>
      <c r="M303" s="1427"/>
      <c r="N303" s="1427"/>
      <c r="O303" s="1427"/>
      <c r="P303" s="1427"/>
      <c r="Q303" s="1427"/>
      <c r="R303" s="1427"/>
      <c r="S303"/>
      <c r="T303" s="33" t="s">
        <v>1104</v>
      </c>
      <c r="U303"/>
      <c r="V303" s="33"/>
      <c r="W303" s="33"/>
      <c r="X303" s="33"/>
      <c r="Y303" s="33"/>
      <c r="Z303"/>
      <c r="AA303" s="1183"/>
      <c r="AB303" s="1183"/>
      <c r="AC303" s="1183"/>
      <c r="AD303" s="1183"/>
      <c r="AE303" s="1183"/>
      <c r="AF303" s="1183"/>
      <c r="AG303" s="1183"/>
      <c r="AH303" s="1183"/>
      <c r="AI303" s="1183"/>
      <c r="AJ303" s="1183"/>
      <c r="AK303" s="1183"/>
      <c r="AL303" s="801"/>
      <c r="AN303" s="209"/>
    </row>
    <row r="304" spans="1:41" s="3" customFormat="1" ht="12.75" customHeight="1">
      <c r="B304" s="33" t="s">
        <v>2054</v>
      </c>
      <c r="C304" s="33"/>
      <c r="D304" s="33"/>
      <c r="E304" s="33"/>
      <c r="F304" s="33"/>
      <c r="G304"/>
      <c r="H304" s="1427" t="s">
        <v>2056</v>
      </c>
      <c r="I304" s="1427"/>
      <c r="J304" s="1427"/>
      <c r="K304" s="1427"/>
      <c r="L304" s="1427"/>
      <c r="M304" s="1427"/>
      <c r="N304" s="1427"/>
      <c r="O304" s="1427"/>
      <c r="P304" s="1427"/>
      <c r="Q304" s="1427"/>
      <c r="R304" s="1427"/>
      <c r="S304"/>
      <c r="T304" s="33" t="s">
        <v>2054</v>
      </c>
      <c r="U304"/>
      <c r="V304" s="33"/>
      <c r="W304" s="33"/>
      <c r="X304" s="33"/>
      <c r="Y304" s="33"/>
      <c r="Z304"/>
      <c r="AA304" s="1183"/>
      <c r="AB304" s="1183"/>
      <c r="AC304" s="1183"/>
      <c r="AD304" s="1183"/>
      <c r="AE304" s="1183"/>
      <c r="AF304" s="1183"/>
      <c r="AG304" s="1183"/>
      <c r="AH304" s="1183"/>
      <c r="AI304" s="1183"/>
      <c r="AJ304" s="1183"/>
      <c r="AK304" s="1183"/>
      <c r="AL304" s="801"/>
      <c r="AN304" s="209"/>
    </row>
    <row r="305" spans="2:40" s="3" customFormat="1" ht="12.75" customHeight="1">
      <c r="B305" s="33" t="s">
        <v>1054</v>
      </c>
      <c r="C305" s="33"/>
      <c r="D305" s="33"/>
      <c r="E305" s="33"/>
      <c r="F305" s="33"/>
      <c r="G305"/>
      <c r="H305" s="1183"/>
      <c r="I305" s="1183"/>
      <c r="J305" s="1183"/>
      <c r="K305" s="1183"/>
      <c r="L305" s="1183"/>
      <c r="M305" s="1183"/>
      <c r="N305" s="1183"/>
      <c r="O305" s="1183"/>
      <c r="P305" s="1183"/>
      <c r="Q305" s="1183"/>
      <c r="R305" s="1183"/>
      <c r="S305"/>
      <c r="T305" s="33" t="s">
        <v>1054</v>
      </c>
      <c r="U305"/>
      <c r="V305" s="33"/>
      <c r="W305" s="33"/>
      <c r="X305" s="33"/>
      <c r="Y305" s="33"/>
      <c r="Z305"/>
      <c r="AA305" s="1183"/>
      <c r="AB305" s="1183"/>
      <c r="AC305" s="1183"/>
      <c r="AD305" s="1183"/>
      <c r="AE305" s="1183"/>
      <c r="AF305" s="1183"/>
      <c r="AG305" s="1183"/>
      <c r="AH305" s="1183"/>
      <c r="AI305" s="1183"/>
      <c r="AJ305" s="1183"/>
      <c r="AK305" s="1183"/>
      <c r="AL305" s="801"/>
      <c r="AN305" s="209"/>
    </row>
    <row r="306" spans="2:40" s="3" customFormat="1" ht="12.75" customHeight="1">
      <c r="B306" s="33" t="s">
        <v>1056</v>
      </c>
      <c r="C306" s="33"/>
      <c r="D306" s="33"/>
      <c r="E306" s="33"/>
      <c r="F306" s="33"/>
      <c r="G306" s="33"/>
      <c r="H306" s="1426" t="s">
        <v>2077</v>
      </c>
      <c r="I306" s="1426"/>
      <c r="J306" s="1426"/>
      <c r="K306" s="1426"/>
      <c r="L306" s="1426"/>
      <c r="M306" s="1426"/>
      <c r="N306" s="33" t="s">
        <v>1058</v>
      </c>
      <c r="O306" s="33"/>
      <c r="P306" s="1184"/>
      <c r="Q306" s="1184"/>
      <c r="R306" s="1184"/>
      <c r="S306" s="33"/>
      <c r="T306" s="33" t="s">
        <v>1056</v>
      </c>
      <c r="U306"/>
      <c r="V306" s="33"/>
      <c r="W306" s="33"/>
      <c r="X306" s="33"/>
      <c r="Y306" s="33"/>
      <c r="Z306"/>
      <c r="AA306" s="1316"/>
      <c r="AB306" s="1316"/>
      <c r="AC306" s="1316"/>
      <c r="AD306" s="1316"/>
      <c r="AE306" s="1316"/>
      <c r="AF306" s="1316"/>
      <c r="AG306" s="33" t="s">
        <v>1058</v>
      </c>
      <c r="AH306" s="33"/>
      <c r="AI306" s="1184"/>
      <c r="AJ306" s="1184"/>
      <c r="AK306" s="1184"/>
      <c r="AL306" s="801"/>
      <c r="AN306" s="209"/>
    </row>
    <row r="307" spans="2:40" s="3" customFormat="1" ht="12.75" customHeight="1">
      <c r="B307" s="33" t="s">
        <v>2061</v>
      </c>
      <c r="C307" s="33"/>
      <c r="D307" s="33"/>
      <c r="E307" s="33"/>
      <c r="F307" s="33"/>
      <c r="G307" s="33"/>
      <c r="H307" s="1183" t="s">
        <v>2022</v>
      </c>
      <c r="I307" s="1183"/>
      <c r="J307" s="1183"/>
      <c r="K307" s="1183"/>
      <c r="L307" s="1183"/>
      <c r="M307" s="1183"/>
      <c r="N307" s="1183"/>
      <c r="O307" s="1183"/>
      <c r="P307" s="1183"/>
      <c r="Q307" s="1183"/>
      <c r="R307" s="1183"/>
      <c r="S307" s="33"/>
      <c r="T307" s="33" t="s">
        <v>2061</v>
      </c>
      <c r="U307"/>
      <c r="V307" s="33"/>
      <c r="W307" s="33"/>
      <c r="X307" s="33"/>
      <c r="Y307" s="33"/>
      <c r="Z307"/>
      <c r="AA307" s="1183"/>
      <c r="AB307" s="1183"/>
      <c r="AC307" s="1183"/>
      <c r="AD307" s="1183"/>
      <c r="AE307" s="1183"/>
      <c r="AF307" s="1183"/>
      <c r="AG307" s="1183"/>
      <c r="AH307" s="1183"/>
      <c r="AI307" s="1183"/>
      <c r="AJ307" s="1183"/>
      <c r="AK307" s="1183"/>
      <c r="AL307" s="801"/>
      <c r="AN307" s="209"/>
    </row>
    <row r="308" spans="2:40" s="3" customFormat="1" ht="12.75" customHeight="1">
      <c r="B308" s="33" t="s">
        <v>2062</v>
      </c>
      <c r="C308" s="33"/>
      <c r="D308" s="33"/>
      <c r="E308" s="33"/>
      <c r="F308" s="33"/>
      <c r="G308" s="33"/>
      <c r="H308" s="1427" t="s">
        <v>2078</v>
      </c>
      <c r="I308" s="1427"/>
      <c r="J308" s="1427"/>
      <c r="K308" s="1427"/>
      <c r="L308" s="1427"/>
      <c r="M308" s="1427"/>
      <c r="N308" s="1427"/>
      <c r="O308" s="1427"/>
      <c r="P308" s="1427"/>
      <c r="Q308" s="1427"/>
      <c r="R308" s="1427"/>
      <c r="S308" s="33"/>
      <c r="T308" s="33" t="s">
        <v>2062</v>
      </c>
      <c r="U308"/>
      <c r="V308" s="33"/>
      <c r="W308" s="33"/>
      <c r="X308" s="33"/>
      <c r="Y308" s="33"/>
      <c r="Z308"/>
      <c r="AA308" s="1183"/>
      <c r="AB308" s="1183"/>
      <c r="AC308" s="1183"/>
      <c r="AD308" s="1183"/>
      <c r="AE308" s="1183"/>
      <c r="AF308" s="1183"/>
      <c r="AG308" s="1183"/>
      <c r="AH308" s="1183"/>
      <c r="AI308" s="1183"/>
      <c r="AJ308" s="1183"/>
      <c r="AK308" s="1183"/>
      <c r="AL308" s="801"/>
      <c r="AN308" s="209"/>
    </row>
    <row r="309" spans="2:40" s="3" customFormat="1" ht="12.6" customHeight="1">
      <c r="B309" s="33" t="s">
        <v>2065</v>
      </c>
      <c r="C309" s="33"/>
      <c r="D309" s="33"/>
      <c r="E309" s="33"/>
      <c r="F309" s="33"/>
      <c r="G309" s="33"/>
      <c r="H309" s="1552">
        <v>0.24</v>
      </c>
      <c r="I309" s="1552"/>
      <c r="J309" s="1552"/>
      <c r="K309" s="1552"/>
      <c r="L309" s="1552"/>
      <c r="M309" s="1552"/>
      <c r="N309" s="1552"/>
      <c r="O309" s="1552"/>
      <c r="P309" s="1552"/>
      <c r="Q309" s="1552"/>
      <c r="R309" s="1552"/>
      <c r="S309" s="33"/>
      <c r="T309" s="33" t="s">
        <v>2065</v>
      </c>
      <c r="U309" s="33"/>
      <c r="V309" s="33"/>
      <c r="W309" s="33"/>
      <c r="X309" s="33"/>
      <c r="Y309" s="33"/>
      <c r="Z309" s="11"/>
      <c r="AA309" s="1553"/>
      <c r="AB309" s="1553"/>
      <c r="AC309" s="1553"/>
      <c r="AD309" s="1553"/>
      <c r="AE309" s="1553"/>
      <c r="AF309" s="1553"/>
      <c r="AG309" s="1553"/>
      <c r="AH309" s="1553"/>
      <c r="AI309" s="1553"/>
      <c r="AJ309" s="1553"/>
      <c r="AK309" s="1553"/>
      <c r="AL309" s="801"/>
      <c r="AN309" s="209"/>
    </row>
    <row r="310" spans="2:40" s="3" customFormat="1" ht="12.75" customHeight="1">
      <c r="B310" s="33"/>
      <c r="C310" s="33"/>
      <c r="D310" s="33"/>
      <c r="E310" s="33"/>
      <c r="F310" s="33"/>
      <c r="G310" s="33"/>
      <c r="H310" s="202"/>
      <c r="I310" s="202"/>
      <c r="J310" s="202"/>
      <c r="K310" s="202"/>
      <c r="L310" s="202"/>
      <c r="M310" s="202"/>
      <c r="N310" s="202"/>
      <c r="O310" s="202"/>
      <c r="P310" s="203"/>
      <c r="Q310" s="203"/>
      <c r="R310" s="203"/>
      <c r="S310" s="33"/>
      <c r="T310" s="33"/>
      <c r="U310" s="33"/>
      <c r="V310" s="33"/>
      <c r="W310" s="33"/>
      <c r="X310" s="33"/>
      <c r="Y310" s="33"/>
      <c r="Z310" s="204"/>
      <c r="AA310" s="204"/>
      <c r="AB310" s="204"/>
      <c r="AC310" s="204"/>
      <c r="AD310" s="204"/>
      <c r="AE310" s="204"/>
      <c r="AF310" s="204"/>
      <c r="AG310" s="204"/>
      <c r="AH310" s="11"/>
      <c r="AI310" s="11"/>
      <c r="AJ310" s="11"/>
      <c r="AK310" s="33"/>
      <c r="AL310" s="801"/>
      <c r="AN310" s="209"/>
    </row>
    <row r="311" spans="2:40" s="3" customFormat="1" ht="12.75" customHeight="1">
      <c r="B311" s="33" t="s">
        <v>2049</v>
      </c>
      <c r="C311" s="33"/>
      <c r="D311" s="33"/>
      <c r="E311" s="33"/>
      <c r="F311" s="33"/>
      <c r="G311"/>
      <c r="H311" s="1181"/>
      <c r="I311" s="1181"/>
      <c r="J311" s="1181"/>
      <c r="K311" s="1181"/>
      <c r="L311" s="1181"/>
      <c r="M311" s="1181"/>
      <c r="N311" s="1181"/>
      <c r="O311" s="1181"/>
      <c r="P311" s="1181"/>
      <c r="Q311" s="1181"/>
      <c r="R311" s="1181"/>
      <c r="S311"/>
      <c r="T311" s="33" t="s">
        <v>2049</v>
      </c>
      <c r="U311"/>
      <c r="V311" s="33"/>
      <c r="W311" s="33"/>
      <c r="X311" s="33"/>
      <c r="Y311" s="33"/>
      <c r="Z311"/>
      <c r="AA311" s="1181"/>
      <c r="AB311" s="1181"/>
      <c r="AC311" s="1181"/>
      <c r="AD311" s="1181"/>
      <c r="AE311" s="1181"/>
      <c r="AF311" s="1181"/>
      <c r="AG311" s="1181"/>
      <c r="AH311" s="1181"/>
      <c r="AI311" s="1181"/>
      <c r="AJ311" s="1181"/>
      <c r="AK311" s="1181"/>
      <c r="AL311" s="801"/>
      <c r="AN311" s="209"/>
    </row>
    <row r="312" spans="2:40" s="3" customFormat="1" ht="12.75" customHeight="1">
      <c r="B312" s="33" t="s">
        <v>1104</v>
      </c>
      <c r="C312" s="33"/>
      <c r="D312" s="33"/>
      <c r="E312" s="33"/>
      <c r="F312" s="33"/>
      <c r="G312"/>
      <c r="H312" s="1183"/>
      <c r="I312" s="1183"/>
      <c r="J312" s="1183"/>
      <c r="K312" s="1183"/>
      <c r="L312" s="1183"/>
      <c r="M312" s="1183"/>
      <c r="N312" s="1183"/>
      <c r="O312" s="1183"/>
      <c r="P312" s="1183"/>
      <c r="Q312" s="1183"/>
      <c r="R312" s="1183"/>
      <c r="S312"/>
      <c r="T312" s="33" t="s">
        <v>1104</v>
      </c>
      <c r="U312"/>
      <c r="V312" s="33"/>
      <c r="W312" s="33"/>
      <c r="X312" s="33"/>
      <c r="Y312" s="33"/>
      <c r="Z312"/>
      <c r="AA312" s="1183"/>
      <c r="AB312" s="1183"/>
      <c r="AC312" s="1183"/>
      <c r="AD312" s="1183"/>
      <c r="AE312" s="1183"/>
      <c r="AF312" s="1183"/>
      <c r="AG312" s="1183"/>
      <c r="AH312" s="1183"/>
      <c r="AI312" s="1183"/>
      <c r="AJ312" s="1183"/>
      <c r="AK312" s="1183"/>
      <c r="AL312" s="801"/>
      <c r="AN312" s="209"/>
    </row>
    <row r="313" spans="2:40" s="3" customFormat="1" ht="12.75" customHeight="1">
      <c r="B313" s="33" t="s">
        <v>2054</v>
      </c>
      <c r="C313" s="33"/>
      <c r="D313" s="33"/>
      <c r="E313" s="33"/>
      <c r="F313" s="33"/>
      <c r="G313"/>
      <c r="H313" s="1183"/>
      <c r="I313" s="1183"/>
      <c r="J313" s="1183"/>
      <c r="K313" s="1183"/>
      <c r="L313" s="1183"/>
      <c r="M313" s="1183"/>
      <c r="N313" s="1183"/>
      <c r="O313" s="1183"/>
      <c r="P313" s="1183"/>
      <c r="Q313" s="1183"/>
      <c r="R313" s="1183"/>
      <c r="S313"/>
      <c r="T313" s="33" t="s">
        <v>2054</v>
      </c>
      <c r="U313"/>
      <c r="V313" s="33"/>
      <c r="W313" s="33"/>
      <c r="X313" s="33"/>
      <c r="Y313" s="33"/>
      <c r="Z313"/>
      <c r="AA313" s="1183"/>
      <c r="AB313" s="1183"/>
      <c r="AC313" s="1183"/>
      <c r="AD313" s="1183"/>
      <c r="AE313" s="1183"/>
      <c r="AF313" s="1183"/>
      <c r="AG313" s="1183"/>
      <c r="AH313" s="1183"/>
      <c r="AI313" s="1183"/>
      <c r="AJ313" s="1183"/>
      <c r="AK313" s="1183"/>
      <c r="AL313" s="801"/>
      <c r="AN313" s="209"/>
    </row>
    <row r="314" spans="2:40" s="3" customFormat="1" ht="12.75" customHeight="1">
      <c r="B314" s="33" t="s">
        <v>1054</v>
      </c>
      <c r="C314" s="33"/>
      <c r="D314" s="33"/>
      <c r="E314" s="33"/>
      <c r="F314" s="33"/>
      <c r="G314"/>
      <c r="H314" s="1183"/>
      <c r="I314" s="1183"/>
      <c r="J314" s="1183"/>
      <c r="K314" s="1183"/>
      <c r="L314" s="1183"/>
      <c r="M314" s="1183"/>
      <c r="N314" s="1183"/>
      <c r="O314" s="1183"/>
      <c r="P314" s="1183"/>
      <c r="Q314" s="1183"/>
      <c r="R314" s="1183"/>
      <c r="S314"/>
      <c r="T314" s="33" t="s">
        <v>1054</v>
      </c>
      <c r="U314"/>
      <c r="V314" s="33"/>
      <c r="W314" s="33"/>
      <c r="X314" s="33"/>
      <c r="Y314" s="33"/>
      <c r="Z314"/>
      <c r="AA314" s="1183"/>
      <c r="AB314" s="1183"/>
      <c r="AC314" s="1183"/>
      <c r="AD314" s="1183"/>
      <c r="AE314" s="1183"/>
      <c r="AF314" s="1183"/>
      <c r="AG314" s="1183"/>
      <c r="AH314" s="1183"/>
      <c r="AI314" s="1183"/>
      <c r="AJ314" s="1183"/>
      <c r="AK314" s="1183"/>
      <c r="AL314" s="801"/>
      <c r="AN314" s="209"/>
    </row>
    <row r="315" spans="2:40" s="3" customFormat="1" ht="12.75" customHeight="1">
      <c r="B315" s="33" t="s">
        <v>1056</v>
      </c>
      <c r="C315" s="33"/>
      <c r="D315" s="33"/>
      <c r="E315" s="33"/>
      <c r="F315" s="33"/>
      <c r="G315" s="33"/>
      <c r="H315" s="1316"/>
      <c r="I315" s="1316"/>
      <c r="J315" s="1316"/>
      <c r="K315" s="1316"/>
      <c r="L315" s="1316"/>
      <c r="M315" s="1316"/>
      <c r="N315" s="33" t="s">
        <v>1058</v>
      </c>
      <c r="O315" s="33"/>
      <c r="P315" s="1184"/>
      <c r="Q315" s="1184"/>
      <c r="R315" s="1184"/>
      <c r="S315" s="33"/>
      <c r="T315" s="33" t="s">
        <v>1056</v>
      </c>
      <c r="U315"/>
      <c r="V315" s="33"/>
      <c r="W315" s="33"/>
      <c r="X315" s="33"/>
      <c r="Y315" s="33"/>
      <c r="Z315"/>
      <c r="AA315" s="1316"/>
      <c r="AB315" s="1316"/>
      <c r="AC315" s="1316"/>
      <c r="AD315" s="1316"/>
      <c r="AE315" s="1316"/>
      <c r="AF315" s="1316"/>
      <c r="AG315" s="33" t="s">
        <v>1058</v>
      </c>
      <c r="AH315" s="33"/>
      <c r="AI315" s="1184"/>
      <c r="AJ315" s="1184"/>
      <c r="AK315" s="1184"/>
      <c r="AL315" s="801"/>
      <c r="AN315" s="209"/>
    </row>
    <row r="316" spans="2:40" s="3" customFormat="1" ht="12.75" customHeight="1">
      <c r="B316" s="33" t="s">
        <v>2061</v>
      </c>
      <c r="C316" s="33"/>
      <c r="D316" s="33"/>
      <c r="E316" s="33"/>
      <c r="F316" s="33"/>
      <c r="G316" s="33"/>
      <c r="H316" s="1183"/>
      <c r="I316" s="1183"/>
      <c r="J316" s="1183"/>
      <c r="K316" s="1183"/>
      <c r="L316" s="1183"/>
      <c r="M316" s="1183"/>
      <c r="N316" s="1183"/>
      <c r="O316" s="1183"/>
      <c r="P316" s="1183"/>
      <c r="Q316" s="1183"/>
      <c r="R316" s="1183"/>
      <c r="S316" s="33"/>
      <c r="T316" s="33" t="s">
        <v>2061</v>
      </c>
      <c r="U316"/>
      <c r="V316" s="33"/>
      <c r="W316" s="33"/>
      <c r="X316" s="33"/>
      <c r="Y316" s="33"/>
      <c r="Z316"/>
      <c r="AA316" s="1183"/>
      <c r="AB316" s="1183"/>
      <c r="AC316" s="1183"/>
      <c r="AD316" s="1183"/>
      <c r="AE316" s="1183"/>
      <c r="AF316" s="1183"/>
      <c r="AG316" s="1183"/>
      <c r="AH316" s="1183"/>
      <c r="AI316" s="1183"/>
      <c r="AJ316" s="1183"/>
      <c r="AK316" s="1183"/>
      <c r="AL316" s="801"/>
      <c r="AN316" s="209"/>
    </row>
    <row r="317" spans="2:40" s="3" customFormat="1" ht="12.75" customHeight="1">
      <c r="B317" s="33" t="s">
        <v>2062</v>
      </c>
      <c r="C317" s="33"/>
      <c r="D317" s="33"/>
      <c r="E317" s="33"/>
      <c r="F317" s="33"/>
      <c r="G317" s="33"/>
      <c r="H317" s="1183"/>
      <c r="I317" s="1183"/>
      <c r="J317" s="1183"/>
      <c r="K317" s="1183"/>
      <c r="L317" s="1183"/>
      <c r="M317" s="1183"/>
      <c r="N317" s="1183"/>
      <c r="O317" s="1183"/>
      <c r="P317" s="1183"/>
      <c r="Q317" s="1183"/>
      <c r="R317" s="1183"/>
      <c r="S317" s="33"/>
      <c r="T317" s="33" t="s">
        <v>2062</v>
      </c>
      <c r="U317"/>
      <c r="V317" s="33"/>
      <c r="W317" s="33"/>
      <c r="X317" s="33"/>
      <c r="Y317" s="33"/>
      <c r="Z317"/>
      <c r="AA317" s="1183"/>
      <c r="AB317" s="1183"/>
      <c r="AC317" s="1183"/>
      <c r="AD317" s="1183"/>
      <c r="AE317" s="1183"/>
      <c r="AF317" s="1183"/>
      <c r="AG317" s="1183"/>
      <c r="AH317" s="1183"/>
      <c r="AI317" s="1183"/>
      <c r="AJ317" s="1183"/>
      <c r="AK317" s="1183"/>
      <c r="AL317" s="801"/>
      <c r="AN317" s="209"/>
    </row>
    <row r="318" spans="2:40" s="3" customFormat="1" ht="12.75" customHeight="1">
      <c r="B318" s="33" t="s">
        <v>2065</v>
      </c>
      <c r="C318" s="33"/>
      <c r="D318" s="33"/>
      <c r="E318" s="33"/>
      <c r="F318" s="33"/>
      <c r="G318" s="33"/>
      <c r="H318" s="1553"/>
      <c r="I318" s="1553"/>
      <c r="J318" s="1553"/>
      <c r="K318" s="1553"/>
      <c r="L318" s="1553"/>
      <c r="M318" s="1553"/>
      <c r="N318" s="1553"/>
      <c r="O318" s="1553"/>
      <c r="P318" s="1553"/>
      <c r="Q318" s="1553"/>
      <c r="R318" s="1553"/>
      <c r="S318" s="33"/>
      <c r="T318" s="33" t="s">
        <v>2065</v>
      </c>
      <c r="U318" s="33"/>
      <c r="V318" s="33"/>
      <c r="W318" s="33"/>
      <c r="X318" s="33"/>
      <c r="Y318" s="33"/>
      <c r="Z318" s="11"/>
      <c r="AA318" s="1553"/>
      <c r="AB318" s="1553"/>
      <c r="AC318" s="1553"/>
      <c r="AD318" s="1553"/>
      <c r="AE318" s="1553"/>
      <c r="AF318" s="1553"/>
      <c r="AG318" s="1553"/>
      <c r="AH318" s="1553"/>
      <c r="AI318" s="1553"/>
      <c r="AJ318" s="1553"/>
      <c r="AK318" s="1553"/>
      <c r="AL318" s="801"/>
      <c r="AN318" s="209"/>
    </row>
    <row r="319" spans="2:40" s="3" customFormat="1" ht="12.75" customHeight="1">
      <c r="B319" s="33"/>
      <c r="C319" s="33"/>
      <c r="D319" s="33"/>
      <c r="E319" s="33"/>
      <c r="F319" s="33"/>
      <c r="G319" s="33"/>
      <c r="H319" s="202"/>
      <c r="I319" s="202"/>
      <c r="J319" s="202"/>
      <c r="K319" s="202"/>
      <c r="L319" s="202"/>
      <c r="M319" s="202"/>
      <c r="N319" s="202"/>
      <c r="O319" s="202"/>
      <c r="P319" s="203"/>
      <c r="Q319" s="203"/>
      <c r="R319" s="203"/>
      <c r="S319" s="33"/>
      <c r="T319" s="33"/>
      <c r="U319" s="33"/>
      <c r="V319" s="33"/>
      <c r="W319" s="33"/>
      <c r="X319" s="33"/>
      <c r="Y319" s="33"/>
      <c r="Z319" s="204"/>
      <c r="AA319" s="204"/>
      <c r="AB319" s="204"/>
      <c r="AC319" s="204"/>
      <c r="AD319" s="204"/>
      <c r="AE319" s="204"/>
      <c r="AF319" s="204"/>
      <c r="AG319" s="204"/>
      <c r="AH319" s="11"/>
      <c r="AI319" s="11"/>
      <c r="AJ319" s="11"/>
      <c r="AK319" s="33"/>
      <c r="AL319" s="33"/>
      <c r="AN319" s="209"/>
    </row>
    <row r="320" spans="2:40" s="3" customFormat="1" ht="12.75" customHeight="1">
      <c r="B320" s="33" t="s">
        <v>2049</v>
      </c>
      <c r="C320" s="33"/>
      <c r="D320" s="33"/>
      <c r="E320" s="33"/>
      <c r="F320" s="33"/>
      <c r="G320"/>
      <c r="H320" s="1181"/>
      <c r="I320" s="1181"/>
      <c r="J320" s="1181"/>
      <c r="K320" s="1181"/>
      <c r="L320" s="1181"/>
      <c r="M320" s="1181"/>
      <c r="N320" s="1181"/>
      <c r="O320" s="1181"/>
      <c r="P320" s="1181"/>
      <c r="Q320" s="1181"/>
      <c r="R320" s="1181"/>
      <c r="S320"/>
      <c r="T320" s="33" t="s">
        <v>2049</v>
      </c>
      <c r="U320"/>
      <c r="V320" s="33"/>
      <c r="W320" s="33"/>
      <c r="X320" s="33"/>
      <c r="Y320" s="33"/>
      <c r="Z320"/>
      <c r="AA320" s="1181"/>
      <c r="AB320" s="1181"/>
      <c r="AC320" s="1181"/>
      <c r="AD320" s="1181"/>
      <c r="AE320" s="1181"/>
      <c r="AF320" s="1181"/>
      <c r="AG320" s="1181"/>
      <c r="AH320" s="1181"/>
      <c r="AI320" s="1181"/>
      <c r="AJ320" s="1181"/>
      <c r="AK320" s="1181"/>
      <c r="AL320" s="33"/>
      <c r="AN320" s="209"/>
    </row>
    <row r="321" spans="1:76" s="3" customFormat="1" ht="12.75" customHeight="1">
      <c r="B321" s="33" t="s">
        <v>1104</v>
      </c>
      <c r="C321" s="33"/>
      <c r="D321" s="33"/>
      <c r="E321" s="33"/>
      <c r="F321" s="33"/>
      <c r="G321"/>
      <c r="H321" s="1183"/>
      <c r="I321" s="1183"/>
      <c r="J321" s="1183"/>
      <c r="K321" s="1183"/>
      <c r="L321" s="1183"/>
      <c r="M321" s="1183"/>
      <c r="N321" s="1183"/>
      <c r="O321" s="1183"/>
      <c r="P321" s="1183"/>
      <c r="Q321" s="1183"/>
      <c r="R321" s="1183"/>
      <c r="S321"/>
      <c r="T321" s="33" t="s">
        <v>1104</v>
      </c>
      <c r="U321"/>
      <c r="V321" s="33"/>
      <c r="W321" s="33"/>
      <c r="X321" s="33"/>
      <c r="Y321" s="33"/>
      <c r="Z321"/>
      <c r="AA321" s="1183"/>
      <c r="AB321" s="1183"/>
      <c r="AC321" s="1183"/>
      <c r="AD321" s="1183"/>
      <c r="AE321" s="1183"/>
      <c r="AF321" s="1183"/>
      <c r="AG321" s="1183"/>
      <c r="AH321" s="1183"/>
      <c r="AI321" s="1183"/>
      <c r="AJ321" s="1183"/>
      <c r="AK321" s="1183"/>
      <c r="AL321" s="33"/>
      <c r="AN321" s="209"/>
    </row>
    <row r="322" spans="1:76" s="3" customFormat="1" ht="18" customHeight="1">
      <c r="B322" s="33" t="s">
        <v>2054</v>
      </c>
      <c r="C322" s="33"/>
      <c r="D322" s="33"/>
      <c r="E322" s="33"/>
      <c r="F322" s="33"/>
      <c r="G322"/>
      <c r="H322" s="1183"/>
      <c r="I322" s="1183"/>
      <c r="J322" s="1183"/>
      <c r="K322" s="1183"/>
      <c r="L322" s="1183"/>
      <c r="M322" s="1183"/>
      <c r="N322" s="1183"/>
      <c r="O322" s="1183"/>
      <c r="P322" s="1183"/>
      <c r="Q322" s="1183"/>
      <c r="R322" s="1183"/>
      <c r="S322"/>
      <c r="T322" s="33" t="s">
        <v>2054</v>
      </c>
      <c r="U322"/>
      <c r="V322" s="33"/>
      <c r="W322" s="33"/>
      <c r="X322" s="33"/>
      <c r="Y322" s="33"/>
      <c r="Z322"/>
      <c r="AA322" s="1183"/>
      <c r="AB322" s="1183"/>
      <c r="AC322" s="1183"/>
      <c r="AD322" s="1183"/>
      <c r="AE322" s="1183"/>
      <c r="AF322" s="1183"/>
      <c r="AG322" s="1183"/>
      <c r="AH322" s="1183"/>
      <c r="AI322" s="1183"/>
      <c r="AJ322" s="1183"/>
      <c r="AK322" s="1183"/>
      <c r="AL322" s="33"/>
      <c r="AN322" s="209"/>
    </row>
    <row r="323" spans="1:76" s="3" customFormat="1" ht="12.75" customHeight="1">
      <c r="B323" s="33" t="s">
        <v>1054</v>
      </c>
      <c r="C323" s="33"/>
      <c r="D323" s="33"/>
      <c r="E323" s="33"/>
      <c r="F323" s="33"/>
      <c r="G323"/>
      <c r="H323" s="1183"/>
      <c r="I323" s="1183"/>
      <c r="J323" s="1183"/>
      <c r="K323" s="1183"/>
      <c r="L323" s="1183"/>
      <c r="M323" s="1183"/>
      <c r="N323" s="1183"/>
      <c r="O323" s="1183"/>
      <c r="P323" s="1183"/>
      <c r="Q323" s="1183"/>
      <c r="R323" s="1183"/>
      <c r="S323"/>
      <c r="T323" s="33" t="s">
        <v>1054</v>
      </c>
      <c r="U323"/>
      <c r="V323" s="33"/>
      <c r="W323" s="33"/>
      <c r="X323" s="33"/>
      <c r="Y323" s="33"/>
      <c r="Z323"/>
      <c r="AA323" s="1183"/>
      <c r="AB323" s="1183"/>
      <c r="AC323" s="1183"/>
      <c r="AD323" s="1183"/>
      <c r="AE323" s="1183"/>
      <c r="AF323" s="1183"/>
      <c r="AG323" s="1183"/>
      <c r="AH323" s="1183"/>
      <c r="AI323" s="1183"/>
      <c r="AJ323" s="1183"/>
      <c r="AK323" s="1183"/>
      <c r="AL323" s="33"/>
      <c r="AN323" s="209"/>
    </row>
    <row r="324" spans="1:76" s="3" customFormat="1" ht="12.75" customHeight="1">
      <c r="B324" s="33" t="s">
        <v>1056</v>
      </c>
      <c r="C324" s="33"/>
      <c r="D324" s="33"/>
      <c r="E324" s="33"/>
      <c r="F324" s="33"/>
      <c r="G324" s="33"/>
      <c r="H324" s="1316"/>
      <c r="I324" s="1316"/>
      <c r="J324" s="1316"/>
      <c r="K324" s="1316"/>
      <c r="L324" s="1316"/>
      <c r="M324" s="1316"/>
      <c r="N324" s="33" t="s">
        <v>1058</v>
      </c>
      <c r="O324" s="33"/>
      <c r="P324" s="1184"/>
      <c r="Q324" s="1184"/>
      <c r="R324" s="1184"/>
      <c r="S324" s="33"/>
      <c r="T324" s="33" t="s">
        <v>1056</v>
      </c>
      <c r="U324"/>
      <c r="V324" s="33"/>
      <c r="W324" s="33"/>
      <c r="X324" s="33"/>
      <c r="Y324" s="33"/>
      <c r="Z324"/>
      <c r="AA324" s="1316"/>
      <c r="AB324" s="1316"/>
      <c r="AC324" s="1316"/>
      <c r="AD324" s="1316"/>
      <c r="AE324" s="1316"/>
      <c r="AF324" s="1316"/>
      <c r="AG324" s="33" t="s">
        <v>1058</v>
      </c>
      <c r="AH324" s="33"/>
      <c r="AI324" s="1184"/>
      <c r="AJ324" s="1184"/>
      <c r="AK324" s="1184"/>
      <c r="AL324" s="33"/>
      <c r="AN324" s="209"/>
    </row>
    <row r="325" spans="1:76" s="3" customFormat="1" ht="12.75" customHeight="1">
      <c r="B325" s="33" t="s">
        <v>2061</v>
      </c>
      <c r="C325" s="33"/>
      <c r="D325" s="33"/>
      <c r="E325" s="33"/>
      <c r="F325" s="33"/>
      <c r="G325" s="33"/>
      <c r="H325" s="1183"/>
      <c r="I325" s="1183"/>
      <c r="J325" s="1183"/>
      <c r="K325" s="1183"/>
      <c r="L325" s="1183"/>
      <c r="M325" s="1183"/>
      <c r="N325" s="1183"/>
      <c r="O325" s="1183"/>
      <c r="P325" s="1183"/>
      <c r="Q325" s="1183"/>
      <c r="R325" s="1183"/>
      <c r="S325" s="33"/>
      <c r="T325" s="33" t="s">
        <v>2061</v>
      </c>
      <c r="U325"/>
      <c r="V325" s="33"/>
      <c r="W325" s="33"/>
      <c r="X325" s="33"/>
      <c r="Y325" s="33"/>
      <c r="Z325"/>
      <c r="AA325" s="1183"/>
      <c r="AB325" s="1183"/>
      <c r="AC325" s="1183"/>
      <c r="AD325" s="1183"/>
      <c r="AE325" s="1183"/>
      <c r="AF325" s="1183"/>
      <c r="AG325" s="1183"/>
      <c r="AH325" s="1183"/>
      <c r="AI325" s="1183"/>
      <c r="AJ325" s="1183"/>
      <c r="AK325" s="1183"/>
      <c r="AL325" s="33"/>
      <c r="AN325" s="209"/>
    </row>
    <row r="326" spans="1:76" s="3" customFormat="1" ht="12.75" customHeight="1">
      <c r="B326" s="33" t="s">
        <v>2062</v>
      </c>
      <c r="C326" s="33"/>
      <c r="D326" s="33"/>
      <c r="E326" s="33"/>
      <c r="F326" s="33"/>
      <c r="G326" s="33"/>
      <c r="H326" s="1183"/>
      <c r="I326" s="1183"/>
      <c r="J326" s="1183"/>
      <c r="K326" s="1183"/>
      <c r="L326" s="1183"/>
      <c r="M326" s="1183"/>
      <c r="N326" s="1183"/>
      <c r="O326" s="1183"/>
      <c r="P326" s="1183"/>
      <c r="Q326" s="1183"/>
      <c r="R326" s="1183"/>
      <c r="S326" s="33"/>
      <c r="T326" s="33" t="s">
        <v>2062</v>
      </c>
      <c r="U326"/>
      <c r="V326" s="33"/>
      <c r="W326" s="33"/>
      <c r="X326" s="33"/>
      <c r="Y326" s="33"/>
      <c r="Z326"/>
      <c r="AA326" s="1183"/>
      <c r="AB326" s="1183"/>
      <c r="AC326" s="1183"/>
      <c r="AD326" s="1183"/>
      <c r="AE326" s="1183"/>
      <c r="AF326" s="1183"/>
      <c r="AG326" s="1183"/>
      <c r="AH326" s="1183"/>
      <c r="AI326" s="1183"/>
      <c r="AJ326" s="1183"/>
      <c r="AK326" s="1183"/>
      <c r="AL326" s="33"/>
      <c r="AN326" s="209"/>
    </row>
    <row r="327" spans="1:76" s="3" customFormat="1" ht="12.75" customHeight="1">
      <c r="B327" s="33" t="s">
        <v>2065</v>
      </c>
      <c r="C327" s="33"/>
      <c r="D327" s="33"/>
      <c r="E327" s="33"/>
      <c r="F327" s="33"/>
      <c r="G327" s="33"/>
      <c r="H327" s="1553"/>
      <c r="I327" s="1553"/>
      <c r="J327" s="1553"/>
      <c r="K327" s="1553"/>
      <c r="L327" s="1553"/>
      <c r="M327" s="1553"/>
      <c r="N327" s="1553"/>
      <c r="O327" s="1553"/>
      <c r="P327" s="1553"/>
      <c r="Q327" s="1553"/>
      <c r="R327" s="1553"/>
      <c r="S327" s="33"/>
      <c r="T327" s="33" t="s">
        <v>2065</v>
      </c>
      <c r="U327" s="33"/>
      <c r="V327" s="33"/>
      <c r="W327" s="33"/>
      <c r="X327" s="33"/>
      <c r="Y327" s="33"/>
      <c r="Z327" s="11"/>
      <c r="AA327" s="1553"/>
      <c r="AB327" s="1553"/>
      <c r="AC327" s="1553"/>
      <c r="AD327" s="1553"/>
      <c r="AE327" s="1553"/>
      <c r="AF327" s="1553"/>
      <c r="AG327" s="1553"/>
      <c r="AH327" s="1553"/>
      <c r="AI327" s="1553"/>
      <c r="AJ327" s="1553"/>
      <c r="AK327" s="1553"/>
      <c r="AL327" s="33"/>
      <c r="AN327" s="209"/>
    </row>
    <row r="328" spans="1:76" s="3" customFormat="1" ht="12.75" customHeight="1" thickBot="1">
      <c r="A328" s="15"/>
      <c r="B328" s="15"/>
      <c r="C328" s="66"/>
      <c r="D328" s="94"/>
      <c r="E328" s="94"/>
      <c r="F328" s="94"/>
      <c r="G328" s="94"/>
      <c r="H328" s="94"/>
      <c r="I328" s="94"/>
      <c r="J328" s="94"/>
      <c r="K328" s="94"/>
      <c r="L328" s="94"/>
      <c r="M328" s="94"/>
      <c r="N328" s="94"/>
      <c r="O328" s="94"/>
      <c r="P328" s="94"/>
      <c r="Q328" s="94"/>
      <c r="R328" s="94"/>
      <c r="S328" s="94"/>
      <c r="T328" s="94"/>
      <c r="U328" s="94"/>
      <c r="V328" s="94"/>
      <c r="W328" s="94"/>
      <c r="X328" s="94"/>
      <c r="Y328" s="94"/>
      <c r="Z328" s="94"/>
      <c r="AA328" s="94"/>
      <c r="AB328" s="94"/>
      <c r="AC328" s="94"/>
      <c r="AD328" s="904"/>
      <c r="AE328" s="94"/>
      <c r="AF328" s="94"/>
      <c r="AG328" s="94"/>
      <c r="AH328" s="94"/>
      <c r="AI328" s="66"/>
      <c r="AJ328" s="66"/>
      <c r="AK328" s="66"/>
      <c r="AL328" s="66"/>
      <c r="AM328" s="66"/>
      <c r="AN328" s="209"/>
    </row>
    <row r="329" spans="1:76" s="3" customFormat="1" ht="12.75" customHeight="1" thickTop="1">
      <c r="A329"/>
      <c r="B329" s="137"/>
      <c r="C329" s="138"/>
      <c r="D329" s="138"/>
      <c r="E329" s="138"/>
      <c r="F329" s="138"/>
      <c r="G329" s="138"/>
      <c r="H329" s="138"/>
      <c r="I329" s="816"/>
      <c r="J329" s="816"/>
      <c r="K329" s="816"/>
      <c r="L329" s="816"/>
      <c r="M329" s="816"/>
      <c r="N329" s="816"/>
      <c r="O329" s="816"/>
      <c r="P329" s="816"/>
      <c r="Q329" s="816"/>
      <c r="R329"/>
      <c r="S329"/>
      <c r="T329" s="2"/>
      <c r="U329" s="2"/>
      <c r="V329" s="2"/>
      <c r="W329" s="2"/>
      <c r="X329" s="2"/>
      <c r="Y329" s="2"/>
      <c r="Z329" s="2"/>
      <c r="AA329" s="2"/>
      <c r="AB329" s="2"/>
      <c r="AC329" s="2"/>
      <c r="AD329" s="2"/>
      <c r="AE329" s="2"/>
      <c r="AF329"/>
      <c r="AG329" s="2"/>
      <c r="AH329" s="2"/>
      <c r="AI329" s="2"/>
      <c r="AJ329" s="2"/>
      <c r="AN329" s="209"/>
    </row>
    <row r="330" spans="1:76" s="3" customFormat="1" ht="12.75" customHeight="1">
      <c r="B330" s="2" t="s">
        <v>2079</v>
      </c>
      <c r="C330" s="33"/>
      <c r="AC330" s="2"/>
      <c r="AE330" s="1679" t="s">
        <v>1907</v>
      </c>
      <c r="AF330" s="1679"/>
      <c r="AG330" s="1679"/>
      <c r="AH330" s="1679"/>
      <c r="AI330" s="1679"/>
      <c r="AJ330" s="1679"/>
      <c r="AK330" s="1679"/>
      <c r="AL330" s="2"/>
      <c r="AM330" s="639"/>
      <c r="AN330" s="2"/>
    </row>
    <row r="331" spans="1:76" s="3" customFormat="1" ht="12.75" customHeight="1">
      <c r="A331" s="2"/>
      <c r="B331" s="33"/>
      <c r="C331" s="1591" t="s">
        <v>2080</v>
      </c>
      <c r="D331" s="1591"/>
      <c r="E331" s="1591"/>
      <c r="F331" s="1591"/>
      <c r="G331" s="1591"/>
      <c r="H331" s="1591"/>
      <c r="I331" s="1591"/>
      <c r="J331" s="1591"/>
      <c r="K331" s="1591"/>
      <c r="L331" s="1591"/>
      <c r="M331" s="1591"/>
      <c r="N331" s="1591"/>
      <c r="O331" s="1591"/>
      <c r="P331" s="1591"/>
      <c r="Q331" s="1591"/>
      <c r="R331" s="1591"/>
      <c r="S331" s="1591"/>
      <c r="T331" s="1591"/>
      <c r="U331" s="1591"/>
      <c r="V331" s="1591"/>
      <c r="W331" s="1591"/>
      <c r="X331" s="1591"/>
      <c r="Y331" s="1591"/>
      <c r="Z331" s="1591"/>
      <c r="AA331" s="1591"/>
      <c r="AB331" s="1591"/>
      <c r="AC331" s="1591"/>
      <c r="AD331" s="1591"/>
      <c r="AE331" s="1591"/>
      <c r="AF331" s="1591"/>
      <c r="AG331" s="1591"/>
      <c r="AH331" s="1591"/>
      <c r="AI331" s="1591"/>
      <c r="AJ331" s="1591"/>
      <c r="AM331" s="640"/>
      <c r="AS331" s="609"/>
      <c r="AT331" s="609"/>
      <c r="AU331" s="609"/>
      <c r="AV331" s="609"/>
      <c r="AW331" s="609"/>
      <c r="AX331" s="609"/>
      <c r="AY331" s="609"/>
      <c r="AZ331" s="609"/>
      <c r="BA331" s="609"/>
      <c r="BB331" s="609"/>
      <c r="BC331" s="609"/>
      <c r="BD331" s="609"/>
      <c r="BE331" s="609"/>
      <c r="BF331" s="609"/>
      <c r="BG331" s="609"/>
      <c r="BH331" s="609"/>
      <c r="BI331" s="609"/>
      <c r="BJ331" s="609"/>
      <c r="BK331" s="609"/>
      <c r="BL331" s="609"/>
      <c r="BM331" s="609"/>
      <c r="BN331" s="609"/>
      <c r="BO331" s="609"/>
      <c r="BP331" s="609"/>
      <c r="BQ331" s="609"/>
      <c r="BR331" s="609"/>
      <c r="BS331" s="609"/>
      <c r="BT331" s="609"/>
      <c r="BU331" s="609"/>
      <c r="BV331" s="609"/>
      <c r="BW331" s="609"/>
      <c r="BX331" s="609"/>
    </row>
    <row r="332" spans="1:76" s="3" customFormat="1" ht="12.75" customHeight="1">
      <c r="A332"/>
      <c r="C332" s="1591"/>
      <c r="D332" s="1591"/>
      <c r="E332" s="1591"/>
      <c r="F332" s="1591"/>
      <c r="G332" s="1591"/>
      <c r="H332" s="1591"/>
      <c r="I332" s="1591"/>
      <c r="J332" s="1591"/>
      <c r="K332" s="1591"/>
      <c r="L332" s="1591"/>
      <c r="M332" s="1591"/>
      <c r="N332" s="1591"/>
      <c r="O332" s="1591"/>
      <c r="P332" s="1591"/>
      <c r="Q332" s="1591"/>
      <c r="R332" s="1591"/>
      <c r="S332" s="1591"/>
      <c r="T332" s="1591"/>
      <c r="U332" s="1591"/>
      <c r="V332" s="1591"/>
      <c r="W332" s="1591"/>
      <c r="X332" s="1591"/>
      <c r="Y332" s="1591"/>
      <c r="Z332" s="1591"/>
      <c r="AA332" s="1591"/>
      <c r="AB332" s="1591"/>
      <c r="AC332" s="1591"/>
      <c r="AD332" s="1591"/>
      <c r="AE332" s="1591"/>
      <c r="AF332" s="1591"/>
      <c r="AG332" s="1591"/>
      <c r="AH332" s="1591"/>
      <c r="AI332" s="1591"/>
      <c r="AJ332" s="1591"/>
      <c r="AK332" s="2"/>
      <c r="AL332" s="2"/>
      <c r="AM332" s="23"/>
      <c r="AN332" s="209"/>
      <c r="AR332" s="609"/>
      <c r="AS332" s="609"/>
      <c r="AT332" s="609"/>
      <c r="AU332" s="609"/>
      <c r="AV332" s="609"/>
      <c r="AW332" s="609"/>
      <c r="AX332" s="609"/>
      <c r="AY332" s="609"/>
      <c r="AZ332" s="609"/>
      <c r="BA332" s="609"/>
      <c r="BB332" s="609"/>
      <c r="BC332" s="609"/>
      <c r="BD332" s="609"/>
      <c r="BE332" s="609"/>
      <c r="BF332" s="609"/>
      <c r="BG332" s="609"/>
      <c r="BH332" s="609"/>
      <c r="BI332" s="609"/>
      <c r="BJ332" s="609"/>
      <c r="BK332" s="609"/>
      <c r="BL332" s="609"/>
      <c r="BM332" s="609"/>
      <c r="BN332" s="609"/>
      <c r="BO332" s="609"/>
      <c r="BP332" s="609"/>
      <c r="BQ332" s="609"/>
      <c r="BR332" s="609"/>
      <c r="BS332" s="609"/>
      <c r="BT332" s="609"/>
      <c r="BU332" s="609"/>
      <c r="BV332" s="609"/>
      <c r="BW332" s="609"/>
      <c r="BX332" s="609"/>
    </row>
    <row r="333" spans="1:76" s="3" customFormat="1" ht="12.75" customHeight="1">
      <c r="A333" s="23"/>
      <c r="B333" s="22"/>
      <c r="C333" s="1591"/>
      <c r="D333" s="1591"/>
      <c r="E333" s="1591"/>
      <c r="F333" s="1591"/>
      <c r="G333" s="1591"/>
      <c r="H333" s="1591"/>
      <c r="I333" s="1591"/>
      <c r="J333" s="1591"/>
      <c r="K333" s="1591"/>
      <c r="L333" s="1591"/>
      <c r="M333" s="1591"/>
      <c r="N333" s="1591"/>
      <c r="O333" s="1591"/>
      <c r="P333" s="1591"/>
      <c r="Q333" s="1591"/>
      <c r="R333" s="1591"/>
      <c r="S333" s="1591"/>
      <c r="T333" s="1591"/>
      <c r="U333" s="1591"/>
      <c r="V333" s="1591"/>
      <c r="W333" s="1591"/>
      <c r="X333" s="1591"/>
      <c r="Y333" s="1591"/>
      <c r="Z333" s="1591"/>
      <c r="AA333" s="1591"/>
      <c r="AB333" s="1591"/>
      <c r="AC333" s="1591"/>
      <c r="AD333" s="1591"/>
      <c r="AE333" s="1591"/>
      <c r="AF333" s="1591"/>
      <c r="AG333" s="1591"/>
      <c r="AH333" s="1591"/>
      <c r="AI333" s="1591"/>
      <c r="AJ333" s="1591"/>
      <c r="AK333" s="23"/>
      <c r="AL333" s="23"/>
      <c r="AM333" s="23"/>
      <c r="AN333" s="209"/>
      <c r="AO333" s="136"/>
      <c r="AR333" s="609"/>
      <c r="AS333" s="609"/>
      <c r="AT333" s="609"/>
      <c r="AU333" s="609"/>
      <c r="AV333" s="609"/>
      <c r="AW333" s="609"/>
      <c r="AX333" s="609"/>
      <c r="AY333" s="609"/>
      <c r="AZ333" s="609"/>
      <c r="BA333" s="609"/>
      <c r="BB333" s="609"/>
      <c r="BC333" s="609"/>
      <c r="BD333" s="609"/>
      <c r="BE333" s="609"/>
      <c r="BF333" s="609"/>
      <c r="BG333" s="609"/>
      <c r="BH333" s="609"/>
      <c r="BI333" s="609"/>
      <c r="BJ333" s="609"/>
      <c r="BK333" s="609"/>
      <c r="BL333" s="609"/>
      <c r="BM333" s="609"/>
      <c r="BN333" s="609"/>
      <c r="BO333" s="609"/>
      <c r="BP333" s="609"/>
      <c r="BQ333" s="609"/>
      <c r="BR333" s="609"/>
      <c r="BS333" s="609"/>
      <c r="BT333" s="609"/>
      <c r="BU333" s="609"/>
      <c r="BV333" s="609"/>
      <c r="BW333" s="609"/>
      <c r="BX333" s="609"/>
    </row>
    <row r="334" spans="1:76" s="3" customFormat="1" ht="12.75" customHeight="1">
      <c r="A334" s="23"/>
      <c r="B334" s="22"/>
      <c r="C334" s="1591"/>
      <c r="D334" s="1591"/>
      <c r="E334" s="1591"/>
      <c r="F334" s="1591"/>
      <c r="G334" s="1591"/>
      <c r="H334" s="1591"/>
      <c r="I334" s="1591"/>
      <c r="J334" s="1591"/>
      <c r="K334" s="1591"/>
      <c r="L334" s="1591"/>
      <c r="M334" s="1591"/>
      <c r="N334" s="1591"/>
      <c r="O334" s="1591"/>
      <c r="P334" s="1591"/>
      <c r="Q334" s="1591"/>
      <c r="R334" s="1591"/>
      <c r="S334" s="1591"/>
      <c r="T334" s="1591"/>
      <c r="U334" s="1591"/>
      <c r="V334" s="1591"/>
      <c r="W334" s="1591"/>
      <c r="X334" s="1591"/>
      <c r="Y334" s="1591"/>
      <c r="Z334" s="1591"/>
      <c r="AA334" s="1591"/>
      <c r="AB334" s="1591"/>
      <c r="AC334" s="1591"/>
      <c r="AD334" s="1591"/>
      <c r="AE334" s="1591"/>
      <c r="AF334" s="1591"/>
      <c r="AG334" s="1591"/>
      <c r="AH334" s="1591"/>
      <c r="AI334" s="1591"/>
      <c r="AJ334" s="1591"/>
      <c r="AK334" s="23"/>
      <c r="AL334" s="23"/>
      <c r="AM334" s="23"/>
      <c r="AN334" s="209"/>
      <c r="AO334" s="136"/>
      <c r="AR334" s="609"/>
      <c r="AS334" s="609"/>
      <c r="AT334" s="609"/>
      <c r="AU334" s="609"/>
      <c r="AV334" s="609"/>
      <c r="AW334" s="609"/>
      <c r="AX334" s="609"/>
      <c r="AY334" s="609"/>
      <c r="AZ334" s="609"/>
      <c r="BA334" s="609"/>
      <c r="BB334" s="609"/>
      <c r="BC334" s="609"/>
      <c r="BD334" s="609"/>
      <c r="BE334" s="609"/>
      <c r="BF334" s="609"/>
      <c r="BG334" s="609"/>
      <c r="BH334" s="609"/>
      <c r="BI334" s="609"/>
      <c r="BJ334" s="609"/>
      <c r="BK334" s="609"/>
      <c r="BL334" s="609"/>
      <c r="BM334" s="609"/>
      <c r="BN334" s="609"/>
      <c r="BO334" s="609"/>
      <c r="BP334" s="609"/>
      <c r="BQ334" s="609"/>
      <c r="BR334" s="609"/>
      <c r="BS334" s="609"/>
      <c r="BT334" s="609"/>
      <c r="BU334" s="609"/>
      <c r="BV334" s="609"/>
      <c r="BW334" s="609"/>
      <c r="BX334" s="609"/>
    </row>
    <row r="335" spans="1:76" s="3" customFormat="1" ht="12.75" customHeight="1">
      <c r="A335" s="23"/>
      <c r="B335" s="22"/>
      <c r="C335" s="1591"/>
      <c r="D335" s="1591"/>
      <c r="E335" s="1591"/>
      <c r="F335" s="1591"/>
      <c r="G335" s="1591"/>
      <c r="H335" s="1591"/>
      <c r="I335" s="1591"/>
      <c r="J335" s="1591"/>
      <c r="K335" s="1591"/>
      <c r="L335" s="1591"/>
      <c r="M335" s="1591"/>
      <c r="N335" s="1591"/>
      <c r="O335" s="1591"/>
      <c r="P335" s="1591"/>
      <c r="Q335" s="1591"/>
      <c r="R335" s="1591"/>
      <c r="S335" s="1591"/>
      <c r="T335" s="1591"/>
      <c r="U335" s="1591"/>
      <c r="V335" s="1591"/>
      <c r="W335" s="1591"/>
      <c r="X335" s="1591"/>
      <c r="Y335" s="1591"/>
      <c r="Z335" s="1591"/>
      <c r="AA335" s="1591"/>
      <c r="AB335" s="1591"/>
      <c r="AC335" s="1591"/>
      <c r="AD335" s="1591"/>
      <c r="AE335" s="1591"/>
      <c r="AF335" s="1591"/>
      <c r="AG335" s="1591"/>
      <c r="AH335" s="1591"/>
      <c r="AI335" s="1591"/>
      <c r="AJ335" s="1591"/>
      <c r="AK335" s="23"/>
      <c r="AL335" s="23"/>
      <c r="AM335" s="23"/>
      <c r="AN335" s="209"/>
      <c r="AO335" s="136"/>
      <c r="AR335" s="609"/>
      <c r="AS335" s="609"/>
      <c r="AT335" s="609"/>
      <c r="AU335" s="609"/>
      <c r="AV335" s="609"/>
      <c r="AW335" s="609"/>
      <c r="AX335" s="609"/>
      <c r="AY335" s="609"/>
      <c r="AZ335" s="609"/>
      <c r="BA335" s="609"/>
      <c r="BB335" s="609"/>
      <c r="BC335" s="609"/>
      <c r="BD335" s="609"/>
      <c r="BE335" s="609"/>
      <c r="BF335" s="609"/>
      <c r="BG335" s="609"/>
      <c r="BH335" s="609"/>
      <c r="BI335" s="609"/>
      <c r="BJ335" s="609"/>
      <c r="BK335" s="609"/>
      <c r="BL335" s="609"/>
      <c r="BM335" s="609"/>
      <c r="BN335" s="609"/>
      <c r="BO335" s="609"/>
      <c r="BP335" s="609"/>
      <c r="BQ335" s="609"/>
      <c r="BR335" s="609"/>
      <c r="BS335" s="609"/>
      <c r="BT335" s="609"/>
      <c r="BU335" s="609"/>
      <c r="BV335" s="609"/>
      <c r="BW335" s="609"/>
      <c r="BX335" s="609"/>
    </row>
    <row r="336" spans="1:76" s="3" customFormat="1" ht="12.75" customHeight="1">
      <c r="A336" s="23"/>
      <c r="B336" s="22"/>
      <c r="C336" s="1591"/>
      <c r="D336" s="1591"/>
      <c r="E336" s="1591"/>
      <c r="F336" s="1591"/>
      <c r="G336" s="1591"/>
      <c r="H336" s="1591"/>
      <c r="I336" s="1591"/>
      <c r="J336" s="1591"/>
      <c r="K336" s="1591"/>
      <c r="L336" s="1591"/>
      <c r="M336" s="1591"/>
      <c r="N336" s="1591"/>
      <c r="O336" s="1591"/>
      <c r="P336" s="1591"/>
      <c r="Q336" s="1591"/>
      <c r="R336" s="1591"/>
      <c r="S336" s="1591"/>
      <c r="T336" s="1591"/>
      <c r="U336" s="1591"/>
      <c r="V336" s="1591"/>
      <c r="W336" s="1591"/>
      <c r="X336" s="1591"/>
      <c r="Y336" s="1591"/>
      <c r="Z336" s="1591"/>
      <c r="AA336" s="1591"/>
      <c r="AB336" s="1591"/>
      <c r="AC336" s="1591"/>
      <c r="AD336" s="1591"/>
      <c r="AE336" s="1591"/>
      <c r="AF336" s="1591"/>
      <c r="AG336" s="1591"/>
      <c r="AH336" s="1591"/>
      <c r="AI336" s="1591"/>
      <c r="AJ336" s="1591"/>
      <c r="AK336" s="23"/>
      <c r="AL336" s="23"/>
      <c r="AM336" s="23"/>
      <c r="AN336" s="209"/>
      <c r="AO336" s="136"/>
      <c r="AR336" s="609"/>
      <c r="AS336" s="609"/>
      <c r="AT336" s="609"/>
      <c r="AU336" s="609"/>
      <c r="AV336" s="609"/>
      <c r="AW336" s="609"/>
      <c r="AX336" s="609"/>
      <c r="AY336" s="609"/>
      <c r="AZ336" s="609"/>
      <c r="BA336" s="609"/>
      <c r="BB336" s="609"/>
      <c r="BC336" s="609"/>
      <c r="BD336" s="609"/>
      <c r="BE336" s="609"/>
      <c r="BF336" s="609"/>
      <c r="BG336" s="609"/>
      <c r="BH336" s="609"/>
      <c r="BI336" s="609"/>
      <c r="BJ336" s="609"/>
      <c r="BK336" s="609"/>
      <c r="BL336" s="609"/>
      <c r="BM336" s="609"/>
      <c r="BN336" s="609"/>
      <c r="BO336" s="609"/>
      <c r="BP336" s="609"/>
      <c r="BQ336" s="609"/>
      <c r="BR336" s="609"/>
      <c r="BS336" s="609"/>
      <c r="BT336" s="609"/>
      <c r="BU336" s="609"/>
      <c r="BV336" s="609"/>
      <c r="BW336" s="609"/>
      <c r="BX336" s="609"/>
    </row>
    <row r="337" spans="1:76" s="3" customFormat="1" ht="12.4" customHeight="1">
      <c r="A337" s="23"/>
      <c r="B337" s="22"/>
      <c r="C337" s="1591"/>
      <c r="D337" s="1591"/>
      <c r="E337" s="1591"/>
      <c r="F337" s="1591"/>
      <c r="G337" s="1591"/>
      <c r="H337" s="1591"/>
      <c r="I337" s="1591"/>
      <c r="J337" s="1591"/>
      <c r="K337" s="1591"/>
      <c r="L337" s="1591"/>
      <c r="M337" s="1591"/>
      <c r="N337" s="1591"/>
      <c r="O337" s="1591"/>
      <c r="P337" s="1591"/>
      <c r="Q337" s="1591"/>
      <c r="R337" s="1591"/>
      <c r="S337" s="1591"/>
      <c r="T337" s="1591"/>
      <c r="U337" s="1591"/>
      <c r="V337" s="1591"/>
      <c r="W337" s="1591"/>
      <c r="X337" s="1591"/>
      <c r="Y337" s="1591"/>
      <c r="Z337" s="1591"/>
      <c r="AA337" s="1591"/>
      <c r="AB337" s="1591"/>
      <c r="AC337" s="1591"/>
      <c r="AD337" s="1591"/>
      <c r="AE337" s="1591"/>
      <c r="AF337" s="1591"/>
      <c r="AG337" s="1591"/>
      <c r="AH337" s="1591"/>
      <c r="AI337" s="1591"/>
      <c r="AJ337" s="1591"/>
      <c r="AK337" s="23"/>
      <c r="AL337" s="23"/>
      <c r="AM337" s="23"/>
      <c r="AN337" s="209"/>
      <c r="AO337" s="136"/>
      <c r="AR337" s="609"/>
      <c r="AS337" s="609"/>
      <c r="AT337" s="609"/>
      <c r="AU337" s="609"/>
      <c r="AV337" s="609"/>
      <c r="AW337" s="609"/>
      <c r="AX337" s="609"/>
      <c r="AY337" s="609"/>
      <c r="AZ337" s="609"/>
      <c r="BA337" s="609"/>
      <c r="BB337" s="609"/>
      <c r="BC337" s="609"/>
      <c r="BD337" s="609"/>
      <c r="BE337" s="609"/>
      <c r="BF337" s="609"/>
      <c r="BG337" s="609"/>
      <c r="BH337" s="609"/>
      <c r="BI337" s="609"/>
      <c r="BJ337" s="609"/>
      <c r="BK337" s="609"/>
      <c r="BL337" s="609"/>
      <c r="BM337" s="609"/>
      <c r="BN337" s="609"/>
      <c r="BO337" s="609"/>
      <c r="BP337" s="609"/>
      <c r="BQ337" s="609"/>
      <c r="BR337" s="609"/>
      <c r="BS337" s="609"/>
      <c r="BT337" s="609"/>
      <c r="BU337" s="609"/>
      <c r="BV337" s="609"/>
      <c r="BW337" s="609"/>
      <c r="BX337" s="609"/>
    </row>
    <row r="338" spans="1:76" s="3" customFormat="1" ht="12.4" customHeight="1">
      <c r="A338" s="23"/>
      <c r="B338" s="22"/>
      <c r="C338" s="1591"/>
      <c r="D338" s="1591"/>
      <c r="E338" s="1591"/>
      <c r="F338" s="1591"/>
      <c r="G338" s="1591"/>
      <c r="H338" s="1591"/>
      <c r="I338" s="1591"/>
      <c r="J338" s="1591"/>
      <c r="K338" s="1591"/>
      <c r="L338" s="1591"/>
      <c r="M338" s="1591"/>
      <c r="N338" s="1591"/>
      <c r="O338" s="1591"/>
      <c r="P338" s="1591"/>
      <c r="Q338" s="1591"/>
      <c r="R338" s="1591"/>
      <c r="S338" s="1591"/>
      <c r="T338" s="1591"/>
      <c r="U338" s="1591"/>
      <c r="V338" s="1591"/>
      <c r="W338" s="1591"/>
      <c r="X338" s="1591"/>
      <c r="Y338" s="1591"/>
      <c r="Z338" s="1591"/>
      <c r="AA338" s="1591"/>
      <c r="AB338" s="1591"/>
      <c r="AC338" s="1591"/>
      <c r="AD338" s="1591"/>
      <c r="AE338" s="1591"/>
      <c r="AF338" s="1591"/>
      <c r="AG338" s="1591"/>
      <c r="AH338" s="1591"/>
      <c r="AI338" s="1591"/>
      <c r="AJ338" s="1591"/>
      <c r="AK338" s="23"/>
      <c r="AL338" s="23"/>
      <c r="AM338" s="23"/>
      <c r="AN338" s="209"/>
      <c r="AO338" s="136"/>
    </row>
    <row r="339" spans="1:76" s="3" customFormat="1" ht="12.75" customHeight="1">
      <c r="A339" s="23"/>
      <c r="B339" s="22"/>
      <c r="C339" s="1591" t="s">
        <v>2081</v>
      </c>
      <c r="D339" s="1591"/>
      <c r="E339" s="1591"/>
      <c r="F339" s="1591"/>
      <c r="G339" s="1591"/>
      <c r="H339" s="1591"/>
      <c r="I339" s="1591"/>
      <c r="J339" s="1591"/>
      <c r="K339" s="1591"/>
      <c r="L339" s="1591"/>
      <c r="M339" s="1591"/>
      <c r="N339" s="1591"/>
      <c r="O339" s="1591"/>
      <c r="P339" s="1591"/>
      <c r="Q339" s="1591"/>
      <c r="R339" s="1591"/>
      <c r="S339" s="1591"/>
      <c r="T339" s="1591"/>
      <c r="U339" s="1591"/>
      <c r="V339" s="1591"/>
      <c r="W339" s="1591"/>
      <c r="X339" s="1591"/>
      <c r="Y339" s="1591"/>
      <c r="Z339" s="1591"/>
      <c r="AA339" s="1591"/>
      <c r="AB339" s="1591"/>
      <c r="AC339" s="1591"/>
      <c r="AD339" s="1591"/>
      <c r="AE339" s="1591"/>
      <c r="AF339" s="1591"/>
      <c r="AG339" s="1591"/>
      <c r="AH339" s="1591"/>
      <c r="AI339" s="1591"/>
      <c r="AJ339" s="1591"/>
      <c r="AK339" s="23"/>
      <c r="AL339" s="23"/>
      <c r="AM339" s="23"/>
      <c r="AN339" s="209"/>
    </row>
    <row r="340" spans="1:76" s="3" customFormat="1" ht="12.75" customHeight="1">
      <c r="A340" s="23"/>
      <c r="B340" s="22"/>
      <c r="C340" s="1591"/>
      <c r="D340" s="1591"/>
      <c r="E340" s="1591"/>
      <c r="F340" s="1591"/>
      <c r="G340" s="1591"/>
      <c r="H340" s="1591"/>
      <c r="I340" s="1591"/>
      <c r="J340" s="1591"/>
      <c r="K340" s="1591"/>
      <c r="L340" s="1591"/>
      <c r="M340" s="1591"/>
      <c r="N340" s="1591"/>
      <c r="O340" s="1591"/>
      <c r="P340" s="1591"/>
      <c r="Q340" s="1591"/>
      <c r="R340" s="1591"/>
      <c r="S340" s="1591"/>
      <c r="T340" s="1591"/>
      <c r="U340" s="1591"/>
      <c r="V340" s="1591"/>
      <c r="W340" s="1591"/>
      <c r="X340" s="1591"/>
      <c r="Y340" s="1591"/>
      <c r="Z340" s="1591"/>
      <c r="AA340" s="1591"/>
      <c r="AB340" s="1591"/>
      <c r="AC340" s="1591"/>
      <c r="AD340" s="1591"/>
      <c r="AE340" s="1591"/>
      <c r="AF340" s="1591"/>
      <c r="AG340" s="1591"/>
      <c r="AH340" s="1591"/>
      <c r="AI340" s="1591"/>
      <c r="AJ340" s="1591"/>
      <c r="AK340" s="23"/>
      <c r="AL340" s="23"/>
      <c r="AM340" s="23"/>
      <c r="AN340" s="209"/>
    </row>
    <row r="341" spans="1:76" s="3" customFormat="1" ht="12.75" customHeight="1">
      <c r="A341" s="23"/>
      <c r="B341" s="22"/>
      <c r="C341" s="1591"/>
      <c r="D341" s="1591"/>
      <c r="E341" s="1591"/>
      <c r="F341" s="1591"/>
      <c r="G341" s="1591"/>
      <c r="H341" s="1591"/>
      <c r="I341" s="1591"/>
      <c r="J341" s="1591"/>
      <c r="K341" s="1591"/>
      <c r="L341" s="1591"/>
      <c r="M341" s="1591"/>
      <c r="N341" s="1591"/>
      <c r="O341" s="1591"/>
      <c r="P341" s="1591"/>
      <c r="Q341" s="1591"/>
      <c r="R341" s="1591"/>
      <c r="S341" s="1591"/>
      <c r="T341" s="1591"/>
      <c r="U341" s="1591"/>
      <c r="V341" s="1591"/>
      <c r="W341" s="1591"/>
      <c r="X341" s="1591"/>
      <c r="Y341" s="1591"/>
      <c r="Z341" s="1591"/>
      <c r="AA341" s="1591"/>
      <c r="AB341" s="1591"/>
      <c r="AC341" s="1591"/>
      <c r="AD341" s="1591"/>
      <c r="AE341" s="1591"/>
      <c r="AF341" s="1591"/>
      <c r="AG341" s="1591"/>
      <c r="AH341" s="1591"/>
      <c r="AI341" s="1591"/>
      <c r="AJ341" s="1591"/>
      <c r="AK341" s="23"/>
      <c r="AL341" s="23"/>
      <c r="AM341" s="23"/>
      <c r="AN341" s="209"/>
      <c r="AQ341"/>
    </row>
    <row r="342" spans="1:76" s="3" customFormat="1" ht="12.75" customHeight="1">
      <c r="A342" s="23"/>
      <c r="B342" s="22"/>
      <c r="C342" s="1591"/>
      <c r="D342" s="1591"/>
      <c r="E342" s="1591"/>
      <c r="F342" s="1591"/>
      <c r="G342" s="1591"/>
      <c r="H342" s="1591"/>
      <c r="I342" s="1591"/>
      <c r="J342" s="1591"/>
      <c r="K342" s="1591"/>
      <c r="L342" s="1591"/>
      <c r="M342" s="1591"/>
      <c r="N342" s="1591"/>
      <c r="O342" s="1591"/>
      <c r="P342" s="1591"/>
      <c r="Q342" s="1591"/>
      <c r="R342" s="1591"/>
      <c r="S342" s="1591"/>
      <c r="T342" s="1591"/>
      <c r="U342" s="1591"/>
      <c r="V342" s="1591"/>
      <c r="W342" s="1591"/>
      <c r="X342" s="1591"/>
      <c r="Y342" s="1591"/>
      <c r="Z342" s="1591"/>
      <c r="AA342" s="1591"/>
      <c r="AB342" s="1591"/>
      <c r="AC342" s="1591"/>
      <c r="AD342" s="1591"/>
      <c r="AE342" s="1591"/>
      <c r="AF342" s="1591"/>
      <c r="AG342" s="1591"/>
      <c r="AH342" s="1591"/>
      <c r="AI342" s="1591"/>
      <c r="AJ342" s="1591"/>
      <c r="AK342" s="23"/>
      <c r="AL342" s="23"/>
      <c r="AM342" s="23"/>
      <c r="AN342" s="209"/>
      <c r="AQ342"/>
    </row>
    <row r="343" spans="1:76" s="3" customFormat="1" ht="12.4" customHeight="1">
      <c r="A343" s="23"/>
      <c r="B343" s="22"/>
      <c r="C343" s="1591"/>
      <c r="D343" s="1591"/>
      <c r="E343" s="1591"/>
      <c r="F343" s="1591"/>
      <c r="G343" s="1591"/>
      <c r="H343" s="1591"/>
      <c r="I343" s="1591"/>
      <c r="J343" s="1591"/>
      <c r="K343" s="1591"/>
      <c r="L343" s="1591"/>
      <c r="M343" s="1591"/>
      <c r="N343" s="1591"/>
      <c r="O343" s="1591"/>
      <c r="P343" s="1591"/>
      <c r="Q343" s="1591"/>
      <c r="R343" s="1591"/>
      <c r="S343" s="1591"/>
      <c r="T343" s="1591"/>
      <c r="U343" s="1591"/>
      <c r="V343" s="1591"/>
      <c r="W343" s="1591"/>
      <c r="X343" s="1591"/>
      <c r="Y343" s="1591"/>
      <c r="Z343" s="1591"/>
      <c r="AA343" s="1591"/>
      <c r="AB343" s="1591"/>
      <c r="AC343" s="1591"/>
      <c r="AD343" s="1591"/>
      <c r="AE343" s="1591"/>
      <c r="AF343" s="1591"/>
      <c r="AG343" s="1591"/>
      <c r="AH343" s="1591"/>
      <c r="AI343" s="1591"/>
      <c r="AJ343" s="1591"/>
      <c r="AK343" s="23"/>
      <c r="AL343" s="23"/>
      <c r="AM343" s="23"/>
      <c r="AN343" s="209"/>
      <c r="AQ343"/>
      <c r="AR343"/>
    </row>
    <row r="344" spans="1:76" s="3" customFormat="1" ht="12.75" customHeight="1">
      <c r="A344" s="23"/>
      <c r="B344" s="22"/>
      <c r="C344" s="1591" t="s">
        <v>2082</v>
      </c>
      <c r="D344" s="1591"/>
      <c r="E344" s="1591"/>
      <c r="F344" s="1591"/>
      <c r="G344" s="1591"/>
      <c r="H344" s="1591"/>
      <c r="I344" s="1591"/>
      <c r="J344" s="1591"/>
      <c r="K344" s="1591"/>
      <c r="L344" s="1591"/>
      <c r="M344" s="1591"/>
      <c r="N344" s="1591"/>
      <c r="O344" s="1591"/>
      <c r="P344" s="1591"/>
      <c r="Q344" s="1591"/>
      <c r="R344" s="1591"/>
      <c r="S344" s="1591"/>
      <c r="T344" s="1591"/>
      <c r="U344" s="1591"/>
      <c r="V344" s="1591"/>
      <c r="W344" s="1591"/>
      <c r="X344" s="1591"/>
      <c r="Y344" s="1591"/>
      <c r="Z344" s="1591"/>
      <c r="AA344" s="1591"/>
      <c r="AB344" s="1591"/>
      <c r="AC344" s="1591"/>
      <c r="AD344" s="1591"/>
      <c r="AE344" s="1591"/>
      <c r="AF344" s="1591"/>
      <c r="AG344" s="1591"/>
      <c r="AH344" s="1591"/>
      <c r="AI344" s="1591"/>
      <c r="AJ344" s="1591"/>
      <c r="AK344" s="23"/>
      <c r="AL344" s="23"/>
      <c r="AM344" s="23"/>
      <c r="AN344" s="209"/>
      <c r="AQ344"/>
      <c r="AR344"/>
    </row>
    <row r="345" spans="1:76" s="3" customFormat="1" ht="12.75" customHeight="1">
      <c r="A345" s="23"/>
      <c r="B345" s="22"/>
      <c r="C345" s="1591"/>
      <c r="D345" s="1591"/>
      <c r="E345" s="1591"/>
      <c r="F345" s="1591"/>
      <c r="G345" s="1591"/>
      <c r="H345" s="1591"/>
      <c r="I345" s="1591"/>
      <c r="J345" s="1591"/>
      <c r="K345" s="1591"/>
      <c r="L345" s="1591"/>
      <c r="M345" s="1591"/>
      <c r="N345" s="1591"/>
      <c r="O345" s="1591"/>
      <c r="P345" s="1591"/>
      <c r="Q345" s="1591"/>
      <c r="R345" s="1591"/>
      <c r="S345" s="1591"/>
      <c r="T345" s="1591"/>
      <c r="U345" s="1591"/>
      <c r="V345" s="1591"/>
      <c r="W345" s="1591"/>
      <c r="X345" s="1591"/>
      <c r="Y345" s="1591"/>
      <c r="Z345" s="1591"/>
      <c r="AA345" s="1591"/>
      <c r="AB345" s="1591"/>
      <c r="AC345" s="1591"/>
      <c r="AD345" s="1591"/>
      <c r="AE345" s="1591"/>
      <c r="AF345" s="1591"/>
      <c r="AG345" s="1591"/>
      <c r="AH345" s="1591"/>
      <c r="AI345" s="1591"/>
      <c r="AJ345" s="1591"/>
      <c r="AK345" s="23"/>
      <c r="AL345" s="23"/>
      <c r="AM345" s="23"/>
      <c r="AN345" s="209"/>
      <c r="AR345"/>
    </row>
    <row r="346" spans="1:76" s="3" customFormat="1" ht="12.75" customHeight="1">
      <c r="A346" s="23"/>
      <c r="B346" s="22"/>
      <c r="C346" s="1591"/>
      <c r="D346" s="1591"/>
      <c r="E346" s="1591"/>
      <c r="F346" s="1591"/>
      <c r="G346" s="1591"/>
      <c r="H346" s="1591"/>
      <c r="I346" s="1591"/>
      <c r="J346" s="1591"/>
      <c r="K346" s="1591"/>
      <c r="L346" s="1591"/>
      <c r="M346" s="1591"/>
      <c r="N346" s="1591"/>
      <c r="O346" s="1591"/>
      <c r="P346" s="1591"/>
      <c r="Q346" s="1591"/>
      <c r="R346" s="1591"/>
      <c r="S346" s="1591"/>
      <c r="T346" s="1591"/>
      <c r="U346" s="1591"/>
      <c r="V346" s="1591"/>
      <c r="W346" s="1591"/>
      <c r="X346" s="1591"/>
      <c r="Y346" s="1591"/>
      <c r="Z346" s="1591"/>
      <c r="AA346" s="1591"/>
      <c r="AB346" s="1591"/>
      <c r="AC346" s="1591"/>
      <c r="AD346" s="1591"/>
      <c r="AE346" s="1591"/>
      <c r="AF346" s="1591"/>
      <c r="AG346" s="1591"/>
      <c r="AH346" s="1591"/>
      <c r="AI346" s="1591"/>
      <c r="AJ346" s="1591"/>
      <c r="AK346" s="23"/>
      <c r="AL346" s="23"/>
      <c r="AM346" s="23"/>
      <c r="AN346" s="209"/>
      <c r="AR346"/>
    </row>
    <row r="347" spans="1:76" s="3" customFormat="1" ht="12.75" customHeight="1">
      <c r="A347" s="23"/>
      <c r="B347" s="22"/>
      <c r="C347" s="1591" t="s">
        <v>2083</v>
      </c>
      <c r="D347" s="1591"/>
      <c r="E347" s="1591"/>
      <c r="F347" s="1591"/>
      <c r="G347" s="1591"/>
      <c r="H347" s="1591"/>
      <c r="I347" s="1591"/>
      <c r="J347" s="1591"/>
      <c r="K347" s="1591"/>
      <c r="L347" s="1591"/>
      <c r="M347" s="1591"/>
      <c r="N347" s="1591"/>
      <c r="O347" s="1591"/>
      <c r="P347" s="1591"/>
      <c r="Q347" s="1591"/>
      <c r="R347" s="1591"/>
      <c r="S347" s="1591"/>
      <c r="T347" s="1591"/>
      <c r="U347" s="1591"/>
      <c r="V347" s="1591"/>
      <c r="W347" s="1591"/>
      <c r="X347" s="1591"/>
      <c r="Y347" s="1591"/>
      <c r="Z347" s="1591"/>
      <c r="AA347" s="1591"/>
      <c r="AB347" s="1591"/>
      <c r="AC347" s="1591"/>
      <c r="AD347" s="1591"/>
      <c r="AE347" s="1591"/>
      <c r="AF347" s="1591"/>
      <c r="AG347" s="1591"/>
      <c r="AH347" s="1591"/>
      <c r="AI347" s="1591"/>
      <c r="AJ347" s="1591"/>
      <c r="AK347" s="23"/>
      <c r="AL347" s="23"/>
      <c r="AM347" s="23"/>
      <c r="AN347" s="209"/>
      <c r="AQ347"/>
      <c r="AR347"/>
    </row>
    <row r="348" spans="1:76" s="3" customFormat="1" ht="12.75" customHeight="1">
      <c r="A348" s="23"/>
      <c r="B348" s="22"/>
      <c r="C348" s="1591"/>
      <c r="D348" s="1591"/>
      <c r="E348" s="1591"/>
      <c r="F348" s="1591"/>
      <c r="G348" s="1591"/>
      <c r="H348" s="1591"/>
      <c r="I348" s="1591"/>
      <c r="J348" s="1591"/>
      <c r="K348" s="1591"/>
      <c r="L348" s="1591"/>
      <c r="M348" s="1591"/>
      <c r="N348" s="1591"/>
      <c r="O348" s="1591"/>
      <c r="P348" s="1591"/>
      <c r="Q348" s="1591"/>
      <c r="R348" s="1591"/>
      <c r="S348" s="1591"/>
      <c r="T348" s="1591"/>
      <c r="U348" s="1591"/>
      <c r="V348" s="1591"/>
      <c r="W348" s="1591"/>
      <c r="X348" s="1591"/>
      <c r="Y348" s="1591"/>
      <c r="Z348" s="1591"/>
      <c r="AA348" s="1591"/>
      <c r="AB348" s="1591"/>
      <c r="AC348" s="1591"/>
      <c r="AD348" s="1591"/>
      <c r="AE348" s="1591"/>
      <c r="AF348" s="1591"/>
      <c r="AG348" s="1591"/>
      <c r="AH348" s="1591"/>
      <c r="AI348" s="1591"/>
      <c r="AJ348" s="1591"/>
      <c r="AK348" s="23"/>
      <c r="AL348" s="23"/>
      <c r="AM348" s="23"/>
      <c r="AN348" s="209"/>
      <c r="AQ348"/>
      <c r="AR348"/>
    </row>
    <row r="349" spans="1:76" s="3" customFormat="1" ht="13.15" customHeight="1">
      <c r="A349" s="23"/>
      <c r="B349" s="22"/>
      <c r="C349" s="1591"/>
      <c r="D349" s="1591"/>
      <c r="E349" s="1591"/>
      <c r="F349" s="1591"/>
      <c r="G349" s="1591"/>
      <c r="H349" s="1591"/>
      <c r="I349" s="1591"/>
      <c r="J349" s="1591"/>
      <c r="K349" s="1591"/>
      <c r="L349" s="1591"/>
      <c r="M349" s="1591"/>
      <c r="N349" s="1591"/>
      <c r="O349" s="1591"/>
      <c r="P349" s="1591"/>
      <c r="Q349" s="1591"/>
      <c r="R349" s="1591"/>
      <c r="S349" s="1591"/>
      <c r="T349" s="1591"/>
      <c r="U349" s="1591"/>
      <c r="V349" s="1591"/>
      <c r="W349" s="1591"/>
      <c r="X349" s="1591"/>
      <c r="Y349" s="1591"/>
      <c r="Z349" s="1591"/>
      <c r="AA349" s="1591"/>
      <c r="AB349" s="1591"/>
      <c r="AC349" s="1591"/>
      <c r="AD349" s="1591"/>
      <c r="AE349" s="1591"/>
      <c r="AF349" s="1591"/>
      <c r="AG349" s="1591"/>
      <c r="AH349" s="1591"/>
      <c r="AI349" s="1591"/>
      <c r="AJ349" s="1591"/>
      <c r="AK349" s="23"/>
      <c r="AL349" s="23"/>
      <c r="AM349" s="23"/>
      <c r="AN349" s="209"/>
      <c r="AQ349"/>
      <c r="AR349"/>
    </row>
    <row r="350" spans="1:76" s="3" customFormat="1" ht="12.75" customHeight="1">
      <c r="A350" s="23"/>
      <c r="B350" s="22"/>
      <c r="C350" s="1591"/>
      <c r="D350" s="1591"/>
      <c r="E350" s="1591"/>
      <c r="F350" s="1591"/>
      <c r="G350" s="1591"/>
      <c r="H350" s="1591"/>
      <c r="I350" s="1591"/>
      <c r="J350" s="1591"/>
      <c r="K350" s="1591"/>
      <c r="L350" s="1591"/>
      <c r="M350" s="1591"/>
      <c r="N350" s="1591"/>
      <c r="O350" s="1591"/>
      <c r="P350" s="1591"/>
      <c r="Q350" s="1591"/>
      <c r="R350" s="1591"/>
      <c r="S350" s="1591"/>
      <c r="T350" s="1591"/>
      <c r="U350" s="1591"/>
      <c r="V350" s="1591"/>
      <c r="W350" s="1591"/>
      <c r="X350" s="1591"/>
      <c r="Y350" s="1591"/>
      <c r="Z350" s="1591"/>
      <c r="AA350" s="1591"/>
      <c r="AB350" s="1591"/>
      <c r="AC350" s="1591"/>
      <c r="AD350" s="1591"/>
      <c r="AE350" s="1591"/>
      <c r="AF350" s="1591"/>
      <c r="AG350" s="1591"/>
      <c r="AH350" s="1591"/>
      <c r="AI350" s="1591"/>
      <c r="AJ350" s="1591"/>
      <c r="AK350" s="23"/>
      <c r="AL350" s="23"/>
      <c r="AM350" s="23"/>
      <c r="AN350" s="209"/>
      <c r="AO350" s="123"/>
      <c r="AP350" s="123"/>
      <c r="AQ350"/>
    </row>
    <row r="351" spans="1:76" s="3" customFormat="1" ht="11.85" customHeight="1">
      <c r="A351" s="23"/>
      <c r="B351" s="22"/>
      <c r="C351" s="1591"/>
      <c r="D351" s="1591"/>
      <c r="E351" s="1591"/>
      <c r="F351" s="1591"/>
      <c r="G351" s="1591"/>
      <c r="H351" s="1591"/>
      <c r="I351" s="1591"/>
      <c r="J351" s="1591"/>
      <c r="K351" s="1591"/>
      <c r="L351" s="1591"/>
      <c r="M351" s="1591"/>
      <c r="N351" s="1591"/>
      <c r="O351" s="1591"/>
      <c r="P351" s="1591"/>
      <c r="Q351" s="1591"/>
      <c r="R351" s="1591"/>
      <c r="S351" s="1591"/>
      <c r="T351" s="1591"/>
      <c r="U351" s="1591"/>
      <c r="V351" s="1591"/>
      <c r="W351" s="1591"/>
      <c r="X351" s="1591"/>
      <c r="Y351" s="1591"/>
      <c r="Z351" s="1591"/>
      <c r="AA351" s="1591"/>
      <c r="AB351" s="1591"/>
      <c r="AC351" s="1591"/>
      <c r="AD351" s="1591"/>
      <c r="AE351" s="1591"/>
      <c r="AF351" s="1591"/>
      <c r="AG351" s="1591"/>
      <c r="AH351" s="1591"/>
      <c r="AI351" s="1591"/>
      <c r="AJ351" s="1591"/>
      <c r="AK351" s="23"/>
      <c r="AL351" s="23"/>
      <c r="AM351" s="23"/>
      <c r="AN351" s="209"/>
      <c r="AO351" s="524" t="s">
        <v>14</v>
      </c>
      <c r="AP351" s="47">
        <f>IF(C376="Yes",5,0)</f>
        <v>5</v>
      </c>
      <c r="AS351" s="2" t="s">
        <v>2084</v>
      </c>
    </row>
    <row r="352" spans="1:76" s="3" customFormat="1" ht="12.75" customHeight="1">
      <c r="A352" s="23"/>
      <c r="B352" s="22"/>
      <c r="C352" s="1591"/>
      <c r="D352" s="1591"/>
      <c r="E352" s="1591"/>
      <c r="F352" s="1591"/>
      <c r="G352" s="1591"/>
      <c r="H352" s="1591"/>
      <c r="I352" s="1591"/>
      <c r="J352" s="1591"/>
      <c r="K352" s="1591"/>
      <c r="L352" s="1591"/>
      <c r="M352" s="1591"/>
      <c r="N352" s="1591"/>
      <c r="O352" s="1591"/>
      <c r="P352" s="1591"/>
      <c r="Q352" s="1591"/>
      <c r="R352" s="1591"/>
      <c r="S352" s="1591"/>
      <c r="T352" s="1591"/>
      <c r="U352" s="1591"/>
      <c r="V352" s="1591"/>
      <c r="W352" s="1591"/>
      <c r="X352" s="1591"/>
      <c r="Y352" s="1591"/>
      <c r="Z352" s="1591"/>
      <c r="AA352" s="1591"/>
      <c r="AB352" s="1591"/>
      <c r="AC352" s="1591"/>
      <c r="AD352" s="1591"/>
      <c r="AE352" s="1591"/>
      <c r="AF352" s="1591"/>
      <c r="AG352" s="1591"/>
      <c r="AH352" s="1591"/>
      <c r="AI352" s="1591"/>
      <c r="AJ352" s="1591"/>
      <c r="AK352" s="23"/>
      <c r="AL352" s="23"/>
      <c r="AM352" s="23"/>
      <c r="AN352" s="209"/>
      <c r="AO352" s="524"/>
      <c r="AP352" s="47"/>
      <c r="AS352" s="1579">
        <f>IF(AQ365=0,AQ378,AQ365)</f>
        <v>10</v>
      </c>
      <c r="AT352" s="1579"/>
    </row>
    <row r="353" spans="1:46" s="3" customFormat="1" ht="12.75" customHeight="1">
      <c r="A353" s="23"/>
      <c r="B353" s="22"/>
      <c r="C353" s="1591"/>
      <c r="D353" s="1591"/>
      <c r="E353" s="1591"/>
      <c r="F353" s="1591"/>
      <c r="G353" s="1591"/>
      <c r="H353" s="1591"/>
      <c r="I353" s="1591"/>
      <c r="J353" s="1591"/>
      <c r="K353" s="1591"/>
      <c r="L353" s="1591"/>
      <c r="M353" s="1591"/>
      <c r="N353" s="1591"/>
      <c r="O353" s="1591"/>
      <c r="P353" s="1591"/>
      <c r="Q353" s="1591"/>
      <c r="R353" s="1591"/>
      <c r="S353" s="1591"/>
      <c r="T353" s="1591"/>
      <c r="U353" s="1591"/>
      <c r="V353" s="1591"/>
      <c r="W353" s="1591"/>
      <c r="X353" s="1591"/>
      <c r="Y353" s="1591"/>
      <c r="Z353" s="1591"/>
      <c r="AA353" s="1591"/>
      <c r="AB353" s="1591"/>
      <c r="AC353" s="1591"/>
      <c r="AD353" s="1591"/>
      <c r="AE353" s="1591"/>
      <c r="AF353" s="1591"/>
      <c r="AG353" s="1591"/>
      <c r="AH353" s="1591"/>
      <c r="AI353" s="1591"/>
      <c r="AJ353" s="1591"/>
      <c r="AK353" s="23"/>
      <c r="AL353" s="23"/>
      <c r="AM353" s="23"/>
      <c r="AN353" s="209"/>
      <c r="AO353" s="524" t="s">
        <v>27</v>
      </c>
      <c r="AP353" s="47">
        <f>IF(C386="Yes",5,0)</f>
        <v>0</v>
      </c>
      <c r="AS353" s="2" t="s">
        <v>2085</v>
      </c>
    </row>
    <row r="354" spans="1:46" s="3" customFormat="1" ht="12.75" customHeight="1">
      <c r="A354" s="23"/>
      <c r="B354" s="22"/>
      <c r="C354" s="1591"/>
      <c r="D354" s="1591"/>
      <c r="E354" s="1591"/>
      <c r="F354" s="1591"/>
      <c r="G354" s="1591"/>
      <c r="H354" s="1591"/>
      <c r="I354" s="1591"/>
      <c r="J354" s="1591"/>
      <c r="K354" s="1591"/>
      <c r="L354" s="1591"/>
      <c r="M354" s="1591"/>
      <c r="N354" s="1591"/>
      <c r="O354" s="1591"/>
      <c r="P354" s="1591"/>
      <c r="Q354" s="1591"/>
      <c r="R354" s="1591"/>
      <c r="S354" s="1591"/>
      <c r="T354" s="1591"/>
      <c r="U354" s="1591"/>
      <c r="V354" s="1591"/>
      <c r="W354" s="1591"/>
      <c r="X354" s="1591"/>
      <c r="Y354" s="1591"/>
      <c r="Z354" s="1591"/>
      <c r="AA354" s="1591"/>
      <c r="AB354" s="1591"/>
      <c r="AC354" s="1591"/>
      <c r="AD354" s="1591"/>
      <c r="AE354" s="1591"/>
      <c r="AF354" s="1591"/>
      <c r="AG354" s="1591"/>
      <c r="AH354" s="1591"/>
      <c r="AI354" s="1591"/>
      <c r="AJ354" s="1591"/>
      <c r="AK354" s="23"/>
      <c r="AL354" s="23"/>
      <c r="AM354" s="23"/>
      <c r="AN354" s="209"/>
      <c r="AO354" s="524"/>
      <c r="AP354" s="47"/>
      <c r="AS354" s="1579">
        <f>IF(AND(AQ365&gt;0,AQ378&gt;0),(AQ365+AQ378)/2,0)</f>
        <v>0</v>
      </c>
      <c r="AT354" s="1579"/>
    </row>
    <row r="355" spans="1:46" s="3" customFormat="1" ht="12.75" customHeight="1">
      <c r="A355" s="23"/>
      <c r="B355" s="22"/>
      <c r="C355" s="1591"/>
      <c r="D355" s="1591"/>
      <c r="E355" s="1591"/>
      <c r="F355" s="1591"/>
      <c r="G355" s="1591"/>
      <c r="H355" s="1591"/>
      <c r="I355" s="1591"/>
      <c r="J355" s="1591"/>
      <c r="K355" s="1591"/>
      <c r="L355" s="1591"/>
      <c r="M355" s="1591"/>
      <c r="N355" s="1591"/>
      <c r="O355" s="1591"/>
      <c r="P355" s="1591"/>
      <c r="Q355" s="1591"/>
      <c r="R355" s="1591"/>
      <c r="S355" s="1591"/>
      <c r="T355" s="1591"/>
      <c r="U355" s="1591"/>
      <c r="V355" s="1591"/>
      <c r="W355" s="1591"/>
      <c r="X355" s="1591"/>
      <c r="Y355" s="1591"/>
      <c r="Z355" s="1591"/>
      <c r="AA355" s="1591"/>
      <c r="AB355" s="1591"/>
      <c r="AC355" s="1591"/>
      <c r="AD355" s="1591"/>
      <c r="AE355" s="1591"/>
      <c r="AF355" s="1591"/>
      <c r="AG355" s="1591"/>
      <c r="AH355" s="1591"/>
      <c r="AI355" s="1591"/>
      <c r="AJ355" s="1591"/>
      <c r="AK355" s="23"/>
      <c r="AL355" s="23"/>
      <c r="AM355" s="23"/>
      <c r="AN355" s="209"/>
      <c r="AO355" s="524" t="s">
        <v>33</v>
      </c>
      <c r="AP355" s="47">
        <f>IF(C396="Yes",7,0)</f>
        <v>0</v>
      </c>
    </row>
    <row r="356" spans="1:46" s="3" customFormat="1" ht="12.75" customHeight="1">
      <c r="A356" s="23"/>
      <c r="B356" s="22"/>
      <c r="C356" s="1591" t="s">
        <v>2086</v>
      </c>
      <c r="D356" s="1591"/>
      <c r="E356" s="1591"/>
      <c r="F356" s="1591"/>
      <c r="G356" s="1591"/>
      <c r="H356" s="1591"/>
      <c r="I356" s="1591"/>
      <c r="J356" s="1591"/>
      <c r="K356" s="1591"/>
      <c r="L356" s="1591"/>
      <c r="M356" s="1591"/>
      <c r="N356" s="1591"/>
      <c r="O356" s="1591"/>
      <c r="P356" s="1591"/>
      <c r="Q356" s="1591"/>
      <c r="R356" s="1591"/>
      <c r="S356" s="1591"/>
      <c r="T356" s="1591"/>
      <c r="U356" s="1591"/>
      <c r="V356" s="1591"/>
      <c r="W356" s="1591"/>
      <c r="X356" s="1591"/>
      <c r="Y356" s="1591"/>
      <c r="Z356" s="1591"/>
      <c r="AA356" s="1591"/>
      <c r="AB356" s="1591"/>
      <c r="AC356" s="1591"/>
      <c r="AD356" s="1591"/>
      <c r="AE356" s="1591"/>
      <c r="AF356" s="1591"/>
      <c r="AG356" s="1591"/>
      <c r="AH356" s="1591"/>
      <c r="AI356" s="1591"/>
      <c r="AJ356" s="1591"/>
      <c r="AK356" s="23"/>
      <c r="AL356" s="23"/>
      <c r="AM356" s="23"/>
      <c r="AN356" s="209"/>
      <c r="AO356" s="209"/>
      <c r="AP356" s="47">
        <f>IF(C398="Yes",5,0)</f>
        <v>5</v>
      </c>
    </row>
    <row r="357" spans="1:46" s="3" customFormat="1" ht="12.75" customHeight="1">
      <c r="A357" s="23"/>
      <c r="B357" s="22"/>
      <c r="C357" s="1591"/>
      <c r="D357" s="1591"/>
      <c r="E357" s="1591"/>
      <c r="F357" s="1591"/>
      <c r="G357" s="1591"/>
      <c r="H357" s="1591"/>
      <c r="I357" s="1591"/>
      <c r="J357" s="1591"/>
      <c r="K357" s="1591"/>
      <c r="L357" s="1591"/>
      <c r="M357" s="1591"/>
      <c r="N357" s="1591"/>
      <c r="O357" s="1591"/>
      <c r="P357" s="1591"/>
      <c r="Q357" s="1591"/>
      <c r="R357" s="1591"/>
      <c r="S357" s="1591"/>
      <c r="T357" s="1591"/>
      <c r="U357" s="1591"/>
      <c r="V357" s="1591"/>
      <c r="W357" s="1591"/>
      <c r="X357" s="1591"/>
      <c r="Y357" s="1591"/>
      <c r="Z357" s="1591"/>
      <c r="AA357" s="1591"/>
      <c r="AB357" s="1591"/>
      <c r="AC357" s="1591"/>
      <c r="AD357" s="1591"/>
      <c r="AE357" s="1591"/>
      <c r="AF357" s="1591"/>
      <c r="AG357" s="1591"/>
      <c r="AH357" s="1591"/>
      <c r="AI357" s="1591"/>
      <c r="AJ357" s="1591"/>
      <c r="AK357" s="23"/>
      <c r="AL357" s="23"/>
      <c r="AM357" s="23"/>
      <c r="AN357" s="209"/>
      <c r="AO357" s="209"/>
      <c r="AP357" s="47"/>
    </row>
    <row r="358" spans="1:46" s="3" customFormat="1" ht="12.75" customHeight="1">
      <c r="A358" s="23"/>
      <c r="B358" s="22"/>
      <c r="C358" s="1591"/>
      <c r="D358" s="1591"/>
      <c r="E358" s="1591"/>
      <c r="F358" s="1591"/>
      <c r="G358" s="1591"/>
      <c r="H358" s="1591"/>
      <c r="I358" s="1591"/>
      <c r="J358" s="1591"/>
      <c r="K358" s="1591"/>
      <c r="L358" s="1591"/>
      <c r="M358" s="1591"/>
      <c r="N358" s="1591"/>
      <c r="O358" s="1591"/>
      <c r="P358" s="1591"/>
      <c r="Q358" s="1591"/>
      <c r="R358" s="1591"/>
      <c r="S358" s="1591"/>
      <c r="T358" s="1591"/>
      <c r="U358" s="1591"/>
      <c r="V358" s="1591"/>
      <c r="W358" s="1591"/>
      <c r="X358" s="1591"/>
      <c r="Y358" s="1591"/>
      <c r="Z358" s="1591"/>
      <c r="AA358" s="1591"/>
      <c r="AB358" s="1591"/>
      <c r="AC358" s="1591"/>
      <c r="AD358" s="1591"/>
      <c r="AE358" s="1591"/>
      <c r="AF358" s="1591"/>
      <c r="AG358" s="1591"/>
      <c r="AH358" s="1591"/>
      <c r="AI358" s="1591"/>
      <c r="AJ358" s="1591"/>
      <c r="AK358" s="23"/>
      <c r="AL358" s="23"/>
      <c r="AM358" s="23"/>
      <c r="AN358" s="209"/>
      <c r="AO358" s="524" t="s">
        <v>91</v>
      </c>
      <c r="AP358" s="47">
        <f>IF(C406="Yes",5,0)</f>
        <v>0</v>
      </c>
    </row>
    <row r="359" spans="1:46" s="3" customFormat="1" ht="11.85" customHeight="1">
      <c r="A359" s="23"/>
      <c r="B359" s="22"/>
      <c r="C359" s="1591"/>
      <c r="D359" s="1591"/>
      <c r="E359" s="1591"/>
      <c r="F359" s="1591"/>
      <c r="G359" s="1591"/>
      <c r="H359" s="1591"/>
      <c r="I359" s="1591"/>
      <c r="J359" s="1591"/>
      <c r="K359" s="1591"/>
      <c r="L359" s="1591"/>
      <c r="M359" s="1591"/>
      <c r="N359" s="1591"/>
      <c r="O359" s="1591"/>
      <c r="P359" s="1591"/>
      <c r="Q359" s="1591"/>
      <c r="R359" s="1591"/>
      <c r="S359" s="1591"/>
      <c r="T359" s="1591"/>
      <c r="U359" s="1591"/>
      <c r="V359" s="1591"/>
      <c r="W359" s="1591"/>
      <c r="X359" s="1591"/>
      <c r="Y359" s="1591"/>
      <c r="Z359" s="1591"/>
      <c r="AA359" s="1591"/>
      <c r="AB359" s="1591"/>
      <c r="AC359" s="1591"/>
      <c r="AD359" s="1591"/>
      <c r="AE359" s="1591"/>
      <c r="AF359" s="1591"/>
      <c r="AG359" s="1591"/>
      <c r="AH359" s="1591"/>
      <c r="AI359" s="1591"/>
      <c r="AJ359" s="1591"/>
      <c r="AK359" s="23"/>
      <c r="AL359" s="23"/>
      <c r="AM359" s="23"/>
      <c r="AN359" s="209"/>
      <c r="AO359" s="209"/>
      <c r="AP359" s="47">
        <f>IF(C408="Yes",3,0)</f>
        <v>0</v>
      </c>
    </row>
    <row r="360" spans="1:46" s="3" customFormat="1" ht="12.4" customHeight="1">
      <c r="A360" s="23"/>
      <c r="B360" s="22"/>
      <c r="C360" s="1591"/>
      <c r="D360" s="1591"/>
      <c r="E360" s="1591"/>
      <c r="F360" s="1591"/>
      <c r="G360" s="1591"/>
      <c r="H360" s="1591"/>
      <c r="I360" s="1591"/>
      <c r="J360" s="1591"/>
      <c r="K360" s="1591"/>
      <c r="L360" s="1591"/>
      <c r="M360" s="1591"/>
      <c r="N360" s="1591"/>
      <c r="O360" s="1591"/>
      <c r="P360" s="1591"/>
      <c r="Q360" s="1591"/>
      <c r="R360" s="1591"/>
      <c r="S360" s="1591"/>
      <c r="T360" s="1591"/>
      <c r="U360" s="1591"/>
      <c r="V360" s="1591"/>
      <c r="W360" s="1591"/>
      <c r="X360" s="1591"/>
      <c r="Y360" s="1591"/>
      <c r="Z360" s="1591"/>
      <c r="AA360" s="1591"/>
      <c r="AB360" s="1591"/>
      <c r="AC360" s="1591"/>
      <c r="AD360" s="1591"/>
      <c r="AE360" s="1591"/>
      <c r="AF360" s="1591"/>
      <c r="AG360" s="1591"/>
      <c r="AH360" s="1591"/>
      <c r="AI360" s="1591"/>
      <c r="AJ360" s="1591"/>
      <c r="AK360" s="23"/>
      <c r="AL360" s="23"/>
      <c r="AM360" s="23"/>
      <c r="AN360" s="209"/>
      <c r="AO360" s="209"/>
      <c r="AP360" s="47"/>
    </row>
    <row r="361" spans="1:46" s="3" customFormat="1" ht="12.75" customHeight="1">
      <c r="A361" s="23"/>
      <c r="B361" s="22"/>
      <c r="C361" s="1591"/>
      <c r="D361" s="1591"/>
      <c r="E361" s="1591"/>
      <c r="F361" s="1591"/>
      <c r="G361" s="1591"/>
      <c r="H361" s="1591"/>
      <c r="I361" s="1591"/>
      <c r="J361" s="1591"/>
      <c r="K361" s="1591"/>
      <c r="L361" s="1591"/>
      <c r="M361" s="1591"/>
      <c r="N361" s="1591"/>
      <c r="O361" s="1591"/>
      <c r="P361" s="1591"/>
      <c r="Q361" s="1591"/>
      <c r="R361" s="1591"/>
      <c r="S361" s="1591"/>
      <c r="T361" s="1591"/>
      <c r="U361" s="1591"/>
      <c r="V361" s="1591"/>
      <c r="W361" s="1591"/>
      <c r="X361" s="1591"/>
      <c r="Y361" s="1591"/>
      <c r="Z361" s="1591"/>
      <c r="AA361" s="1591"/>
      <c r="AB361" s="1591"/>
      <c r="AC361" s="1591"/>
      <c r="AD361" s="1591"/>
      <c r="AE361" s="1591"/>
      <c r="AF361" s="1591"/>
      <c r="AG361" s="1591"/>
      <c r="AH361" s="1591"/>
      <c r="AI361" s="1591"/>
      <c r="AJ361" s="1591"/>
      <c r="AK361" s="23"/>
      <c r="AL361" s="23"/>
      <c r="AM361" s="23"/>
      <c r="AN361" s="209"/>
      <c r="AO361" s="524" t="s">
        <v>95</v>
      </c>
      <c r="AP361" s="47">
        <f>IF(C411="Yes",5,0)</f>
        <v>0</v>
      </c>
    </row>
    <row r="362" spans="1:46" s="3" customFormat="1" ht="12.75" customHeight="1">
      <c r="A362" s="23"/>
      <c r="B362" s="22"/>
      <c r="C362" s="1591"/>
      <c r="D362" s="1591"/>
      <c r="E362" s="1591"/>
      <c r="F362" s="1591"/>
      <c r="G362" s="1591"/>
      <c r="H362" s="1591"/>
      <c r="I362" s="1591"/>
      <c r="J362" s="1591"/>
      <c r="K362" s="1591"/>
      <c r="L362" s="1591"/>
      <c r="M362" s="1591"/>
      <c r="N362" s="1591"/>
      <c r="O362" s="1591"/>
      <c r="P362" s="1591"/>
      <c r="Q362" s="1591"/>
      <c r="R362" s="1591"/>
      <c r="S362" s="1591"/>
      <c r="T362" s="1591"/>
      <c r="U362" s="1591"/>
      <c r="V362" s="1591"/>
      <c r="W362" s="1591"/>
      <c r="X362" s="1591"/>
      <c r="Y362" s="1591"/>
      <c r="Z362" s="1591"/>
      <c r="AA362" s="1591"/>
      <c r="AB362" s="1591"/>
      <c r="AC362" s="1591"/>
      <c r="AD362" s="1591"/>
      <c r="AE362" s="1591"/>
      <c r="AF362" s="1591"/>
      <c r="AG362" s="1591"/>
      <c r="AH362" s="1591"/>
      <c r="AI362" s="1591"/>
      <c r="AJ362" s="1591"/>
      <c r="AK362" s="23"/>
      <c r="AL362" s="23"/>
      <c r="AM362" s="23"/>
      <c r="AN362" s="209"/>
      <c r="AO362" s="524" t="s">
        <v>1384</v>
      </c>
      <c r="AP362" s="47">
        <f>IF(C420="Yes",5,0)</f>
        <v>0</v>
      </c>
    </row>
    <row r="363" spans="1:46" s="3" customFormat="1" ht="12.75" customHeight="1">
      <c r="A363" s="23"/>
      <c r="B363" s="22"/>
      <c r="C363" s="1591" t="s">
        <v>2087</v>
      </c>
      <c r="D363" s="1591"/>
      <c r="E363" s="1591"/>
      <c r="F363" s="1591"/>
      <c r="G363" s="1591"/>
      <c r="H363" s="1591"/>
      <c r="I363" s="1591"/>
      <c r="J363" s="1591"/>
      <c r="K363" s="1591"/>
      <c r="L363" s="1591"/>
      <c r="M363" s="1591"/>
      <c r="N363" s="1591"/>
      <c r="O363" s="1591"/>
      <c r="P363" s="1591"/>
      <c r="Q363" s="1591"/>
      <c r="R363" s="1591"/>
      <c r="S363" s="1591"/>
      <c r="T363" s="1591"/>
      <c r="U363" s="1591"/>
      <c r="V363" s="1591"/>
      <c r="W363" s="1591"/>
      <c r="X363" s="1591"/>
      <c r="Y363" s="1591"/>
      <c r="Z363" s="1591"/>
      <c r="AA363" s="1591"/>
      <c r="AB363" s="1591"/>
      <c r="AC363" s="1591"/>
      <c r="AD363" s="1591"/>
      <c r="AE363" s="1591"/>
      <c r="AF363" s="1591"/>
      <c r="AG363" s="1591"/>
      <c r="AH363" s="1591"/>
      <c r="AI363" s="1591"/>
      <c r="AJ363" s="1591"/>
      <c r="AK363" s="23"/>
      <c r="AL363" s="23"/>
      <c r="AM363" s="23"/>
      <c r="AN363" s="209"/>
      <c r="AO363" s="209"/>
      <c r="AP363" s="47">
        <f>IF(C422="Yes",3,0)</f>
        <v>0</v>
      </c>
    </row>
    <row r="364" spans="1:46" s="3" customFormat="1" ht="12.75" customHeight="1">
      <c r="A364" s="23"/>
      <c r="B364" s="22"/>
      <c r="C364" s="1591"/>
      <c r="D364" s="1591"/>
      <c r="E364" s="1591"/>
      <c r="F364" s="1591"/>
      <c r="G364" s="1591"/>
      <c r="H364" s="1591"/>
      <c r="I364" s="1591"/>
      <c r="J364" s="1591"/>
      <c r="K364" s="1591"/>
      <c r="L364" s="1591"/>
      <c r="M364" s="1591"/>
      <c r="N364" s="1591"/>
      <c r="O364" s="1591"/>
      <c r="P364" s="1591"/>
      <c r="Q364" s="1591"/>
      <c r="R364" s="1591"/>
      <c r="S364" s="1591"/>
      <c r="T364" s="1591"/>
      <c r="U364" s="1591"/>
      <c r="V364" s="1591"/>
      <c r="W364" s="1591"/>
      <c r="X364" s="1591"/>
      <c r="Y364" s="1591"/>
      <c r="Z364" s="1591"/>
      <c r="AA364" s="1591"/>
      <c r="AB364" s="1591"/>
      <c r="AC364" s="1591"/>
      <c r="AD364" s="1591"/>
      <c r="AE364" s="1591"/>
      <c r="AF364" s="1591"/>
      <c r="AG364" s="1591"/>
      <c r="AH364" s="1591"/>
      <c r="AI364" s="1591"/>
      <c r="AJ364" s="1591"/>
      <c r="AK364" s="23"/>
      <c r="AL364" s="23"/>
      <c r="AM364" s="23"/>
      <c r="AN364" s="209"/>
      <c r="AO364" s="525"/>
      <c r="AP364" s="40"/>
    </row>
    <row r="365" spans="1:46" s="3" customFormat="1" ht="68.099999999999994" customHeight="1">
      <c r="A365" s="23"/>
      <c r="B365" s="22"/>
      <c r="C365" s="1591"/>
      <c r="D365" s="1591"/>
      <c r="E365" s="1591"/>
      <c r="F365" s="1591"/>
      <c r="G365" s="1591"/>
      <c r="H365" s="1591"/>
      <c r="I365" s="1591"/>
      <c r="J365" s="1591"/>
      <c r="K365" s="1591"/>
      <c r="L365" s="1591"/>
      <c r="M365" s="1591"/>
      <c r="N365" s="1591"/>
      <c r="O365" s="1591"/>
      <c r="P365" s="1591"/>
      <c r="Q365" s="1591"/>
      <c r="R365" s="1591"/>
      <c r="S365" s="1591"/>
      <c r="T365" s="1591"/>
      <c r="U365" s="1591"/>
      <c r="V365" s="1591"/>
      <c r="W365" s="1591"/>
      <c r="X365" s="1591"/>
      <c r="Y365" s="1591"/>
      <c r="Z365" s="1591"/>
      <c r="AA365" s="1591"/>
      <c r="AB365" s="1591"/>
      <c r="AC365" s="1591"/>
      <c r="AD365" s="1591"/>
      <c r="AE365" s="1591"/>
      <c r="AF365" s="1591"/>
      <c r="AG365" s="1591"/>
      <c r="AH365" s="1591"/>
      <c r="AI365" s="1591"/>
      <c r="AJ365" s="1591"/>
      <c r="AK365" s="23"/>
      <c r="AL365" s="23"/>
      <c r="AM365" s="23"/>
      <c r="AN365" s="209"/>
      <c r="AO365" s="526" t="s">
        <v>1639</v>
      </c>
      <c r="AP365" s="833">
        <f>SUM(AP351:AP364)</f>
        <v>10</v>
      </c>
      <c r="AQ365" s="1130">
        <f>IF(AP365&gt;0,AP365,0)</f>
        <v>10</v>
      </c>
      <c r="AR365" s="1130"/>
    </row>
    <row r="366" spans="1:46" s="3" customFormat="1" ht="12.4" customHeight="1">
      <c r="A366" s="23"/>
      <c r="B366" s="22"/>
      <c r="C366" s="3" t="s">
        <v>2088</v>
      </c>
      <c r="AF366" s="23"/>
      <c r="AG366" s="23"/>
      <c r="AH366" s="23"/>
      <c r="AI366" s="23"/>
      <c r="AJ366" s="23"/>
      <c r="AK366" s="23"/>
      <c r="AL366" s="23"/>
      <c r="AM366" s="23"/>
      <c r="AN366" s="209"/>
      <c r="AO366" s="524" t="s">
        <v>1386</v>
      </c>
      <c r="AP366" s="47">
        <f>IF(C429="Yes",5,0)</f>
        <v>0</v>
      </c>
    </row>
    <row r="367" spans="1:46" s="3" customFormat="1" ht="12.75" customHeight="1">
      <c r="A367" s="23"/>
      <c r="B367" s="22"/>
      <c r="C367" s="527" t="s">
        <v>2089</v>
      </c>
      <c r="D367" s="528"/>
      <c r="E367" s="528"/>
      <c r="F367" s="528"/>
      <c r="G367" s="528"/>
      <c r="H367" s="528"/>
      <c r="I367" s="528"/>
      <c r="J367" s="528"/>
      <c r="K367" s="528"/>
      <c r="L367" s="528"/>
      <c r="M367" s="154"/>
      <c r="N367" s="154"/>
      <c r="O367" s="529"/>
      <c r="P367" s="528"/>
      <c r="Q367" s="528"/>
      <c r="R367" s="154"/>
      <c r="S367" s="154"/>
      <c r="T367" s="528"/>
      <c r="U367" s="1727">
        <f>Application!CQ636-U368</f>
        <v>75</v>
      </c>
      <c r="V367" s="1727"/>
      <c r="W367" s="1727"/>
      <c r="X367" s="528"/>
      <c r="Y367" s="528"/>
      <c r="Z367" s="528"/>
      <c r="AA367" s="530"/>
      <c r="AB367" s="206"/>
      <c r="AC367" s="206"/>
      <c r="AD367" s="206"/>
      <c r="AE367" s="23"/>
      <c r="AF367" s="23"/>
      <c r="AG367" s="23"/>
      <c r="AH367" s="23"/>
      <c r="AI367" s="23"/>
      <c r="AJ367" s="23"/>
      <c r="AK367" s="23"/>
      <c r="AL367" s="23"/>
      <c r="AM367" s="23"/>
      <c r="AN367" s="209"/>
      <c r="AO367" s="209"/>
      <c r="AP367" s="47"/>
    </row>
    <row r="368" spans="1:46" s="3" customFormat="1" ht="12.75" customHeight="1">
      <c r="A368" s="23"/>
      <c r="B368" s="22"/>
      <c r="C368" s="531" t="s">
        <v>2090</v>
      </c>
      <c r="D368" s="123"/>
      <c r="E368" s="123"/>
      <c r="F368" s="123"/>
      <c r="G368" s="123"/>
      <c r="H368" s="123"/>
      <c r="I368" s="123"/>
      <c r="J368" s="123"/>
      <c r="K368" s="123"/>
      <c r="L368" s="123"/>
      <c r="M368" s="123"/>
      <c r="N368" s="123"/>
      <c r="O368" s="123"/>
      <c r="P368" s="123"/>
      <c r="Q368" s="123"/>
      <c r="R368" s="123"/>
      <c r="S368" s="123"/>
      <c r="T368" s="123"/>
      <c r="U368" s="1728">
        <f>Application!AG720</f>
        <v>0</v>
      </c>
      <c r="V368" s="1728"/>
      <c r="W368" s="1728"/>
      <c r="X368" s="123"/>
      <c r="Y368" s="123"/>
      <c r="Z368" s="123"/>
      <c r="AA368" s="124"/>
      <c r="AC368" s="205"/>
      <c r="AD368" s="205"/>
      <c r="AE368" s="23"/>
      <c r="AF368" s="23"/>
      <c r="AG368" s="23"/>
      <c r="AH368" s="23"/>
      <c r="AI368" s="23"/>
      <c r="AJ368" s="23"/>
      <c r="AK368" s="23"/>
      <c r="AL368" s="23"/>
      <c r="AM368" s="23"/>
      <c r="AN368" s="209"/>
      <c r="AO368" s="524" t="s">
        <v>1388</v>
      </c>
      <c r="AP368" s="47">
        <f>IF(C441="Yes",5,0)</f>
        <v>0</v>
      </c>
    </row>
    <row r="369" spans="1:153" s="3" customFormat="1" ht="12.75" customHeight="1">
      <c r="A369" s="23"/>
      <c r="B369" s="22"/>
      <c r="C369" s="3" t="s">
        <v>2091</v>
      </c>
      <c r="AC369" s="23"/>
      <c r="AD369" s="23"/>
      <c r="AE369" s="23"/>
      <c r="AF369" s="23"/>
      <c r="AG369" s="23"/>
      <c r="AH369" s="23"/>
      <c r="AI369" s="23"/>
      <c r="AJ369" s="23"/>
      <c r="AK369" s="23"/>
      <c r="AL369" s="23"/>
      <c r="AM369" s="23"/>
      <c r="AN369" s="209"/>
      <c r="AO369" s="209"/>
      <c r="AP369" s="47"/>
    </row>
    <row r="370" spans="1:153" s="3" customFormat="1" ht="12.75" customHeight="1">
      <c r="A370" s="23"/>
      <c r="B370" s="22"/>
      <c r="AC370" s="23"/>
      <c r="AD370" s="23"/>
      <c r="AE370" s="23"/>
      <c r="AF370" s="23"/>
      <c r="AG370" s="23"/>
      <c r="AH370" s="23"/>
      <c r="AI370" s="23"/>
      <c r="AJ370" s="23"/>
      <c r="AK370" s="23"/>
      <c r="AL370" s="23"/>
      <c r="AM370" s="23"/>
      <c r="AN370" s="209"/>
      <c r="AO370" s="524" t="s">
        <v>1390</v>
      </c>
      <c r="AP370" s="47">
        <f>IF(C448="Yes",5,0)</f>
        <v>0</v>
      </c>
      <c r="BS370" s="30"/>
      <c r="BT370" s="30"/>
      <c r="BU370" s="18"/>
      <c r="BV370" s="18"/>
      <c r="BW370" s="18"/>
      <c r="DI370"/>
      <c r="DJ370"/>
      <c r="DK370"/>
      <c r="ED370"/>
      <c r="EE370"/>
      <c r="EF370"/>
      <c r="EG370"/>
      <c r="EH370"/>
      <c r="EI370"/>
      <c r="EJ370"/>
      <c r="EK370"/>
      <c r="EL370"/>
      <c r="EM370"/>
      <c r="EN370"/>
      <c r="EO370"/>
      <c r="EP370"/>
      <c r="EQ370"/>
      <c r="ER370"/>
      <c r="ES370"/>
      <c r="ET370"/>
      <c r="EU370"/>
      <c r="EV370"/>
      <c r="EW370"/>
    </row>
    <row r="371" spans="1:153" s="3" customFormat="1" ht="12.75" customHeight="1">
      <c r="A371" s="23"/>
      <c r="B371" s="18"/>
      <c r="C371" s="133" t="s">
        <v>2092</v>
      </c>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09"/>
      <c r="AO371" s="209"/>
      <c r="AP371" s="47"/>
      <c r="BS371" s="30"/>
      <c r="BT371" s="30"/>
      <c r="BU371" s="18"/>
      <c r="BV371" s="18"/>
      <c r="BW371" s="18"/>
      <c r="DI371"/>
      <c r="DJ371"/>
      <c r="DK371"/>
      <c r="ED371"/>
      <c r="EE371"/>
      <c r="EF371"/>
      <c r="EG371"/>
      <c r="EH371"/>
      <c r="EI371"/>
      <c r="EJ371"/>
      <c r="EK371"/>
      <c r="EL371"/>
      <c r="EM371"/>
      <c r="EN371"/>
      <c r="EO371"/>
      <c r="EP371"/>
      <c r="EQ371"/>
      <c r="ER371"/>
      <c r="ES371"/>
      <c r="ET371"/>
      <c r="EU371"/>
      <c r="EV371"/>
      <c r="EW371"/>
    </row>
    <row r="372" spans="1:153" s="3" customFormat="1" ht="12.75" customHeight="1">
      <c r="A372" s="33"/>
      <c r="B372" s="18"/>
      <c r="C372" s="532"/>
      <c r="D372" s="533"/>
      <c r="E372" s="534" t="s">
        <v>2093</v>
      </c>
      <c r="F372" s="1569" t="s">
        <v>2094</v>
      </c>
      <c r="G372" s="1569"/>
      <c r="H372" s="1569"/>
      <c r="I372" s="1569"/>
      <c r="J372" s="1569"/>
      <c r="K372" s="1569"/>
      <c r="L372" s="1569"/>
      <c r="M372" s="1569"/>
      <c r="N372" s="1569"/>
      <c r="O372" s="1569"/>
      <c r="P372" s="1569"/>
      <c r="Q372" s="1569"/>
      <c r="R372" s="1569"/>
      <c r="S372" s="1569"/>
      <c r="T372" s="1569"/>
      <c r="U372" s="1569"/>
      <c r="V372" s="1569"/>
      <c r="W372" s="1569"/>
      <c r="X372" s="1569"/>
      <c r="Y372" s="1569"/>
      <c r="Z372" s="1569"/>
      <c r="AA372" s="1569"/>
      <c r="AB372" s="1569"/>
      <c r="AC372" s="1569"/>
      <c r="AD372" s="1569"/>
      <c r="AE372" s="1569"/>
      <c r="AF372" s="1569"/>
      <c r="AG372" s="572"/>
      <c r="AH372" s="572"/>
      <c r="AI372" s="572"/>
      <c r="AJ372" s="572"/>
      <c r="AK372" s="572"/>
      <c r="AL372" s="608"/>
      <c r="AM372"/>
      <c r="AN372" s="209"/>
      <c r="AO372" s="209"/>
      <c r="AP372" s="47"/>
      <c r="BS372" s="30"/>
      <c r="BT372" s="30"/>
      <c r="BU372" s="18"/>
      <c r="BV372" s="18"/>
      <c r="BW372" s="18"/>
      <c r="BX372" s="18"/>
      <c r="BY372" s="18"/>
      <c r="BZ372" s="18"/>
      <c r="CA372" s="18"/>
      <c r="CB372" s="18"/>
      <c r="CC372" s="18"/>
      <c r="CD372" s="18"/>
      <c r="CE372" s="18"/>
      <c r="CF372" s="18"/>
      <c r="CG372" s="18"/>
      <c r="CH372" s="18"/>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3" customFormat="1" ht="12.75" customHeight="1">
      <c r="A373" s="33"/>
      <c r="B373" s="18"/>
      <c r="C373" s="909"/>
      <c r="D373" s="33"/>
      <c r="E373" s="161"/>
      <c r="F373" s="1529"/>
      <c r="G373" s="1529"/>
      <c r="H373" s="1529"/>
      <c r="I373" s="1529"/>
      <c r="J373" s="1529"/>
      <c r="K373" s="1529"/>
      <c r="L373" s="1529"/>
      <c r="M373" s="1529"/>
      <c r="N373" s="1529"/>
      <c r="O373" s="1529"/>
      <c r="P373" s="1529"/>
      <c r="Q373" s="1529"/>
      <c r="R373" s="1529"/>
      <c r="S373" s="1529"/>
      <c r="T373" s="1529"/>
      <c r="U373" s="1529"/>
      <c r="V373" s="1529"/>
      <c r="W373" s="1529"/>
      <c r="X373" s="1529"/>
      <c r="Y373" s="1529"/>
      <c r="Z373" s="1529"/>
      <c r="AA373" s="1529"/>
      <c r="AB373" s="1529"/>
      <c r="AC373" s="1529"/>
      <c r="AD373" s="1529"/>
      <c r="AE373" s="1529"/>
      <c r="AF373" s="1529"/>
      <c r="AG373" s="2"/>
      <c r="AH373" s="2"/>
      <c r="AI373" s="2"/>
      <c r="AJ373" s="2"/>
      <c r="AK373" s="2"/>
      <c r="AL373" s="822"/>
      <c r="AM373"/>
      <c r="AN373" s="209"/>
      <c r="AO373" s="524" t="s">
        <v>1392</v>
      </c>
      <c r="AP373" s="47">
        <f>IF(C452="Yes",5,0)</f>
        <v>0</v>
      </c>
      <c r="BS373" s="30"/>
      <c r="BT373" s="30"/>
      <c r="BU373" s="18"/>
      <c r="BV373" s="18"/>
      <c r="BW373" s="18"/>
      <c r="BX373" s="18"/>
      <c r="BY373" s="18"/>
      <c r="BZ373" s="18"/>
      <c r="CA373" s="18"/>
      <c r="CB373" s="18"/>
      <c r="CC373" s="18"/>
      <c r="CD373" s="18"/>
      <c r="CE373" s="18"/>
      <c r="CF373" s="18"/>
      <c r="CG373" s="18"/>
      <c r="CH373" s="18"/>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3" customFormat="1" ht="12.75" customHeight="1">
      <c r="A374" s="33"/>
      <c r="B374" s="18"/>
      <c r="C374" s="909"/>
      <c r="D374" s="33"/>
      <c r="E374" s="161"/>
      <c r="F374" s="1529"/>
      <c r="G374" s="1529"/>
      <c r="H374" s="1529"/>
      <c r="I374" s="1529"/>
      <c r="J374" s="1529"/>
      <c r="K374" s="1529"/>
      <c r="L374" s="1529"/>
      <c r="M374" s="1529"/>
      <c r="N374" s="1529"/>
      <c r="O374" s="1529"/>
      <c r="P374" s="1529"/>
      <c r="Q374" s="1529"/>
      <c r="R374" s="1529"/>
      <c r="S374" s="1529"/>
      <c r="T374" s="1529"/>
      <c r="U374" s="1529"/>
      <c r="V374" s="1529"/>
      <c r="W374" s="1529"/>
      <c r="X374" s="1529"/>
      <c r="Y374" s="1529"/>
      <c r="Z374" s="1529"/>
      <c r="AA374" s="1529"/>
      <c r="AB374" s="1529"/>
      <c r="AC374" s="1529"/>
      <c r="AD374" s="1529"/>
      <c r="AE374" s="1529"/>
      <c r="AF374" s="1529"/>
      <c r="AG374" s="2"/>
      <c r="AH374" s="2"/>
      <c r="AI374" s="2"/>
      <c r="AJ374" s="2"/>
      <c r="AK374" s="2"/>
      <c r="AL374" s="822"/>
      <c r="AM374"/>
      <c r="AN374" s="209"/>
      <c r="AO374" s="524" t="s">
        <v>1394</v>
      </c>
      <c r="AP374" s="47">
        <f>IF(C456="Yes",5,0)</f>
        <v>0</v>
      </c>
      <c r="BS374" s="30"/>
      <c r="BT374" s="30"/>
      <c r="BU374" s="18"/>
      <c r="BV374" s="18"/>
      <c r="BW374" s="18"/>
      <c r="BX374" s="18"/>
      <c r="BY374" s="18"/>
      <c r="BZ374" s="18"/>
      <c r="CA374" s="18"/>
      <c r="CB374" s="18"/>
      <c r="CC374" s="18"/>
      <c r="CD374" s="18"/>
      <c r="CE374" s="18"/>
      <c r="CF374" s="18"/>
      <c r="CG374" s="18"/>
      <c r="CH374" s="18"/>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3" customFormat="1" ht="12.75" customHeight="1">
      <c r="A375" s="33"/>
      <c r="B375" s="18"/>
      <c r="C375" s="909"/>
      <c r="D375" s="33"/>
      <c r="E375" s="161"/>
      <c r="F375" s="1529"/>
      <c r="G375" s="1529"/>
      <c r="H375" s="1529"/>
      <c r="I375" s="1529"/>
      <c r="J375" s="1529"/>
      <c r="K375" s="1529"/>
      <c r="L375" s="1529"/>
      <c r="M375" s="1529"/>
      <c r="N375" s="1529"/>
      <c r="O375" s="1529"/>
      <c r="P375" s="1529"/>
      <c r="Q375" s="1529"/>
      <c r="R375" s="1529"/>
      <c r="S375" s="1529"/>
      <c r="T375" s="1529"/>
      <c r="U375" s="1529"/>
      <c r="V375" s="1529"/>
      <c r="W375" s="1529"/>
      <c r="X375" s="1529"/>
      <c r="Y375" s="1529"/>
      <c r="Z375" s="1529"/>
      <c r="AA375" s="1529"/>
      <c r="AB375" s="1529"/>
      <c r="AC375" s="1529"/>
      <c r="AD375" s="1529"/>
      <c r="AE375" s="1529"/>
      <c r="AF375" s="1529"/>
      <c r="AG375" s="2"/>
      <c r="AH375" s="2"/>
      <c r="AI375" s="2"/>
      <c r="AJ375" s="2"/>
      <c r="AK375" s="2"/>
      <c r="AL375" s="822"/>
      <c r="AM375"/>
      <c r="AN375" s="209"/>
      <c r="AO375" s="524" t="s">
        <v>1395</v>
      </c>
      <c r="AP375" s="47">
        <f>IF(C465="Yes",5,0)</f>
        <v>0</v>
      </c>
      <c r="BS375" s="30"/>
      <c r="BT375" s="30"/>
      <c r="BU375" s="18"/>
      <c r="BV375" s="18"/>
      <c r="BW375" s="18"/>
      <c r="BX375" s="18"/>
      <c r="BY375" s="18"/>
      <c r="BZ375" s="18"/>
      <c r="CA375" s="18"/>
      <c r="CB375" s="18"/>
      <c r="CC375" s="18"/>
      <c r="CD375" s="18"/>
      <c r="CE375" s="18"/>
      <c r="CF375" s="18"/>
      <c r="CG375" s="18"/>
      <c r="CH375" s="18"/>
      <c r="CI375" s="32"/>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3" customFormat="1" ht="12.75" customHeight="1">
      <c r="A376" s="33"/>
      <c r="B376" s="18"/>
      <c r="C376" s="1555" t="s">
        <v>712</v>
      </c>
      <c r="D376" s="1180"/>
      <c r="E376" s="161"/>
      <c r="F376" s="250" t="s">
        <v>2095</v>
      </c>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F376" s="1524" t="s">
        <v>2096</v>
      </c>
      <c r="AG376" s="1524"/>
      <c r="AH376" s="1524"/>
      <c r="AI376" s="1524"/>
      <c r="AJ376" s="1524"/>
      <c r="AK376" s="1524"/>
      <c r="AL376" s="1554"/>
      <c r="AM376" s="641"/>
      <c r="AO376" s="209"/>
      <c r="AP376" s="47"/>
      <c r="BS376" s="30"/>
      <c r="BT376" s="30"/>
      <c r="BU376" s="18"/>
      <c r="BV376" s="18"/>
      <c r="BW376" s="18"/>
      <c r="BX376" s="18"/>
      <c r="BY376" s="18"/>
      <c r="BZ376" s="18"/>
      <c r="CA376" s="18"/>
      <c r="CB376" s="18"/>
      <c r="CC376" s="18"/>
      <c r="CD376" s="18"/>
      <c r="CE376" s="18"/>
      <c r="CF376" s="18"/>
      <c r="CG376" s="18"/>
      <c r="CH376" s="18"/>
      <c r="CI376" s="32"/>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3" customFormat="1" ht="12.75" customHeight="1">
      <c r="A377" s="33"/>
      <c r="B377" s="18"/>
      <c r="C377" s="910"/>
      <c r="D377" s="911"/>
      <c r="E377" s="537"/>
      <c r="F377" s="823"/>
      <c r="G377" s="823"/>
      <c r="H377" s="823"/>
      <c r="I377" s="823"/>
      <c r="J377" s="823"/>
      <c r="K377" s="823"/>
      <c r="L377" s="823"/>
      <c r="M377" s="823"/>
      <c r="N377" s="823"/>
      <c r="O377" s="823"/>
      <c r="P377" s="823"/>
      <c r="Q377" s="823"/>
      <c r="R377" s="823"/>
      <c r="S377" s="823"/>
      <c r="T377" s="823"/>
      <c r="U377" s="823"/>
      <c r="V377" s="823"/>
      <c r="W377" s="823"/>
      <c r="X377" s="823"/>
      <c r="Y377" s="823"/>
      <c r="Z377" s="823"/>
      <c r="AA377" s="823"/>
      <c r="AB377" s="823"/>
      <c r="AC377" s="823"/>
      <c r="AD377" s="823"/>
      <c r="AE377" s="606"/>
      <c r="AF377" s="606"/>
      <c r="AG377" s="606"/>
      <c r="AH377" s="606"/>
      <c r="AI377" s="606"/>
      <c r="AJ377" s="606"/>
      <c r="AK377" s="606"/>
      <c r="AL377" s="607"/>
      <c r="AM377"/>
      <c r="AN377" s="209"/>
      <c r="AO377" s="525"/>
      <c r="AP377" s="40"/>
      <c r="BS377" s="30"/>
      <c r="BT377" s="30"/>
      <c r="BU377" s="18"/>
      <c r="BV377" s="18"/>
      <c r="BW377" s="18"/>
      <c r="BX377" s="18"/>
      <c r="BY377" s="18"/>
      <c r="BZ377" s="18"/>
      <c r="CA377" s="18"/>
      <c r="CB377" s="18"/>
      <c r="CC377" s="18"/>
      <c r="CD377" s="18"/>
      <c r="CE377" s="18"/>
      <c r="CF377" s="18"/>
      <c r="CG377" s="18"/>
      <c r="CH377" s="18"/>
      <c r="CI377" s="32"/>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3" customFormat="1" ht="12.75" customHeight="1">
      <c r="A378" s="33"/>
      <c r="B378" s="18"/>
      <c r="C378"/>
      <c r="D378"/>
      <c r="E378" s="161"/>
      <c r="F378" s="250"/>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F378" s="2"/>
      <c r="AG378" s="2"/>
      <c r="AH378" s="2"/>
      <c r="AI378" s="2"/>
      <c r="AJ378" s="2"/>
      <c r="AK378" s="2"/>
      <c r="AL378" s="2"/>
      <c r="AM378"/>
      <c r="AN378" s="209"/>
      <c r="AO378" s="121" t="s">
        <v>1639</v>
      </c>
      <c r="AP378" s="2">
        <f>SUM(AP366:AP377)</f>
        <v>0</v>
      </c>
      <c r="AQ378" s="1130">
        <f>IF(AP378&gt;0,AP378,0)</f>
        <v>0</v>
      </c>
      <c r="AR378" s="1130"/>
      <c r="BS378" s="30"/>
      <c r="BT378" s="30"/>
      <c r="BU378" s="18"/>
      <c r="BV378" s="18"/>
      <c r="BW378" s="18"/>
      <c r="BX378" s="18"/>
      <c r="BY378" s="18"/>
      <c r="BZ378" s="18"/>
      <c r="CA378" s="18"/>
      <c r="CB378" s="18"/>
      <c r="CC378" s="18"/>
      <c r="CD378" s="18"/>
      <c r="CE378" s="18"/>
      <c r="CF378" s="18"/>
      <c r="CG378" s="18"/>
      <c r="CH378" s="18"/>
      <c r="CI378" s="32"/>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3" customFormat="1" ht="12.75" hidden="1" customHeight="1">
      <c r="A379" s="33"/>
      <c r="B379" s="18"/>
      <c r="C379" s="781"/>
      <c r="D379" s="781"/>
      <c r="E379" s="161"/>
      <c r="F379" s="250"/>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L379" s="815"/>
      <c r="AM379"/>
      <c r="AN379" s="209"/>
      <c r="CC379" s="18"/>
      <c r="CD379" s="18"/>
      <c r="CE379" s="18"/>
      <c r="CF379" s="18"/>
      <c r="CG379" s="18"/>
      <c r="CH379" s="18"/>
      <c r="CI379" s="32"/>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3" customFormat="1" ht="12.75" hidden="1" customHeight="1">
      <c r="A380" s="33"/>
      <c r="B380" s="18"/>
      <c r="C380" s="781"/>
      <c r="D380" s="781"/>
      <c r="E380" s="161"/>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815"/>
      <c r="AF380" s="815"/>
      <c r="AG380" s="815"/>
      <c r="AH380" s="815"/>
      <c r="AI380" s="815"/>
      <c r="AJ380" s="815"/>
      <c r="AK380" s="815"/>
      <c r="AL380" s="815"/>
      <c r="AM380"/>
      <c r="AN380" s="209"/>
      <c r="BS380" s="30"/>
      <c r="BT380" s="30"/>
      <c r="BU380" s="18"/>
      <c r="BV380" s="18"/>
      <c r="BW380" s="18"/>
      <c r="BX380" s="18"/>
      <c r="BY380" s="18"/>
      <c r="BZ380" s="18"/>
      <c r="CA380" s="18"/>
      <c r="CB380" s="18"/>
      <c r="CC380" s="18"/>
      <c r="CD380" s="18"/>
      <c r="CE380" s="18"/>
      <c r="CF380" s="18"/>
      <c r="CG380" s="18"/>
      <c r="CH380" s="18"/>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3" customFormat="1" ht="12.75" customHeight="1">
      <c r="A381" s="33"/>
      <c r="B381" s="18"/>
      <c r="C381" s="532"/>
      <c r="D381" s="533"/>
      <c r="E381" s="534" t="s">
        <v>2097</v>
      </c>
      <c r="F381" s="1569" t="s">
        <v>2098</v>
      </c>
      <c r="G381" s="1569"/>
      <c r="H381" s="1569"/>
      <c r="I381" s="1569"/>
      <c r="J381" s="1569"/>
      <c r="K381" s="1569"/>
      <c r="L381" s="1569"/>
      <c r="M381" s="1569"/>
      <c r="N381" s="1569"/>
      <c r="O381" s="1569"/>
      <c r="P381" s="1569"/>
      <c r="Q381" s="1569"/>
      <c r="R381" s="1569"/>
      <c r="S381" s="1569"/>
      <c r="T381" s="1569"/>
      <c r="U381" s="1569"/>
      <c r="V381" s="1569"/>
      <c r="W381" s="1569"/>
      <c r="X381" s="1569"/>
      <c r="Y381" s="1569"/>
      <c r="Z381" s="1569"/>
      <c r="AA381" s="1569"/>
      <c r="AB381" s="1569"/>
      <c r="AC381" s="1569"/>
      <c r="AD381" s="1569"/>
      <c r="AE381" s="1569"/>
      <c r="AF381" s="1569"/>
      <c r="AG381" s="572"/>
      <c r="AH381" s="572"/>
      <c r="AI381" s="572"/>
      <c r="AJ381" s="572"/>
      <c r="AK381" s="572"/>
      <c r="AL381" s="608"/>
      <c r="AM381"/>
      <c r="AN381" s="209"/>
      <c r="BS381" s="30"/>
      <c r="BT381" s="30"/>
      <c r="BU381" s="18"/>
      <c r="BV381" s="18"/>
      <c r="BW381" s="18"/>
      <c r="BX381" s="18"/>
      <c r="BY381" s="18"/>
      <c r="BZ381" s="18"/>
      <c r="CA381" s="18"/>
      <c r="CB381" s="18"/>
      <c r="CC381" s="18"/>
      <c r="CD381" s="18"/>
      <c r="CE381" s="18"/>
      <c r="CF381" s="18"/>
      <c r="CG381" s="18"/>
      <c r="CH381" s="18"/>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3" customFormat="1" ht="12.75" customHeight="1">
      <c r="A382" s="33"/>
      <c r="B382" s="18"/>
      <c r="C382" s="539"/>
      <c r="D382" s="18"/>
      <c r="E382" s="141"/>
      <c r="F382" s="1529"/>
      <c r="G382" s="1529"/>
      <c r="H382" s="1529"/>
      <c r="I382" s="1529"/>
      <c r="J382" s="1529"/>
      <c r="K382" s="1529"/>
      <c r="L382" s="1529"/>
      <c r="M382" s="1529"/>
      <c r="N382" s="1529"/>
      <c r="O382" s="1529"/>
      <c r="P382" s="1529"/>
      <c r="Q382" s="1529"/>
      <c r="R382" s="1529"/>
      <c r="S382" s="1529"/>
      <c r="T382" s="1529"/>
      <c r="U382" s="1529"/>
      <c r="V382" s="1529"/>
      <c r="W382" s="1529"/>
      <c r="X382" s="1529"/>
      <c r="Y382" s="1529"/>
      <c r="Z382" s="1529"/>
      <c r="AA382" s="1529"/>
      <c r="AB382" s="1529"/>
      <c r="AC382" s="1529"/>
      <c r="AD382" s="1529"/>
      <c r="AE382" s="1529"/>
      <c r="AF382" s="1529"/>
      <c r="AG382" s="2"/>
      <c r="AH382" s="2"/>
      <c r="AI382" s="2"/>
      <c r="AJ382" s="2"/>
      <c r="AK382" s="2"/>
      <c r="AL382" s="822"/>
      <c r="AM382"/>
      <c r="AN382" s="209"/>
      <c r="BS382" s="30"/>
      <c r="BT382" s="30"/>
      <c r="BU382" s="18"/>
      <c r="BV382" s="18"/>
      <c r="BW382" s="18"/>
      <c r="BX382" s="18"/>
      <c r="BY382" s="18"/>
      <c r="BZ382" s="18"/>
      <c r="CA382" s="18"/>
      <c r="CB382" s="18"/>
      <c r="CC382" s="18"/>
      <c r="CD382" s="18"/>
      <c r="CE382" s="18"/>
      <c r="CF382" s="18"/>
      <c r="CG382" s="18"/>
      <c r="CH382" s="18"/>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3" customFormat="1" ht="12.75" customHeight="1">
      <c r="A383" s="33"/>
      <c r="B383" s="18"/>
      <c r="C383" s="539"/>
      <c r="D383" s="18"/>
      <c r="E383" s="141"/>
      <c r="F383" s="1529"/>
      <c r="G383" s="1529"/>
      <c r="H383" s="1529"/>
      <c r="I383" s="1529"/>
      <c r="J383" s="1529"/>
      <c r="K383" s="1529"/>
      <c r="L383" s="1529"/>
      <c r="M383" s="1529"/>
      <c r="N383" s="1529"/>
      <c r="O383" s="1529"/>
      <c r="P383" s="1529"/>
      <c r="Q383" s="1529"/>
      <c r="R383" s="1529"/>
      <c r="S383" s="1529"/>
      <c r="T383" s="1529"/>
      <c r="U383" s="1529"/>
      <c r="V383" s="1529"/>
      <c r="W383" s="1529"/>
      <c r="X383" s="1529"/>
      <c r="Y383" s="1529"/>
      <c r="Z383" s="1529"/>
      <c r="AA383" s="1529"/>
      <c r="AB383" s="1529"/>
      <c r="AC383" s="1529"/>
      <c r="AD383" s="1529"/>
      <c r="AE383" s="1529"/>
      <c r="AF383" s="1529"/>
      <c r="AG383" s="2"/>
      <c r="AH383" s="2"/>
      <c r="AI383" s="2"/>
      <c r="AJ383" s="2"/>
      <c r="AK383" s="2"/>
      <c r="AL383" s="822"/>
      <c r="AM383"/>
      <c r="AN383" s="209"/>
      <c r="BS383" s="30"/>
      <c r="BT383" s="30"/>
      <c r="BU383" s="18"/>
      <c r="BV383" s="18"/>
      <c r="BW383" s="18"/>
      <c r="BX383" s="18"/>
      <c r="BY383" s="18"/>
      <c r="BZ383" s="18"/>
      <c r="CA383" s="18"/>
      <c r="CB383" s="18"/>
      <c r="CC383" s="18"/>
      <c r="CD383" s="18"/>
      <c r="CE383" s="18"/>
      <c r="CF383" s="18"/>
      <c r="CG383" s="18"/>
      <c r="CH383" s="18"/>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3" customFormat="1" ht="12.75" customHeight="1">
      <c r="A384" s="33"/>
      <c r="B384" s="18"/>
      <c r="C384" s="539"/>
      <c r="D384" s="18"/>
      <c r="E384" s="141"/>
      <c r="F384" s="1529"/>
      <c r="G384" s="1529"/>
      <c r="H384" s="1529"/>
      <c r="I384" s="1529"/>
      <c r="J384" s="1529"/>
      <c r="K384" s="1529"/>
      <c r="L384" s="1529"/>
      <c r="M384" s="1529"/>
      <c r="N384" s="1529"/>
      <c r="O384" s="1529"/>
      <c r="P384" s="1529"/>
      <c r="Q384" s="1529"/>
      <c r="R384" s="1529"/>
      <c r="S384" s="1529"/>
      <c r="T384" s="1529"/>
      <c r="U384" s="1529"/>
      <c r="V384" s="1529"/>
      <c r="W384" s="1529"/>
      <c r="X384" s="1529"/>
      <c r="Y384" s="1529"/>
      <c r="Z384" s="1529"/>
      <c r="AA384" s="1529"/>
      <c r="AB384" s="1529"/>
      <c r="AC384" s="1529"/>
      <c r="AD384" s="1529"/>
      <c r="AE384" s="1529"/>
      <c r="AF384" s="1529"/>
      <c r="AG384" s="2"/>
      <c r="AH384" s="2"/>
      <c r="AI384" s="2"/>
      <c r="AJ384" s="2"/>
      <c r="AK384" s="2"/>
      <c r="AL384" s="822"/>
      <c r="AM384"/>
      <c r="AN384" s="209"/>
      <c r="BS384" s="30"/>
      <c r="BT384" s="30"/>
      <c r="BU384" s="18"/>
      <c r="BV384" s="18"/>
      <c r="BW384" s="18"/>
      <c r="BX384" s="18"/>
      <c r="BY384" s="18"/>
      <c r="BZ384" s="18"/>
      <c r="CA384" s="18"/>
      <c r="CB384" s="18"/>
      <c r="CC384" s="18"/>
      <c r="CD384" s="18"/>
      <c r="CE384" s="18"/>
      <c r="CF384" s="18"/>
      <c r="CG384" s="18"/>
      <c r="CH384" s="18"/>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3" customFormat="1" ht="12.75" customHeight="1">
      <c r="A385" s="33"/>
      <c r="B385" s="18"/>
      <c r="C385" s="539"/>
      <c r="D385" s="18"/>
      <c r="E385" s="141"/>
      <c r="F385" s="1529"/>
      <c r="G385" s="1529"/>
      <c r="H385" s="1529"/>
      <c r="I385" s="1529"/>
      <c r="J385" s="1529"/>
      <c r="K385" s="1529"/>
      <c r="L385" s="1529"/>
      <c r="M385" s="1529"/>
      <c r="N385" s="1529"/>
      <c r="O385" s="1529"/>
      <c r="P385" s="1529"/>
      <c r="Q385" s="1529"/>
      <c r="R385" s="1529"/>
      <c r="S385" s="1529"/>
      <c r="T385" s="1529"/>
      <c r="U385" s="1529"/>
      <c r="V385" s="1529"/>
      <c r="W385" s="1529"/>
      <c r="X385" s="1529"/>
      <c r="Y385" s="1529"/>
      <c r="Z385" s="1529"/>
      <c r="AA385" s="1529"/>
      <c r="AB385" s="1529"/>
      <c r="AC385" s="1529"/>
      <c r="AD385" s="1529"/>
      <c r="AE385" s="1529"/>
      <c r="AF385" s="1529"/>
      <c r="AL385" s="540"/>
      <c r="AN385" s="209"/>
      <c r="BS385" s="30"/>
      <c r="BT385" s="30"/>
      <c r="BU385" s="18"/>
      <c r="BV385" s="18"/>
      <c r="BW385" s="18"/>
      <c r="BX385" s="18"/>
      <c r="BY385" s="18"/>
      <c r="BZ385" s="18"/>
      <c r="CA385" s="18"/>
      <c r="CB385" s="18"/>
      <c r="CC385" s="18"/>
      <c r="CD385" s="18"/>
      <c r="CE385" s="18"/>
      <c r="CF385" s="18"/>
      <c r="CG385" s="18"/>
      <c r="CH385" s="18"/>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3" customFormat="1" ht="12.75" customHeight="1">
      <c r="A386" s="33"/>
      <c r="B386" s="18"/>
      <c r="C386" s="1555" t="s">
        <v>325</v>
      </c>
      <c r="D386" s="1180"/>
      <c r="E386" s="141"/>
      <c r="F386" s="250" t="s">
        <v>2099</v>
      </c>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F386" s="1524" t="s">
        <v>2096</v>
      </c>
      <c r="AG386" s="1524"/>
      <c r="AH386" s="1524"/>
      <c r="AI386" s="1524"/>
      <c r="AJ386" s="1524"/>
      <c r="AK386" s="1524"/>
      <c r="AL386" s="1554"/>
      <c r="AM386"/>
      <c r="AN386" s="209"/>
      <c r="BS386" s="30"/>
      <c r="BT386" s="30"/>
      <c r="BU386" s="18"/>
      <c r="BV386" s="18"/>
      <c r="BW386" s="18"/>
      <c r="BX386" s="18"/>
      <c r="BY386" s="18"/>
      <c r="BZ386" s="18"/>
      <c r="CA386" s="18"/>
      <c r="CB386" s="18"/>
      <c r="CC386" s="18"/>
      <c r="CD386" s="18"/>
      <c r="CE386" s="18"/>
      <c r="CF386" s="18"/>
      <c r="CG386" s="18"/>
      <c r="CH386" s="18"/>
      <c r="CI386"/>
      <c r="CJ386"/>
      <c r="CK386"/>
      <c r="CL386"/>
      <c r="CM386"/>
      <c r="CN386"/>
      <c r="EK386"/>
      <c r="EL386"/>
      <c r="EM386"/>
      <c r="EN386"/>
      <c r="EO386"/>
      <c r="EP386"/>
      <c r="EQ386"/>
      <c r="ER386"/>
      <c r="ES386"/>
      <c r="ET386"/>
      <c r="EU386"/>
      <c r="EV386"/>
      <c r="EW386"/>
    </row>
    <row r="387" spans="1:153" s="3" customFormat="1" ht="12.75" customHeight="1">
      <c r="A387" s="33"/>
      <c r="B387" s="18"/>
      <c r="C387" s="910"/>
      <c r="D387" s="911"/>
      <c r="E387" s="537"/>
      <c r="F387" s="823"/>
      <c r="G387" s="823"/>
      <c r="H387" s="823"/>
      <c r="I387" s="823"/>
      <c r="J387" s="823"/>
      <c r="K387" s="823"/>
      <c r="L387" s="823"/>
      <c r="M387" s="823"/>
      <c r="N387" s="823"/>
      <c r="O387" s="823"/>
      <c r="P387" s="823"/>
      <c r="Q387" s="823"/>
      <c r="R387" s="823"/>
      <c r="S387" s="823"/>
      <c r="T387" s="823"/>
      <c r="U387" s="823"/>
      <c r="V387" s="823"/>
      <c r="W387" s="823"/>
      <c r="X387" s="823"/>
      <c r="Y387" s="823"/>
      <c r="Z387" s="823"/>
      <c r="AA387" s="823"/>
      <c r="AB387" s="823"/>
      <c r="AC387" s="823"/>
      <c r="AD387" s="823"/>
      <c r="AE387" s="606"/>
      <c r="AF387" s="606"/>
      <c r="AG387" s="606"/>
      <c r="AH387" s="606"/>
      <c r="AI387" s="606"/>
      <c r="AJ387" s="606"/>
      <c r="AK387" s="606"/>
      <c r="AL387" s="607"/>
      <c r="AM387"/>
      <c r="AN387" s="209"/>
      <c r="BS387" s="30"/>
      <c r="BT387" s="30"/>
      <c r="BU387" s="18"/>
      <c r="BV387" s="18"/>
      <c r="BW387" s="18"/>
      <c r="BX387" s="18"/>
      <c r="BY387" s="18"/>
      <c r="BZ387" s="18"/>
      <c r="CA387" s="18"/>
      <c r="CB387" s="18"/>
      <c r="CC387" s="18"/>
      <c r="CD387" s="18"/>
      <c r="CE387" s="18"/>
      <c r="CF387" s="18"/>
      <c r="CG387" s="18"/>
      <c r="CH387" s="18"/>
      <c r="CI387"/>
      <c r="CJ387"/>
      <c r="CK387"/>
      <c r="CL387"/>
      <c r="CM387"/>
      <c r="CN387"/>
      <c r="EK387"/>
      <c r="EL387"/>
      <c r="EM387"/>
      <c r="EN387"/>
      <c r="EO387"/>
      <c r="EP387"/>
      <c r="EQ387"/>
      <c r="ER387"/>
      <c r="ES387"/>
      <c r="ET387"/>
      <c r="EU387"/>
      <c r="EV387"/>
      <c r="EW387"/>
    </row>
    <row r="388" spans="1:153" s="17" customFormat="1" ht="12.75" customHeight="1">
      <c r="A388" s="33"/>
      <c r="B388" s="18"/>
      <c r="C388" s="1372"/>
      <c r="D388" s="1372"/>
      <c r="E388" s="161"/>
      <c r="F388" s="251"/>
      <c r="G388" s="812"/>
      <c r="H388" s="812"/>
      <c r="I388" s="812"/>
      <c r="J388" s="812"/>
      <c r="K388" s="812"/>
      <c r="L388" s="812"/>
      <c r="M388" s="812"/>
      <c r="N388" s="812"/>
      <c r="O388" s="812"/>
      <c r="P388" s="812"/>
      <c r="Q388" s="812"/>
      <c r="R388" s="812"/>
      <c r="S388" s="812"/>
      <c r="T388" s="812"/>
      <c r="U388" s="812"/>
      <c r="V388" s="812"/>
      <c r="W388" s="812"/>
      <c r="X388" s="812"/>
      <c r="Y388" s="812"/>
      <c r="Z388" s="812"/>
      <c r="AA388" s="812"/>
      <c r="AB388" s="812"/>
      <c r="AC388" s="812"/>
      <c r="AD388" s="812"/>
      <c r="AF388" s="1524"/>
      <c r="AG388" s="1524"/>
      <c r="AH388" s="1524"/>
      <c r="AI388" s="1524"/>
      <c r="AJ388" s="1524"/>
      <c r="AK388" s="1524"/>
      <c r="AL388" s="1524"/>
      <c r="AM388"/>
      <c r="AN388" s="220"/>
      <c r="BS388" s="30"/>
      <c r="BT388" s="30"/>
      <c r="BU388" s="18"/>
      <c r="BV388" s="18"/>
      <c r="BW388" s="18"/>
      <c r="BX388" s="18"/>
      <c r="BY388" s="18"/>
      <c r="BZ388" s="18"/>
      <c r="CA388" s="18"/>
      <c r="CB388" s="18"/>
      <c r="CC388" s="18"/>
      <c r="CD388" s="18"/>
      <c r="CE388" s="18"/>
      <c r="CF388" s="18"/>
      <c r="CG388" s="18"/>
      <c r="CH388" s="18"/>
      <c r="CI388"/>
      <c r="CJ388"/>
      <c r="CK388"/>
      <c r="CL388"/>
      <c r="CM388"/>
      <c r="CN388"/>
      <c r="EK388"/>
      <c r="EL388"/>
      <c r="EM388"/>
      <c r="EN388"/>
      <c r="EO388"/>
      <c r="EP388"/>
      <c r="EQ388"/>
      <c r="ER388"/>
      <c r="ES388"/>
      <c r="ET388"/>
      <c r="EU388"/>
      <c r="EV388"/>
      <c r="EW388"/>
    </row>
    <row r="389" spans="1:153" s="3" customFormat="1" ht="12.75" hidden="1" customHeight="1">
      <c r="A389" s="33"/>
      <c r="B389" s="18"/>
      <c r="C389" s="18"/>
      <c r="D389" s="18"/>
      <c r="E389" s="141"/>
      <c r="F389" s="251"/>
      <c r="G389" s="812"/>
      <c r="H389" s="812"/>
      <c r="I389" s="812"/>
      <c r="J389" s="812"/>
      <c r="K389" s="812"/>
      <c r="L389" s="812"/>
      <c r="M389" s="812"/>
      <c r="N389" s="812"/>
      <c r="O389" s="812"/>
      <c r="P389" s="812"/>
      <c r="Q389" s="812"/>
      <c r="R389" s="812"/>
      <c r="S389" s="812"/>
      <c r="T389" s="812"/>
      <c r="U389" s="812"/>
      <c r="V389" s="812"/>
      <c r="W389" s="812"/>
      <c r="X389" s="812"/>
      <c r="Y389" s="812"/>
      <c r="Z389" s="812"/>
      <c r="AA389" s="812"/>
      <c r="AB389" s="812"/>
      <c r="AC389" s="812"/>
      <c r="AD389" s="812"/>
      <c r="AE389" s="33"/>
      <c r="AF389" s="2"/>
      <c r="AG389" s="33"/>
      <c r="AM389"/>
      <c r="AN389" s="209"/>
      <c r="BS389" s="30"/>
      <c r="BT389" s="30"/>
      <c r="BU389" s="18"/>
      <c r="BV389" s="18"/>
      <c r="BW389" s="18"/>
      <c r="BX389" s="18"/>
      <c r="BY389" s="18"/>
      <c r="BZ389" s="18"/>
      <c r="CA389" s="18"/>
      <c r="CB389" s="18"/>
      <c r="CC389" s="18"/>
      <c r="CD389" s="18"/>
      <c r="CE389" s="18"/>
      <c r="CF389" s="18"/>
      <c r="CG389" s="18"/>
      <c r="CH389" s="18"/>
      <c r="CI389"/>
      <c r="CJ389"/>
      <c r="CK389"/>
      <c r="CL389"/>
      <c r="CM389"/>
      <c r="CN389"/>
      <c r="EK389"/>
      <c r="EL389"/>
      <c r="EM389"/>
      <c r="EN389"/>
      <c r="EO389"/>
      <c r="EP389"/>
      <c r="EQ389"/>
      <c r="ER389"/>
      <c r="ES389"/>
      <c r="ET389"/>
      <c r="EU389"/>
      <c r="EV389"/>
      <c r="EW389"/>
    </row>
    <row r="390" spans="1:153" s="3" customFormat="1" ht="12.75" hidden="1" customHeight="1">
      <c r="A390" s="33"/>
      <c r="B390" s="18"/>
      <c r="C390" s="18"/>
      <c r="D390" s="18"/>
      <c r="E390" s="141"/>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33"/>
      <c r="AF390" s="2"/>
      <c r="AG390" s="33"/>
      <c r="AM390"/>
      <c r="AN390" s="209"/>
      <c r="BS390" s="30"/>
      <c r="BT390" s="30"/>
      <c r="BU390" s="18"/>
      <c r="BV390" s="18"/>
      <c r="BW390" s="18"/>
      <c r="BX390" s="18"/>
      <c r="BY390" s="18"/>
      <c r="BZ390" s="18"/>
      <c r="CA390" s="18"/>
      <c r="CB390" s="18"/>
      <c r="CC390" s="18"/>
      <c r="CD390" s="18"/>
      <c r="CE390" s="18"/>
      <c r="CF390" s="18"/>
      <c r="CG390" s="18"/>
      <c r="CH390" s="18"/>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3" customFormat="1" ht="12.75" customHeight="1">
      <c r="A391" s="33"/>
      <c r="B391" s="18"/>
      <c r="C391" s="532"/>
      <c r="D391" s="533"/>
      <c r="E391" s="534" t="s">
        <v>2100</v>
      </c>
      <c r="F391" s="1593" t="s">
        <v>2101</v>
      </c>
      <c r="G391" s="1593"/>
      <c r="H391" s="1593"/>
      <c r="I391" s="1593"/>
      <c r="J391" s="1593"/>
      <c r="K391" s="1593"/>
      <c r="L391" s="1593"/>
      <c r="M391" s="1593"/>
      <c r="N391" s="1593"/>
      <c r="O391" s="1593"/>
      <c r="P391" s="1593"/>
      <c r="Q391" s="1593"/>
      <c r="R391" s="1593"/>
      <c r="S391" s="1593"/>
      <c r="T391" s="1593"/>
      <c r="U391" s="1593"/>
      <c r="V391" s="1593"/>
      <c r="W391" s="1593"/>
      <c r="X391" s="1593"/>
      <c r="Y391" s="1593"/>
      <c r="Z391" s="1593"/>
      <c r="AA391" s="1593"/>
      <c r="AB391" s="1593"/>
      <c r="AC391" s="1593"/>
      <c r="AD391" s="1593"/>
      <c r="AE391" s="1593"/>
      <c r="AF391" s="1593"/>
      <c r="AG391" s="572"/>
      <c r="AH391" s="572"/>
      <c r="AI391" s="572"/>
      <c r="AJ391" s="572"/>
      <c r="AK391" s="572"/>
      <c r="AL391" s="608"/>
      <c r="AM391"/>
      <c r="AN391" s="209"/>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3" customFormat="1" ht="12.75" customHeight="1">
      <c r="A392" s="33"/>
      <c r="B392" s="18"/>
      <c r="C392" s="539"/>
      <c r="D392" s="18"/>
      <c r="E392" s="141"/>
      <c r="F392" s="1594"/>
      <c r="G392" s="1594"/>
      <c r="H392" s="1594"/>
      <c r="I392" s="1594"/>
      <c r="J392" s="1594"/>
      <c r="K392" s="1594"/>
      <c r="L392" s="1594"/>
      <c r="M392" s="1594"/>
      <c r="N392" s="1594"/>
      <c r="O392" s="1594"/>
      <c r="P392" s="1594"/>
      <c r="Q392" s="1594"/>
      <c r="R392" s="1594"/>
      <c r="S392" s="1594"/>
      <c r="T392" s="1594"/>
      <c r="U392" s="1594"/>
      <c r="V392" s="1594"/>
      <c r="W392" s="1594"/>
      <c r="X392" s="1594"/>
      <c r="Y392" s="1594"/>
      <c r="Z392" s="1594"/>
      <c r="AA392" s="1594"/>
      <c r="AB392" s="1594"/>
      <c r="AC392" s="1594"/>
      <c r="AD392" s="1594"/>
      <c r="AE392" s="1594"/>
      <c r="AF392" s="1594"/>
      <c r="AG392" s="2"/>
      <c r="AH392" s="2"/>
      <c r="AI392" s="2"/>
      <c r="AJ392" s="2"/>
      <c r="AK392" s="2"/>
      <c r="AL392" s="822"/>
      <c r="AM392"/>
      <c r="AN392" s="209"/>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3" customFormat="1" ht="12.75" customHeight="1">
      <c r="A393" s="33"/>
      <c r="B393" s="18"/>
      <c r="C393" s="539"/>
      <c r="D393" s="18"/>
      <c r="E393" s="141"/>
      <c r="F393" s="1594"/>
      <c r="G393" s="1594"/>
      <c r="H393" s="1594"/>
      <c r="I393" s="1594"/>
      <c r="J393" s="1594"/>
      <c r="K393" s="1594"/>
      <c r="L393" s="1594"/>
      <c r="M393" s="1594"/>
      <c r="N393" s="1594"/>
      <c r="O393" s="1594"/>
      <c r="P393" s="1594"/>
      <c r="Q393" s="1594"/>
      <c r="R393" s="1594"/>
      <c r="S393" s="1594"/>
      <c r="T393" s="1594"/>
      <c r="U393" s="1594"/>
      <c r="V393" s="1594"/>
      <c r="W393" s="1594"/>
      <c r="X393" s="1594"/>
      <c r="Y393" s="1594"/>
      <c r="Z393" s="1594"/>
      <c r="AA393" s="1594"/>
      <c r="AB393" s="1594"/>
      <c r="AC393" s="1594"/>
      <c r="AD393" s="1594"/>
      <c r="AE393" s="1594"/>
      <c r="AF393" s="1594"/>
      <c r="AG393" s="2"/>
      <c r="AH393" s="2"/>
      <c r="AI393" s="2"/>
      <c r="AJ393" s="2"/>
      <c r="AK393" s="2"/>
      <c r="AL393" s="822"/>
      <c r="AM393"/>
      <c r="AN393" s="209"/>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3" customFormat="1" ht="12.75" customHeight="1">
      <c r="A394" s="33"/>
      <c r="B394" s="18"/>
      <c r="C394" s="539"/>
      <c r="D394" s="18"/>
      <c r="E394" s="141"/>
      <c r="F394" s="1594"/>
      <c r="G394" s="1594"/>
      <c r="H394" s="1594"/>
      <c r="I394" s="1594"/>
      <c r="J394" s="1594"/>
      <c r="K394" s="1594"/>
      <c r="L394" s="1594"/>
      <c r="M394" s="1594"/>
      <c r="N394" s="1594"/>
      <c r="O394" s="1594"/>
      <c r="P394" s="1594"/>
      <c r="Q394" s="1594"/>
      <c r="R394" s="1594"/>
      <c r="S394" s="1594"/>
      <c r="T394" s="1594"/>
      <c r="U394" s="1594"/>
      <c r="V394" s="1594"/>
      <c r="W394" s="1594"/>
      <c r="X394" s="1594"/>
      <c r="Y394" s="1594"/>
      <c r="Z394" s="1594"/>
      <c r="AA394" s="1594"/>
      <c r="AB394" s="1594"/>
      <c r="AC394" s="1594"/>
      <c r="AD394" s="1594"/>
      <c r="AE394" s="1594"/>
      <c r="AF394" s="1594"/>
      <c r="AG394" s="2"/>
      <c r="AH394" s="2"/>
      <c r="AI394" s="2"/>
      <c r="AJ394" s="2"/>
      <c r="AK394" s="2"/>
      <c r="AL394" s="822"/>
      <c r="AM394"/>
      <c r="AN394" s="20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3" customFormat="1" ht="12.75" customHeight="1">
      <c r="A395" s="33"/>
      <c r="B395" s="18"/>
      <c r="C395" s="539"/>
      <c r="D395" s="18"/>
      <c r="E395" s="141"/>
      <c r="F395" s="1594"/>
      <c r="G395" s="1594"/>
      <c r="H395" s="1594"/>
      <c r="I395" s="1594"/>
      <c r="J395" s="1594"/>
      <c r="K395" s="1594"/>
      <c r="L395" s="1594"/>
      <c r="M395" s="1594"/>
      <c r="N395" s="1594"/>
      <c r="O395" s="1594"/>
      <c r="P395" s="1594"/>
      <c r="Q395" s="1594"/>
      <c r="R395" s="1594"/>
      <c r="S395" s="1594"/>
      <c r="T395" s="1594"/>
      <c r="U395" s="1594"/>
      <c r="V395" s="1594"/>
      <c r="W395" s="1594"/>
      <c r="X395" s="1594"/>
      <c r="Y395" s="1594"/>
      <c r="Z395" s="1594"/>
      <c r="AA395" s="1594"/>
      <c r="AB395" s="1594"/>
      <c r="AC395" s="1594"/>
      <c r="AD395" s="1594"/>
      <c r="AE395" s="1594"/>
      <c r="AF395" s="1594"/>
      <c r="AG395" s="2"/>
      <c r="AH395" s="2"/>
      <c r="AI395" s="2"/>
      <c r="AJ395" s="2"/>
      <c r="AK395" s="2"/>
      <c r="AL395" s="822"/>
      <c r="AM395"/>
      <c r="AN395" s="209"/>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3" customFormat="1" ht="12.75" customHeight="1">
      <c r="A396" s="33"/>
      <c r="B396" s="18"/>
      <c r="C396" s="1555" t="s">
        <v>325</v>
      </c>
      <c r="D396" s="1180"/>
      <c r="E396" s="141"/>
      <c r="F396" s="250" t="s">
        <v>2102</v>
      </c>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F396" s="1524" t="s">
        <v>2103</v>
      </c>
      <c r="AG396" s="1524"/>
      <c r="AH396" s="1524"/>
      <c r="AI396" s="1524"/>
      <c r="AJ396" s="1524"/>
      <c r="AK396" s="1524"/>
      <c r="AL396" s="1554"/>
      <c r="AM396" s="641"/>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3" customFormat="1" ht="12.75" customHeight="1">
      <c r="A397" s="33"/>
      <c r="B397" s="18"/>
      <c r="C397" s="539"/>
      <c r="D397" s="18"/>
      <c r="E397" s="141"/>
      <c r="F397" s="816"/>
      <c r="G397" s="816"/>
      <c r="H397" s="816"/>
      <c r="I397" s="816"/>
      <c r="J397" s="816"/>
      <c r="K397" s="816"/>
      <c r="L397" s="816"/>
      <c r="M397" s="816"/>
      <c r="N397" s="816"/>
      <c r="O397" s="816"/>
      <c r="P397" s="816"/>
      <c r="Q397" s="816"/>
      <c r="R397" s="816"/>
      <c r="S397" s="816"/>
      <c r="T397" s="816"/>
      <c r="U397" s="816"/>
      <c r="V397" s="816"/>
      <c r="W397" s="816"/>
      <c r="X397" s="816"/>
      <c r="Y397" s="816"/>
      <c r="Z397" s="816"/>
      <c r="AA397" s="816"/>
      <c r="AB397" s="816"/>
      <c r="AC397" s="816"/>
      <c r="AD397" s="816"/>
      <c r="AL397" s="540"/>
      <c r="AM397"/>
      <c r="AN397" s="209"/>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3" customFormat="1" ht="12.75" customHeight="1">
      <c r="A398" s="33"/>
      <c r="B398" s="18"/>
      <c r="C398" s="1555" t="s">
        <v>712</v>
      </c>
      <c r="D398" s="1180"/>
      <c r="E398" s="141"/>
      <c r="F398" s="251" t="s">
        <v>2104</v>
      </c>
      <c r="G398" s="816"/>
      <c r="H398" s="816"/>
      <c r="I398" s="816"/>
      <c r="J398" s="816"/>
      <c r="K398" s="816"/>
      <c r="L398" s="816"/>
      <c r="M398" s="816"/>
      <c r="N398" s="816"/>
      <c r="O398" s="816"/>
      <c r="P398" s="816"/>
      <c r="Q398" s="816"/>
      <c r="R398" s="816"/>
      <c r="S398" s="816"/>
      <c r="T398" s="816"/>
      <c r="U398" s="816"/>
      <c r="V398" s="816"/>
      <c r="W398" s="816"/>
      <c r="X398" s="816"/>
      <c r="Y398" s="816"/>
      <c r="Z398" s="816"/>
      <c r="AA398" s="816"/>
      <c r="AB398" s="816"/>
      <c r="AC398" s="816"/>
      <c r="AD398" s="816"/>
      <c r="AF398" s="1524" t="s">
        <v>2096</v>
      </c>
      <c r="AG398" s="1524"/>
      <c r="AH398" s="1524"/>
      <c r="AI398" s="1524"/>
      <c r="AJ398" s="1524"/>
      <c r="AK398" s="1524"/>
      <c r="AL398" s="1554"/>
      <c r="AM398"/>
      <c r="AN398" s="209"/>
      <c r="BS398"/>
      <c r="BT398"/>
      <c r="BU398"/>
      <c r="CF398"/>
      <c r="CG398"/>
      <c r="CH398"/>
      <c r="EK398"/>
      <c r="EL398"/>
      <c r="EM398"/>
      <c r="EN398"/>
      <c r="EO398"/>
      <c r="EP398"/>
      <c r="EQ398"/>
      <c r="ER398"/>
      <c r="ES398"/>
      <c r="ET398"/>
      <c r="EU398"/>
      <c r="EV398"/>
      <c r="EW398"/>
    </row>
    <row r="399" spans="1:153" s="3" customFormat="1" ht="12.75" customHeight="1">
      <c r="A399" s="33"/>
      <c r="B399" s="18"/>
      <c r="C399" s="539"/>
      <c r="D399" s="18"/>
      <c r="E399" s="141"/>
      <c r="F399" s="251"/>
      <c r="G399" s="251"/>
      <c r="H399" s="251"/>
      <c r="I399" s="251"/>
      <c r="J399" s="251"/>
      <c r="K399" s="251"/>
      <c r="L399" s="251"/>
      <c r="M399" s="251"/>
      <c r="N399" s="251"/>
      <c r="O399" s="251"/>
      <c r="P399" s="251"/>
      <c r="Q399" s="251"/>
      <c r="R399" s="251"/>
      <c r="S399" s="251"/>
      <c r="T399" s="251"/>
      <c r="U399" s="251"/>
      <c r="V399" s="251"/>
      <c r="W399" s="251"/>
      <c r="X399" s="251"/>
      <c r="Y399" s="251"/>
      <c r="Z399" s="251"/>
      <c r="AA399" s="251"/>
      <c r="AB399" s="251"/>
      <c r="AC399" s="251"/>
      <c r="AD399" s="251"/>
      <c r="AE399" s="33"/>
      <c r="AL399" s="540"/>
      <c r="AM399"/>
      <c r="AN399" s="209"/>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3" customFormat="1" ht="12.75" customHeight="1">
      <c r="A400" s="33"/>
      <c r="B400" s="18"/>
      <c r="C400" s="543"/>
      <c r="D400" s="544"/>
      <c r="E400" s="545"/>
      <c r="F400" s="546" t="s">
        <v>2105</v>
      </c>
      <c r="G400" s="541"/>
      <c r="H400" s="541"/>
      <c r="I400" s="541"/>
      <c r="J400" s="541"/>
      <c r="K400" s="541"/>
      <c r="L400" s="541"/>
      <c r="M400" s="541"/>
      <c r="N400" s="541"/>
      <c r="O400" s="541"/>
      <c r="P400" s="541"/>
      <c r="Q400" s="541"/>
      <c r="R400" s="541"/>
      <c r="S400" s="541"/>
      <c r="T400" s="541"/>
      <c r="U400" s="541"/>
      <c r="V400" s="541"/>
      <c r="W400" s="541"/>
      <c r="X400" s="541"/>
      <c r="Y400" s="541"/>
      <c r="Z400" s="541"/>
      <c r="AA400" s="541"/>
      <c r="AB400" s="541"/>
      <c r="AC400" s="541"/>
      <c r="AD400" s="541"/>
      <c r="AE400" s="911"/>
      <c r="AF400" s="547"/>
      <c r="AG400" s="911"/>
      <c r="AH400" s="548"/>
      <c r="AI400" s="548"/>
      <c r="AJ400" s="548"/>
      <c r="AK400" s="548"/>
      <c r="AL400" s="549"/>
      <c r="AM400"/>
      <c r="AN400" s="209"/>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3" customFormat="1" ht="12.75" customHeight="1">
      <c r="A401" s="33"/>
      <c r="B401" s="18"/>
      <c r="C401" s="18"/>
      <c r="D401" s="18"/>
      <c r="E401" s="141"/>
      <c r="F401" s="812"/>
      <c r="G401" s="812"/>
      <c r="H401" s="812"/>
      <c r="I401" s="812"/>
      <c r="J401" s="812"/>
      <c r="K401" s="812"/>
      <c r="L401" s="812"/>
      <c r="M401" s="812"/>
      <c r="N401" s="812"/>
      <c r="O401" s="812"/>
      <c r="P401" s="812"/>
      <c r="Q401" s="812"/>
      <c r="R401" s="812"/>
      <c r="S401" s="812"/>
      <c r="T401" s="812"/>
      <c r="U401" s="812"/>
      <c r="V401" s="812"/>
      <c r="W401" s="812"/>
      <c r="X401" s="812"/>
      <c r="Y401" s="812"/>
      <c r="Z401" s="812"/>
      <c r="AA401" s="812"/>
      <c r="AB401" s="812"/>
      <c r="AC401" s="812"/>
      <c r="AD401" s="812"/>
      <c r="AE401" s="33"/>
      <c r="AF401" s="2"/>
      <c r="AG401" s="33"/>
      <c r="AM401"/>
      <c r="AN401" s="209"/>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3" customFormat="1" ht="12.75" customHeight="1">
      <c r="A402" s="33"/>
      <c r="B402" s="18"/>
      <c r="C402" s="532"/>
      <c r="D402" s="533"/>
      <c r="E402" s="534" t="s">
        <v>2106</v>
      </c>
      <c r="F402" s="1569" t="s">
        <v>2107</v>
      </c>
      <c r="G402" s="1569"/>
      <c r="H402" s="1569"/>
      <c r="I402" s="1569"/>
      <c r="J402" s="1569"/>
      <c r="K402" s="1569"/>
      <c r="L402" s="1569"/>
      <c r="M402" s="1569"/>
      <c r="N402" s="1569"/>
      <c r="O402" s="1569"/>
      <c r="P402" s="1569"/>
      <c r="Q402" s="1569"/>
      <c r="R402" s="1569"/>
      <c r="S402" s="1569"/>
      <c r="T402" s="1569"/>
      <c r="U402" s="1569"/>
      <c r="V402" s="1569"/>
      <c r="W402" s="1569"/>
      <c r="X402" s="1569"/>
      <c r="Y402" s="1569"/>
      <c r="Z402" s="1569"/>
      <c r="AA402" s="1569"/>
      <c r="AB402" s="1569"/>
      <c r="AC402" s="1569"/>
      <c r="AD402" s="1569"/>
      <c r="AE402" s="1569"/>
      <c r="AF402" s="1569"/>
      <c r="AG402" s="572"/>
      <c r="AH402" s="572"/>
      <c r="AI402" s="572"/>
      <c r="AJ402" s="572"/>
      <c r="AK402" s="572"/>
      <c r="AL402" s="608"/>
      <c r="AM402"/>
      <c r="AN402" s="209"/>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3" customFormat="1" ht="12.75" customHeight="1">
      <c r="A403" s="33"/>
      <c r="B403" s="18"/>
      <c r="C403" s="539"/>
      <c r="D403" s="18"/>
      <c r="E403" s="141"/>
      <c r="F403" s="1529"/>
      <c r="G403" s="1529"/>
      <c r="H403" s="1529"/>
      <c r="I403" s="1529"/>
      <c r="J403" s="1529"/>
      <c r="K403" s="1529"/>
      <c r="L403" s="1529"/>
      <c r="M403" s="1529"/>
      <c r="N403" s="1529"/>
      <c r="O403" s="1529"/>
      <c r="P403" s="1529"/>
      <c r="Q403" s="1529"/>
      <c r="R403" s="1529"/>
      <c r="S403" s="1529"/>
      <c r="T403" s="1529"/>
      <c r="U403" s="1529"/>
      <c r="V403" s="1529"/>
      <c r="W403" s="1529"/>
      <c r="X403" s="1529"/>
      <c r="Y403" s="1529"/>
      <c r="Z403" s="1529"/>
      <c r="AA403" s="1529"/>
      <c r="AB403" s="1529"/>
      <c r="AC403" s="1529"/>
      <c r="AD403" s="1529"/>
      <c r="AE403" s="1529"/>
      <c r="AF403" s="1529"/>
      <c r="AG403" s="2"/>
      <c r="AH403" s="2"/>
      <c r="AI403" s="2"/>
      <c r="AJ403" s="2"/>
      <c r="AK403" s="2"/>
      <c r="AL403" s="822"/>
      <c r="AM403"/>
      <c r="AN403" s="209"/>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33"/>
      <c r="C404" s="539"/>
      <c r="E404" s="141"/>
      <c r="F404" s="1529"/>
      <c r="G404" s="1529"/>
      <c r="H404" s="1529"/>
      <c r="I404" s="1529"/>
      <c r="J404" s="1529"/>
      <c r="K404" s="1529"/>
      <c r="L404" s="1529"/>
      <c r="M404" s="1529"/>
      <c r="N404" s="1529"/>
      <c r="O404" s="1529"/>
      <c r="P404" s="1529"/>
      <c r="Q404" s="1529"/>
      <c r="R404" s="1529"/>
      <c r="S404" s="1529"/>
      <c r="T404" s="1529"/>
      <c r="U404" s="1529"/>
      <c r="V404" s="1529"/>
      <c r="W404" s="1529"/>
      <c r="X404" s="1529"/>
      <c r="Y404" s="1529"/>
      <c r="Z404" s="1529"/>
      <c r="AA404" s="1529"/>
      <c r="AB404" s="1529"/>
      <c r="AC404" s="1529"/>
      <c r="AD404" s="1529"/>
      <c r="AE404" s="1529"/>
      <c r="AF404" s="1529"/>
      <c r="AG404" s="2"/>
      <c r="AH404" s="2"/>
      <c r="AI404" s="2"/>
      <c r="AJ404" s="2"/>
      <c r="AK404" s="2"/>
      <c r="AL404" s="822"/>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3" customFormat="1" ht="12.75" customHeight="1">
      <c r="A405" s="33"/>
      <c r="B405" s="18"/>
      <c r="C405" s="539"/>
      <c r="D405" s="18"/>
      <c r="E405" s="141"/>
      <c r="F405" s="1529"/>
      <c r="G405" s="1529"/>
      <c r="H405" s="1529"/>
      <c r="I405" s="1529"/>
      <c r="J405" s="1529"/>
      <c r="K405" s="1529"/>
      <c r="L405" s="1529"/>
      <c r="M405" s="1529"/>
      <c r="N405" s="1529"/>
      <c r="O405" s="1529"/>
      <c r="P405" s="1529"/>
      <c r="Q405" s="1529"/>
      <c r="R405" s="1529"/>
      <c r="S405" s="1529"/>
      <c r="T405" s="1529"/>
      <c r="U405" s="1529"/>
      <c r="V405" s="1529"/>
      <c r="W405" s="1529"/>
      <c r="X405" s="1529"/>
      <c r="Y405" s="1529"/>
      <c r="Z405" s="1529"/>
      <c r="AA405" s="1529"/>
      <c r="AB405" s="1529"/>
      <c r="AC405" s="1529"/>
      <c r="AD405" s="1529"/>
      <c r="AE405" s="1529"/>
      <c r="AF405" s="1529"/>
      <c r="AG405" s="2"/>
      <c r="AH405" s="2"/>
      <c r="AI405" s="2"/>
      <c r="AJ405" s="2"/>
      <c r="AK405" s="2"/>
      <c r="AL405" s="822"/>
      <c r="AM405"/>
      <c r="AN405" s="209"/>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3" customFormat="1" ht="12.75" customHeight="1">
      <c r="A406" s="33"/>
      <c r="B406" s="18"/>
      <c r="C406" s="1555" t="s">
        <v>325</v>
      </c>
      <c r="D406" s="1180"/>
      <c r="E406" s="141"/>
      <c r="F406" s="250" t="s">
        <v>2108</v>
      </c>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F406" s="1524" t="s">
        <v>2096</v>
      </c>
      <c r="AG406" s="1524"/>
      <c r="AH406" s="1524"/>
      <c r="AI406" s="1524"/>
      <c r="AJ406" s="1524"/>
      <c r="AK406" s="1524"/>
      <c r="AL406" s="1554"/>
      <c r="AM406"/>
      <c r="AN406" s="209"/>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3" customFormat="1" ht="12.75" customHeight="1">
      <c r="A407" s="33"/>
      <c r="B407" s="18"/>
      <c r="C407" s="539"/>
      <c r="D407" s="18"/>
      <c r="E407" s="141"/>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L407" s="540"/>
      <c r="AM407"/>
      <c r="AN407" s="209"/>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3" customFormat="1" ht="12.75" customHeight="1">
      <c r="A408" s="33"/>
      <c r="B408" s="18"/>
      <c r="C408" s="1555" t="s">
        <v>325</v>
      </c>
      <c r="D408" s="1180"/>
      <c r="E408" s="161"/>
      <c r="F408" s="250" t="s">
        <v>2109</v>
      </c>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F408" s="1524" t="s">
        <v>2110</v>
      </c>
      <c r="AG408" s="1524"/>
      <c r="AH408" s="1524"/>
      <c r="AI408" s="1524"/>
      <c r="AJ408" s="1524"/>
      <c r="AK408" s="1524"/>
      <c r="AL408" s="1554"/>
      <c r="AM408"/>
      <c r="AN408" s="209"/>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3" customFormat="1" ht="12.75" customHeight="1">
      <c r="A409" s="33"/>
      <c r="B409" s="18"/>
      <c r="C409" s="550"/>
      <c r="D409" s="548"/>
      <c r="E409" s="537"/>
      <c r="F409" s="548"/>
      <c r="G409" s="538"/>
      <c r="H409" s="538"/>
      <c r="I409" s="538"/>
      <c r="J409" s="538"/>
      <c r="K409" s="538"/>
      <c r="L409" s="538"/>
      <c r="M409" s="538"/>
      <c r="N409" s="538"/>
      <c r="O409" s="538"/>
      <c r="P409" s="538"/>
      <c r="Q409" s="538"/>
      <c r="R409" s="538"/>
      <c r="S409" s="538"/>
      <c r="T409" s="538"/>
      <c r="U409" s="538"/>
      <c r="V409" s="538"/>
      <c r="W409" s="538"/>
      <c r="X409" s="538"/>
      <c r="Y409" s="538"/>
      <c r="Z409" s="538"/>
      <c r="AA409" s="538"/>
      <c r="AB409" s="538"/>
      <c r="AC409" s="538"/>
      <c r="AD409" s="538"/>
      <c r="AE409" s="548"/>
      <c r="AF409" s="548"/>
      <c r="AG409" s="548"/>
      <c r="AH409" s="548"/>
      <c r="AI409" s="548"/>
      <c r="AJ409" s="548"/>
      <c r="AK409" s="548"/>
      <c r="AL409" s="549"/>
      <c r="AM409"/>
      <c r="AN409" s="209"/>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3" customFormat="1" ht="12.75" customHeight="1">
      <c r="A410" s="33"/>
      <c r="B410" s="18"/>
      <c r="C410" s="18"/>
      <c r="D410" s="18"/>
      <c r="E410" s="141"/>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33"/>
      <c r="AF410" s="2"/>
      <c r="AG410" s="33"/>
      <c r="AM410"/>
      <c r="AN410" s="209"/>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3" customFormat="1" ht="12.75" customHeight="1">
      <c r="A411" s="33"/>
      <c r="B411" s="18"/>
      <c r="C411" s="1555" t="s">
        <v>325</v>
      </c>
      <c r="D411" s="1180"/>
      <c r="E411" s="534" t="s">
        <v>2111</v>
      </c>
      <c r="F411" s="1569" t="s">
        <v>2112</v>
      </c>
      <c r="G411" s="1569"/>
      <c r="H411" s="1569"/>
      <c r="I411" s="1569"/>
      <c r="J411" s="1569"/>
      <c r="K411" s="1569"/>
      <c r="L411" s="1569"/>
      <c r="M411" s="1569"/>
      <c r="N411" s="1569"/>
      <c r="O411" s="1569"/>
      <c r="P411" s="1569"/>
      <c r="Q411" s="1569"/>
      <c r="R411" s="1569"/>
      <c r="S411" s="1569"/>
      <c r="T411" s="1569"/>
      <c r="U411" s="1569"/>
      <c r="V411" s="1569"/>
      <c r="W411" s="1569"/>
      <c r="X411" s="1569"/>
      <c r="Y411" s="1569"/>
      <c r="Z411" s="1569"/>
      <c r="AA411" s="1569"/>
      <c r="AB411" s="1569"/>
      <c r="AC411" s="1569"/>
      <c r="AD411" s="1569"/>
      <c r="AE411" s="1569"/>
      <c r="AF411" s="572"/>
      <c r="AG411" s="912"/>
      <c r="AH411" s="533"/>
      <c r="AI411" s="533"/>
      <c r="AJ411" s="533"/>
      <c r="AK411" s="533"/>
      <c r="AL411" s="555"/>
      <c r="AM411"/>
      <c r="AN411" s="209"/>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3" customFormat="1" ht="12.75" customHeight="1">
      <c r="A412" s="33"/>
      <c r="B412" s="18"/>
      <c r="C412" s="542"/>
      <c r="F412" s="1529"/>
      <c r="G412" s="1529"/>
      <c r="H412" s="1529"/>
      <c r="I412" s="1529"/>
      <c r="J412" s="1529"/>
      <c r="K412" s="1529"/>
      <c r="L412" s="1529"/>
      <c r="M412" s="1529"/>
      <c r="N412" s="1529"/>
      <c r="O412" s="1529"/>
      <c r="P412" s="1529"/>
      <c r="Q412" s="1529"/>
      <c r="R412" s="1529"/>
      <c r="S412" s="1529"/>
      <c r="T412" s="1529"/>
      <c r="U412" s="1529"/>
      <c r="V412" s="1529"/>
      <c r="W412" s="1529"/>
      <c r="X412" s="1529"/>
      <c r="Y412" s="1529"/>
      <c r="Z412" s="1529"/>
      <c r="AA412" s="1529"/>
      <c r="AB412" s="1529"/>
      <c r="AC412" s="1529"/>
      <c r="AD412" s="1529"/>
      <c r="AE412" s="1529"/>
      <c r="AF412" s="1592" t="s">
        <v>2096</v>
      </c>
      <c r="AG412" s="1592"/>
      <c r="AH412" s="1592"/>
      <c r="AI412" s="1592"/>
      <c r="AJ412" s="1592"/>
      <c r="AK412" s="1592"/>
      <c r="AL412" s="1599"/>
      <c r="AM412"/>
      <c r="AN412" s="20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3" customFormat="1" ht="12.75" customHeight="1">
      <c r="A413" s="33"/>
      <c r="B413" s="18"/>
      <c r="C413" s="539"/>
      <c r="D413" s="18"/>
      <c r="E413" s="141"/>
      <c r="F413" s="1529"/>
      <c r="G413" s="1529"/>
      <c r="H413" s="1529"/>
      <c r="I413" s="1529"/>
      <c r="J413" s="1529"/>
      <c r="K413" s="1529"/>
      <c r="L413" s="1529"/>
      <c r="M413" s="1529"/>
      <c r="N413" s="1529"/>
      <c r="O413" s="1529"/>
      <c r="P413" s="1529"/>
      <c r="Q413" s="1529"/>
      <c r="R413" s="1529"/>
      <c r="S413" s="1529"/>
      <c r="T413" s="1529"/>
      <c r="U413" s="1529"/>
      <c r="V413" s="1529"/>
      <c r="W413" s="1529"/>
      <c r="X413" s="1529"/>
      <c r="Y413" s="1529"/>
      <c r="Z413" s="1529"/>
      <c r="AA413" s="1529"/>
      <c r="AB413" s="1529"/>
      <c r="AC413" s="1529"/>
      <c r="AD413" s="1529"/>
      <c r="AE413" s="1529"/>
      <c r="AL413" s="540"/>
      <c r="AM413"/>
      <c r="AN413" s="209"/>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3" customFormat="1" ht="12.75" customHeight="1">
      <c r="A414" s="33"/>
      <c r="B414" s="18"/>
      <c r="C414" s="543"/>
      <c r="D414" s="544"/>
      <c r="E414" s="545"/>
      <c r="F414" s="1564"/>
      <c r="G414" s="1564"/>
      <c r="H414" s="1564"/>
      <c r="I414" s="1564"/>
      <c r="J414" s="1564"/>
      <c r="K414" s="1564"/>
      <c r="L414" s="1564"/>
      <c r="M414" s="1564"/>
      <c r="N414" s="1564"/>
      <c r="O414" s="1564"/>
      <c r="P414" s="1564"/>
      <c r="Q414" s="1564"/>
      <c r="R414" s="1564"/>
      <c r="S414" s="1564"/>
      <c r="T414" s="1564"/>
      <c r="U414" s="1564"/>
      <c r="V414" s="1564"/>
      <c r="W414" s="1564"/>
      <c r="X414" s="1564"/>
      <c r="Y414" s="1564"/>
      <c r="Z414" s="1564"/>
      <c r="AA414" s="1564"/>
      <c r="AB414" s="1564"/>
      <c r="AC414" s="1564"/>
      <c r="AD414" s="1564"/>
      <c r="AE414" s="1564"/>
      <c r="AF414" s="547"/>
      <c r="AG414" s="911"/>
      <c r="AH414" s="548"/>
      <c r="AI414" s="548"/>
      <c r="AJ414" s="548"/>
      <c r="AK414" s="548"/>
      <c r="AL414" s="549"/>
      <c r="AM414"/>
      <c r="AN414" s="209"/>
    </row>
    <row r="415" spans="1:153">
      <c r="A415" s="33"/>
      <c r="E415" s="141"/>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33"/>
      <c r="AF415" s="2"/>
      <c r="AG415" s="33"/>
      <c r="AH415" s="3"/>
      <c r="AI415" s="3"/>
      <c r="AJ415" s="3"/>
      <c r="AK415" s="3"/>
      <c r="AL415" s="3"/>
      <c r="AM415"/>
    </row>
    <row r="416" spans="1:153" ht="12.75" customHeight="1">
      <c r="A416" s="33"/>
      <c r="C416" s="551"/>
      <c r="D416" s="552"/>
      <c r="E416" s="534" t="s">
        <v>2113</v>
      </c>
      <c r="F416" s="1569" t="s">
        <v>2114</v>
      </c>
      <c r="G416" s="1569"/>
      <c r="H416" s="1569"/>
      <c r="I416" s="1569"/>
      <c r="J416" s="1569"/>
      <c r="K416" s="1569"/>
      <c r="L416" s="1569"/>
      <c r="M416" s="1569"/>
      <c r="N416" s="1569"/>
      <c r="O416" s="1569"/>
      <c r="P416" s="1569"/>
      <c r="Q416" s="1569"/>
      <c r="R416" s="1569"/>
      <c r="S416" s="1569"/>
      <c r="T416" s="1569"/>
      <c r="U416" s="1569"/>
      <c r="V416" s="1569"/>
      <c r="W416" s="1569"/>
      <c r="X416" s="1569"/>
      <c r="Y416" s="1569"/>
      <c r="Z416" s="1569"/>
      <c r="AA416" s="1569"/>
      <c r="AB416" s="1569"/>
      <c r="AC416" s="1569"/>
      <c r="AD416" s="1569"/>
      <c r="AE416" s="1569"/>
      <c r="AF416" s="552"/>
      <c r="AG416" s="552"/>
      <c r="AH416" s="552"/>
      <c r="AI416" s="552"/>
      <c r="AJ416" s="552"/>
      <c r="AK416" s="552"/>
      <c r="AL416" s="553"/>
      <c r="AM416"/>
    </row>
    <row r="417" spans="1:60">
      <c r="A417" s="33"/>
      <c r="C417" s="539"/>
      <c r="E417" s="141"/>
      <c r="F417" s="1529"/>
      <c r="G417" s="1529"/>
      <c r="H417" s="1529"/>
      <c r="I417" s="1529"/>
      <c r="J417" s="1529"/>
      <c r="K417" s="1529"/>
      <c r="L417" s="1529"/>
      <c r="M417" s="1529"/>
      <c r="N417" s="1529"/>
      <c r="O417" s="1529"/>
      <c r="P417" s="1529"/>
      <c r="Q417" s="1529"/>
      <c r="R417" s="1529"/>
      <c r="S417" s="1529"/>
      <c r="T417" s="1529"/>
      <c r="U417" s="1529"/>
      <c r="V417" s="1529"/>
      <c r="W417" s="1529"/>
      <c r="X417" s="1529"/>
      <c r="Y417" s="1529"/>
      <c r="Z417" s="1529"/>
      <c r="AA417" s="1529"/>
      <c r="AB417" s="1529"/>
      <c r="AC417" s="1529"/>
      <c r="AD417" s="1529"/>
      <c r="AE417" s="1529"/>
      <c r="AF417" s="2"/>
      <c r="AG417" s="33"/>
      <c r="AH417" s="3"/>
      <c r="AI417" s="3"/>
      <c r="AJ417" s="3"/>
      <c r="AK417" s="3"/>
      <c r="AL417" s="540"/>
      <c r="AM417"/>
    </row>
    <row r="418" spans="1:60" s="3" customFormat="1" ht="12.75" customHeight="1">
      <c r="A418" s="33"/>
      <c r="B418" s="18"/>
      <c r="C418" s="539"/>
      <c r="D418" s="18"/>
      <c r="E418" s="141"/>
      <c r="F418" s="1529"/>
      <c r="G418" s="1529"/>
      <c r="H418" s="1529"/>
      <c r="I418" s="1529"/>
      <c r="J418" s="1529"/>
      <c r="K418" s="1529"/>
      <c r="L418" s="1529"/>
      <c r="M418" s="1529"/>
      <c r="N418" s="1529"/>
      <c r="O418" s="1529"/>
      <c r="P418" s="1529"/>
      <c r="Q418" s="1529"/>
      <c r="R418" s="1529"/>
      <c r="S418" s="1529"/>
      <c r="T418" s="1529"/>
      <c r="U418" s="1529"/>
      <c r="V418" s="1529"/>
      <c r="W418" s="1529"/>
      <c r="X418" s="1529"/>
      <c r="Y418" s="1529"/>
      <c r="Z418" s="1529"/>
      <c r="AA418" s="1529"/>
      <c r="AB418" s="1529"/>
      <c r="AC418" s="1529"/>
      <c r="AD418" s="1529"/>
      <c r="AE418" s="1529"/>
      <c r="AL418" s="540"/>
      <c r="AM418"/>
      <c r="AN418" s="209"/>
    </row>
    <row r="419" spans="1:60" s="3" customFormat="1" ht="12.75" customHeight="1">
      <c r="A419" s="33"/>
      <c r="B419" s="18"/>
      <c r="C419" s="542"/>
      <c r="F419" s="1529"/>
      <c r="G419" s="1529"/>
      <c r="H419" s="1529"/>
      <c r="I419" s="1529"/>
      <c r="J419" s="1529"/>
      <c r="K419" s="1529"/>
      <c r="L419" s="1529"/>
      <c r="M419" s="1529"/>
      <c r="N419" s="1529"/>
      <c r="O419" s="1529"/>
      <c r="P419" s="1529"/>
      <c r="Q419" s="1529"/>
      <c r="R419" s="1529"/>
      <c r="S419" s="1529"/>
      <c r="T419" s="1529"/>
      <c r="U419" s="1529"/>
      <c r="V419" s="1529"/>
      <c r="W419" s="1529"/>
      <c r="X419" s="1529"/>
      <c r="Y419" s="1529"/>
      <c r="Z419" s="1529"/>
      <c r="AA419" s="1529"/>
      <c r="AB419" s="1529"/>
      <c r="AC419" s="1529"/>
      <c r="AD419" s="1529"/>
      <c r="AE419" s="1529"/>
      <c r="AL419" s="540"/>
      <c r="AM419"/>
      <c r="AN419" s="209"/>
    </row>
    <row r="420" spans="1:60" s="3" customFormat="1" ht="12.75" customHeight="1">
      <c r="A420" s="33"/>
      <c r="B420" s="18"/>
      <c r="C420" s="1555" t="s">
        <v>325</v>
      </c>
      <c r="D420" s="1180"/>
      <c r="E420" s="141"/>
      <c r="F420" s="250" t="s">
        <v>2115</v>
      </c>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F420" s="1592" t="s">
        <v>2096</v>
      </c>
      <c r="AG420" s="1592"/>
      <c r="AH420" s="1592"/>
      <c r="AI420" s="1592"/>
      <c r="AJ420" s="1592"/>
      <c r="AK420" s="1592"/>
      <c r="AL420" s="1599"/>
      <c r="AM420"/>
      <c r="AN420" s="209"/>
    </row>
    <row r="421" spans="1:60" s="3" customFormat="1" ht="12.75" customHeight="1">
      <c r="A421" s="33"/>
      <c r="B421" s="18"/>
      <c r="C421" s="542"/>
      <c r="AL421" s="540"/>
      <c r="AM421"/>
      <c r="AN421" s="209"/>
    </row>
    <row r="422" spans="1:60" s="3" customFormat="1" ht="12.75" customHeight="1">
      <c r="A422" s="33"/>
      <c r="B422" s="18"/>
      <c r="C422" s="1555" t="s">
        <v>325</v>
      </c>
      <c r="D422" s="1180"/>
      <c r="E422" s="161"/>
      <c r="F422" s="250" t="s">
        <v>2116</v>
      </c>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F422" s="1592" t="s">
        <v>2110</v>
      </c>
      <c r="AG422" s="1592"/>
      <c r="AH422" s="1592"/>
      <c r="AI422" s="1592"/>
      <c r="AJ422" s="1592"/>
      <c r="AK422" s="1592"/>
      <c r="AL422" s="1599"/>
      <c r="AM422"/>
      <c r="AN422" s="209"/>
      <c r="AO422" s="17"/>
      <c r="AP422" s="17"/>
      <c r="BC422" s="18"/>
    </row>
    <row r="423" spans="1:60" s="3" customFormat="1" ht="12.75" customHeight="1">
      <c r="A423" s="33"/>
      <c r="B423" s="18"/>
      <c r="C423" s="543"/>
      <c r="D423" s="544"/>
      <c r="E423" s="545"/>
      <c r="F423" s="554"/>
      <c r="G423" s="538"/>
      <c r="H423" s="538"/>
      <c r="I423" s="538"/>
      <c r="J423" s="538"/>
      <c r="K423" s="538"/>
      <c r="L423" s="538"/>
      <c r="M423" s="538"/>
      <c r="N423" s="538"/>
      <c r="O423" s="538"/>
      <c r="P423" s="538"/>
      <c r="Q423" s="538"/>
      <c r="R423" s="538"/>
      <c r="S423" s="538"/>
      <c r="T423" s="538"/>
      <c r="U423" s="538"/>
      <c r="V423" s="538"/>
      <c r="W423" s="538"/>
      <c r="X423" s="538"/>
      <c r="Y423" s="538"/>
      <c r="Z423" s="538"/>
      <c r="AA423" s="538"/>
      <c r="AB423" s="538"/>
      <c r="AC423" s="538"/>
      <c r="AD423" s="538"/>
      <c r="AE423" s="911"/>
      <c r="AF423" s="547"/>
      <c r="AG423" s="911"/>
      <c r="AH423" s="548"/>
      <c r="AI423" s="548"/>
      <c r="AJ423" s="548"/>
      <c r="AK423" s="548"/>
      <c r="AL423" s="549"/>
      <c r="AM423"/>
      <c r="AN423" s="209"/>
    </row>
    <row r="424" spans="1:60" s="3" customFormat="1" ht="12.75" customHeight="1">
      <c r="A424" s="33"/>
      <c r="B424" s="18"/>
      <c r="C424" s="18"/>
      <c r="D424" s="18"/>
      <c r="E424" s="141"/>
      <c r="F424" s="250"/>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33"/>
      <c r="AF424" s="2"/>
      <c r="AG424" s="33"/>
      <c r="AM424"/>
      <c r="AN424" s="209"/>
    </row>
    <row r="425" spans="1:60" s="3" customFormat="1" ht="12.75" customHeight="1">
      <c r="A425" s="33"/>
      <c r="B425" s="18"/>
      <c r="C425" s="133" t="s">
        <v>2117</v>
      </c>
      <c r="D425" s="18"/>
      <c r="E425" s="141"/>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33"/>
      <c r="AF425" s="2"/>
      <c r="AG425" s="33"/>
      <c r="AM425"/>
      <c r="AN425" s="209"/>
    </row>
    <row r="426" spans="1:60" s="3" customFormat="1" ht="12.75" customHeight="1">
      <c r="A426" s="33"/>
      <c r="B426" s="18"/>
      <c r="C426" s="532"/>
      <c r="D426" s="533"/>
      <c r="E426" s="534" t="s">
        <v>2118</v>
      </c>
      <c r="F426" s="1569" t="s">
        <v>2119</v>
      </c>
      <c r="G426" s="1569"/>
      <c r="H426" s="1569"/>
      <c r="I426" s="1569"/>
      <c r="J426" s="1569"/>
      <c r="K426" s="1569"/>
      <c r="L426" s="1569"/>
      <c r="M426" s="1569"/>
      <c r="N426" s="1569"/>
      <c r="O426" s="1569"/>
      <c r="P426" s="1569"/>
      <c r="Q426" s="1569"/>
      <c r="R426" s="1569"/>
      <c r="S426" s="1569"/>
      <c r="T426" s="1569"/>
      <c r="U426" s="1569"/>
      <c r="V426" s="1569"/>
      <c r="W426" s="1569"/>
      <c r="X426" s="1569"/>
      <c r="Y426" s="1569"/>
      <c r="Z426" s="1569"/>
      <c r="AA426" s="1569"/>
      <c r="AB426" s="1569"/>
      <c r="AC426" s="1569"/>
      <c r="AD426" s="1569"/>
      <c r="AE426" s="1569"/>
      <c r="AF426" s="533"/>
      <c r="AG426" s="533"/>
      <c r="AH426" s="533"/>
      <c r="AI426" s="533"/>
      <c r="AJ426" s="533"/>
      <c r="AK426" s="533"/>
      <c r="AL426" s="555"/>
      <c r="AM426"/>
      <c r="AN426" s="209"/>
    </row>
    <row r="427" spans="1:60" s="3" customFormat="1" ht="12.75" customHeight="1">
      <c r="A427" s="33"/>
      <c r="B427" s="18"/>
      <c r="C427" s="539"/>
      <c r="D427" s="18"/>
      <c r="E427" s="141"/>
      <c r="F427" s="1529"/>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2"/>
      <c r="AG427" s="33"/>
      <c r="AL427" s="540"/>
      <c r="AM427"/>
      <c r="AN427" s="209"/>
    </row>
    <row r="428" spans="1:60" s="3" customFormat="1" ht="12.4" customHeight="1">
      <c r="A428" s="33"/>
      <c r="B428" s="18"/>
      <c r="C428" s="539"/>
      <c r="D428" s="18"/>
      <c r="E428" s="14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L428" s="540"/>
      <c r="AM428"/>
      <c r="AN428" s="209"/>
    </row>
    <row r="429" spans="1:60" s="3" customFormat="1" ht="12.75" customHeight="1">
      <c r="A429" s="33"/>
      <c r="B429" s="18"/>
      <c r="C429" s="1555" t="s">
        <v>325</v>
      </c>
      <c r="D429" s="1180"/>
      <c r="E429" s="141"/>
      <c r="F429" s="250" t="s">
        <v>2120</v>
      </c>
      <c r="G429" s="127"/>
      <c r="H429" s="127"/>
      <c r="I429" s="127"/>
      <c r="J429" s="127"/>
      <c r="K429" s="127"/>
      <c r="L429" s="127"/>
      <c r="M429" s="127"/>
      <c r="N429" s="127"/>
      <c r="O429" s="127"/>
      <c r="P429" s="127"/>
      <c r="Q429" s="127"/>
      <c r="R429" s="127"/>
      <c r="S429" s="127"/>
      <c r="T429" s="127"/>
      <c r="U429" s="127"/>
      <c r="V429" s="127"/>
      <c r="W429" s="127"/>
      <c r="X429" s="127"/>
      <c r="Y429" s="127"/>
      <c r="Z429" s="127"/>
      <c r="AA429" s="127"/>
      <c r="AB429" s="127"/>
      <c r="AC429" s="127"/>
      <c r="AD429" s="127"/>
      <c r="AF429" s="1592" t="s">
        <v>2096</v>
      </c>
      <c r="AG429" s="1592"/>
      <c r="AH429" s="1592"/>
      <c r="AI429" s="1592"/>
      <c r="AJ429" s="1592"/>
      <c r="AK429" s="1592"/>
      <c r="AL429" s="1599"/>
      <c r="AM429"/>
      <c r="AN429" s="209"/>
    </row>
    <row r="430" spans="1:60" s="3" customFormat="1" ht="12.75" customHeight="1">
      <c r="A430" s="33"/>
      <c r="B430" s="18"/>
      <c r="C430" s="643"/>
      <c r="D430" s="559"/>
      <c r="E430" s="537"/>
      <c r="F430" s="554"/>
      <c r="G430" s="538"/>
      <c r="H430" s="538"/>
      <c r="I430" s="538"/>
      <c r="J430" s="538"/>
      <c r="K430" s="538"/>
      <c r="L430" s="538"/>
      <c r="M430" s="538"/>
      <c r="N430" s="538"/>
      <c r="O430" s="538"/>
      <c r="P430" s="538"/>
      <c r="Q430" s="538"/>
      <c r="R430" s="538"/>
      <c r="S430" s="538"/>
      <c r="T430" s="538"/>
      <c r="U430" s="538"/>
      <c r="V430" s="538"/>
      <c r="W430" s="538"/>
      <c r="X430" s="538"/>
      <c r="Y430" s="538"/>
      <c r="Z430" s="538"/>
      <c r="AA430" s="538"/>
      <c r="AB430" s="538"/>
      <c r="AC430" s="538"/>
      <c r="AD430" s="538"/>
      <c r="AE430" s="548"/>
      <c r="AF430" s="561"/>
      <c r="AG430" s="561"/>
      <c r="AH430" s="561"/>
      <c r="AI430" s="561"/>
      <c r="AJ430" s="561"/>
      <c r="AK430" s="561"/>
      <c r="AL430" s="642"/>
      <c r="AM430"/>
      <c r="AN430" s="209"/>
    </row>
    <row r="431" spans="1:60" s="3" customFormat="1" ht="12.75" customHeight="1">
      <c r="A431" s="33"/>
      <c r="B431" s="18"/>
      <c r="C431" s="781"/>
      <c r="D431" s="781"/>
      <c r="E431" s="161"/>
      <c r="F431" s="250"/>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33"/>
      <c r="AM431"/>
      <c r="AN431" s="209"/>
    </row>
    <row r="432" spans="1:60" ht="13.15" customHeight="1">
      <c r="A432" s="33"/>
      <c r="C432" s="551"/>
      <c r="D432" s="552"/>
      <c r="E432" s="534" t="s">
        <v>2121</v>
      </c>
      <c r="F432" s="1569" t="s">
        <v>2122</v>
      </c>
      <c r="G432" s="1569"/>
      <c r="H432" s="1569"/>
      <c r="I432" s="1569"/>
      <c r="J432" s="1569"/>
      <c r="K432" s="1569"/>
      <c r="L432" s="1569"/>
      <c r="M432" s="1569"/>
      <c r="N432" s="1569"/>
      <c r="O432" s="1569"/>
      <c r="P432" s="1569"/>
      <c r="Q432" s="1569"/>
      <c r="R432" s="1569"/>
      <c r="S432" s="1569"/>
      <c r="T432" s="1569"/>
      <c r="U432" s="1569"/>
      <c r="V432" s="1569"/>
      <c r="W432" s="1569"/>
      <c r="X432" s="1569"/>
      <c r="Y432" s="1569"/>
      <c r="Z432" s="1569"/>
      <c r="AA432" s="1569"/>
      <c r="AB432" s="1569"/>
      <c r="AC432" s="1569"/>
      <c r="AD432" s="1569"/>
      <c r="AE432" s="1569"/>
      <c r="AF432" s="552"/>
      <c r="AG432" s="552"/>
      <c r="AH432" s="552"/>
      <c r="AI432" s="552"/>
      <c r="AJ432" s="552"/>
      <c r="AK432" s="552"/>
      <c r="AL432" s="553"/>
      <c r="AM432"/>
      <c r="AO432" s="3"/>
      <c r="AP432" s="3"/>
      <c r="BD432" s="18"/>
      <c r="BE432" s="18"/>
      <c r="BF432" s="18"/>
      <c r="BG432" s="18"/>
      <c r="BH432" s="18"/>
    </row>
    <row r="433" spans="1:49">
      <c r="A433" s="33"/>
      <c r="C433" s="539"/>
      <c r="E433" s="141"/>
      <c r="F433" s="1529"/>
      <c r="G433" s="1529"/>
      <c r="H433" s="1529"/>
      <c r="I433" s="1529"/>
      <c r="J433" s="1529"/>
      <c r="K433" s="1529"/>
      <c r="L433" s="1529"/>
      <c r="M433" s="1529"/>
      <c r="N433" s="1529"/>
      <c r="O433" s="1529"/>
      <c r="P433" s="1529"/>
      <c r="Q433" s="1529"/>
      <c r="R433" s="1529"/>
      <c r="S433" s="1529"/>
      <c r="T433" s="1529"/>
      <c r="U433" s="1529"/>
      <c r="V433" s="1529"/>
      <c r="W433" s="1529"/>
      <c r="X433" s="1529"/>
      <c r="Y433" s="1529"/>
      <c r="Z433" s="1529"/>
      <c r="AA433" s="1529"/>
      <c r="AB433" s="1529"/>
      <c r="AC433" s="1529"/>
      <c r="AD433" s="1529"/>
      <c r="AE433" s="1529"/>
      <c r="AF433" s="831"/>
      <c r="AG433" s="831"/>
      <c r="AH433" s="831"/>
      <c r="AI433" s="831"/>
      <c r="AJ433" s="831"/>
      <c r="AK433" s="831"/>
      <c r="AL433" s="832"/>
      <c r="AM433"/>
      <c r="AO433" s="3"/>
      <c r="AP433" s="3"/>
    </row>
    <row r="434" spans="1:49" s="3" customFormat="1" ht="12.75" customHeight="1">
      <c r="A434" s="33"/>
      <c r="B434" s="18"/>
      <c r="C434" s="539"/>
      <c r="D434" s="18"/>
      <c r="E434" s="141"/>
      <c r="F434" s="1529"/>
      <c r="G434" s="1529"/>
      <c r="H434" s="1529"/>
      <c r="I434" s="1529"/>
      <c r="J434" s="1529"/>
      <c r="K434" s="1529"/>
      <c r="L434" s="1529"/>
      <c r="M434" s="1529"/>
      <c r="N434" s="1529"/>
      <c r="O434" s="1529"/>
      <c r="P434" s="1529"/>
      <c r="Q434" s="1529"/>
      <c r="R434" s="1529"/>
      <c r="S434" s="1529"/>
      <c r="T434" s="1529"/>
      <c r="U434" s="1529"/>
      <c r="V434" s="1529"/>
      <c r="W434" s="1529"/>
      <c r="X434" s="1529"/>
      <c r="Y434" s="1529"/>
      <c r="Z434" s="1529"/>
      <c r="AA434" s="1529"/>
      <c r="AB434" s="1529"/>
      <c r="AC434" s="1529"/>
      <c r="AD434" s="1529"/>
      <c r="AE434" s="1529"/>
      <c r="AF434" s="831"/>
      <c r="AG434" s="831"/>
      <c r="AH434" s="831"/>
      <c r="AI434" s="831"/>
      <c r="AJ434" s="831"/>
      <c r="AK434" s="831"/>
      <c r="AL434" s="832"/>
      <c r="AM434"/>
      <c r="AN434" s="209"/>
    </row>
    <row r="435" spans="1:49" s="3" customFormat="1" ht="12.75" customHeight="1">
      <c r="A435" s="33"/>
      <c r="B435" s="18"/>
      <c r="C435" s="824"/>
      <c r="D435" s="781"/>
      <c r="E435" s="161"/>
      <c r="F435" s="1529"/>
      <c r="G435" s="1529"/>
      <c r="H435" s="1529"/>
      <c r="I435" s="1529"/>
      <c r="J435" s="1529"/>
      <c r="K435" s="1529"/>
      <c r="L435" s="1529"/>
      <c r="M435" s="1529"/>
      <c r="N435" s="1529"/>
      <c r="O435" s="1529"/>
      <c r="P435" s="1529"/>
      <c r="Q435" s="1529"/>
      <c r="R435" s="1529"/>
      <c r="S435" s="1529"/>
      <c r="T435" s="1529"/>
      <c r="U435" s="1529"/>
      <c r="V435" s="1529"/>
      <c r="W435" s="1529"/>
      <c r="X435" s="1529"/>
      <c r="Y435" s="1529"/>
      <c r="Z435" s="1529"/>
      <c r="AA435" s="1529"/>
      <c r="AB435" s="1529"/>
      <c r="AC435" s="1529"/>
      <c r="AD435" s="1529"/>
      <c r="AE435" s="1529"/>
      <c r="AF435" s="831"/>
      <c r="AG435" s="831"/>
      <c r="AH435" s="831"/>
      <c r="AI435" s="831"/>
      <c r="AJ435" s="831"/>
      <c r="AK435" s="831"/>
      <c r="AL435" s="832"/>
      <c r="AM435"/>
      <c r="AN435" s="209"/>
      <c r="AO435" s="30"/>
      <c r="AP435" s="18"/>
    </row>
    <row r="436" spans="1:49" s="3" customFormat="1" ht="12.75" customHeight="1">
      <c r="A436" s="33"/>
      <c r="B436" s="18"/>
      <c r="C436" s="824"/>
      <c r="D436" s="781"/>
      <c r="E436" s="161"/>
      <c r="F436" s="1529"/>
      <c r="G436" s="1529"/>
      <c r="H436" s="1529"/>
      <c r="I436" s="1529"/>
      <c r="J436" s="1529"/>
      <c r="K436" s="1529"/>
      <c r="L436" s="1529"/>
      <c r="M436" s="1529"/>
      <c r="N436" s="1529"/>
      <c r="O436" s="1529"/>
      <c r="P436" s="1529"/>
      <c r="Q436" s="1529"/>
      <c r="R436" s="1529"/>
      <c r="S436" s="1529"/>
      <c r="T436" s="1529"/>
      <c r="U436" s="1529"/>
      <c r="V436" s="1529"/>
      <c r="W436" s="1529"/>
      <c r="X436" s="1529"/>
      <c r="Y436" s="1529"/>
      <c r="Z436" s="1529"/>
      <c r="AA436" s="1529"/>
      <c r="AB436" s="1529"/>
      <c r="AC436" s="1529"/>
      <c r="AD436" s="1529"/>
      <c r="AE436" s="1529"/>
      <c r="AF436" s="831"/>
      <c r="AG436" s="831"/>
      <c r="AH436" s="831"/>
      <c r="AI436" s="831"/>
      <c r="AJ436" s="831"/>
      <c r="AK436" s="831"/>
      <c r="AL436" s="832"/>
      <c r="AM436"/>
      <c r="AN436" s="209"/>
    </row>
    <row r="437" spans="1:49" s="3" customFormat="1" ht="12.75" customHeight="1">
      <c r="A437" s="33"/>
      <c r="B437" s="18"/>
      <c r="C437" s="824"/>
      <c r="D437" s="781"/>
      <c r="E437" s="161"/>
      <c r="F437" s="1529"/>
      <c r="G437" s="1529"/>
      <c r="H437" s="1529"/>
      <c r="I437" s="1529"/>
      <c r="J437" s="1529"/>
      <c r="K437" s="1529"/>
      <c r="L437" s="1529"/>
      <c r="M437" s="1529"/>
      <c r="N437" s="1529"/>
      <c r="O437" s="1529"/>
      <c r="P437" s="1529"/>
      <c r="Q437" s="1529"/>
      <c r="R437" s="1529"/>
      <c r="S437" s="1529"/>
      <c r="T437" s="1529"/>
      <c r="U437" s="1529"/>
      <c r="V437" s="1529"/>
      <c r="W437" s="1529"/>
      <c r="X437" s="1529"/>
      <c r="Y437" s="1529"/>
      <c r="Z437" s="1529"/>
      <c r="AA437" s="1529"/>
      <c r="AB437" s="1529"/>
      <c r="AC437" s="1529"/>
      <c r="AD437" s="1529"/>
      <c r="AE437" s="1529"/>
      <c r="AF437" s="831"/>
      <c r="AG437" s="831"/>
      <c r="AH437" s="831"/>
      <c r="AI437" s="831"/>
      <c r="AJ437" s="831"/>
      <c r="AK437" s="831"/>
      <c r="AL437" s="832"/>
      <c r="AM437"/>
      <c r="AN437" s="209"/>
    </row>
    <row r="438" spans="1:49" s="3" customFormat="1" ht="12.75" customHeight="1">
      <c r="A438" s="33"/>
      <c r="B438" s="18"/>
      <c r="C438" s="824"/>
      <c r="D438" s="781"/>
      <c r="E438" s="161"/>
      <c r="F438" s="1529"/>
      <c r="G438" s="1529"/>
      <c r="H438" s="1529"/>
      <c r="I438" s="1529"/>
      <c r="J438" s="1529"/>
      <c r="K438" s="1529"/>
      <c r="L438" s="1529"/>
      <c r="M438" s="1529"/>
      <c r="N438" s="1529"/>
      <c r="O438" s="1529"/>
      <c r="P438" s="1529"/>
      <c r="Q438" s="1529"/>
      <c r="R438" s="1529"/>
      <c r="S438" s="1529"/>
      <c r="T438" s="1529"/>
      <c r="U438" s="1529"/>
      <c r="V438" s="1529"/>
      <c r="W438" s="1529"/>
      <c r="X438" s="1529"/>
      <c r="Y438" s="1529"/>
      <c r="Z438" s="1529"/>
      <c r="AA438" s="1529"/>
      <c r="AB438" s="1529"/>
      <c r="AC438" s="1529"/>
      <c r="AD438" s="1529"/>
      <c r="AE438" s="1529"/>
      <c r="AF438" s="831"/>
      <c r="AG438" s="831"/>
      <c r="AH438" s="831"/>
      <c r="AI438" s="831"/>
      <c r="AJ438" s="831"/>
      <c r="AK438" s="831"/>
      <c r="AL438" s="832"/>
      <c r="AM438"/>
      <c r="AN438" s="209"/>
    </row>
    <row r="439" spans="1:49" s="3" customFormat="1" ht="12.75" customHeight="1">
      <c r="A439" s="33"/>
      <c r="B439" s="18"/>
      <c r="C439" s="824"/>
      <c r="D439" s="781"/>
      <c r="E439" s="161"/>
      <c r="F439" s="1529"/>
      <c r="G439" s="1529"/>
      <c r="H439" s="1529"/>
      <c r="I439" s="1529"/>
      <c r="J439" s="1529"/>
      <c r="K439" s="1529"/>
      <c r="L439" s="1529"/>
      <c r="M439" s="1529"/>
      <c r="N439" s="1529"/>
      <c r="O439" s="1529"/>
      <c r="P439" s="1529"/>
      <c r="Q439" s="1529"/>
      <c r="R439" s="1529"/>
      <c r="S439" s="1529"/>
      <c r="T439" s="1529"/>
      <c r="U439" s="1529"/>
      <c r="V439" s="1529"/>
      <c r="W439" s="1529"/>
      <c r="X439" s="1529"/>
      <c r="Y439" s="1529"/>
      <c r="Z439" s="1529"/>
      <c r="AA439" s="1529"/>
      <c r="AB439" s="1529"/>
      <c r="AC439" s="1529"/>
      <c r="AD439" s="1529"/>
      <c r="AE439" s="1529"/>
      <c r="AF439" s="831"/>
      <c r="AG439" s="831"/>
      <c r="AH439" s="831"/>
      <c r="AI439" s="831"/>
      <c r="AJ439" s="831"/>
      <c r="AK439" s="831"/>
      <c r="AL439" s="832"/>
      <c r="AM439"/>
      <c r="AN439" s="209"/>
    </row>
    <row r="440" spans="1:49" s="3" customFormat="1" ht="17.25" customHeight="1">
      <c r="A440" s="33"/>
      <c r="B440" s="18"/>
      <c r="C440" s="824"/>
      <c r="D440" s="781"/>
      <c r="E440" s="161"/>
      <c r="F440" s="1529"/>
      <c r="G440" s="1529"/>
      <c r="H440" s="1529"/>
      <c r="I440" s="1529"/>
      <c r="J440" s="1529"/>
      <c r="K440" s="1529"/>
      <c r="L440" s="1529"/>
      <c r="M440" s="1529"/>
      <c r="N440" s="1529"/>
      <c r="O440" s="1529"/>
      <c r="P440" s="1529"/>
      <c r="Q440" s="1529"/>
      <c r="R440" s="1529"/>
      <c r="S440" s="1529"/>
      <c r="T440" s="1529"/>
      <c r="U440" s="1529"/>
      <c r="V440" s="1529"/>
      <c r="W440" s="1529"/>
      <c r="X440" s="1529"/>
      <c r="Y440" s="1529"/>
      <c r="Z440" s="1529"/>
      <c r="AA440" s="1529"/>
      <c r="AB440" s="1529"/>
      <c r="AC440" s="1529"/>
      <c r="AD440" s="1529"/>
      <c r="AE440" s="1529"/>
      <c r="AL440" s="540"/>
      <c r="AM440"/>
      <c r="AN440" s="209"/>
    </row>
    <row r="441" spans="1:49" s="3" customFormat="1" ht="12.75" customHeight="1">
      <c r="A441" s="33"/>
      <c r="B441" s="18"/>
      <c r="C441" s="1555" t="s">
        <v>325</v>
      </c>
      <c r="D441" s="1180"/>
      <c r="E441" s="161"/>
      <c r="F441" s="17" t="s">
        <v>2123</v>
      </c>
      <c r="G441" s="812"/>
      <c r="H441" s="812"/>
      <c r="I441" s="812"/>
      <c r="J441" s="812"/>
      <c r="K441" s="812"/>
      <c r="L441" s="812"/>
      <c r="M441" s="812"/>
      <c r="N441" s="812"/>
      <c r="O441" s="812"/>
      <c r="P441" s="812"/>
      <c r="Q441" s="812"/>
      <c r="R441" s="812"/>
      <c r="S441" s="812"/>
      <c r="T441" s="812"/>
      <c r="U441" s="812"/>
      <c r="V441" s="812"/>
      <c r="W441" s="812"/>
      <c r="X441" s="812"/>
      <c r="Y441" s="812"/>
      <c r="Z441" s="812"/>
      <c r="AA441" s="812"/>
      <c r="AB441" s="812"/>
      <c r="AC441" s="812"/>
      <c r="AD441" s="812"/>
      <c r="AF441" s="1592" t="s">
        <v>2096</v>
      </c>
      <c r="AG441" s="1592"/>
      <c r="AH441" s="1592"/>
      <c r="AI441" s="1592"/>
      <c r="AJ441" s="1592"/>
      <c r="AK441" s="1592"/>
      <c r="AL441" s="1599"/>
      <c r="AM441"/>
      <c r="AN441" s="209"/>
    </row>
    <row r="442" spans="1:49" s="3" customFormat="1" ht="12.75" customHeight="1">
      <c r="A442" s="33"/>
      <c r="B442" s="18"/>
      <c r="C442" s="550"/>
      <c r="D442" s="548"/>
      <c r="E442" s="537"/>
      <c r="F442" s="546"/>
      <c r="G442" s="538"/>
      <c r="H442" s="538"/>
      <c r="I442" s="538"/>
      <c r="J442" s="538"/>
      <c r="K442" s="538"/>
      <c r="L442" s="538"/>
      <c r="M442" s="538"/>
      <c r="N442" s="538"/>
      <c r="O442" s="538"/>
      <c r="P442" s="538"/>
      <c r="Q442" s="538"/>
      <c r="R442" s="538"/>
      <c r="S442" s="538"/>
      <c r="T442" s="538"/>
      <c r="U442" s="538"/>
      <c r="V442" s="538"/>
      <c r="W442" s="538"/>
      <c r="X442" s="538"/>
      <c r="Y442" s="538"/>
      <c r="Z442" s="538"/>
      <c r="AA442" s="538"/>
      <c r="AB442" s="538"/>
      <c r="AC442" s="538"/>
      <c r="AD442" s="538"/>
      <c r="AE442" s="548"/>
      <c r="AF442" s="548"/>
      <c r="AG442" s="548"/>
      <c r="AH442" s="548"/>
      <c r="AI442" s="548"/>
      <c r="AJ442" s="548"/>
      <c r="AK442" s="548"/>
      <c r="AL442" s="549"/>
      <c r="AM442"/>
      <c r="AN442" s="209"/>
    </row>
    <row r="443" spans="1:49" s="3" customFormat="1" ht="12.75" customHeight="1">
      <c r="A443" s="33"/>
      <c r="B443" s="18"/>
      <c r="C443" s="781"/>
      <c r="D443" s="781"/>
      <c r="E443" s="161"/>
      <c r="F443" s="250"/>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815"/>
      <c r="AF443" s="815"/>
      <c r="AG443" s="815"/>
      <c r="AH443" s="815"/>
      <c r="AI443" s="815"/>
      <c r="AJ443" s="815"/>
      <c r="AK443" s="815"/>
      <c r="AL443" s="815"/>
      <c r="AM443"/>
      <c r="AN443" s="209"/>
    </row>
    <row r="444" spans="1:49" s="3" customFormat="1" ht="12.75" customHeight="1">
      <c r="A444" s="33"/>
      <c r="B444" s="18"/>
      <c r="C444" s="532"/>
      <c r="D444" s="533"/>
      <c r="E444" s="534" t="s">
        <v>2124</v>
      </c>
      <c r="F444" s="1569" t="s">
        <v>2125</v>
      </c>
      <c r="G444" s="1569"/>
      <c r="H444" s="1569"/>
      <c r="I444" s="1569"/>
      <c r="J444" s="1569"/>
      <c r="K444" s="1569"/>
      <c r="L444" s="1569"/>
      <c r="M444" s="1569"/>
      <c r="N444" s="1569"/>
      <c r="O444" s="1569"/>
      <c r="P444" s="1569"/>
      <c r="Q444" s="1569"/>
      <c r="R444" s="1569"/>
      <c r="S444" s="1569"/>
      <c r="T444" s="1569"/>
      <c r="U444" s="1569"/>
      <c r="V444" s="1569"/>
      <c r="W444" s="1569"/>
      <c r="X444" s="1569"/>
      <c r="Y444" s="1569"/>
      <c r="Z444" s="1569"/>
      <c r="AA444" s="1569"/>
      <c r="AB444" s="1569"/>
      <c r="AC444" s="1569"/>
      <c r="AD444" s="1569"/>
      <c r="AE444" s="1569"/>
      <c r="AF444" s="533"/>
      <c r="AG444" s="533"/>
      <c r="AH444" s="533"/>
      <c r="AI444" s="533"/>
      <c r="AJ444" s="533"/>
      <c r="AK444" s="533"/>
      <c r="AL444" s="555"/>
      <c r="AM444"/>
      <c r="AN444" s="209"/>
    </row>
    <row r="445" spans="1:49" s="3" customFormat="1" ht="12.75" customHeight="1">
      <c r="A445" s="33"/>
      <c r="B445" s="18"/>
      <c r="C445" s="824"/>
      <c r="D445" s="781"/>
      <c r="E445" s="161"/>
      <c r="F445" s="1529"/>
      <c r="G445" s="1529"/>
      <c r="H445" s="1529"/>
      <c r="I445" s="1529"/>
      <c r="J445" s="1529"/>
      <c r="K445" s="1529"/>
      <c r="L445" s="1529"/>
      <c r="M445" s="1529"/>
      <c r="N445" s="1529"/>
      <c r="O445" s="1529"/>
      <c r="P445" s="1529"/>
      <c r="Q445" s="1529"/>
      <c r="R445" s="1529"/>
      <c r="S445" s="1529"/>
      <c r="T445" s="1529"/>
      <c r="U445" s="1529"/>
      <c r="V445" s="1529"/>
      <c r="W445" s="1529"/>
      <c r="X445" s="1529"/>
      <c r="Y445" s="1529"/>
      <c r="Z445" s="1529"/>
      <c r="AA445" s="1529"/>
      <c r="AB445" s="1529"/>
      <c r="AC445" s="1529"/>
      <c r="AD445" s="1529"/>
      <c r="AE445" s="1529"/>
      <c r="AF445" s="815"/>
      <c r="AG445" s="815"/>
      <c r="AH445" s="815"/>
      <c r="AI445" s="815"/>
      <c r="AJ445" s="815"/>
      <c r="AK445" s="815"/>
      <c r="AL445" s="822"/>
      <c r="AM445"/>
      <c r="AN445" s="209"/>
    </row>
    <row r="446" spans="1:49" s="3" customFormat="1" ht="12.75" customHeight="1">
      <c r="A446" s="33"/>
      <c r="B446" s="18"/>
      <c r="C446" s="824"/>
      <c r="D446" s="781"/>
      <c r="E446" s="161"/>
      <c r="F446" s="1529"/>
      <c r="G446" s="1529"/>
      <c r="H446" s="1529"/>
      <c r="I446" s="1529"/>
      <c r="J446" s="1529"/>
      <c r="K446" s="1529"/>
      <c r="L446" s="1529"/>
      <c r="M446" s="1529"/>
      <c r="N446" s="1529"/>
      <c r="O446" s="1529"/>
      <c r="P446" s="1529"/>
      <c r="Q446" s="1529"/>
      <c r="R446" s="1529"/>
      <c r="S446" s="1529"/>
      <c r="T446" s="1529"/>
      <c r="U446" s="1529"/>
      <c r="V446" s="1529"/>
      <c r="W446" s="1529"/>
      <c r="X446" s="1529"/>
      <c r="Y446" s="1529"/>
      <c r="Z446" s="1529"/>
      <c r="AA446" s="1529"/>
      <c r="AB446" s="1529"/>
      <c r="AC446" s="1529"/>
      <c r="AD446" s="1529"/>
      <c r="AE446" s="1529"/>
      <c r="AF446" s="815"/>
      <c r="AG446" s="815"/>
      <c r="AH446" s="815"/>
      <c r="AI446" s="815"/>
      <c r="AJ446" s="815"/>
      <c r="AK446" s="815"/>
      <c r="AL446" s="822"/>
      <c r="AM446"/>
      <c r="AN446" s="209"/>
    </row>
    <row r="447" spans="1:49" s="3" customFormat="1" ht="12.75" customHeight="1">
      <c r="A447" s="33"/>
      <c r="B447" s="18"/>
      <c r="C447" s="824"/>
      <c r="D447" s="781"/>
      <c r="E447" s="161"/>
      <c r="F447" s="1529"/>
      <c r="G447" s="1529"/>
      <c r="H447" s="1529"/>
      <c r="I447" s="1529"/>
      <c r="J447" s="1529"/>
      <c r="K447" s="1529"/>
      <c r="L447" s="1529"/>
      <c r="M447" s="1529"/>
      <c r="N447" s="1529"/>
      <c r="O447" s="1529"/>
      <c r="P447" s="1529"/>
      <c r="Q447" s="1529"/>
      <c r="R447" s="1529"/>
      <c r="S447" s="1529"/>
      <c r="T447" s="1529"/>
      <c r="U447" s="1529"/>
      <c r="V447" s="1529"/>
      <c r="W447" s="1529"/>
      <c r="X447" s="1529"/>
      <c r="Y447" s="1529"/>
      <c r="Z447" s="1529"/>
      <c r="AA447" s="1529"/>
      <c r="AB447" s="1529"/>
      <c r="AC447" s="1529"/>
      <c r="AD447" s="1529"/>
      <c r="AE447" s="1529"/>
      <c r="AL447" s="540"/>
      <c r="AM447"/>
      <c r="AN447" s="209"/>
    </row>
    <row r="448" spans="1:49" s="3" customFormat="1" ht="12.75" customHeight="1">
      <c r="A448" s="33"/>
      <c r="B448" s="18"/>
      <c r="C448" s="1555" t="s">
        <v>325</v>
      </c>
      <c r="D448" s="1180"/>
      <c r="E448" s="161"/>
      <c r="F448" s="250" t="s">
        <v>2126</v>
      </c>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F448" s="1592" t="s">
        <v>2096</v>
      </c>
      <c r="AG448" s="1592"/>
      <c r="AH448" s="1592"/>
      <c r="AI448" s="1592"/>
      <c r="AJ448" s="1592"/>
      <c r="AK448" s="1592"/>
      <c r="AL448" s="1599"/>
      <c r="AM448"/>
      <c r="AN448" s="512"/>
      <c r="AP448" s="18"/>
      <c r="AQ448" s="120"/>
      <c r="AR448" s="120"/>
      <c r="AS448" s="120"/>
      <c r="AT448" s="120"/>
      <c r="AU448" s="120"/>
      <c r="AV448" s="120"/>
      <c r="AW448" s="120"/>
    </row>
    <row r="449" spans="1:54" s="3" customFormat="1" ht="12.75" customHeight="1">
      <c r="A449" s="33"/>
      <c r="B449" s="18"/>
      <c r="C449" s="542"/>
      <c r="E449" s="141"/>
      <c r="F449" s="246"/>
      <c r="G449" s="816"/>
      <c r="H449" s="816"/>
      <c r="I449" s="816"/>
      <c r="J449" s="816"/>
      <c r="K449" s="816"/>
      <c r="L449" s="816"/>
      <c r="M449" s="816"/>
      <c r="N449" s="816"/>
      <c r="O449" s="816"/>
      <c r="P449" s="816"/>
      <c r="Q449" s="816"/>
      <c r="R449" s="816"/>
      <c r="S449" s="816"/>
      <c r="T449" s="816"/>
      <c r="U449" s="816"/>
      <c r="V449" s="816"/>
      <c r="W449" s="816"/>
      <c r="X449" s="816"/>
      <c r="Y449" s="816"/>
      <c r="Z449" s="816"/>
      <c r="AA449" s="816"/>
      <c r="AB449" s="816"/>
      <c r="AC449" s="816"/>
      <c r="AD449" s="816"/>
      <c r="AL449" s="540"/>
      <c r="AM449"/>
      <c r="AN449" s="512"/>
      <c r="AQ449" s="120"/>
      <c r="AR449" s="120"/>
      <c r="AS449" s="120"/>
      <c r="AT449" s="120"/>
      <c r="AU449" s="120"/>
      <c r="AV449" s="120"/>
      <c r="AW449" s="120"/>
    </row>
    <row r="450" spans="1:54" s="3" customFormat="1" ht="12.75" customHeight="1">
      <c r="A450" s="33"/>
      <c r="B450" s="18"/>
      <c r="C450" s="543"/>
      <c r="D450" s="544"/>
      <c r="E450" s="545"/>
      <c r="F450" s="548" t="s">
        <v>2105</v>
      </c>
      <c r="G450" s="541"/>
      <c r="H450" s="541"/>
      <c r="I450" s="541"/>
      <c r="J450" s="541"/>
      <c r="K450" s="541"/>
      <c r="L450" s="541"/>
      <c r="M450" s="541"/>
      <c r="N450" s="541"/>
      <c r="O450" s="541"/>
      <c r="P450" s="541"/>
      <c r="Q450" s="541"/>
      <c r="R450" s="541"/>
      <c r="S450" s="541"/>
      <c r="T450" s="541"/>
      <c r="U450" s="541"/>
      <c r="V450" s="541"/>
      <c r="W450" s="541"/>
      <c r="X450" s="541"/>
      <c r="Y450" s="541"/>
      <c r="Z450" s="541"/>
      <c r="AA450" s="541"/>
      <c r="AB450" s="541"/>
      <c r="AC450" s="541"/>
      <c r="AD450" s="541"/>
      <c r="AE450" s="911"/>
      <c r="AF450" s="547"/>
      <c r="AG450" s="911"/>
      <c r="AH450" s="548"/>
      <c r="AI450" s="548"/>
      <c r="AJ450" s="548"/>
      <c r="AK450" s="548"/>
      <c r="AL450" s="549"/>
      <c r="AM450"/>
      <c r="AN450" s="512"/>
      <c r="AQ450" s="120"/>
      <c r="AR450" s="120"/>
      <c r="AS450" s="120"/>
      <c r="AT450" s="120"/>
      <c r="AU450" s="120"/>
      <c r="AV450" s="120"/>
      <c r="AW450" s="120"/>
    </row>
    <row r="451" spans="1:54" s="3" customFormat="1" ht="12.75" customHeight="1">
      <c r="A451" s="33"/>
      <c r="B451" s="18"/>
      <c r="C451" s="781"/>
      <c r="D451" s="781"/>
      <c r="E451" s="161"/>
      <c r="F451" s="250"/>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815"/>
      <c r="AM451"/>
      <c r="AN451" s="512"/>
      <c r="AQ451" s="120"/>
      <c r="AR451" s="120"/>
      <c r="AS451" s="120"/>
      <c r="AT451" s="120"/>
      <c r="AU451" s="120"/>
      <c r="AV451" s="120"/>
      <c r="AW451" s="120"/>
    </row>
    <row r="452" spans="1:54" s="3" customFormat="1" ht="12.75" customHeight="1">
      <c r="A452" s="33"/>
      <c r="B452" s="18"/>
      <c r="C452" s="1729" t="s">
        <v>325</v>
      </c>
      <c r="D452" s="1730"/>
      <c r="E452" s="534" t="s">
        <v>2127</v>
      </c>
      <c r="F452" s="1569" t="s">
        <v>2128</v>
      </c>
      <c r="G452" s="1569"/>
      <c r="H452" s="1569"/>
      <c r="I452" s="1569"/>
      <c r="J452" s="1569"/>
      <c r="K452" s="1569"/>
      <c r="L452" s="1569"/>
      <c r="M452" s="1569"/>
      <c r="N452" s="1569"/>
      <c r="O452" s="1569"/>
      <c r="P452" s="1569"/>
      <c r="Q452" s="1569"/>
      <c r="R452" s="1569"/>
      <c r="S452" s="1569"/>
      <c r="T452" s="1569"/>
      <c r="U452" s="1569"/>
      <c r="V452" s="1569"/>
      <c r="W452" s="1569"/>
      <c r="X452" s="1569"/>
      <c r="Y452" s="1569"/>
      <c r="Z452" s="1569"/>
      <c r="AA452" s="1569"/>
      <c r="AB452" s="1569"/>
      <c r="AC452" s="1569"/>
      <c r="AD452" s="1569"/>
      <c r="AE452" s="1569"/>
      <c r="AF452" s="1733" t="s">
        <v>2096</v>
      </c>
      <c r="AG452" s="1733"/>
      <c r="AH452" s="1733"/>
      <c r="AI452" s="1733"/>
      <c r="AJ452" s="1733"/>
      <c r="AK452" s="1733"/>
      <c r="AL452" s="1734"/>
      <c r="AM452"/>
      <c r="AN452" s="512"/>
      <c r="AQ452" s="120"/>
    </row>
    <row r="453" spans="1:54" s="3" customFormat="1" ht="12.75" customHeight="1">
      <c r="A453" s="33"/>
      <c r="B453" s="18"/>
      <c r="C453" s="824"/>
      <c r="D453" s="781"/>
      <c r="E453" s="161"/>
      <c r="F453" s="1529"/>
      <c r="G453" s="1529"/>
      <c r="H453" s="1529"/>
      <c r="I453" s="1529"/>
      <c r="J453" s="1529"/>
      <c r="K453" s="1529"/>
      <c r="L453" s="1529"/>
      <c r="M453" s="1529"/>
      <c r="N453" s="1529"/>
      <c r="O453" s="1529"/>
      <c r="P453" s="1529"/>
      <c r="Q453" s="1529"/>
      <c r="R453" s="1529"/>
      <c r="S453" s="1529"/>
      <c r="T453" s="1529"/>
      <c r="U453" s="1529"/>
      <c r="V453" s="1529"/>
      <c r="W453" s="1529"/>
      <c r="X453" s="1529"/>
      <c r="Y453" s="1529"/>
      <c r="Z453" s="1529"/>
      <c r="AA453" s="1529"/>
      <c r="AB453" s="1529"/>
      <c r="AC453" s="1529"/>
      <c r="AD453" s="1529"/>
      <c r="AE453" s="1529"/>
      <c r="AF453" s="815"/>
      <c r="AG453" s="815"/>
      <c r="AH453" s="815"/>
      <c r="AI453" s="815"/>
      <c r="AJ453" s="815"/>
      <c r="AK453" s="815"/>
      <c r="AL453" s="822"/>
      <c r="AM453"/>
      <c r="AN453" s="513"/>
      <c r="AO453" s="3" t="s">
        <v>325</v>
      </c>
      <c r="AP453" s="3">
        <v>0</v>
      </c>
      <c r="AQ453" s="120"/>
    </row>
    <row r="454" spans="1:54" s="3" customFormat="1" ht="21.75" customHeight="1">
      <c r="A454" s="33"/>
      <c r="B454" s="18"/>
      <c r="C454" s="535"/>
      <c r="D454" s="536"/>
      <c r="E454" s="537"/>
      <c r="F454" s="1564"/>
      <c r="G454" s="1564"/>
      <c r="H454" s="1564"/>
      <c r="I454" s="1564"/>
      <c r="J454" s="1564"/>
      <c r="K454" s="1564"/>
      <c r="L454" s="1564"/>
      <c r="M454" s="1564"/>
      <c r="N454" s="1564"/>
      <c r="O454" s="1564"/>
      <c r="P454" s="1564"/>
      <c r="Q454" s="1564"/>
      <c r="R454" s="1564"/>
      <c r="S454" s="1564"/>
      <c r="T454" s="1564"/>
      <c r="U454" s="1564"/>
      <c r="V454" s="1564"/>
      <c r="W454" s="1564"/>
      <c r="X454" s="1564"/>
      <c r="Y454" s="1564"/>
      <c r="Z454" s="1564"/>
      <c r="AA454" s="1564"/>
      <c r="AB454" s="1564"/>
      <c r="AC454" s="1564"/>
      <c r="AD454" s="1564"/>
      <c r="AE454" s="1564"/>
      <c r="AF454" s="606"/>
      <c r="AG454" s="606"/>
      <c r="AH454" s="606"/>
      <c r="AI454" s="606"/>
      <c r="AJ454" s="606"/>
      <c r="AK454" s="606"/>
      <c r="AL454" s="607"/>
      <c r="AM454"/>
      <c r="AN454" s="901"/>
      <c r="AO454" s="3" t="s">
        <v>2129</v>
      </c>
      <c r="AP454" s="3">
        <v>5</v>
      </c>
      <c r="AQ454" s="120"/>
    </row>
    <row r="455" spans="1:54" s="3" customFormat="1" ht="12.75" customHeight="1">
      <c r="A455" s="33"/>
      <c r="B455" s="18"/>
      <c r="C455" s="781"/>
      <c r="D455" s="781"/>
      <c r="E455" s="161"/>
      <c r="F455" s="250"/>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815"/>
      <c r="AM455"/>
      <c r="AN455" s="901"/>
      <c r="AO455" s="3" t="s">
        <v>2130</v>
      </c>
      <c r="AP455" s="3">
        <v>5</v>
      </c>
      <c r="AQ455" s="120"/>
    </row>
    <row r="456" spans="1:54" s="3" customFormat="1" ht="12.75" customHeight="1">
      <c r="A456" s="33"/>
      <c r="B456" s="18"/>
      <c r="C456" s="1729" t="s">
        <v>325</v>
      </c>
      <c r="D456" s="1730"/>
      <c r="E456" s="534" t="s">
        <v>2131</v>
      </c>
      <c r="F456" s="1569" t="s">
        <v>2132</v>
      </c>
      <c r="G456" s="1569"/>
      <c r="H456" s="1569"/>
      <c r="I456" s="1569"/>
      <c r="J456" s="1569"/>
      <c r="K456" s="1569"/>
      <c r="L456" s="1569"/>
      <c r="M456" s="1569"/>
      <c r="N456" s="1569"/>
      <c r="O456" s="1569"/>
      <c r="P456" s="1569"/>
      <c r="Q456" s="1569"/>
      <c r="R456" s="1569"/>
      <c r="S456" s="1569"/>
      <c r="T456" s="1569"/>
      <c r="U456" s="1569"/>
      <c r="V456" s="1569"/>
      <c r="W456" s="1569"/>
      <c r="X456" s="1569"/>
      <c r="Y456" s="1569"/>
      <c r="Z456" s="1569"/>
      <c r="AA456" s="1569"/>
      <c r="AB456" s="1569"/>
      <c r="AC456" s="1569"/>
      <c r="AD456" s="1569"/>
      <c r="AE456" s="1569"/>
      <c r="AF456" s="1733" t="s">
        <v>2096</v>
      </c>
      <c r="AG456" s="1733"/>
      <c r="AH456" s="1733"/>
      <c r="AI456" s="1733"/>
      <c r="AJ456" s="1733"/>
      <c r="AK456" s="1733"/>
      <c r="AL456" s="1734"/>
      <c r="AM456"/>
      <c r="AN456" s="901"/>
      <c r="AO456" s="3" t="s">
        <v>2133</v>
      </c>
      <c r="AP456" s="3">
        <v>5</v>
      </c>
      <c r="AQ456" s="33"/>
    </row>
    <row r="457" spans="1:54" s="3" customFormat="1" ht="12.75" customHeight="1">
      <c r="A457" s="33"/>
      <c r="B457" s="18"/>
      <c r="C457" s="539"/>
      <c r="D457" s="18"/>
      <c r="E457" s="141"/>
      <c r="F457" s="1529"/>
      <c r="G457" s="1529"/>
      <c r="H457" s="1529"/>
      <c r="I457" s="1529"/>
      <c r="J457" s="1529"/>
      <c r="K457" s="1529"/>
      <c r="L457" s="1529"/>
      <c r="M457" s="1529"/>
      <c r="N457" s="1529"/>
      <c r="O457" s="1529"/>
      <c r="P457" s="1529"/>
      <c r="Q457" s="1529"/>
      <c r="R457" s="1529"/>
      <c r="S457" s="1529"/>
      <c r="T457" s="1529"/>
      <c r="U457" s="1529"/>
      <c r="V457" s="1529"/>
      <c r="W457" s="1529"/>
      <c r="X457" s="1529"/>
      <c r="Y457" s="1529"/>
      <c r="Z457" s="1529"/>
      <c r="AA457" s="1529"/>
      <c r="AB457" s="1529"/>
      <c r="AC457" s="1529"/>
      <c r="AD457" s="1529"/>
      <c r="AE457" s="1529"/>
      <c r="AF457" s="2"/>
      <c r="AG457" s="33"/>
      <c r="AL457" s="540"/>
      <c r="AM457"/>
      <c r="AN457" s="901"/>
      <c r="AO457" s="3" t="s">
        <v>2134</v>
      </c>
      <c r="AP457" s="3">
        <v>5</v>
      </c>
    </row>
    <row r="458" spans="1:54" s="3" customFormat="1" ht="12.75" customHeight="1">
      <c r="A458" s="33"/>
      <c r="B458" s="18"/>
      <c r="C458" s="539"/>
      <c r="D458" s="18"/>
      <c r="E458" s="141"/>
      <c r="F458" s="1529"/>
      <c r="G458" s="1529"/>
      <c r="H458" s="1529"/>
      <c r="I458" s="1529"/>
      <c r="J458" s="1529"/>
      <c r="K458" s="1529"/>
      <c r="L458" s="1529"/>
      <c r="M458" s="1529"/>
      <c r="N458" s="1529"/>
      <c r="O458" s="1529"/>
      <c r="P458" s="1529"/>
      <c r="Q458" s="1529"/>
      <c r="R458" s="1529"/>
      <c r="S458" s="1529"/>
      <c r="T458" s="1529"/>
      <c r="U458" s="1529"/>
      <c r="V458" s="1529"/>
      <c r="W458" s="1529"/>
      <c r="X458" s="1529"/>
      <c r="Y458" s="1529"/>
      <c r="Z458" s="1529"/>
      <c r="AA458" s="1529"/>
      <c r="AB458" s="1529"/>
      <c r="AC458" s="1529"/>
      <c r="AD458" s="1529"/>
      <c r="AE458" s="1529"/>
      <c r="AF458" s="2"/>
      <c r="AG458" s="33"/>
      <c r="AL458" s="540"/>
      <c r="AM458"/>
      <c r="AN458" s="901"/>
      <c r="AO458" s="3" t="s">
        <v>2135</v>
      </c>
      <c r="AP458" s="3">
        <v>5</v>
      </c>
    </row>
    <row r="459" spans="1:54" s="3" customFormat="1" ht="4.5" customHeight="1">
      <c r="A459" s="33"/>
      <c r="B459" s="18"/>
      <c r="C459" s="535"/>
      <c r="D459" s="536"/>
      <c r="E459" s="537"/>
      <c r="F459" s="1564"/>
      <c r="G459" s="1564"/>
      <c r="H459" s="1564"/>
      <c r="I459" s="1564"/>
      <c r="J459" s="1564"/>
      <c r="K459" s="1564"/>
      <c r="L459" s="1564"/>
      <c r="M459" s="1564"/>
      <c r="N459" s="1564"/>
      <c r="O459" s="1564"/>
      <c r="P459" s="1564"/>
      <c r="Q459" s="1564"/>
      <c r="R459" s="1564"/>
      <c r="S459" s="1564"/>
      <c r="T459" s="1564"/>
      <c r="U459" s="1564"/>
      <c r="V459" s="1564"/>
      <c r="W459" s="1564"/>
      <c r="X459" s="1564"/>
      <c r="Y459" s="1564"/>
      <c r="Z459" s="1564"/>
      <c r="AA459" s="1564"/>
      <c r="AB459" s="1564"/>
      <c r="AC459" s="1564"/>
      <c r="AD459" s="1564"/>
      <c r="AE459" s="1564"/>
      <c r="AF459" s="606"/>
      <c r="AG459" s="606"/>
      <c r="AH459" s="606"/>
      <c r="AI459" s="606"/>
      <c r="AJ459" s="606"/>
      <c r="AK459" s="606"/>
      <c r="AL459" s="607"/>
      <c r="AM459"/>
      <c r="AN459" s="209"/>
      <c r="AO459" s="3" t="s">
        <v>2136</v>
      </c>
      <c r="AP459" s="3">
        <v>5</v>
      </c>
    </row>
    <row r="460" spans="1:54" s="3" customFormat="1" ht="12.75" customHeight="1">
      <c r="A460" s="33"/>
      <c r="B460" s="18"/>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M460"/>
      <c r="AN460" s="209"/>
      <c r="AO460" s="3" t="s">
        <v>2137</v>
      </c>
      <c r="AP460" s="3">
        <v>5</v>
      </c>
    </row>
    <row r="461" spans="1:54" s="3" customFormat="1" ht="12.75" customHeight="1">
      <c r="A461" s="33"/>
      <c r="B461" s="18"/>
      <c r="C461" s="532"/>
      <c r="D461" s="533"/>
      <c r="E461" s="534" t="s">
        <v>2138</v>
      </c>
      <c r="F461" s="1569" t="s">
        <v>2139</v>
      </c>
      <c r="G461" s="1569"/>
      <c r="H461" s="1569"/>
      <c r="I461" s="1569"/>
      <c r="J461" s="1569"/>
      <c r="K461" s="1569"/>
      <c r="L461" s="1569"/>
      <c r="M461" s="1569"/>
      <c r="N461" s="1569"/>
      <c r="O461" s="1569"/>
      <c r="P461" s="1569"/>
      <c r="Q461" s="1569"/>
      <c r="R461" s="1569"/>
      <c r="S461" s="1569"/>
      <c r="T461" s="1569"/>
      <c r="U461" s="1569"/>
      <c r="V461" s="1569"/>
      <c r="W461" s="1569"/>
      <c r="X461" s="1569"/>
      <c r="Y461" s="1569"/>
      <c r="Z461" s="1569"/>
      <c r="AA461" s="1569"/>
      <c r="AB461" s="1569"/>
      <c r="AC461" s="1569"/>
      <c r="AD461" s="1569"/>
      <c r="AE461" s="1569"/>
      <c r="AF461" s="1569"/>
      <c r="AG461" s="912"/>
      <c r="AH461" s="533"/>
      <c r="AI461" s="533"/>
      <c r="AJ461" s="533"/>
      <c r="AK461" s="533"/>
      <c r="AL461" s="555"/>
      <c r="AM461"/>
      <c r="AN461" s="209"/>
      <c r="AO461" s="3" t="s">
        <v>2140</v>
      </c>
      <c r="AP461" s="3">
        <v>1</v>
      </c>
    </row>
    <row r="462" spans="1:54" s="3" customFormat="1" ht="12.75" customHeight="1">
      <c r="A462" s="33"/>
      <c r="B462" s="18"/>
      <c r="C462" s="539"/>
      <c r="D462" s="18"/>
      <c r="E462" s="141"/>
      <c r="F462" s="1529"/>
      <c r="G462" s="1529"/>
      <c r="H462" s="1529"/>
      <c r="I462" s="1529"/>
      <c r="J462" s="1529"/>
      <c r="K462" s="1529"/>
      <c r="L462" s="1529"/>
      <c r="M462" s="1529"/>
      <c r="N462" s="1529"/>
      <c r="O462" s="1529"/>
      <c r="P462" s="1529"/>
      <c r="Q462" s="1529"/>
      <c r="R462" s="1529"/>
      <c r="S462" s="1529"/>
      <c r="T462" s="1529"/>
      <c r="U462" s="1529"/>
      <c r="V462" s="1529"/>
      <c r="W462" s="1529"/>
      <c r="X462" s="1529"/>
      <c r="Y462" s="1529"/>
      <c r="Z462" s="1529"/>
      <c r="AA462" s="1529"/>
      <c r="AB462" s="1529"/>
      <c r="AC462" s="1529"/>
      <c r="AD462" s="1529"/>
      <c r="AE462" s="1529"/>
      <c r="AF462" s="1529"/>
      <c r="AL462" s="540"/>
      <c r="AM462"/>
      <c r="AN462" s="209"/>
      <c r="AS462" s="249"/>
      <c r="AW462" s="249" t="s">
        <v>2141</v>
      </c>
      <c r="BA462" s="249" t="s">
        <v>2142</v>
      </c>
    </row>
    <row r="463" spans="1:54" s="3" customFormat="1" ht="12.75" customHeight="1">
      <c r="A463" s="33"/>
      <c r="B463" s="18"/>
      <c r="C463" s="542"/>
      <c r="F463" s="1529"/>
      <c r="G463" s="1529"/>
      <c r="H463" s="1529"/>
      <c r="I463" s="1529"/>
      <c r="J463" s="1529"/>
      <c r="K463" s="1529"/>
      <c r="L463" s="1529"/>
      <c r="M463" s="1529"/>
      <c r="N463" s="1529"/>
      <c r="O463" s="1529"/>
      <c r="P463" s="1529"/>
      <c r="Q463" s="1529"/>
      <c r="R463" s="1529"/>
      <c r="S463" s="1529"/>
      <c r="T463" s="1529"/>
      <c r="U463" s="1529"/>
      <c r="V463" s="1529"/>
      <c r="W463" s="1529"/>
      <c r="X463" s="1529"/>
      <c r="Y463" s="1529"/>
      <c r="Z463" s="1529"/>
      <c r="AA463" s="1529"/>
      <c r="AB463" s="1529"/>
      <c r="AC463" s="1529"/>
      <c r="AD463" s="1529"/>
      <c r="AE463" s="1529"/>
      <c r="AF463" s="1529"/>
      <c r="AL463" s="540"/>
      <c r="AM463"/>
      <c r="AN463" s="209"/>
      <c r="AO463" s="3" t="s">
        <v>325</v>
      </c>
      <c r="AP463" s="28">
        <v>0</v>
      </c>
      <c r="AR463" s="3" t="s">
        <v>325</v>
      </c>
      <c r="AS463" s="28">
        <v>0</v>
      </c>
      <c r="AT463" s="814"/>
      <c r="AW463" s="3" t="s">
        <v>325</v>
      </c>
      <c r="AX463" s="814">
        <v>0</v>
      </c>
      <c r="BA463" s="3" t="s">
        <v>325</v>
      </c>
      <c r="BB463" s="814">
        <v>0</v>
      </c>
    </row>
    <row r="464" spans="1:54" s="3" customFormat="1" ht="6" customHeight="1">
      <c r="A464" s="33"/>
      <c r="B464" s="18"/>
      <c r="C464" s="542"/>
      <c r="F464" s="1529"/>
      <c r="G464" s="1529"/>
      <c r="H464" s="1529"/>
      <c r="I464" s="1529"/>
      <c r="J464" s="1529"/>
      <c r="K464" s="1529"/>
      <c r="L464" s="1529"/>
      <c r="M464" s="1529"/>
      <c r="N464" s="1529"/>
      <c r="O464" s="1529"/>
      <c r="P464" s="1529"/>
      <c r="Q464" s="1529"/>
      <c r="R464" s="1529"/>
      <c r="S464" s="1529"/>
      <c r="T464" s="1529"/>
      <c r="U464" s="1529"/>
      <c r="V464" s="1529"/>
      <c r="W464" s="1529"/>
      <c r="X464" s="1529"/>
      <c r="Y464" s="1529"/>
      <c r="Z464" s="1529"/>
      <c r="AA464" s="1529"/>
      <c r="AB464" s="1529"/>
      <c r="AC464" s="1529"/>
      <c r="AD464" s="1529"/>
      <c r="AE464" s="1529"/>
      <c r="AF464" s="1529"/>
      <c r="AL464" s="540"/>
      <c r="AM464"/>
      <c r="AN464" s="209"/>
      <c r="AO464" s="252">
        <v>7.0000000000000007E-2</v>
      </c>
      <c r="AP464" s="28">
        <v>3</v>
      </c>
      <c r="AR464" s="3" t="s">
        <v>2143</v>
      </c>
      <c r="AS464" s="28">
        <v>3</v>
      </c>
      <c r="AT464" s="814"/>
      <c r="AW464" s="252">
        <v>0.4</v>
      </c>
      <c r="AX464" s="814">
        <v>3</v>
      </c>
      <c r="BA464" s="252">
        <v>0.4</v>
      </c>
      <c r="BB464" s="814">
        <v>4</v>
      </c>
    </row>
    <row r="465" spans="1:54" s="3" customFormat="1" ht="12.75" customHeight="1">
      <c r="A465" s="33"/>
      <c r="B465" s="18"/>
      <c r="C465" s="1555" t="s">
        <v>325</v>
      </c>
      <c r="D465" s="1180"/>
      <c r="E465" s="161"/>
      <c r="F465" s="250" t="s">
        <v>2115</v>
      </c>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F465" s="1524" t="s">
        <v>2096</v>
      </c>
      <c r="AG465" s="1524"/>
      <c r="AH465" s="1524"/>
      <c r="AI465" s="1524"/>
      <c r="AJ465" s="1524"/>
      <c r="AK465" s="1524"/>
      <c r="AL465" s="1554"/>
      <c r="AM465"/>
      <c r="AN465" s="209"/>
      <c r="AO465" s="252">
        <v>0.12</v>
      </c>
      <c r="AP465" s="28">
        <v>5</v>
      </c>
      <c r="AR465" s="3" t="s">
        <v>2144</v>
      </c>
      <c r="AS465" s="28">
        <v>5</v>
      </c>
      <c r="AT465" s="814"/>
      <c r="AW465" s="252">
        <v>0.6</v>
      </c>
      <c r="AX465" s="814">
        <v>4</v>
      </c>
      <c r="BA465" s="252">
        <v>0.6</v>
      </c>
      <c r="BB465" s="814">
        <v>5</v>
      </c>
    </row>
    <row r="466" spans="1:54" s="3" customFormat="1" ht="12.75" customHeight="1">
      <c r="A466" s="33"/>
      <c r="B466" s="18"/>
      <c r="C466" s="543"/>
      <c r="D466" s="544"/>
      <c r="E466" s="545"/>
      <c r="F466" s="548"/>
      <c r="G466" s="548"/>
      <c r="H466" s="548"/>
      <c r="I466" s="548"/>
      <c r="J466" s="548"/>
      <c r="K466" s="548"/>
      <c r="L466" s="548"/>
      <c r="M466" s="548"/>
      <c r="N466" s="548"/>
      <c r="O466" s="548"/>
      <c r="P466" s="548"/>
      <c r="Q466" s="548"/>
      <c r="R466" s="548"/>
      <c r="S466" s="548"/>
      <c r="T466" s="548"/>
      <c r="U466" s="548"/>
      <c r="V466" s="548"/>
      <c r="W466" s="548"/>
      <c r="X466" s="548"/>
      <c r="Y466" s="548"/>
      <c r="Z466" s="548"/>
      <c r="AA466" s="548"/>
      <c r="AB466" s="548"/>
      <c r="AC466" s="548"/>
      <c r="AD466" s="548"/>
      <c r="AE466" s="548"/>
      <c r="AF466" s="548"/>
      <c r="AG466" s="548"/>
      <c r="AH466" s="548"/>
      <c r="AI466" s="548"/>
      <c r="AJ466" s="548"/>
      <c r="AK466" s="548"/>
      <c r="AL466" s="549"/>
      <c r="AN466" s="209"/>
      <c r="AO466" s="252"/>
      <c r="AP466" s="814"/>
      <c r="AS466" s="252"/>
      <c r="AT466" s="814"/>
      <c r="AW466" s="252">
        <v>0.8</v>
      </c>
      <c r="AX466" s="814">
        <v>5</v>
      </c>
      <c r="BA466" s="252"/>
      <c r="BB466" s="814"/>
    </row>
    <row r="467" spans="1:54" s="3" customFormat="1" ht="12.75" customHeight="1">
      <c r="A467" s="33"/>
      <c r="B467" s="18"/>
      <c r="C467"/>
      <c r="D467"/>
      <c r="F467" s="250"/>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F467" s="67"/>
      <c r="AG467" s="67"/>
      <c r="AH467" s="67"/>
      <c r="AI467" s="67"/>
      <c r="AJ467" s="67"/>
      <c r="AK467" s="67"/>
      <c r="AL467" s="67"/>
      <c r="AN467" s="209"/>
      <c r="AO467" s="3" t="s">
        <v>325</v>
      </c>
      <c r="AP467" s="28">
        <v>0</v>
      </c>
      <c r="AW467" s="252"/>
      <c r="AX467" s="814"/>
    </row>
    <row r="468" spans="1:54" s="3" customFormat="1" ht="12.75" customHeight="1">
      <c r="A468" s="33"/>
      <c r="B468" s="18"/>
      <c r="E468" s="161"/>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M468"/>
      <c r="AN468" s="209"/>
      <c r="AO468" s="252">
        <v>0.09</v>
      </c>
      <c r="AP468" s="28">
        <v>3</v>
      </c>
      <c r="AS468" s="249"/>
    </row>
    <row r="469" spans="1:54" s="3" customFormat="1" ht="12.75" customHeight="1">
      <c r="A469" s="33"/>
      <c r="B469" s="18"/>
      <c r="C469"/>
      <c r="D469"/>
      <c r="E469" s="141"/>
      <c r="F469" s="250"/>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F469" s="67"/>
      <c r="AG469" s="67"/>
      <c r="AH469" s="67"/>
      <c r="AI469" s="67"/>
      <c r="AJ469" s="67"/>
      <c r="AK469" s="67"/>
      <c r="AL469" s="67"/>
      <c r="AM469"/>
      <c r="AN469" s="209"/>
      <c r="AO469" s="252">
        <v>0.15</v>
      </c>
      <c r="AP469" s="28">
        <v>5</v>
      </c>
    </row>
    <row r="470" spans="1:54" s="3" customFormat="1" ht="12.75" customHeight="1">
      <c r="A470" s="33"/>
      <c r="B470" s="18"/>
      <c r="C470" s="10"/>
      <c r="D470" s="18"/>
      <c r="E470" s="141"/>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33"/>
      <c r="AF470" s="2"/>
      <c r="AG470" s="33"/>
      <c r="AM470"/>
      <c r="AN470" s="209"/>
    </row>
    <row r="471" spans="1:54" s="3" customFormat="1" ht="12.75" customHeight="1">
      <c r="A471" s="150"/>
      <c r="B471" s="474" t="s">
        <v>2145</v>
      </c>
      <c r="D471" s="77"/>
      <c r="E471" s="302"/>
      <c r="F471" s="302"/>
      <c r="G471" s="302"/>
      <c r="H471" s="302"/>
      <c r="I471" s="302"/>
      <c r="J471" s="302"/>
      <c r="K471" s="302"/>
      <c r="L471" s="302"/>
      <c r="M471" s="302"/>
      <c r="N471" s="302"/>
      <c r="O471" s="302"/>
      <c r="P471" s="302"/>
      <c r="Q471" s="302"/>
      <c r="R471" s="302"/>
      <c r="S471" s="302"/>
      <c r="T471" s="302"/>
      <c r="U471" s="302"/>
      <c r="V471" s="302"/>
      <c r="W471" s="302"/>
      <c r="X471" s="302"/>
      <c r="Y471" s="302"/>
      <c r="Z471" s="302"/>
      <c r="AA471" s="302"/>
      <c r="AB471" s="302"/>
      <c r="AC471" s="302"/>
      <c r="AD471" s="302"/>
      <c r="AE471" s="61"/>
      <c r="AF471" s="61"/>
      <c r="AG471" s="61"/>
      <c r="AH471" s="61"/>
      <c r="AI471" s="788"/>
      <c r="AJ471" s="788" t="s">
        <v>2146</v>
      </c>
      <c r="AK471" s="1194">
        <f>IF(AS354=0,AS352,AS354)</f>
        <v>10</v>
      </c>
      <c r="AL471" s="1195"/>
      <c r="AM471" s="1196"/>
      <c r="AN471" s="209"/>
    </row>
    <row r="472" spans="1:54" s="3" customFormat="1" ht="12.75" customHeight="1" thickBot="1">
      <c r="A472" s="95"/>
      <c r="B472" s="95"/>
      <c r="C472" s="95"/>
      <c r="D472" s="95"/>
      <c r="E472" s="95"/>
      <c r="F472" s="95"/>
      <c r="G472" s="95"/>
      <c r="H472" s="95"/>
      <c r="I472" s="95"/>
      <c r="J472" s="95"/>
      <c r="K472" s="95"/>
      <c r="L472" s="95"/>
      <c r="M472" s="95"/>
      <c r="N472" s="95"/>
      <c r="O472" s="95"/>
      <c r="P472" s="95"/>
      <c r="Q472" s="95"/>
      <c r="R472" s="95"/>
      <c r="S472" s="95"/>
      <c r="T472" s="95"/>
      <c r="U472" s="95"/>
      <c r="V472" s="95"/>
      <c r="W472" s="95"/>
      <c r="X472" s="95"/>
      <c r="Y472" s="95"/>
      <c r="Z472" s="95"/>
      <c r="AA472" s="95"/>
      <c r="AB472" s="95"/>
      <c r="AC472" s="95"/>
      <c r="AD472" s="95"/>
      <c r="AE472" s="95"/>
      <c r="AF472" s="95"/>
      <c r="AG472" s="95"/>
      <c r="AH472" s="95"/>
      <c r="AI472" s="95"/>
      <c r="AJ472" s="95"/>
      <c r="AK472" s="95"/>
      <c r="AL472" s="95"/>
      <c r="AM472" s="96"/>
      <c r="AN472" s="209"/>
    </row>
    <row r="473" spans="1:54" s="3" customFormat="1" ht="12.75" hidden="1" customHeight="1" thickTop="1">
      <c r="A473" s="54"/>
      <c r="B473" s="137"/>
      <c r="C473" s="138"/>
      <c r="D473" s="138"/>
      <c r="E473" s="138"/>
      <c r="F473" s="138"/>
      <c r="G473" s="138"/>
      <c r="H473" s="138"/>
      <c r="I473" s="816"/>
      <c r="J473" s="816"/>
      <c r="K473" s="816"/>
      <c r="L473" s="816"/>
      <c r="M473" s="816"/>
      <c r="N473" s="816"/>
      <c r="O473" s="816"/>
      <c r="P473" s="816"/>
      <c r="Q473" s="816"/>
      <c r="R473"/>
      <c r="S473" s="2"/>
      <c r="T473" s="2"/>
      <c r="U473" s="2"/>
      <c r="V473" s="2"/>
      <c r="W473" s="2"/>
      <c r="X473" s="2"/>
      <c r="Y473" s="2"/>
      <c r="Z473" s="2"/>
      <c r="AA473" s="2"/>
      <c r="AB473" s="2"/>
      <c r="AC473" s="2"/>
      <c r="AD473" s="2"/>
      <c r="AE473" s="2"/>
      <c r="AF473"/>
      <c r="AG473" s="2"/>
      <c r="AH473" s="2"/>
      <c r="AI473" s="2"/>
      <c r="AJ473" s="2"/>
      <c r="AM473" s="18"/>
      <c r="AN473" s="209"/>
      <c r="AO473" s="3" t="s">
        <v>325</v>
      </c>
      <c r="AP473" s="3">
        <v>0</v>
      </c>
    </row>
    <row r="474" spans="1:54" s="3" customFormat="1" ht="12.75" hidden="1" customHeight="1">
      <c r="A474" s="2" t="s">
        <v>2147</v>
      </c>
      <c r="C474" s="2"/>
      <c r="E474" s="17"/>
      <c r="AE474" s="1524" t="s">
        <v>2148</v>
      </c>
      <c r="AF474" s="1524"/>
      <c r="AG474" s="1524"/>
      <c r="AH474" s="1524"/>
      <c r="AI474" s="1524"/>
      <c r="AJ474" s="1524"/>
      <c r="AK474" s="1524"/>
      <c r="AL474" s="815"/>
      <c r="AN474" s="209"/>
      <c r="AO474" s="3" t="s">
        <v>2129</v>
      </c>
      <c r="AP474" s="3">
        <v>5</v>
      </c>
    </row>
    <row r="475" spans="1:54" s="3" customFormat="1" ht="12.75" hidden="1" customHeight="1">
      <c r="A475" s="2"/>
      <c r="B475" s="33" t="s">
        <v>2149</v>
      </c>
      <c r="C475" s="2"/>
      <c r="E475" s="17"/>
      <c r="AE475" s="815"/>
      <c r="AF475" s="815"/>
      <c r="AG475" s="815"/>
      <c r="AH475" s="815"/>
      <c r="AI475" s="815"/>
      <c r="AJ475" s="815"/>
      <c r="AK475" s="815"/>
      <c r="AL475" s="815"/>
      <c r="AN475" s="209"/>
      <c r="AO475" s="3" t="s">
        <v>2150</v>
      </c>
      <c r="AP475" s="3">
        <v>5</v>
      </c>
    </row>
    <row r="476" spans="1:54" s="3" customFormat="1" ht="12.75" hidden="1" customHeight="1">
      <c r="A476" s="2"/>
      <c r="B476" s="2" t="s">
        <v>2151</v>
      </c>
      <c r="C476" s="2"/>
      <c r="E476" s="17"/>
      <c r="AE476" s="815"/>
      <c r="AF476" s="815"/>
      <c r="AG476" s="815"/>
      <c r="AH476" s="815"/>
      <c r="AI476" s="815"/>
      <c r="AJ476" s="815"/>
      <c r="AK476" s="815"/>
      <c r="AL476" s="815"/>
      <c r="AN476" s="209"/>
      <c r="AO476" s="3" t="s">
        <v>2133</v>
      </c>
      <c r="AP476" s="3">
        <v>5</v>
      </c>
      <c r="AQ476" s="2"/>
      <c r="AR476" s="2"/>
      <c r="AS476" s="249"/>
      <c r="AW476" s="249"/>
    </row>
    <row r="477" spans="1:54" s="3" customFormat="1" ht="12.75" hidden="1" customHeight="1">
      <c r="A477" s="2"/>
      <c r="B477" s="2" t="s">
        <v>2152</v>
      </c>
      <c r="C477" s="2"/>
      <c r="E477" s="17"/>
      <c r="AE477" s="815"/>
      <c r="AF477" s="815"/>
      <c r="AG477" s="815"/>
      <c r="AH477" s="815"/>
      <c r="AI477" s="815"/>
      <c r="AJ477" s="815"/>
      <c r="AK477" s="815"/>
      <c r="AL477" s="815"/>
      <c r="AN477" s="209"/>
      <c r="AO477" s="3" t="s">
        <v>2134</v>
      </c>
      <c r="AP477" s="3">
        <v>5</v>
      </c>
      <c r="AQ477" s="2"/>
      <c r="AR477" s="2"/>
      <c r="AW477" s="802"/>
    </row>
    <row r="478" spans="1:54" s="3" customFormat="1" ht="12.75" hidden="1" customHeight="1">
      <c r="A478" s="2"/>
      <c r="C478" s="2"/>
      <c r="E478" s="17"/>
      <c r="AE478" s="815"/>
      <c r="AF478" s="815"/>
      <c r="AG478" s="815"/>
      <c r="AH478" s="815"/>
      <c r="AI478" s="815"/>
      <c r="AJ478" s="815"/>
      <c r="AK478" s="815"/>
      <c r="AL478" s="815"/>
      <c r="AN478" s="209"/>
      <c r="AO478" s="3" t="s">
        <v>2135</v>
      </c>
      <c r="AP478" s="3">
        <v>5</v>
      </c>
      <c r="AQ478" s="2"/>
      <c r="AR478" s="2"/>
      <c r="AW478" s="802"/>
    </row>
    <row r="479" spans="1:54" s="3" customFormat="1" ht="12.75" hidden="1" customHeight="1">
      <c r="A479" s="2"/>
      <c r="C479" s="133" t="s">
        <v>2153</v>
      </c>
      <c r="D479"/>
      <c r="AE479" s="815"/>
      <c r="AF479" s="815"/>
      <c r="AG479" s="17"/>
      <c r="AH479" s="17"/>
      <c r="AI479" s="17"/>
      <c r="AJ479" s="17"/>
      <c r="AK479" s="17"/>
      <c r="AL479" s="17"/>
      <c r="AN479" s="209"/>
      <c r="AO479" s="3" t="s">
        <v>2136</v>
      </c>
      <c r="AP479" s="3">
        <v>5</v>
      </c>
      <c r="AW479" s="802"/>
    </row>
    <row r="480" spans="1:54" s="3" customFormat="1" ht="12.75" hidden="1" customHeight="1">
      <c r="A480" s="2"/>
      <c r="C480" s="1558" t="s">
        <v>325</v>
      </c>
      <c r="D480" s="1559"/>
      <c r="E480" s="577" t="s">
        <v>45</v>
      </c>
      <c r="F480" s="1731" t="s">
        <v>2154</v>
      </c>
      <c r="G480" s="1731"/>
      <c r="H480" s="1731"/>
      <c r="I480" s="1731"/>
      <c r="J480" s="1731"/>
      <c r="K480" s="1731"/>
      <c r="L480" s="1731"/>
      <c r="M480" s="1731"/>
      <c r="N480" s="1731"/>
      <c r="O480" s="1731"/>
      <c r="P480" s="1731"/>
      <c r="Q480" s="1731"/>
      <c r="R480" s="1731"/>
      <c r="S480" s="1731"/>
      <c r="T480" s="1731"/>
      <c r="U480" s="1731"/>
      <c r="V480" s="1731"/>
      <c r="W480" s="1731"/>
      <c r="X480" s="1731"/>
      <c r="Y480" s="1731"/>
      <c r="Z480" s="1731"/>
      <c r="AA480" s="1731"/>
      <c r="AB480" s="1731"/>
      <c r="AC480" s="1731"/>
      <c r="AD480" s="1731"/>
      <c r="AE480" s="1731"/>
      <c r="AF480" s="533"/>
      <c r="AG480" s="533"/>
      <c r="AH480" s="533"/>
      <c r="AI480" s="533"/>
      <c r="AJ480" s="533"/>
      <c r="AK480" s="555"/>
      <c r="AN480" s="209"/>
      <c r="AO480" s="3" t="s">
        <v>2155</v>
      </c>
      <c r="AP480" s="3">
        <v>5</v>
      </c>
      <c r="AS480" s="252"/>
      <c r="AT480" s="814"/>
      <c r="AW480" s="802"/>
      <c r="AX480" s="28"/>
    </row>
    <row r="481" spans="1:49" s="3" customFormat="1" ht="12.75" hidden="1" customHeight="1">
      <c r="C481" s="556"/>
      <c r="E481" s="97"/>
      <c r="F481" s="1732"/>
      <c r="G481" s="1732"/>
      <c r="H481" s="1732"/>
      <c r="I481" s="1732"/>
      <c r="J481" s="1732"/>
      <c r="K481" s="1732"/>
      <c r="L481" s="1732"/>
      <c r="M481" s="1732"/>
      <c r="N481" s="1732"/>
      <c r="O481" s="1732"/>
      <c r="P481" s="1732"/>
      <c r="Q481" s="1732"/>
      <c r="R481" s="1732"/>
      <c r="S481" s="1732"/>
      <c r="T481" s="1732"/>
      <c r="U481" s="1732"/>
      <c r="V481" s="1732"/>
      <c r="W481" s="1732"/>
      <c r="X481" s="1732"/>
      <c r="Y481" s="1732"/>
      <c r="Z481" s="1732"/>
      <c r="AA481" s="1732"/>
      <c r="AB481" s="1732"/>
      <c r="AC481" s="1732"/>
      <c r="AD481" s="1732"/>
      <c r="AE481" s="1732"/>
      <c r="AG481" s="16"/>
      <c r="AH481" s="16"/>
      <c r="AI481" s="16"/>
      <c r="AJ481" s="16"/>
      <c r="AK481" s="540"/>
      <c r="AN481" s="209"/>
      <c r="AO481" s="3" t="s">
        <v>2140</v>
      </c>
      <c r="AP481" s="3">
        <v>1</v>
      </c>
    </row>
    <row r="482" spans="1:49" s="3" customFormat="1" ht="12.75" hidden="1" customHeight="1">
      <c r="C482" s="557"/>
      <c r="D482" s="548"/>
      <c r="E482" s="558"/>
      <c r="F482" s="1302" t="s">
        <v>325</v>
      </c>
      <c r="G482" s="1302"/>
      <c r="H482" s="1302"/>
      <c r="I482" s="1302"/>
      <c r="J482" s="1302"/>
      <c r="K482" s="1302"/>
      <c r="L482" s="1302"/>
      <c r="M482" s="1302"/>
      <c r="N482" s="1302"/>
      <c r="O482" s="1302"/>
      <c r="P482" s="1302"/>
      <c r="Q482" s="1302"/>
      <c r="R482" s="1302"/>
      <c r="S482" s="1302"/>
      <c r="T482" s="1302"/>
      <c r="U482" s="1302"/>
      <c r="V482" s="1302"/>
      <c r="W482" s="1302"/>
      <c r="X482" s="1302"/>
      <c r="Y482" s="1302"/>
      <c r="Z482" s="1302"/>
      <c r="AA482" s="559"/>
      <c r="AB482" s="560"/>
      <c r="AC482" s="560"/>
      <c r="AD482" s="548"/>
      <c r="AE482" s="548"/>
      <c r="AF482" s="548"/>
      <c r="AG482" s="561">
        <f>IF($C$480="Yes",(VLOOKUP($F$482,$AO$453:$AP$461,2,FALSE)),0)</f>
        <v>0</v>
      </c>
      <c r="AH482" s="562" t="s">
        <v>2156</v>
      </c>
      <c r="AI482" s="561"/>
      <c r="AJ482" s="561"/>
      <c r="AK482" s="549"/>
      <c r="AN482" s="209"/>
      <c r="AS482" s="249"/>
      <c r="AW482" s="249"/>
    </row>
    <row r="483" spans="1:49" s="3" customFormat="1" ht="12.75" hidden="1" customHeight="1">
      <c r="C483" s="16"/>
      <c r="E483" s="97"/>
      <c r="F483" s="814"/>
      <c r="G483" s="814"/>
      <c r="H483" s="814"/>
      <c r="I483" s="814"/>
      <c r="J483" s="814"/>
      <c r="K483" s="814"/>
      <c r="L483" s="814"/>
      <c r="M483" s="814"/>
      <c r="N483" s="814"/>
      <c r="O483" s="814"/>
      <c r="P483" s="814"/>
      <c r="Q483" s="814"/>
      <c r="R483" s="814"/>
      <c r="S483" s="814"/>
      <c r="T483" s="814"/>
      <c r="U483" s="814"/>
      <c r="V483" s="814"/>
      <c r="W483" s="814"/>
      <c r="X483" s="814"/>
      <c r="Y483" s="814"/>
      <c r="Z483" s="814"/>
      <c r="AA483"/>
      <c r="AB483" s="16"/>
      <c r="AC483" s="16"/>
      <c r="AG483" s="16"/>
      <c r="AH483" s="16"/>
      <c r="AI483" s="16"/>
      <c r="AJ483" s="16"/>
      <c r="AN483" s="209"/>
      <c r="AO483" s="3" t="s">
        <v>325</v>
      </c>
      <c r="AP483" s="28">
        <v>0</v>
      </c>
    </row>
    <row r="484" spans="1:49" s="3" customFormat="1" ht="12.75" hidden="1" customHeight="1">
      <c r="C484" s="1729" t="s">
        <v>712</v>
      </c>
      <c r="D484" s="1730"/>
      <c r="E484" s="577" t="s">
        <v>47</v>
      </c>
      <c r="F484" s="563" t="s">
        <v>2157</v>
      </c>
      <c r="G484" s="564"/>
      <c r="H484" s="564"/>
      <c r="I484" s="564"/>
      <c r="J484" s="564"/>
      <c r="K484" s="564"/>
      <c r="L484" s="564"/>
      <c r="M484" s="564"/>
      <c r="N484" s="564"/>
      <c r="O484" s="564"/>
      <c r="P484" s="564"/>
      <c r="Q484" s="564"/>
      <c r="R484" s="564"/>
      <c r="S484" s="564"/>
      <c r="T484" s="564"/>
      <c r="U484" s="564"/>
      <c r="V484" s="564"/>
      <c r="W484" s="564"/>
      <c r="X484" s="564"/>
      <c r="Y484" s="564"/>
      <c r="Z484" s="564"/>
      <c r="AA484" s="564"/>
      <c r="AB484" s="564"/>
      <c r="AC484" s="564"/>
      <c r="AD484" s="533"/>
      <c r="AE484" s="533"/>
      <c r="AF484" s="533"/>
      <c r="AG484" s="564"/>
      <c r="AH484" s="564"/>
      <c r="AI484" s="564"/>
      <c r="AJ484" s="564"/>
      <c r="AK484" s="555"/>
      <c r="AN484" s="209"/>
      <c r="AO484" s="252">
        <v>0.15</v>
      </c>
      <c r="AP484" s="28">
        <v>3</v>
      </c>
    </row>
    <row r="485" spans="1:49" s="3" customFormat="1" ht="12.75" hidden="1" customHeight="1">
      <c r="C485" s="565" t="s">
        <v>2158</v>
      </c>
      <c r="F485" s="187" t="s">
        <v>2159</v>
      </c>
      <c r="G485" s="16"/>
      <c r="H485" s="16"/>
      <c r="I485" s="16"/>
      <c r="J485" s="16"/>
      <c r="K485" s="16"/>
      <c r="L485" s="16"/>
      <c r="M485" s="16"/>
      <c r="N485" s="16"/>
      <c r="O485" s="16"/>
      <c r="P485" s="16"/>
      <c r="Q485" s="16"/>
      <c r="R485" s="16"/>
      <c r="S485" s="16"/>
      <c r="T485" s="16"/>
      <c r="U485" s="16"/>
      <c r="V485" s="16"/>
      <c r="W485" s="16"/>
      <c r="X485" s="16"/>
      <c r="Y485" s="16"/>
      <c r="Z485" s="16"/>
      <c r="AA485" s="16"/>
      <c r="AB485" s="16"/>
      <c r="AC485" s="815"/>
      <c r="AG485" s="67"/>
      <c r="AH485" s="67"/>
      <c r="AI485" s="67"/>
      <c r="AJ485" s="67"/>
      <c r="AK485" s="540"/>
      <c r="AN485" s="209"/>
      <c r="AO485" s="252">
        <v>0.2</v>
      </c>
      <c r="AP485" s="28">
        <v>5</v>
      </c>
    </row>
    <row r="486" spans="1:49" s="3" customFormat="1" ht="12.75" hidden="1" customHeight="1">
      <c r="C486" s="824"/>
      <c r="D486" s="781"/>
      <c r="E486" s="139"/>
      <c r="F486" s="187" t="s">
        <v>2160</v>
      </c>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423"/>
      <c r="AD486" s="58"/>
      <c r="AE486" s="58"/>
      <c r="AF486" s="58"/>
      <c r="AG486" s="192"/>
      <c r="AH486" s="67"/>
      <c r="AI486" s="67"/>
      <c r="AJ486" s="67"/>
      <c r="AK486" s="540"/>
      <c r="AN486" s="220"/>
      <c r="AO486" s="252"/>
      <c r="AP486" s="814"/>
    </row>
    <row r="487" spans="1:49" s="17" customFormat="1" ht="12.75" hidden="1" customHeight="1">
      <c r="A487" s="28"/>
      <c r="B487" s="3"/>
      <c r="C487" s="556"/>
      <c r="D487" s="3"/>
      <c r="E487" s="97"/>
      <c r="F487" s="566" t="s">
        <v>2161</v>
      </c>
      <c r="G487" s="3"/>
      <c r="H487" s="3"/>
      <c r="I487" s="187"/>
      <c r="J487" s="187"/>
      <c r="K487" s="187"/>
      <c r="L487" s="187"/>
      <c r="M487" s="187"/>
      <c r="N487" s="187"/>
      <c r="O487" s="187"/>
      <c r="P487" s="187"/>
      <c r="Q487" s="187"/>
      <c r="R487" s="187"/>
      <c r="S487" s="187"/>
      <c r="T487" s="187"/>
      <c r="U487" s="187"/>
      <c r="V487" s="1566" t="s">
        <v>325</v>
      </c>
      <c r="W487" s="1566"/>
      <c r="X487" s="1566"/>
      <c r="Y487" s="187"/>
      <c r="Z487" s="187"/>
      <c r="AA487" s="187"/>
      <c r="AB487" s="187"/>
      <c r="AC487" s="187"/>
      <c r="AD487" s="58"/>
      <c r="AE487" s="58"/>
      <c r="AF487" s="58"/>
      <c r="AG487" s="67">
        <f>IF(AND($C$484="Yes",$V$489="N/A",$V$494="N/A",$V$498="N/A",$V$500="N/A"),(VLOOKUP(V487,$AR$463:$AS$465,2,FALSE)),0)</f>
        <v>0</v>
      </c>
      <c r="AH487" s="776" t="s">
        <v>2156</v>
      </c>
      <c r="AI487" s="16"/>
      <c r="AJ487" s="16"/>
      <c r="AK487" s="540"/>
      <c r="AL487" s="3"/>
      <c r="AM487" s="3"/>
      <c r="AN487" s="209"/>
    </row>
    <row r="488" spans="1:49" s="17" customFormat="1" ht="12.75" hidden="1" customHeight="1">
      <c r="A488" s="28"/>
      <c r="B488" s="3"/>
      <c r="C488" s="556"/>
      <c r="D488" s="3"/>
      <c r="E488" s="97"/>
      <c r="F488" s="566"/>
      <c r="G488" s="3"/>
      <c r="H488" s="3"/>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58"/>
      <c r="AE488" s="58"/>
      <c r="AF488" s="58"/>
      <c r="AG488" s="67"/>
      <c r="AH488" s="776"/>
      <c r="AI488" s="16"/>
      <c r="AJ488" s="16"/>
      <c r="AK488" s="540"/>
      <c r="AL488" s="3"/>
      <c r="AM488" s="3"/>
      <c r="AN488" s="209"/>
    </row>
    <row r="489" spans="1:49" s="17" customFormat="1" ht="12.75" hidden="1" customHeight="1">
      <c r="A489" s="28"/>
      <c r="B489" s="3"/>
      <c r="C489" s="556"/>
      <c r="D489" s="3"/>
      <c r="E489" s="97"/>
      <c r="F489" s="566" t="s">
        <v>2162</v>
      </c>
      <c r="G489" s="3"/>
      <c r="H489" s="3"/>
      <c r="I489" s="187"/>
      <c r="J489" s="187"/>
      <c r="K489" s="187"/>
      <c r="L489" s="187"/>
      <c r="M489" s="187"/>
      <c r="N489" s="187"/>
      <c r="O489" s="187"/>
      <c r="P489" s="187"/>
      <c r="Q489" s="187"/>
      <c r="R489" s="187"/>
      <c r="S489" s="187"/>
      <c r="T489" s="187"/>
      <c r="U489" s="187"/>
      <c r="V489" s="1566" t="s">
        <v>325</v>
      </c>
      <c r="W489" s="1566"/>
      <c r="X489" s="1566"/>
      <c r="Y489" s="187"/>
      <c r="Z489" s="187"/>
      <c r="AA489" s="187"/>
      <c r="AB489" s="187"/>
      <c r="AC489" s="187"/>
      <c r="AD489" s="58"/>
      <c r="AE489" s="58"/>
      <c r="AF489" s="58"/>
      <c r="AG489" s="67">
        <f>IF(AND($C$484="Yes",$V$487="N/A", $V$494="N/A",$V$498="N/A",$V$500="N/A"),(VLOOKUP(V489,$AO$463:$AP$465,2,FALSE)),0)</f>
        <v>0</v>
      </c>
      <c r="AH489" s="776" t="s">
        <v>2156</v>
      </c>
      <c r="AI489" s="16"/>
      <c r="AJ489" s="16"/>
      <c r="AK489" s="540"/>
      <c r="AL489" s="3"/>
      <c r="AM489" s="3"/>
      <c r="AN489" s="209"/>
    </row>
    <row r="490" spans="1:49" s="3" customFormat="1" ht="12.75" hidden="1" customHeight="1">
      <c r="C490" s="556"/>
      <c r="E490" s="97"/>
      <c r="F490" s="17"/>
      <c r="G490" s="189"/>
      <c r="H490" s="189"/>
      <c r="I490" s="189"/>
      <c r="J490" s="189"/>
      <c r="K490" s="189"/>
      <c r="L490" s="189"/>
      <c r="M490" s="189"/>
      <c r="N490" s="189"/>
      <c r="O490" s="189"/>
      <c r="P490" s="189"/>
      <c r="Q490" s="16"/>
      <c r="R490" s="16"/>
      <c r="S490" s="16"/>
      <c r="T490" s="16"/>
      <c r="U490" s="16"/>
      <c r="V490" s="16"/>
      <c r="W490" s="16"/>
      <c r="X490" s="16"/>
      <c r="Y490" s="16"/>
      <c r="Z490" s="16"/>
      <c r="AA490" s="16"/>
      <c r="AB490" s="16"/>
      <c r="AC490" s="16"/>
      <c r="AG490" s="17"/>
      <c r="AH490" s="17"/>
      <c r="AI490" s="17"/>
      <c r="AJ490" s="17"/>
      <c r="AK490" s="540"/>
      <c r="AN490" s="209"/>
      <c r="AO490" s="3" t="s">
        <v>325</v>
      </c>
      <c r="AP490" s="3">
        <v>0</v>
      </c>
    </row>
    <row r="491" spans="1:49" s="3" customFormat="1" ht="12.75" hidden="1" customHeight="1">
      <c r="C491" s="556"/>
      <c r="E491" s="97"/>
      <c r="F491" s="189" t="s">
        <v>2163</v>
      </c>
      <c r="I491" s="97"/>
      <c r="J491" s="97"/>
      <c r="K491" s="97"/>
      <c r="L491" s="97"/>
      <c r="M491" s="97"/>
      <c r="N491" s="97"/>
      <c r="O491" s="97"/>
      <c r="P491" s="97"/>
      <c r="Q491" s="16"/>
      <c r="R491" s="16"/>
      <c r="S491" s="16"/>
      <c r="T491" s="16"/>
      <c r="U491" s="16"/>
      <c r="V491" s="16"/>
      <c r="W491" s="16"/>
      <c r="X491" s="16"/>
      <c r="Y491" s="16"/>
      <c r="Z491" s="16"/>
      <c r="AA491" s="16"/>
      <c r="AB491" s="16"/>
      <c r="AC491" s="16"/>
      <c r="AJ491" s="16"/>
      <c r="AK491" s="540"/>
      <c r="AN491" s="209"/>
      <c r="AO491" s="3" t="s">
        <v>2164</v>
      </c>
      <c r="AP491" s="28">
        <v>2</v>
      </c>
    </row>
    <row r="492" spans="1:49" s="3" customFormat="1" ht="12.75" hidden="1" customHeight="1">
      <c r="C492" s="556"/>
      <c r="F492" s="58" t="s">
        <v>2165</v>
      </c>
      <c r="M492" s="97"/>
      <c r="N492" s="97"/>
      <c r="O492" s="97"/>
      <c r="P492" s="97"/>
      <c r="Q492" s="16"/>
      <c r="R492" s="16"/>
      <c r="S492" s="16"/>
      <c r="T492" s="16"/>
      <c r="U492" s="16"/>
      <c r="V492" s="16"/>
      <c r="W492" s="16"/>
      <c r="X492" s="16"/>
      <c r="Y492" s="16"/>
      <c r="Z492" s="16"/>
      <c r="AA492" s="16"/>
      <c r="AB492" s="16"/>
      <c r="AC492" s="16"/>
      <c r="AG492" s="67"/>
      <c r="AH492" s="776"/>
      <c r="AI492" s="16"/>
      <c r="AJ492" s="16"/>
      <c r="AK492" s="540"/>
      <c r="AN492" s="209"/>
      <c r="AO492" s="3" t="s">
        <v>2166</v>
      </c>
      <c r="AP492" s="3">
        <v>2</v>
      </c>
    </row>
    <row r="493" spans="1:49" s="17" customFormat="1" ht="12.75" hidden="1" customHeight="1">
      <c r="A493" s="3"/>
      <c r="B493" s="3"/>
      <c r="C493" s="542"/>
      <c r="D493"/>
      <c r="E493"/>
      <c r="F493" s="58" t="s">
        <v>2167</v>
      </c>
      <c r="G493" s="3"/>
      <c r="H493" s="3"/>
      <c r="I493" s="3"/>
      <c r="J493" s="3"/>
      <c r="K493" s="3"/>
      <c r="L493" s="3"/>
      <c r="M493" s="97"/>
      <c r="N493" s="97"/>
      <c r="O493" s="97"/>
      <c r="P493" s="97"/>
      <c r="Q493" s="16"/>
      <c r="R493" s="16"/>
      <c r="S493" s="16"/>
      <c r="T493" s="16"/>
      <c r="U493" s="16"/>
      <c r="V493" s="16"/>
      <c r="W493" s="16"/>
      <c r="X493" s="16"/>
      <c r="Y493" s="16"/>
      <c r="Z493" s="16"/>
      <c r="AA493" s="16"/>
      <c r="AB493" s="16"/>
      <c r="AC493" s="16"/>
      <c r="AD493" s="3"/>
      <c r="AE493" s="3"/>
      <c r="AF493" s="3"/>
      <c r="AG493" s="67"/>
      <c r="AH493" s="776"/>
      <c r="AI493" s="16"/>
      <c r="AJ493" s="16"/>
      <c r="AK493" s="540"/>
      <c r="AL493" s="3"/>
      <c r="AM493" s="3"/>
      <c r="AN493" s="220"/>
      <c r="AO493" s="3" t="s">
        <v>2168</v>
      </c>
      <c r="AP493" s="3">
        <v>2</v>
      </c>
    </row>
    <row r="494" spans="1:49" s="3" customFormat="1" ht="12.75" hidden="1" customHeight="1">
      <c r="C494" s="567"/>
      <c r="F494" s="566" t="s">
        <v>2169</v>
      </c>
      <c r="M494" s="97"/>
      <c r="N494" s="97"/>
      <c r="O494" s="97"/>
      <c r="P494" s="97"/>
      <c r="Q494" s="16"/>
      <c r="R494" s="16"/>
      <c r="S494" s="16"/>
      <c r="T494" s="16"/>
      <c r="U494" s="16"/>
      <c r="V494" s="1566" t="s">
        <v>325</v>
      </c>
      <c r="W494" s="1566"/>
      <c r="X494" s="1566"/>
      <c r="Y494" s="16"/>
      <c r="Z494" s="16"/>
      <c r="AA494" s="16"/>
      <c r="AB494" s="16"/>
      <c r="AC494" s="16"/>
      <c r="AG494" s="67">
        <f>IF(AND($C$484="Yes",$V$487="N/A",$V$489="N/A", $V$498="N/A",$V$500="N/A"),(VLOOKUP($V$494,$AO$467:$AP$469,2,FALSE)),0)</f>
        <v>0</v>
      </c>
      <c r="AH494" s="776" t="s">
        <v>2156</v>
      </c>
      <c r="AI494" s="16"/>
      <c r="AJ494" s="16"/>
      <c r="AK494" s="540"/>
      <c r="AN494" s="901"/>
    </row>
    <row r="495" spans="1:49" s="3" customFormat="1" ht="12.75" hidden="1" customHeight="1">
      <c r="C495" s="556"/>
      <c r="M495" s="97"/>
      <c r="N495" s="97"/>
      <c r="O495" s="97"/>
      <c r="P495" s="97"/>
      <c r="Q495" s="16"/>
      <c r="R495" s="16"/>
      <c r="S495" s="16"/>
      <c r="T495" s="16"/>
      <c r="U495" s="16"/>
      <c r="V495" s="16"/>
      <c r="W495" s="16"/>
      <c r="X495" s="16"/>
      <c r="Y495" s="16"/>
      <c r="Z495" s="16"/>
      <c r="AA495" s="16"/>
      <c r="AB495" s="16"/>
      <c r="AC495" s="16"/>
      <c r="AJ495" s="16"/>
      <c r="AK495" s="540"/>
      <c r="AN495" s="514"/>
    </row>
    <row r="496" spans="1:49" s="17" customFormat="1" ht="12.75" hidden="1" customHeight="1">
      <c r="A496" s="3"/>
      <c r="B496" s="3"/>
      <c r="C496" s="570" t="s">
        <v>2170</v>
      </c>
      <c r="D496" s="533"/>
      <c r="E496" s="533"/>
      <c r="F496" s="571" t="s">
        <v>2171</v>
      </c>
      <c r="G496" s="533"/>
      <c r="H496" s="533"/>
      <c r="I496" s="533"/>
      <c r="J496" s="533"/>
      <c r="K496" s="533"/>
      <c r="L496" s="533"/>
      <c r="M496" s="533"/>
      <c r="N496" s="533"/>
      <c r="O496" s="533"/>
      <c r="P496" s="533"/>
      <c r="Q496" s="533"/>
      <c r="R496" s="533"/>
      <c r="S496" s="533"/>
      <c r="T496" s="533"/>
      <c r="U496" s="533"/>
      <c r="V496" s="533"/>
      <c r="W496" s="533"/>
      <c r="X496" s="533"/>
      <c r="Y496" s="533"/>
      <c r="Z496" s="533"/>
      <c r="AA496" s="533"/>
      <c r="AB496" s="533"/>
      <c r="AC496" s="533"/>
      <c r="AD496" s="533"/>
      <c r="AE496" s="533"/>
      <c r="AF496" s="533"/>
      <c r="AG496" s="533"/>
      <c r="AH496" s="533"/>
      <c r="AI496" s="533"/>
      <c r="AJ496" s="533"/>
      <c r="AK496" s="555"/>
      <c r="AL496" s="3"/>
      <c r="AM496" s="3"/>
      <c r="AN496" s="509"/>
      <c r="AO496" s="3" t="s">
        <v>325</v>
      </c>
      <c r="AP496" s="3">
        <v>0</v>
      </c>
      <c r="AQ496" s="2"/>
    </row>
    <row r="497" spans="1:147" s="17" customFormat="1" ht="12.75" hidden="1" customHeight="1">
      <c r="A497" s="3"/>
      <c r="B497" s="3"/>
      <c r="C497" s="568"/>
      <c r="D497" s="990"/>
      <c r="E497" s="990"/>
      <c r="F497" s="187" t="s">
        <v>2172</v>
      </c>
      <c r="I497" s="3"/>
      <c r="J497" s="3"/>
      <c r="K497" s="3"/>
      <c r="L497" s="3"/>
      <c r="M497" s="3"/>
      <c r="N497" s="3"/>
      <c r="O497" s="3"/>
      <c r="P497" s="3"/>
      <c r="Q497" s="3"/>
      <c r="R497" s="3"/>
      <c r="S497" s="3"/>
      <c r="T497" s="3"/>
      <c r="U497" s="3"/>
      <c r="Y497" s="3"/>
      <c r="Z497" s="3"/>
      <c r="AA497" s="3"/>
      <c r="AB497" s="3"/>
      <c r="AC497" s="3"/>
      <c r="AD497" s="3"/>
      <c r="AE497" s="3"/>
      <c r="AF497" s="3"/>
      <c r="AK497" s="540"/>
      <c r="AL497" s="3"/>
      <c r="AM497" s="3"/>
      <c r="AN497" s="509"/>
      <c r="AO497" s="3" t="s">
        <v>2173</v>
      </c>
      <c r="AP497" s="28">
        <v>5</v>
      </c>
      <c r="AQ497" s="2"/>
    </row>
    <row r="498" spans="1:147" customFormat="1" ht="12.75" hidden="1" customHeight="1">
      <c r="A498" s="802"/>
      <c r="B498" s="3"/>
      <c r="C498" s="556"/>
      <c r="D498" s="3"/>
      <c r="E498" s="3"/>
      <c r="F498" s="424" t="s">
        <v>2161</v>
      </c>
      <c r="G498" s="3"/>
      <c r="H498" s="3"/>
      <c r="I498" s="3"/>
      <c r="J498" s="3"/>
      <c r="K498" s="3"/>
      <c r="L498" s="3"/>
      <c r="M498" s="3"/>
      <c r="N498" s="3"/>
      <c r="O498" s="3"/>
      <c r="P498" s="3"/>
      <c r="Q498" s="3"/>
      <c r="R498" s="3"/>
      <c r="S498" s="3"/>
      <c r="T498" s="3"/>
      <c r="U498" s="3"/>
      <c r="V498" s="1566" t="s">
        <v>325</v>
      </c>
      <c r="W498" s="1566"/>
      <c r="X498" s="1566"/>
      <c r="Y498" s="3"/>
      <c r="Z498" s="3"/>
      <c r="AA498" s="3"/>
      <c r="AB498" s="3"/>
      <c r="AC498" s="3"/>
      <c r="AD498" s="3"/>
      <c r="AE498" s="3"/>
      <c r="AF498" s="3"/>
      <c r="AG498" s="67">
        <f>IF(AND($C$484="Yes",$V$487="N/A",V489="N/A",$V$494="N/A",$V$500="N/A"),(VLOOKUP($V$498,$AW$463:$AX$466,2,FALSE)),0)</f>
        <v>0</v>
      </c>
      <c r="AH498" s="776" t="s">
        <v>2156</v>
      </c>
      <c r="AI498" s="16"/>
      <c r="AJ498" s="3"/>
      <c r="AK498" s="540"/>
      <c r="AL498" s="3"/>
      <c r="AM498" s="3"/>
      <c r="AN498" s="146"/>
      <c r="AO498" s="3" t="s">
        <v>2174</v>
      </c>
      <c r="AP498" s="3">
        <v>5</v>
      </c>
      <c r="AS498" s="3"/>
      <c r="AT498" s="3"/>
      <c r="AU498" s="3"/>
      <c r="AV498" s="3"/>
      <c r="AW498" s="3"/>
      <c r="AX498" s="3"/>
      <c r="AY498" s="3"/>
      <c r="AZ498" s="3"/>
      <c r="BA498" s="3"/>
      <c r="BB498" s="3"/>
      <c r="BO498" s="3"/>
      <c r="BP498" s="3"/>
      <c r="BQ498" s="3"/>
      <c r="BR498" s="3"/>
      <c r="BS498" s="3"/>
      <c r="BT498" s="3"/>
      <c r="BU498" s="3"/>
      <c r="BV498" s="3"/>
      <c r="BW498" s="3"/>
      <c r="BX498" s="3"/>
      <c r="BY498" s="3"/>
      <c r="BZ498" s="3"/>
      <c r="CA498" s="3"/>
      <c r="CB498" s="3"/>
      <c r="CC498" s="3"/>
      <c r="DN498" s="18"/>
      <c r="DO498" s="18"/>
      <c r="DP498" s="18"/>
      <c r="DQ498" s="18"/>
      <c r="DR498" s="18"/>
      <c r="DS498" s="18"/>
      <c r="DT498" s="18"/>
      <c r="DU498" s="18"/>
      <c r="DV498" s="18"/>
      <c r="DW498" s="18"/>
      <c r="DX498" s="18"/>
      <c r="DY498" s="18"/>
      <c r="DZ498" s="18"/>
      <c r="EA498" s="18"/>
      <c r="EB498" s="18"/>
      <c r="EC498" s="18"/>
      <c r="ED498" s="18"/>
      <c r="EE498" s="18"/>
      <c r="EF498" s="18"/>
      <c r="EG498" s="18"/>
      <c r="EH498" s="18"/>
      <c r="EI498" s="18"/>
      <c r="EJ498" s="18"/>
      <c r="EK498" s="18"/>
      <c r="EL498" s="18"/>
      <c r="EM498" s="18"/>
      <c r="EN498" s="18"/>
      <c r="EO498" s="18"/>
      <c r="EP498" s="18"/>
      <c r="EQ498" s="18"/>
    </row>
    <row r="499" spans="1:147" customFormat="1" ht="12.75" hidden="1" customHeight="1">
      <c r="A499" s="802"/>
      <c r="B499" s="3"/>
      <c r="C499" s="556"/>
      <c r="D499" s="3"/>
      <c r="E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K499" s="540"/>
      <c r="AL499" s="3"/>
      <c r="AM499" s="3"/>
      <c r="AN499" s="146"/>
      <c r="AO499" s="3" t="s">
        <v>2175</v>
      </c>
      <c r="AP499" s="3">
        <v>5</v>
      </c>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DN499" s="18"/>
      <c r="DO499" s="18"/>
      <c r="DP499" s="18"/>
      <c r="DQ499" s="18"/>
      <c r="DR499" s="18"/>
      <c r="DS499" s="18"/>
      <c r="DT499" s="18"/>
      <c r="DU499" s="18"/>
      <c r="DV499" s="18"/>
      <c r="DW499" s="18"/>
      <c r="DX499" s="18"/>
      <c r="DY499" s="18"/>
      <c r="DZ499" s="18"/>
      <c r="EA499" s="18"/>
      <c r="EB499" s="18"/>
      <c r="EC499" s="18"/>
      <c r="ED499" s="18"/>
      <c r="EE499" s="18"/>
      <c r="EF499" s="18"/>
      <c r="EG499" s="18"/>
      <c r="EH499" s="18"/>
      <c r="EI499" s="18"/>
      <c r="EJ499" s="18"/>
      <c r="EK499" s="18"/>
      <c r="EL499" s="18"/>
      <c r="EM499" s="18"/>
      <c r="EN499" s="18"/>
      <c r="EO499" s="18"/>
      <c r="EP499" s="18"/>
      <c r="EQ499" s="18"/>
    </row>
    <row r="500" spans="1:147" s="2" customFormat="1" ht="12.75" hidden="1" customHeight="1">
      <c r="A500" s="802"/>
      <c r="B500" s="3"/>
      <c r="C500" s="557"/>
      <c r="D500" s="548"/>
      <c r="E500" s="548"/>
      <c r="F500" s="566" t="s">
        <v>2162</v>
      </c>
      <c r="G500" s="559"/>
      <c r="H500" s="559"/>
      <c r="I500" s="548"/>
      <c r="J500" s="548"/>
      <c r="K500" s="548"/>
      <c r="L500" s="548"/>
      <c r="M500" s="548"/>
      <c r="N500" s="548"/>
      <c r="O500" s="548"/>
      <c r="P500" s="548"/>
      <c r="Q500" s="548"/>
      <c r="R500" s="548"/>
      <c r="S500" s="548"/>
      <c r="T500" s="548"/>
      <c r="U500" s="548"/>
      <c r="V500" s="1566" t="s">
        <v>325</v>
      </c>
      <c r="W500" s="1566"/>
      <c r="X500" s="1566"/>
      <c r="Y500" s="548"/>
      <c r="Z500" s="548"/>
      <c r="AA500" s="548"/>
      <c r="AB500" s="548"/>
      <c r="AC500" s="548"/>
      <c r="AD500" s="548"/>
      <c r="AE500" s="548"/>
      <c r="AF500" s="548"/>
      <c r="AG500" s="569">
        <f>IF(AND($C$484="Yes",$V$487="N/A",$V$489="N/A",$V$494="N/A",$V$498="N/A"),(VLOOKUP($V$500,$BA$463:$BB$465,2,FALSE)),0)</f>
        <v>0</v>
      </c>
      <c r="AH500" s="562" t="s">
        <v>2156</v>
      </c>
      <c r="AI500" s="548"/>
      <c r="AJ500" s="548"/>
      <c r="AK500" s="549"/>
      <c r="AL500" s="3"/>
      <c r="AM500" s="3"/>
      <c r="AN500" s="515"/>
      <c r="AP500" s="17"/>
      <c r="AQ500" s="17"/>
      <c r="AR500" s="17"/>
      <c r="AS500" s="17"/>
      <c r="AT500" s="17"/>
      <c r="AU500" s="17"/>
      <c r="AV500" s="17"/>
      <c r="AW500" s="17"/>
      <c r="AX500" s="17"/>
      <c r="AY500" s="17"/>
      <c r="AZ500" s="17"/>
      <c r="BA500" s="17"/>
      <c r="BB500" s="17"/>
      <c r="BC500" s="17"/>
      <c r="BE500" s="17"/>
      <c r="BF500" s="17"/>
      <c r="BG500" s="17"/>
      <c r="BH500" s="17"/>
      <c r="BI500" s="17"/>
      <c r="BJ500" s="17"/>
      <c r="BK500" s="17"/>
      <c r="BL500" s="17"/>
      <c r="BM500" s="17"/>
      <c r="BN500" s="17"/>
      <c r="BO500" s="17"/>
      <c r="BP500" s="17"/>
      <c r="BQ500" s="17"/>
      <c r="BR500" s="17"/>
      <c r="DN500" s="197"/>
      <c r="DO500" s="197"/>
      <c r="DP500" s="197"/>
      <c r="DQ500" s="197"/>
      <c r="DR500" s="197"/>
      <c r="DS500" s="197"/>
      <c r="DT500" s="197"/>
      <c r="DU500" s="197"/>
      <c r="DV500" s="197"/>
      <c r="DW500" s="197"/>
      <c r="DX500" s="197"/>
      <c r="DY500" s="197"/>
      <c r="DZ500" s="197"/>
      <c r="EA500" s="197"/>
      <c r="EB500" s="197"/>
      <c r="EC500" s="197"/>
      <c r="ED500" s="197"/>
      <c r="EE500" s="197"/>
      <c r="EF500" s="197"/>
      <c r="EG500" s="197"/>
      <c r="EH500" s="197"/>
      <c r="EI500" s="197"/>
      <c r="EJ500" s="197"/>
      <c r="EK500" s="197"/>
      <c r="EL500" s="197"/>
      <c r="EM500" s="197"/>
      <c r="EN500" s="197"/>
      <c r="EO500" s="197"/>
      <c r="EP500" s="197"/>
      <c r="EQ500" s="197"/>
    </row>
    <row r="501" spans="1:147" s="2" customFormat="1" ht="12.75" hidden="1" customHeight="1">
      <c r="A501" s="802"/>
      <c r="B501" s="3"/>
      <c r="C501" s="16"/>
      <c r="D501" s="3"/>
      <c r="E501" s="97"/>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515"/>
      <c r="AO501" s="196"/>
      <c r="AP501" s="3"/>
      <c r="AQ501" s="3"/>
      <c r="AR501" s="3"/>
      <c r="AS501" s="3"/>
      <c r="AT501" s="3"/>
      <c r="AU501" s="1577" t="s">
        <v>2176</v>
      </c>
      <c r="AV501" s="1578"/>
      <c r="AW501" s="1578"/>
      <c r="AX501" s="1578"/>
      <c r="AY501" s="1578"/>
      <c r="AZ501" s="1578"/>
      <c r="BA501" s="1578"/>
      <c r="BB501" s="17"/>
      <c r="BC501" s="17"/>
      <c r="BE501" s="3"/>
      <c r="BF501" s="3"/>
      <c r="BG501" s="3"/>
      <c r="BH501" s="3"/>
      <c r="BI501" s="3"/>
      <c r="BJ501" s="1575" t="s">
        <v>2177</v>
      </c>
      <c r="BK501" s="1576"/>
      <c r="BL501" s="1576"/>
      <c r="BM501" s="1576"/>
      <c r="BN501" s="1576"/>
      <c r="BO501" s="1576"/>
      <c r="BP501" s="1576"/>
      <c r="BQ501" s="17"/>
      <c r="BR501" s="3"/>
      <c r="DN501" s="197"/>
      <c r="DO501" s="197"/>
      <c r="DP501" s="197"/>
      <c r="DQ501" s="197"/>
      <c r="DR501" s="197"/>
      <c r="DS501" s="197"/>
      <c r="DT501" s="197"/>
      <c r="DU501" s="197"/>
      <c r="DV501" s="197"/>
      <c r="DW501" s="197"/>
      <c r="DX501" s="197"/>
      <c r="DY501" s="197"/>
      <c r="DZ501" s="197"/>
      <c r="EA501" s="197"/>
      <c r="EB501" s="197"/>
      <c r="EC501" s="197"/>
      <c r="ED501" s="197"/>
      <c r="EE501" s="197"/>
      <c r="EF501" s="197"/>
      <c r="EG501" s="197"/>
      <c r="EH501" s="197"/>
      <c r="EI501" s="197"/>
      <c r="EJ501" s="197"/>
      <c r="EK501" s="197"/>
      <c r="EL501" s="197"/>
      <c r="EM501" s="197"/>
      <c r="EN501" s="197"/>
      <c r="EO501" s="197"/>
      <c r="EP501" s="197"/>
      <c r="EQ501" s="197"/>
    </row>
    <row r="502" spans="1:147" s="2" customFormat="1" ht="12.75" hidden="1" customHeight="1">
      <c r="A502" s="802"/>
      <c r="B502" s="3"/>
      <c r="C502" s="133" t="s">
        <v>2178</v>
      </c>
      <c r="D502" s="3"/>
      <c r="E502" s="97"/>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3"/>
      <c r="AE502" s="3"/>
      <c r="AF502" s="3"/>
      <c r="AG502" s="16"/>
      <c r="AH502" s="16"/>
      <c r="AI502" s="16"/>
      <c r="AJ502" s="16"/>
      <c r="AK502" s="3"/>
      <c r="AL502" s="3"/>
      <c r="AM502" s="3"/>
      <c r="AN502" s="515"/>
      <c r="AO502" s="196"/>
      <c r="AP502" s="3"/>
      <c r="AQ502" s="3"/>
      <c r="AR502" s="3"/>
      <c r="AS502" s="3"/>
      <c r="AT502" s="3"/>
      <c r="AU502" s="1577"/>
      <c r="AV502" s="1578"/>
      <c r="AW502" s="1578"/>
      <c r="AX502" s="1578"/>
      <c r="AY502" s="1578"/>
      <c r="AZ502" s="1578"/>
      <c r="BA502" s="1578"/>
      <c r="BB502" s="17"/>
      <c r="BC502" s="17"/>
      <c r="BE502" s="3"/>
      <c r="BF502" s="3"/>
      <c r="BG502" s="3"/>
      <c r="BH502" s="3"/>
      <c r="BI502" s="3"/>
      <c r="BJ502" s="1575"/>
      <c r="BK502" s="1576"/>
      <c r="BL502" s="1576"/>
      <c r="BM502" s="1576"/>
      <c r="BN502" s="1576"/>
      <c r="BO502" s="1576"/>
      <c r="BP502" s="1576"/>
      <c r="BQ502" s="17"/>
      <c r="BR502" s="3"/>
    </row>
    <row r="503" spans="1:147" customFormat="1" ht="12.75" hidden="1" customHeight="1">
      <c r="A503" s="802"/>
      <c r="B503" s="3"/>
      <c r="C503" s="1558" t="s">
        <v>325</v>
      </c>
      <c r="D503" s="1559"/>
      <c r="E503" s="577" t="s">
        <v>45</v>
      </c>
      <c r="F503" s="1731" t="s">
        <v>2154</v>
      </c>
      <c r="G503" s="1731"/>
      <c r="H503" s="1731"/>
      <c r="I503" s="1731"/>
      <c r="J503" s="1731"/>
      <c r="K503" s="1731"/>
      <c r="L503" s="1731"/>
      <c r="M503" s="1731"/>
      <c r="N503" s="1731"/>
      <c r="O503" s="1731"/>
      <c r="P503" s="1731"/>
      <c r="Q503" s="1731"/>
      <c r="R503" s="1731"/>
      <c r="S503" s="1731"/>
      <c r="T503" s="1731"/>
      <c r="U503" s="1731"/>
      <c r="V503" s="1731"/>
      <c r="W503" s="1731"/>
      <c r="X503" s="1731"/>
      <c r="Y503" s="1731"/>
      <c r="Z503" s="1731"/>
      <c r="AA503" s="1731"/>
      <c r="AB503" s="1731"/>
      <c r="AC503" s="1731"/>
      <c r="AD503" s="1731"/>
      <c r="AE503" s="1731"/>
      <c r="AF503" s="533"/>
      <c r="AG503" s="572"/>
      <c r="AH503" s="572"/>
      <c r="AI503" s="572"/>
      <c r="AJ503" s="572"/>
      <c r="AK503" s="555"/>
      <c r="AL503" s="3"/>
      <c r="AM503" s="3"/>
      <c r="AN503" s="508"/>
      <c r="AO503" s="30"/>
      <c r="AP503" s="3"/>
      <c r="AQ503" s="3"/>
      <c r="AR503" s="3"/>
      <c r="AS503" s="3"/>
      <c r="AT503" s="3">
        <v>60</v>
      </c>
      <c r="AU503" s="113">
        <v>55</v>
      </c>
      <c r="AV503" s="113">
        <v>50</v>
      </c>
      <c r="AW503" s="113">
        <v>45</v>
      </c>
      <c r="AX503" s="113">
        <v>40</v>
      </c>
      <c r="AY503" s="113">
        <v>35</v>
      </c>
      <c r="AZ503" s="113">
        <v>30</v>
      </c>
      <c r="BA503" s="113">
        <v>20</v>
      </c>
      <c r="BB503" s="3"/>
      <c r="BC503" s="3"/>
      <c r="BE503" s="3"/>
      <c r="BF503" s="3"/>
      <c r="BG503" s="3"/>
      <c r="BH503" s="3"/>
      <c r="BI503" s="3">
        <v>60</v>
      </c>
      <c r="BJ503" s="113">
        <v>55</v>
      </c>
      <c r="BK503" s="113">
        <v>50</v>
      </c>
      <c r="BL503" s="113">
        <v>45</v>
      </c>
      <c r="BM503" s="113">
        <v>40</v>
      </c>
      <c r="BN503" s="113">
        <v>35</v>
      </c>
      <c r="BO503" s="113">
        <v>30</v>
      </c>
      <c r="BP503" s="113">
        <v>20</v>
      </c>
      <c r="BQ503" s="3"/>
      <c r="BR503" s="3"/>
    </row>
    <row r="504" spans="1:147" customFormat="1" ht="12.75" hidden="1" customHeight="1">
      <c r="A504" s="802"/>
      <c r="B504" s="3"/>
      <c r="C504" s="556"/>
      <c r="D504" s="3"/>
      <c r="E504" s="97"/>
      <c r="F504" s="1732"/>
      <c r="G504" s="1732"/>
      <c r="H504" s="1732"/>
      <c r="I504" s="1732"/>
      <c r="J504" s="1732"/>
      <c r="K504" s="1732"/>
      <c r="L504" s="1732"/>
      <c r="M504" s="1732"/>
      <c r="N504" s="1732"/>
      <c r="O504" s="1732"/>
      <c r="P504" s="1732"/>
      <c r="Q504" s="1732"/>
      <c r="R504" s="1732"/>
      <c r="S504" s="1732"/>
      <c r="T504" s="1732"/>
      <c r="U504" s="1732"/>
      <c r="V504" s="1732"/>
      <c r="W504" s="1732"/>
      <c r="X504" s="1732"/>
      <c r="Y504" s="1732"/>
      <c r="Z504" s="1732"/>
      <c r="AA504" s="1732"/>
      <c r="AB504" s="1732"/>
      <c r="AC504" s="1732"/>
      <c r="AD504" s="1732"/>
      <c r="AE504" s="1732"/>
      <c r="AF504" s="3"/>
      <c r="AG504" s="16"/>
      <c r="AH504" s="16"/>
      <c r="AI504" s="16"/>
      <c r="AJ504" s="16"/>
      <c r="AK504" s="540"/>
      <c r="AL504" s="3"/>
      <c r="AM504" s="3"/>
      <c r="AN504" s="508"/>
      <c r="AO504" s="30"/>
      <c r="AP504" s="1440" t="s">
        <v>2179</v>
      </c>
      <c r="AQ504" s="1441"/>
      <c r="AR504" s="1442"/>
      <c r="AS504" s="478">
        <v>80</v>
      </c>
      <c r="AT504" s="3">
        <v>0</v>
      </c>
      <c r="AU504" s="114">
        <v>10</v>
      </c>
      <c r="AV504" s="114">
        <v>25</v>
      </c>
      <c r="AW504" s="114">
        <v>37.5</v>
      </c>
      <c r="AX504" s="114">
        <v>35</v>
      </c>
      <c r="AY504" s="114">
        <v>37.5</v>
      </c>
      <c r="AZ504" s="114">
        <v>50</v>
      </c>
      <c r="BA504" s="114">
        <v>50</v>
      </c>
      <c r="BB504" s="18"/>
      <c r="BC504" s="18"/>
      <c r="BE504" s="1440" t="s">
        <v>2179</v>
      </c>
      <c r="BF504" s="1441"/>
      <c r="BG504" s="1442"/>
      <c r="BH504" s="478">
        <v>80</v>
      </c>
      <c r="BI504" s="3">
        <v>0</v>
      </c>
      <c r="BJ504" s="115">
        <v>0</v>
      </c>
      <c r="BK504" s="114">
        <v>25</v>
      </c>
      <c r="BL504" s="114">
        <v>37.5</v>
      </c>
      <c r="BM504" s="114">
        <v>35</v>
      </c>
      <c r="BN504" s="114">
        <v>37.5</v>
      </c>
      <c r="BO504" s="114">
        <v>50</v>
      </c>
      <c r="BP504" s="114">
        <v>50</v>
      </c>
      <c r="BQ504" s="18"/>
      <c r="BR504" s="3"/>
      <c r="CD504" s="18"/>
      <c r="CE504" s="18"/>
      <c r="CF504" s="18"/>
      <c r="CG504" s="18"/>
      <c r="CH504" s="18"/>
      <c r="CI504" s="18"/>
      <c r="CJ504" s="18"/>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c r="DG504" s="18"/>
      <c r="DH504" s="18"/>
      <c r="DI504" s="18"/>
      <c r="DJ504" s="18"/>
      <c r="DK504" s="18"/>
      <c r="DL504" s="18"/>
      <c r="DM504" s="18"/>
      <c r="DN504" s="18"/>
      <c r="DO504" s="18"/>
      <c r="DP504" s="18"/>
      <c r="DQ504" s="18"/>
      <c r="DR504" s="18"/>
    </row>
    <row r="505" spans="1:147" customFormat="1" ht="12.75" hidden="1" customHeight="1">
      <c r="A505" s="802"/>
      <c r="B505" s="3"/>
      <c r="C505" s="557"/>
      <c r="D505" s="548"/>
      <c r="E505" s="558"/>
      <c r="F505" s="1740" t="s">
        <v>325</v>
      </c>
      <c r="G505" s="1740"/>
      <c r="H505" s="1740"/>
      <c r="I505" s="1740"/>
      <c r="J505" s="1740"/>
      <c r="K505" s="1740"/>
      <c r="L505" s="1740"/>
      <c r="M505" s="1740"/>
      <c r="N505" s="1740"/>
      <c r="O505" s="1740"/>
      <c r="P505" s="1740"/>
      <c r="Q505" s="1740"/>
      <c r="R505" s="1740"/>
      <c r="S505" s="1740"/>
      <c r="T505" s="1740"/>
      <c r="U505" s="1740"/>
      <c r="V505" s="1740"/>
      <c r="W505" s="1740"/>
      <c r="X505" s="1740"/>
      <c r="Y505" s="1740"/>
      <c r="Z505" s="1740"/>
      <c r="AA505" s="559"/>
      <c r="AB505" s="560"/>
      <c r="AC505" s="560"/>
      <c r="AD505" s="548"/>
      <c r="AE505" s="548"/>
      <c r="AF505" s="548"/>
      <c r="AG505" s="561">
        <f>IF($C$503="Yes",(VLOOKUP($F$505,$AO$473:$AP$481,2,FALSE)),0)</f>
        <v>0</v>
      </c>
      <c r="AH505" s="562" t="s">
        <v>2156</v>
      </c>
      <c r="AI505" s="561"/>
      <c r="AJ505" s="560"/>
      <c r="AK505" s="549"/>
      <c r="AL505" s="3"/>
      <c r="AM505" s="3"/>
      <c r="AN505" s="508"/>
      <c r="AO505" s="30"/>
      <c r="AP505" s="1443"/>
      <c r="AQ505" s="1444"/>
      <c r="AR505" s="1445"/>
      <c r="AS505" s="478">
        <v>75</v>
      </c>
      <c r="AT505" s="3">
        <v>0</v>
      </c>
      <c r="AU505" s="114">
        <v>10</v>
      </c>
      <c r="AV505" s="114">
        <v>25</v>
      </c>
      <c r="AW505" s="114">
        <v>37.5</v>
      </c>
      <c r="AX505" s="114">
        <v>35</v>
      </c>
      <c r="AY505" s="114">
        <v>37.5</v>
      </c>
      <c r="AZ505" s="114">
        <v>50</v>
      </c>
      <c r="BA505" s="114">
        <v>50</v>
      </c>
      <c r="BB505" s="18"/>
      <c r="BC505" s="18"/>
      <c r="BE505" s="1443"/>
      <c r="BF505" s="1444"/>
      <c r="BG505" s="1445"/>
      <c r="BH505" s="478">
        <v>75</v>
      </c>
      <c r="BI505" s="3">
        <v>0</v>
      </c>
      <c r="BJ505" s="115">
        <v>0</v>
      </c>
      <c r="BK505" s="114">
        <v>25</v>
      </c>
      <c r="BL505" s="114">
        <v>37.5</v>
      </c>
      <c r="BM505" s="114">
        <v>35</v>
      </c>
      <c r="BN505" s="114">
        <v>37.5</v>
      </c>
      <c r="BO505" s="114">
        <v>50</v>
      </c>
      <c r="BP505" s="114">
        <v>50</v>
      </c>
      <c r="BQ505" s="18"/>
      <c r="BR505" s="3"/>
      <c r="CD505" s="18"/>
      <c r="CE505" s="18"/>
      <c r="CF505" s="18"/>
      <c r="CG505" s="18"/>
      <c r="CH505" s="18"/>
      <c r="CI505" s="18"/>
      <c r="CJ505" s="18"/>
      <c r="CK505" s="18"/>
      <c r="CL505" s="18"/>
      <c r="CM505" s="18"/>
      <c r="CN505" s="18"/>
      <c r="CO505" s="18"/>
      <c r="CP505" s="18"/>
      <c r="CQ505" s="18"/>
      <c r="CR505" s="18"/>
      <c r="CS505" s="18"/>
      <c r="CT505" s="18"/>
      <c r="CU505" s="18"/>
      <c r="CV505" s="18"/>
      <c r="CW505" s="18"/>
      <c r="CX505" s="18"/>
      <c r="CY505" s="18"/>
      <c r="CZ505" s="18"/>
      <c r="DA505" s="18"/>
      <c r="DB505" s="18"/>
      <c r="DC505" s="18"/>
      <c r="DD505" s="18"/>
      <c r="DE505" s="18"/>
      <c r="DF505" s="18"/>
      <c r="DG505" s="18"/>
      <c r="DH505" s="18"/>
      <c r="DI505" s="18"/>
      <c r="DJ505" s="18"/>
      <c r="DK505" s="18"/>
      <c r="DL505" s="18"/>
      <c r="DM505" s="18"/>
      <c r="DN505" s="18"/>
      <c r="DO505" s="18"/>
      <c r="DP505" s="18"/>
      <c r="DQ505" s="18"/>
      <c r="DR505" s="18"/>
    </row>
    <row r="506" spans="1:147" customFormat="1" ht="12.75" hidden="1" customHeight="1">
      <c r="A506" s="802"/>
      <c r="B506" s="3"/>
      <c r="C506" s="133"/>
      <c r="D506" s="3"/>
      <c r="E506" s="97"/>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3"/>
      <c r="AE506" s="3"/>
      <c r="AF506" s="3"/>
      <c r="AG506" s="16"/>
      <c r="AH506" s="16"/>
      <c r="AI506" s="16"/>
      <c r="AJ506" s="16"/>
      <c r="AK506" s="3"/>
      <c r="AL506" s="3"/>
      <c r="AM506" s="3"/>
      <c r="AN506" s="508"/>
      <c r="AO506" s="30"/>
      <c r="AP506" s="1443"/>
      <c r="AQ506" s="1444"/>
      <c r="AR506" s="1445"/>
      <c r="AS506" s="478">
        <v>70</v>
      </c>
      <c r="AT506" s="3">
        <v>0</v>
      </c>
      <c r="AU506" s="114">
        <v>10</v>
      </c>
      <c r="AV506" s="114">
        <v>25</v>
      </c>
      <c r="AW506" s="114">
        <v>37.5</v>
      </c>
      <c r="AX506" s="114">
        <v>35</v>
      </c>
      <c r="AY506" s="114">
        <v>37.5</v>
      </c>
      <c r="AZ506" s="114">
        <v>50</v>
      </c>
      <c r="BA506" s="114">
        <v>50</v>
      </c>
      <c r="BB506" s="18"/>
      <c r="BC506" s="18"/>
      <c r="BE506" s="1443"/>
      <c r="BF506" s="1444"/>
      <c r="BG506" s="1445"/>
      <c r="BH506" s="478">
        <v>70</v>
      </c>
      <c r="BI506" s="3">
        <v>0</v>
      </c>
      <c r="BJ506" s="115">
        <v>0</v>
      </c>
      <c r="BK506" s="114">
        <v>25</v>
      </c>
      <c r="BL506" s="114">
        <v>37.5</v>
      </c>
      <c r="BM506" s="114">
        <v>35</v>
      </c>
      <c r="BN506" s="114">
        <v>37.5</v>
      </c>
      <c r="BO506" s="114">
        <v>50</v>
      </c>
      <c r="BP506" s="114">
        <v>50</v>
      </c>
      <c r="BQ506" s="18"/>
      <c r="BR506" s="3"/>
      <c r="CD506" s="18"/>
      <c r="CE506" s="18"/>
      <c r="CF506" s="18"/>
      <c r="CG506" s="18"/>
      <c r="CH506" s="18"/>
      <c r="CI506" s="18"/>
      <c r="CJ506" s="18"/>
      <c r="CK506" s="18"/>
      <c r="CL506" s="18"/>
      <c r="CM506" s="18"/>
      <c r="CN506" s="18"/>
      <c r="CO506" s="18"/>
      <c r="CP506" s="18"/>
      <c r="CQ506" s="18"/>
      <c r="CR506" s="18"/>
      <c r="CS506" s="18"/>
      <c r="CT506" s="18"/>
      <c r="CU506" s="18"/>
      <c r="CV506" s="18"/>
      <c r="CW506" s="18"/>
      <c r="CX506" s="18"/>
      <c r="CY506" s="18"/>
      <c r="CZ506" s="18"/>
      <c r="DA506" s="18"/>
      <c r="DB506" s="18"/>
      <c r="DC506" s="18"/>
      <c r="DD506" s="18"/>
      <c r="DE506" s="18"/>
      <c r="DF506" s="18"/>
      <c r="DG506" s="18"/>
      <c r="DH506" s="18"/>
      <c r="DI506" s="18"/>
      <c r="DJ506" s="18"/>
      <c r="DK506" s="18"/>
      <c r="DL506" s="18"/>
      <c r="DM506" s="18"/>
      <c r="DN506" s="18"/>
      <c r="DO506" s="18"/>
      <c r="DP506" s="18"/>
      <c r="DQ506" s="18"/>
      <c r="DR506" s="18"/>
    </row>
    <row r="507" spans="1:147" customFormat="1" ht="12.75" hidden="1" customHeight="1">
      <c r="A507" s="3"/>
      <c r="B507" s="3"/>
      <c r="C507" s="1558" t="s">
        <v>325</v>
      </c>
      <c r="D507" s="1559"/>
      <c r="E507" s="577" t="s">
        <v>47</v>
      </c>
      <c r="F507" s="1736" t="s">
        <v>2180</v>
      </c>
      <c r="G507" s="1736"/>
      <c r="H507" s="1736"/>
      <c r="I507" s="1736"/>
      <c r="J507" s="1736"/>
      <c r="K507" s="1736"/>
      <c r="L507" s="1736"/>
      <c r="M507" s="1736"/>
      <c r="N507" s="1736"/>
      <c r="O507" s="1736"/>
      <c r="P507" s="1736"/>
      <c r="Q507" s="1736"/>
      <c r="R507" s="1736"/>
      <c r="S507" s="1736"/>
      <c r="T507" s="1736"/>
      <c r="U507" s="1736"/>
      <c r="V507" s="1736"/>
      <c r="W507" s="1736"/>
      <c r="X507" s="1736"/>
      <c r="Y507" s="1736"/>
      <c r="Z507" s="1736"/>
      <c r="AA507" s="1736"/>
      <c r="AB507" s="1736"/>
      <c r="AC507" s="1736"/>
      <c r="AD507" s="1736"/>
      <c r="AE507" s="1736"/>
      <c r="AF507" s="533"/>
      <c r="AG507" s="564"/>
      <c r="AH507" s="564"/>
      <c r="AI507" s="564"/>
      <c r="AJ507" s="564"/>
      <c r="AK507" s="555"/>
      <c r="AL507" s="3"/>
      <c r="AM507" s="3"/>
      <c r="AN507" s="508"/>
      <c r="AO507" s="30"/>
      <c r="AP507" s="1443"/>
      <c r="AQ507" s="1444"/>
      <c r="AR507" s="1445"/>
      <c r="AS507" s="478">
        <v>65</v>
      </c>
      <c r="AT507" s="3">
        <v>0</v>
      </c>
      <c r="AU507" s="114">
        <v>10</v>
      </c>
      <c r="AV507" s="114">
        <v>25</v>
      </c>
      <c r="AW507" s="114">
        <v>37.5</v>
      </c>
      <c r="AX507" s="114">
        <v>35</v>
      </c>
      <c r="AY507" s="114">
        <v>37.5</v>
      </c>
      <c r="AZ507" s="114">
        <v>50</v>
      </c>
      <c r="BA507" s="114">
        <v>50</v>
      </c>
      <c r="BB507" s="18"/>
      <c r="BC507" s="18"/>
      <c r="BE507" s="1443"/>
      <c r="BF507" s="1444"/>
      <c r="BG507" s="1445"/>
      <c r="BH507" s="478">
        <v>65</v>
      </c>
      <c r="BI507" s="3">
        <v>0</v>
      </c>
      <c r="BJ507" s="115">
        <v>0</v>
      </c>
      <c r="BK507" s="114">
        <v>25</v>
      </c>
      <c r="BL507" s="114">
        <v>37.5</v>
      </c>
      <c r="BM507" s="114">
        <v>35</v>
      </c>
      <c r="BN507" s="114">
        <v>37.5</v>
      </c>
      <c r="BO507" s="114">
        <v>50</v>
      </c>
      <c r="BP507" s="114">
        <v>50</v>
      </c>
      <c r="BQ507" s="18"/>
      <c r="BR507" s="3"/>
      <c r="CD507" s="18"/>
      <c r="CE507" s="18"/>
      <c r="CF507" s="18"/>
      <c r="CG507" s="18"/>
      <c r="CH507" s="18"/>
      <c r="CI507" s="18"/>
      <c r="CJ507" s="18"/>
      <c r="CK507" s="18"/>
      <c r="CL507" s="18"/>
      <c r="CM507" s="18"/>
      <c r="CN507" s="18"/>
      <c r="CO507" s="18"/>
      <c r="CP507" s="18"/>
      <c r="CQ507" s="18"/>
      <c r="CR507" s="18"/>
      <c r="CS507" s="18"/>
      <c r="CT507" s="18"/>
      <c r="CU507" s="18"/>
      <c r="CV507" s="18"/>
      <c r="CW507" s="18"/>
      <c r="CX507" s="18"/>
      <c r="CY507" s="18"/>
      <c r="CZ507" s="18"/>
      <c r="DA507" s="18"/>
      <c r="DB507" s="18"/>
      <c r="DC507" s="18"/>
      <c r="DD507" s="18"/>
      <c r="DE507" s="18"/>
      <c r="DF507" s="18"/>
      <c r="DG507" s="18"/>
      <c r="DH507" s="18"/>
      <c r="DI507" s="18"/>
      <c r="DJ507" s="18"/>
      <c r="DK507" s="18"/>
      <c r="DL507" s="18"/>
      <c r="DM507" s="18"/>
      <c r="DN507" s="18"/>
      <c r="DO507" s="18"/>
      <c r="DP507" s="18"/>
      <c r="DQ507" s="18"/>
      <c r="DR507" s="18"/>
    </row>
    <row r="508" spans="1:147" customFormat="1" ht="12.75" hidden="1" customHeight="1">
      <c r="A508" s="3"/>
      <c r="B508" s="3"/>
      <c r="C508" s="556"/>
      <c r="D508" s="3"/>
      <c r="E508" s="97"/>
      <c r="F508" s="1737"/>
      <c r="G508" s="1737"/>
      <c r="H508" s="1737"/>
      <c r="I508" s="1737"/>
      <c r="J508" s="1737"/>
      <c r="K508" s="1737"/>
      <c r="L508" s="1737"/>
      <c r="M508" s="1737"/>
      <c r="N508" s="1737"/>
      <c r="O508" s="1737"/>
      <c r="P508" s="1737"/>
      <c r="Q508" s="1737"/>
      <c r="R508" s="1737"/>
      <c r="S508" s="1737"/>
      <c r="T508" s="1737"/>
      <c r="U508" s="1737"/>
      <c r="V508" s="1737"/>
      <c r="W508" s="1737"/>
      <c r="X508" s="1737"/>
      <c r="Y508" s="1737"/>
      <c r="Z508" s="1737"/>
      <c r="AA508" s="1737"/>
      <c r="AB508" s="1737"/>
      <c r="AC508" s="1737"/>
      <c r="AD508" s="1737"/>
      <c r="AE508" s="1737"/>
      <c r="AF508" s="3"/>
      <c r="AG508" s="16"/>
      <c r="AH508" s="16"/>
      <c r="AI508" s="16"/>
      <c r="AJ508" s="16"/>
      <c r="AK508" s="540"/>
      <c r="AL508" s="3"/>
      <c r="AM508" s="3"/>
      <c r="AN508" s="508"/>
      <c r="AO508" s="30"/>
      <c r="AP508" s="1443"/>
      <c r="AQ508" s="1444"/>
      <c r="AR508" s="1445"/>
      <c r="AS508" s="478">
        <v>60</v>
      </c>
      <c r="AT508" s="3">
        <v>0</v>
      </c>
      <c r="AU508" s="114">
        <v>10</v>
      </c>
      <c r="AV508" s="114">
        <v>25</v>
      </c>
      <c r="AW508" s="114">
        <v>37.5</v>
      </c>
      <c r="AX508" s="114">
        <v>35</v>
      </c>
      <c r="AY508" s="114">
        <v>37.5</v>
      </c>
      <c r="AZ508" s="114">
        <v>50</v>
      </c>
      <c r="BA508" s="114">
        <v>50</v>
      </c>
      <c r="BB508" s="18"/>
      <c r="BC508" s="18"/>
      <c r="BE508" s="1443"/>
      <c r="BF508" s="1444"/>
      <c r="BG508" s="1445"/>
      <c r="BH508" s="478">
        <v>60</v>
      </c>
      <c r="BI508" s="3">
        <v>0</v>
      </c>
      <c r="BJ508" s="115">
        <v>0</v>
      </c>
      <c r="BK508" s="114">
        <v>25</v>
      </c>
      <c r="BL508" s="114">
        <v>37.5</v>
      </c>
      <c r="BM508" s="114">
        <v>35</v>
      </c>
      <c r="BN508" s="114">
        <v>37.5</v>
      </c>
      <c r="BO508" s="114">
        <v>50</v>
      </c>
      <c r="BP508" s="114">
        <v>50</v>
      </c>
      <c r="BQ508" s="18"/>
      <c r="BR508" s="3"/>
      <c r="CD508" s="18"/>
      <c r="CE508" s="18"/>
      <c r="CF508" s="18"/>
      <c r="CG508" s="18"/>
      <c r="CH508" s="18"/>
      <c r="CI508" s="18"/>
      <c r="CJ508" s="18"/>
      <c r="CK508" s="18"/>
      <c r="CL508" s="18"/>
      <c r="CM508" s="18"/>
      <c r="CN508" s="18"/>
      <c r="CO508" s="18"/>
      <c r="CP508" s="18"/>
      <c r="CQ508" s="18"/>
      <c r="CR508" s="18"/>
      <c r="CS508" s="18"/>
      <c r="CT508" s="18"/>
      <c r="CU508" s="18"/>
      <c r="CV508" s="18"/>
      <c r="CW508" s="18"/>
      <c r="CX508" s="18"/>
      <c r="CY508" s="18"/>
      <c r="CZ508" s="18"/>
      <c r="DA508" s="18"/>
      <c r="DB508" s="18"/>
      <c r="DC508" s="18"/>
      <c r="DD508" s="18"/>
      <c r="DE508" s="18"/>
      <c r="DF508" s="18"/>
      <c r="DG508" s="18"/>
      <c r="DH508" s="18"/>
      <c r="DI508" s="18"/>
      <c r="DJ508" s="18"/>
      <c r="DK508" s="18"/>
      <c r="DL508" s="18"/>
      <c r="DM508" s="18"/>
      <c r="DN508" s="18"/>
      <c r="DO508" s="18"/>
      <c r="DP508" s="18"/>
      <c r="DQ508" s="18"/>
      <c r="DR508" s="18"/>
    </row>
    <row r="509" spans="1:147" customFormat="1" ht="12.75" hidden="1" customHeight="1">
      <c r="A509" s="3"/>
      <c r="B509" s="3"/>
      <c r="C509" s="542"/>
      <c r="D509" s="3"/>
      <c r="E509" s="3"/>
      <c r="F509" s="424" t="s">
        <v>2181</v>
      </c>
      <c r="G509" s="16"/>
      <c r="H509" s="16"/>
      <c r="I509" s="16"/>
      <c r="J509" s="16"/>
      <c r="K509" s="16"/>
      <c r="L509" s="16"/>
      <c r="M509" s="16"/>
      <c r="N509" s="16"/>
      <c r="O509" s="16"/>
      <c r="P509" s="16"/>
      <c r="Q509" s="16"/>
      <c r="R509" s="16"/>
      <c r="S509" s="16"/>
      <c r="T509" s="16"/>
      <c r="U509" s="16"/>
      <c r="V509" s="16"/>
      <c r="W509" s="16"/>
      <c r="X509" s="16"/>
      <c r="Y509" s="16"/>
      <c r="Z509" s="16"/>
      <c r="AA509" s="16"/>
      <c r="AB509" s="16"/>
      <c r="AC509" s="815"/>
      <c r="AD509" s="3"/>
      <c r="AE509" s="3"/>
      <c r="AF509" s="3"/>
      <c r="AG509" s="67"/>
      <c r="AH509" s="67"/>
      <c r="AI509" s="67"/>
      <c r="AJ509" s="67"/>
      <c r="AK509" s="540"/>
      <c r="AL509" s="3"/>
      <c r="AM509" s="3"/>
      <c r="AN509" s="508"/>
      <c r="AP509" s="1443"/>
      <c r="AQ509" s="1444"/>
      <c r="AR509" s="1445"/>
      <c r="AS509" s="478">
        <v>55</v>
      </c>
      <c r="AT509" s="3">
        <v>0</v>
      </c>
      <c r="AU509" s="114">
        <v>10</v>
      </c>
      <c r="AV509" s="114">
        <v>25</v>
      </c>
      <c r="AW509" s="114">
        <v>37.5</v>
      </c>
      <c r="AX509" s="114">
        <v>35</v>
      </c>
      <c r="AY509" s="114">
        <v>37.5</v>
      </c>
      <c r="AZ509" s="114">
        <v>50</v>
      </c>
      <c r="BA509" s="114">
        <v>50</v>
      </c>
      <c r="BE509" s="1443"/>
      <c r="BF509" s="1444"/>
      <c r="BG509" s="1445"/>
      <c r="BH509" s="478">
        <v>55</v>
      </c>
      <c r="BI509" s="3">
        <v>0</v>
      </c>
      <c r="BJ509" s="115">
        <v>0</v>
      </c>
      <c r="BK509" s="114">
        <v>25</v>
      </c>
      <c r="BL509" s="114">
        <v>37.5</v>
      </c>
      <c r="BM509" s="114">
        <v>35</v>
      </c>
      <c r="BN509" s="114">
        <v>37.5</v>
      </c>
      <c r="BO509" s="114">
        <v>50</v>
      </c>
      <c r="BP509" s="114">
        <v>50</v>
      </c>
      <c r="BR509" s="3"/>
      <c r="CR509" s="18"/>
      <c r="CS509" s="18"/>
      <c r="CT509" s="18"/>
      <c r="CU509" s="18"/>
      <c r="CV509" s="18"/>
      <c r="CW509" s="18"/>
      <c r="CX509" s="18"/>
      <c r="CY509" s="18"/>
      <c r="CZ509" s="18"/>
      <c r="DA509" s="18"/>
      <c r="DB509" s="18"/>
      <c r="DC509" s="18"/>
      <c r="DD509" s="18"/>
      <c r="DE509" s="18"/>
      <c r="DF509" s="18"/>
      <c r="DG509" s="18"/>
      <c r="DH509" s="18"/>
      <c r="DI509" s="18"/>
      <c r="DJ509" s="18"/>
      <c r="DK509" s="18"/>
      <c r="DL509" s="18"/>
      <c r="DM509" s="18"/>
      <c r="DN509" s="18"/>
      <c r="DO509" s="18"/>
      <c r="DP509" s="18"/>
      <c r="DQ509" s="18"/>
      <c r="DR509" s="18"/>
    </row>
    <row r="510" spans="1:147" customFormat="1" hidden="1">
      <c r="A510" s="3"/>
      <c r="B510" s="3"/>
      <c r="C510" s="557"/>
      <c r="D510" s="548"/>
      <c r="E510" s="558"/>
      <c r="F510" s="1741" t="s">
        <v>325</v>
      </c>
      <c r="G510" s="1741"/>
      <c r="H510" s="1741"/>
      <c r="I510" s="560"/>
      <c r="J510" s="560"/>
      <c r="K510" s="560"/>
      <c r="L510" s="560"/>
      <c r="M510" s="560"/>
      <c r="N510" s="560"/>
      <c r="O510" s="560"/>
      <c r="P510" s="560"/>
      <c r="Q510" s="560"/>
      <c r="R510" s="560"/>
      <c r="S510" s="560"/>
      <c r="T510" s="560"/>
      <c r="U510" s="560"/>
      <c r="V510" s="560"/>
      <c r="W510" s="560"/>
      <c r="X510" s="560"/>
      <c r="Y510" s="560"/>
      <c r="Z510" s="560"/>
      <c r="AA510" s="560"/>
      <c r="AB510" s="560"/>
      <c r="AC510" s="560"/>
      <c r="AD510" s="548"/>
      <c r="AE510" s="548"/>
      <c r="AF510" s="548"/>
      <c r="AG510" s="561">
        <f>IF($C$507="Yes",(VLOOKUP($F$510,$AO$483:$AP$485,2,FALSE)),0)</f>
        <v>0</v>
      </c>
      <c r="AH510" s="562" t="s">
        <v>2156</v>
      </c>
      <c r="AI510" s="560"/>
      <c r="AJ510" s="560"/>
      <c r="AK510" s="549"/>
      <c r="AL510" s="3"/>
      <c r="AM510" s="3"/>
      <c r="AN510" s="508"/>
      <c r="AP510" s="1443"/>
      <c r="AQ510" s="1444"/>
      <c r="AR510" s="1445"/>
      <c r="AS510" s="113">
        <v>50</v>
      </c>
      <c r="AT510" s="3">
        <v>0</v>
      </c>
      <c r="AU510" s="114">
        <v>10</v>
      </c>
      <c r="AV510" s="114">
        <v>25</v>
      </c>
      <c r="AW510" s="114">
        <v>37.5</v>
      </c>
      <c r="AX510" s="114">
        <v>35</v>
      </c>
      <c r="AY510" s="114">
        <v>37.5</v>
      </c>
      <c r="AZ510" s="114">
        <v>50</v>
      </c>
      <c r="BA510" s="114">
        <v>50</v>
      </c>
      <c r="BE510" s="1443"/>
      <c r="BF510" s="1444"/>
      <c r="BG510" s="1445"/>
      <c r="BH510" s="113">
        <v>50</v>
      </c>
      <c r="BI510" s="3">
        <v>0</v>
      </c>
      <c r="BJ510" s="115">
        <v>0</v>
      </c>
      <c r="BK510" s="114">
        <v>25</v>
      </c>
      <c r="BL510" s="114">
        <v>37.5</v>
      </c>
      <c r="BM510" s="114">
        <v>35</v>
      </c>
      <c r="BN510" s="114">
        <v>37.5</v>
      </c>
      <c r="BO510" s="114">
        <v>50</v>
      </c>
      <c r="BP510" s="114">
        <v>50</v>
      </c>
      <c r="BR510" s="3"/>
      <c r="CR510" s="18"/>
      <c r="CS510" s="18"/>
      <c r="CT510" s="18"/>
      <c r="CU510" s="18"/>
      <c r="CV510" s="18"/>
      <c r="CW510" s="18"/>
      <c r="CX510" s="18"/>
      <c r="CY510" s="18"/>
      <c r="CZ510" s="18"/>
      <c r="DA510" s="18"/>
      <c r="DB510" s="18"/>
      <c r="DC510" s="18"/>
      <c r="DD510" s="18"/>
      <c r="DE510" s="18"/>
      <c r="DF510" s="18"/>
      <c r="DG510" s="18"/>
      <c r="DH510" s="18"/>
      <c r="DI510" s="18"/>
      <c r="DJ510" s="18"/>
      <c r="DK510" s="18"/>
      <c r="DL510" s="18"/>
      <c r="DM510" s="18"/>
      <c r="DN510" s="18"/>
      <c r="DO510" s="18"/>
      <c r="DP510" s="18"/>
      <c r="DQ510" s="18"/>
      <c r="DR510" s="18"/>
    </row>
    <row r="511" spans="1:147" customFormat="1" hidden="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3"/>
      <c r="AF511" s="3"/>
      <c r="AG511" s="67"/>
      <c r="AH511" s="776"/>
      <c r="AI511" s="16"/>
      <c r="AJ511" s="16"/>
      <c r="AK511" s="3"/>
      <c r="AL511" s="3"/>
      <c r="AM511" s="3"/>
      <c r="AN511" s="508"/>
      <c r="AP511" s="1443"/>
      <c r="AQ511" s="1444"/>
      <c r="AR511" s="1445"/>
      <c r="AS511" s="113">
        <v>45</v>
      </c>
      <c r="AT511" s="3">
        <v>0</v>
      </c>
      <c r="AU511" s="114">
        <v>10</v>
      </c>
      <c r="AV511" s="114">
        <v>22.5</v>
      </c>
      <c r="AW511" s="114">
        <v>33.799999999999997</v>
      </c>
      <c r="AX511" s="114">
        <v>35</v>
      </c>
      <c r="AY511" s="114">
        <v>37.5</v>
      </c>
      <c r="AZ511" s="114">
        <v>50</v>
      </c>
      <c r="BA511" s="114">
        <v>50</v>
      </c>
      <c r="BE511" s="1443"/>
      <c r="BF511" s="1444"/>
      <c r="BG511" s="1445"/>
      <c r="BH511" s="113">
        <v>45</v>
      </c>
      <c r="BI511" s="3">
        <v>0</v>
      </c>
      <c r="BJ511" s="115">
        <v>0</v>
      </c>
      <c r="BK511" s="114">
        <v>22.5</v>
      </c>
      <c r="BL511" s="114">
        <v>33.799999999999997</v>
      </c>
      <c r="BM511" s="114">
        <v>35</v>
      </c>
      <c r="BN511" s="114">
        <v>37.5</v>
      </c>
      <c r="BO511" s="114">
        <v>50</v>
      </c>
      <c r="BP511" s="114">
        <v>50</v>
      </c>
      <c r="BR511" s="3"/>
      <c r="CR511" s="18"/>
      <c r="CS511" s="18"/>
      <c r="CT511" s="18"/>
      <c r="CU511" s="18"/>
      <c r="CV511" s="18"/>
      <c r="CW511" s="18"/>
      <c r="CX511" s="18"/>
      <c r="CY511" s="18"/>
      <c r="CZ511" s="18"/>
      <c r="DA511" s="18"/>
      <c r="DB511" s="18"/>
      <c r="DC511" s="18"/>
      <c r="DD511" s="18"/>
      <c r="DE511" s="18"/>
      <c r="DF511" s="18"/>
      <c r="DG511" s="18"/>
      <c r="DH511" s="18"/>
      <c r="DI511" s="18"/>
      <c r="DJ511" s="18"/>
      <c r="DK511" s="18"/>
      <c r="DL511" s="18"/>
      <c r="DM511" s="18"/>
      <c r="DN511" s="18"/>
      <c r="DO511" s="18"/>
      <c r="DP511" s="18"/>
      <c r="DQ511" s="18"/>
      <c r="DR511" s="18"/>
    </row>
    <row r="512" spans="1:147" customFormat="1" hidden="1">
      <c r="A512" s="3"/>
      <c r="B512" s="3"/>
      <c r="C512" s="1558" t="s">
        <v>325</v>
      </c>
      <c r="D512" s="1559"/>
      <c r="E512" s="577" t="s">
        <v>2182</v>
      </c>
      <c r="F512" s="571" t="s">
        <v>2183</v>
      </c>
      <c r="G512" s="564"/>
      <c r="H512" s="564"/>
      <c r="I512" s="564"/>
      <c r="J512" s="564"/>
      <c r="K512" s="564"/>
      <c r="L512" s="564"/>
      <c r="M512" s="564"/>
      <c r="N512" s="564"/>
      <c r="O512" s="564"/>
      <c r="P512" s="564"/>
      <c r="Q512" s="564"/>
      <c r="R512" s="564"/>
      <c r="S512" s="564"/>
      <c r="T512" s="564"/>
      <c r="U512" s="564"/>
      <c r="V512" s="564"/>
      <c r="W512" s="564"/>
      <c r="X512" s="564"/>
      <c r="Y512" s="564"/>
      <c r="Z512" s="564"/>
      <c r="AA512" s="564"/>
      <c r="AB512" s="564"/>
      <c r="AC512" s="573"/>
      <c r="AD512" s="533"/>
      <c r="AE512" s="533"/>
      <c r="AF512" s="533"/>
      <c r="AG512" s="574"/>
      <c r="AH512" s="574"/>
      <c r="AI512" s="574"/>
      <c r="AJ512" s="574"/>
      <c r="AK512" s="555"/>
      <c r="AL512" s="3"/>
      <c r="AM512" s="3"/>
      <c r="AN512" s="508"/>
      <c r="AP512" s="1443"/>
      <c r="AQ512" s="1444"/>
      <c r="AR512" s="1445"/>
      <c r="AS512" s="113">
        <v>40</v>
      </c>
      <c r="AT512" s="3">
        <v>0</v>
      </c>
      <c r="AU512" s="114">
        <v>10</v>
      </c>
      <c r="AV512" s="114">
        <v>20</v>
      </c>
      <c r="AW512" s="114">
        <v>30</v>
      </c>
      <c r="AX512" s="114">
        <v>35</v>
      </c>
      <c r="AY512" s="114">
        <v>37.5</v>
      </c>
      <c r="AZ512" s="114">
        <v>50</v>
      </c>
      <c r="BA512" s="114">
        <v>50</v>
      </c>
      <c r="BE512" s="1443"/>
      <c r="BF512" s="1444"/>
      <c r="BG512" s="1445"/>
      <c r="BH512" s="113">
        <v>40</v>
      </c>
      <c r="BI512" s="3">
        <v>0</v>
      </c>
      <c r="BJ512" s="115">
        <v>0</v>
      </c>
      <c r="BK512" s="114">
        <v>20</v>
      </c>
      <c r="BL512" s="114">
        <v>30</v>
      </c>
      <c r="BM512" s="114">
        <v>35</v>
      </c>
      <c r="BN512" s="114">
        <v>37.5</v>
      </c>
      <c r="BO512" s="114">
        <v>50</v>
      </c>
      <c r="BP512" s="114">
        <v>50</v>
      </c>
      <c r="BR512" s="3"/>
      <c r="CR512" s="18"/>
      <c r="CS512" s="18"/>
      <c r="CT512" s="18"/>
      <c r="CU512" s="18"/>
      <c r="CV512" s="18"/>
      <c r="CW512" s="18"/>
      <c r="CX512" s="18"/>
      <c r="CY512" s="18"/>
      <c r="CZ512" s="18"/>
      <c r="DA512" s="18"/>
      <c r="DB512" s="18"/>
      <c r="DC512" s="18"/>
      <c r="DD512" s="18"/>
      <c r="DE512" s="18"/>
      <c r="DF512" s="18"/>
      <c r="DG512" s="18"/>
      <c r="DH512" s="18"/>
      <c r="DI512" s="18"/>
      <c r="DJ512" s="18"/>
      <c r="DK512" s="18"/>
      <c r="DL512" s="18"/>
      <c r="DM512" s="18"/>
      <c r="DN512" s="18"/>
      <c r="DO512" s="18"/>
      <c r="DP512" s="18"/>
      <c r="DQ512" s="18"/>
      <c r="DR512" s="18"/>
    </row>
    <row r="513" spans="1:122" customFormat="1" hidden="1">
      <c r="A513" s="3"/>
      <c r="B513" s="3"/>
      <c r="C513" s="556"/>
      <c r="D513" s="3"/>
      <c r="E513" s="97"/>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3"/>
      <c r="AE513" s="3"/>
      <c r="AF513" s="3"/>
      <c r="AG513" s="16"/>
      <c r="AH513" s="16"/>
      <c r="AI513" s="16"/>
      <c r="AJ513" s="16"/>
      <c r="AK513" s="540"/>
      <c r="AL513" s="3"/>
      <c r="AM513" s="3"/>
      <c r="AN513" s="508"/>
      <c r="AP513" s="1443"/>
      <c r="AQ513" s="1444"/>
      <c r="AR513" s="1445"/>
      <c r="AS513" s="113">
        <v>35</v>
      </c>
      <c r="AT513" s="3">
        <v>0</v>
      </c>
      <c r="AU513" s="114">
        <v>8.8000000000000007</v>
      </c>
      <c r="AV513" s="114">
        <v>17.5</v>
      </c>
      <c r="AW513" s="114">
        <v>26.3</v>
      </c>
      <c r="AX513" s="114">
        <v>35</v>
      </c>
      <c r="AY513" s="114">
        <v>37.5</v>
      </c>
      <c r="AZ513" s="114">
        <v>50</v>
      </c>
      <c r="BA513" s="114">
        <v>50</v>
      </c>
      <c r="BE513" s="1443"/>
      <c r="BF513" s="1444"/>
      <c r="BG513" s="1445"/>
      <c r="BH513" s="113">
        <v>35</v>
      </c>
      <c r="BI513" s="3">
        <v>0</v>
      </c>
      <c r="BJ513" s="115">
        <v>0</v>
      </c>
      <c r="BK513" s="114">
        <v>17.5</v>
      </c>
      <c r="BL513" s="114">
        <v>26.3</v>
      </c>
      <c r="BM513" s="114">
        <v>35</v>
      </c>
      <c r="BN513" s="114">
        <v>37.5</v>
      </c>
      <c r="BO513" s="114">
        <v>50</v>
      </c>
      <c r="BP513" s="114">
        <v>50</v>
      </c>
      <c r="BR513" s="18"/>
      <c r="CR513" s="18"/>
      <c r="CS513" s="18"/>
      <c r="CT513" s="18"/>
      <c r="CU513" s="18"/>
      <c r="CV513" s="18"/>
      <c r="CW513" s="18"/>
      <c r="CX513" s="18"/>
      <c r="CY513" s="18"/>
      <c r="CZ513" s="18"/>
      <c r="DA513" s="18"/>
      <c r="DB513" s="18"/>
      <c r="DC513" s="18"/>
      <c r="DD513" s="18"/>
      <c r="DE513" s="18"/>
      <c r="DF513" s="18"/>
      <c r="DG513" s="18"/>
      <c r="DH513" s="18"/>
      <c r="DI513" s="18"/>
      <c r="DJ513" s="18"/>
      <c r="DK513" s="18"/>
      <c r="DL513" s="18"/>
      <c r="DM513" s="18"/>
      <c r="DN513" s="18"/>
      <c r="DO513" s="18"/>
      <c r="DP513" s="18"/>
      <c r="DQ513" s="18"/>
      <c r="DR513" s="18"/>
    </row>
    <row r="514" spans="1:122" customFormat="1" hidden="1">
      <c r="A514" s="3"/>
      <c r="B514" s="3"/>
      <c r="C514" s="1565"/>
      <c r="D514" s="990"/>
      <c r="E514" s="139"/>
      <c r="F514" s="16" t="s">
        <v>2184</v>
      </c>
      <c r="G514" s="16"/>
      <c r="H514" s="16"/>
      <c r="I514" s="16"/>
      <c r="J514" s="16"/>
      <c r="K514" s="16"/>
      <c r="L514" s="16"/>
      <c r="M514" s="16"/>
      <c r="N514" s="16"/>
      <c r="O514" s="16"/>
      <c r="P514" s="16"/>
      <c r="Q514" s="16"/>
      <c r="R514" s="16"/>
      <c r="S514" s="16"/>
      <c r="T514" s="16"/>
      <c r="U514" s="16"/>
      <c r="V514" s="16"/>
      <c r="W514" s="16"/>
      <c r="X514" s="16"/>
      <c r="Y514" s="16"/>
      <c r="Z514" s="16"/>
      <c r="AA514" s="16"/>
      <c r="AB514" s="16"/>
      <c r="AC514" s="815"/>
      <c r="AD514" s="3"/>
      <c r="AE514" s="3"/>
      <c r="AF514" s="3"/>
      <c r="AG514" s="67">
        <f>IF($C$512="Yes",(VLOOKUP($G$515,$AO$490:$AP$493,2,FALSE)),0)</f>
        <v>0</v>
      </c>
      <c r="AH514" s="776" t="s">
        <v>2156</v>
      </c>
      <c r="AI514" s="16"/>
      <c r="AJ514" s="67"/>
      <c r="AK514" s="540"/>
      <c r="AL514" s="3"/>
      <c r="AM514" s="3"/>
      <c r="AN514" s="508"/>
      <c r="AP514" s="1443"/>
      <c r="AQ514" s="1444"/>
      <c r="AR514" s="1445"/>
      <c r="AS514" s="113">
        <v>30</v>
      </c>
      <c r="AT514" s="3">
        <v>0</v>
      </c>
      <c r="AU514" s="114">
        <v>7.5</v>
      </c>
      <c r="AV514" s="114">
        <v>15</v>
      </c>
      <c r="AW514" s="114">
        <v>22.5</v>
      </c>
      <c r="AX514" s="114">
        <v>30</v>
      </c>
      <c r="AY514" s="114">
        <v>37.5</v>
      </c>
      <c r="AZ514" s="114">
        <v>45</v>
      </c>
      <c r="BA514" s="114">
        <v>50</v>
      </c>
      <c r="BE514" s="1443"/>
      <c r="BF514" s="1444"/>
      <c r="BG514" s="1445"/>
      <c r="BH514" s="113">
        <v>30</v>
      </c>
      <c r="BI514" s="3">
        <v>0</v>
      </c>
      <c r="BJ514" s="115">
        <v>0</v>
      </c>
      <c r="BK514" s="114">
        <v>15</v>
      </c>
      <c r="BL514" s="114">
        <v>22.5</v>
      </c>
      <c r="BM514" s="114">
        <v>30</v>
      </c>
      <c r="BN514" s="114">
        <v>37.5</v>
      </c>
      <c r="BO514" s="114">
        <v>45</v>
      </c>
      <c r="BP514" s="114">
        <v>50</v>
      </c>
      <c r="BR514" s="3"/>
      <c r="CX514" s="18"/>
      <c r="CY514" s="18"/>
      <c r="CZ514" s="18"/>
      <c r="DA514" s="18"/>
      <c r="DB514" s="18"/>
      <c r="DC514" s="18"/>
      <c r="DD514" s="18"/>
      <c r="DE514" s="18"/>
      <c r="DF514" s="18"/>
      <c r="DG514" s="18"/>
      <c r="DH514" s="18"/>
      <c r="DI514" s="18"/>
      <c r="DJ514" s="18"/>
      <c r="DK514" s="18"/>
      <c r="DL514" s="18"/>
      <c r="DM514" s="18"/>
      <c r="DN514" s="18"/>
      <c r="DO514" s="18"/>
      <c r="DP514" s="18"/>
      <c r="DQ514" s="18"/>
      <c r="DR514" s="18"/>
    </row>
    <row r="515" spans="1:122" customFormat="1" hidden="1">
      <c r="A515" s="3"/>
      <c r="B515" s="3"/>
      <c r="C515" s="556"/>
      <c r="D515" s="3"/>
      <c r="E515" s="97"/>
      <c r="F515" s="16"/>
      <c r="G515" s="1561" t="s">
        <v>325</v>
      </c>
      <c r="H515" s="1561"/>
      <c r="I515" s="1561"/>
      <c r="J515" s="1561"/>
      <c r="K515" s="1561"/>
      <c r="L515" s="1561"/>
      <c r="M515" s="1561"/>
      <c r="N515" s="1561"/>
      <c r="O515" s="1561"/>
      <c r="P515" s="1561"/>
      <c r="Q515" s="1561"/>
      <c r="R515" s="1561"/>
      <c r="S515" s="1561"/>
      <c r="T515" s="1561"/>
      <c r="U515" s="1561"/>
      <c r="V515" s="1561"/>
      <c r="W515" s="1561"/>
      <c r="X515" s="1561"/>
      <c r="Y515" s="1561"/>
      <c r="Z515" s="1561"/>
      <c r="AA515" s="1561"/>
      <c r="AB515" s="1561"/>
      <c r="AC515" s="1561"/>
      <c r="AD515" s="1561"/>
      <c r="AE515" s="1561"/>
      <c r="AF515" s="1561"/>
      <c r="AG515" s="3"/>
      <c r="AH515" s="3"/>
      <c r="AI515" s="3"/>
      <c r="AJ515" s="16"/>
      <c r="AK515" s="540"/>
      <c r="AL515" s="3"/>
      <c r="AM515" s="3"/>
      <c r="AN515" s="508"/>
      <c r="AP515" s="1443"/>
      <c r="AQ515" s="1444"/>
      <c r="AR515" s="1445"/>
      <c r="AS515" s="113">
        <v>25</v>
      </c>
      <c r="AT515" s="3">
        <v>0</v>
      </c>
      <c r="AU515" s="114">
        <v>6.3</v>
      </c>
      <c r="AV515" s="114">
        <v>12.5</v>
      </c>
      <c r="AW515" s="114">
        <v>18.8</v>
      </c>
      <c r="AX515" s="114">
        <v>25</v>
      </c>
      <c r="AY515" s="114">
        <v>31.3</v>
      </c>
      <c r="AZ515" s="114">
        <v>37.5</v>
      </c>
      <c r="BA515" s="114">
        <v>50</v>
      </c>
      <c r="BE515" s="1443"/>
      <c r="BF515" s="1444"/>
      <c r="BG515" s="1445"/>
      <c r="BH515" s="113">
        <v>25</v>
      </c>
      <c r="BI515" s="3">
        <v>0</v>
      </c>
      <c r="BJ515" s="115">
        <v>0</v>
      </c>
      <c r="BK515" s="114">
        <v>12.5</v>
      </c>
      <c r="BL515" s="114">
        <v>18.8</v>
      </c>
      <c r="BM515" s="114">
        <v>25</v>
      </c>
      <c r="BN515" s="114">
        <v>31.3</v>
      </c>
      <c r="BO515" s="114">
        <v>37.5</v>
      </c>
      <c r="BP515" s="114">
        <v>50</v>
      </c>
      <c r="BR515" s="3"/>
      <c r="CX515" s="18"/>
      <c r="CY515" s="18"/>
      <c r="CZ515" s="18"/>
      <c r="DA515" s="18"/>
      <c r="DB515" s="18"/>
      <c r="DC515" s="18"/>
      <c r="DD515" s="18"/>
      <c r="DE515" s="18"/>
      <c r="DF515" s="18"/>
      <c r="DG515" s="18"/>
      <c r="DH515" s="18"/>
      <c r="DI515" s="18"/>
      <c r="DJ515" s="18"/>
      <c r="DK515" s="18"/>
      <c r="DL515" s="18"/>
      <c r="DM515" s="18"/>
      <c r="DN515" s="18"/>
      <c r="DO515" s="18"/>
      <c r="DP515" s="18"/>
      <c r="DQ515" s="18"/>
      <c r="DR515" s="18"/>
    </row>
    <row r="516" spans="1:122" customFormat="1" hidden="1">
      <c r="A516" s="3"/>
      <c r="B516" s="3"/>
      <c r="C516" s="539"/>
      <c r="F516" s="18"/>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3"/>
      <c r="AE516" s="3"/>
      <c r="AF516" s="3"/>
      <c r="AG516" s="18"/>
      <c r="AH516" s="18"/>
      <c r="AI516" s="18"/>
      <c r="AJ516" s="18"/>
      <c r="AK516" s="540"/>
      <c r="AL516" s="3"/>
      <c r="AM516" s="3"/>
      <c r="AN516" s="508"/>
      <c r="AP516" s="1443"/>
      <c r="AQ516" s="1444"/>
      <c r="AR516" s="1445"/>
      <c r="AS516" s="113">
        <v>20</v>
      </c>
      <c r="AT516" s="3">
        <v>0</v>
      </c>
      <c r="AU516" s="114">
        <v>5</v>
      </c>
      <c r="AV516" s="114">
        <v>10</v>
      </c>
      <c r="AW516" s="114">
        <v>15</v>
      </c>
      <c r="AX516" s="114">
        <v>20</v>
      </c>
      <c r="AY516" s="114">
        <v>25</v>
      </c>
      <c r="AZ516" s="114">
        <v>30</v>
      </c>
      <c r="BA516" s="114">
        <v>40</v>
      </c>
      <c r="BE516" s="1443"/>
      <c r="BF516" s="1444"/>
      <c r="BG516" s="1445"/>
      <c r="BH516" s="113">
        <v>20</v>
      </c>
      <c r="BI516" s="3">
        <v>0</v>
      </c>
      <c r="BJ516" s="115">
        <v>0</v>
      </c>
      <c r="BK516" s="114">
        <v>10</v>
      </c>
      <c r="BL516" s="114">
        <v>15</v>
      </c>
      <c r="BM516" s="114">
        <v>20</v>
      </c>
      <c r="BN516" s="114">
        <v>25</v>
      </c>
      <c r="BO516" s="114">
        <v>30</v>
      </c>
      <c r="BP516" s="114">
        <v>40</v>
      </c>
      <c r="BR516" s="3"/>
      <c r="CX516" s="18"/>
      <c r="CY516" s="18"/>
      <c r="CZ516" s="18"/>
      <c r="DA516" s="18"/>
      <c r="DB516" s="18"/>
      <c r="DC516" s="18"/>
      <c r="DD516" s="18"/>
      <c r="DE516" s="18"/>
      <c r="DF516" s="18"/>
      <c r="DG516" s="18"/>
      <c r="DH516" s="18"/>
      <c r="DI516" s="18"/>
      <c r="DJ516" s="18"/>
      <c r="DK516" s="18"/>
      <c r="DL516" s="18"/>
      <c r="DM516" s="18"/>
      <c r="DN516" s="18"/>
      <c r="DO516" s="18"/>
      <c r="DP516" s="18"/>
      <c r="DQ516" s="18"/>
      <c r="DR516" s="18"/>
    </row>
    <row r="517" spans="1:122" customFormat="1" ht="12.75" hidden="1" customHeight="1">
      <c r="A517" s="18"/>
      <c r="B517" s="3"/>
      <c r="C517" s="1562" t="s">
        <v>325</v>
      </c>
      <c r="D517" s="1563"/>
      <c r="F517" s="16" t="s">
        <v>2185</v>
      </c>
      <c r="G517" s="16"/>
      <c r="H517" s="16"/>
      <c r="I517" s="16"/>
      <c r="J517" s="16"/>
      <c r="K517" s="16"/>
      <c r="L517" s="16"/>
      <c r="M517" s="16"/>
      <c r="N517" s="16"/>
      <c r="O517" s="16"/>
      <c r="P517" s="16"/>
      <c r="Q517" s="16"/>
      <c r="R517" s="16"/>
      <c r="S517" s="16"/>
      <c r="T517" s="16"/>
      <c r="U517" s="16"/>
      <c r="V517" s="16"/>
      <c r="W517" s="16"/>
      <c r="X517" s="16"/>
      <c r="Y517" s="16"/>
      <c r="Z517" s="16"/>
      <c r="AA517" s="16"/>
      <c r="AB517" s="16"/>
      <c r="AC517" s="815"/>
      <c r="AD517" s="3"/>
      <c r="AE517" s="3"/>
      <c r="AF517" s="3"/>
      <c r="AG517" s="67">
        <f>IF(AND($C$517="Yes",$C$512="Yes"),2,0)</f>
        <v>0</v>
      </c>
      <c r="AH517" s="776" t="s">
        <v>2156</v>
      </c>
      <c r="AI517" s="16"/>
      <c r="AJ517" s="831"/>
      <c r="AK517" s="540"/>
      <c r="AL517" s="3"/>
      <c r="AM517" s="3"/>
      <c r="AN517" s="508"/>
      <c r="AP517" s="1443"/>
      <c r="AQ517" s="1444"/>
      <c r="AR517" s="1445"/>
      <c r="AS517" s="113">
        <v>15</v>
      </c>
      <c r="AT517" s="3">
        <v>0</v>
      </c>
      <c r="AU517" s="114">
        <v>3.8</v>
      </c>
      <c r="AV517" s="114">
        <v>7.5</v>
      </c>
      <c r="AW517" s="114">
        <v>11.3</v>
      </c>
      <c r="AX517" s="114">
        <v>15</v>
      </c>
      <c r="AY517" s="114">
        <v>18.8</v>
      </c>
      <c r="AZ517" s="114">
        <v>22.5</v>
      </c>
      <c r="BA517" s="114">
        <v>30</v>
      </c>
      <c r="BE517" s="1443"/>
      <c r="BF517" s="1444"/>
      <c r="BG517" s="1445"/>
      <c r="BH517" s="113">
        <v>15</v>
      </c>
      <c r="BI517" s="3">
        <v>0</v>
      </c>
      <c r="BJ517" s="115">
        <v>0</v>
      </c>
      <c r="BK517" s="114">
        <v>7.5</v>
      </c>
      <c r="BL517" s="114">
        <v>11.3</v>
      </c>
      <c r="BM517" s="114">
        <v>15</v>
      </c>
      <c r="BN517" s="114">
        <v>18.8</v>
      </c>
      <c r="BO517" s="114">
        <v>22.5</v>
      </c>
      <c r="BP517" s="114">
        <v>30</v>
      </c>
      <c r="BR517" s="3"/>
      <c r="CM517" s="3"/>
      <c r="CN517" s="3"/>
      <c r="CO517" s="3"/>
      <c r="CP517" s="3"/>
      <c r="CQ517" s="3"/>
      <c r="CR517" s="3"/>
      <c r="CS517" s="3"/>
      <c r="CT517" s="3"/>
      <c r="CU517" s="3"/>
      <c r="CV517" s="3"/>
      <c r="CW517" s="3"/>
      <c r="CX517" s="18"/>
      <c r="CY517" s="18"/>
      <c r="CZ517" s="18"/>
      <c r="DA517" s="18"/>
      <c r="DB517" s="18"/>
      <c r="DC517" s="18"/>
      <c r="DD517" s="18"/>
      <c r="DE517" s="18"/>
      <c r="DF517" s="18"/>
      <c r="DG517" s="18"/>
      <c r="DH517" s="18"/>
      <c r="DI517" s="18"/>
      <c r="DJ517" s="18"/>
      <c r="DK517" s="18"/>
      <c r="DL517" s="18"/>
      <c r="DM517" s="18"/>
      <c r="DN517" s="18"/>
      <c r="DO517" s="18"/>
      <c r="DP517" s="18"/>
      <c r="DQ517" s="18"/>
      <c r="DR517" s="18"/>
    </row>
    <row r="518" spans="1:122" customFormat="1" hidden="1">
      <c r="A518" s="18"/>
      <c r="B518" s="3"/>
      <c r="C518" s="568"/>
      <c r="D518" s="781"/>
      <c r="E518" s="781"/>
      <c r="F518" s="16"/>
      <c r="G518" s="16" t="s">
        <v>2186</v>
      </c>
      <c r="H518" s="16"/>
      <c r="I518" s="16"/>
      <c r="J518" s="16"/>
      <c r="K518" s="16"/>
      <c r="L518" s="16"/>
      <c r="M518" s="16"/>
      <c r="N518" s="16"/>
      <c r="O518" s="16"/>
      <c r="P518" s="16"/>
      <c r="Q518" s="16"/>
      <c r="R518" s="16"/>
      <c r="S518" s="16"/>
      <c r="T518" s="16"/>
      <c r="U518" s="16"/>
      <c r="V518" s="16"/>
      <c r="W518" s="16"/>
      <c r="X518" s="16"/>
      <c r="Y518" s="16"/>
      <c r="Z518" s="16"/>
      <c r="AA518" s="16"/>
      <c r="AB518" s="16"/>
      <c r="AC518" s="815"/>
      <c r="AD518" s="3"/>
      <c r="AE518" s="3"/>
      <c r="AF518" s="3"/>
      <c r="AG518" s="831"/>
      <c r="AH518" s="831"/>
      <c r="AI518" s="831"/>
      <c r="AJ518" s="831"/>
      <c r="AK518" s="540"/>
      <c r="AL518" s="3"/>
      <c r="AM518" s="3"/>
      <c r="AN518" s="209"/>
      <c r="AP518" s="1446"/>
      <c r="AQ518" s="1447"/>
      <c r="AR518" s="1448"/>
      <c r="AS518" s="113">
        <v>10</v>
      </c>
      <c r="AT518" s="3">
        <v>0</v>
      </c>
      <c r="AU518" s="114">
        <v>2.5</v>
      </c>
      <c r="AV518" s="114">
        <v>5</v>
      </c>
      <c r="AW518" s="114">
        <v>7.5</v>
      </c>
      <c r="AX518" s="114">
        <v>10</v>
      </c>
      <c r="AY518" s="114">
        <v>12.5</v>
      </c>
      <c r="AZ518" s="114">
        <v>15</v>
      </c>
      <c r="BA518" s="114">
        <v>20</v>
      </c>
      <c r="BE518" s="1446"/>
      <c r="BF518" s="1447"/>
      <c r="BG518" s="1448"/>
      <c r="BH518" s="113">
        <v>10</v>
      </c>
      <c r="BI518" s="3">
        <v>0</v>
      </c>
      <c r="BJ518" s="115">
        <v>0</v>
      </c>
      <c r="BK518" s="114">
        <v>5</v>
      </c>
      <c r="BL518" s="114">
        <v>7.5</v>
      </c>
      <c r="BM518" s="114">
        <v>10</v>
      </c>
      <c r="BN518" s="114">
        <v>12.5</v>
      </c>
      <c r="BO518" s="114">
        <v>15</v>
      </c>
      <c r="BP518" s="114">
        <v>20</v>
      </c>
      <c r="BR518" s="3"/>
      <c r="CW518" s="3"/>
    </row>
    <row r="519" spans="1:122" s="3" customFormat="1" ht="12.75" hidden="1" customHeight="1">
      <c r="A519" s="18"/>
      <c r="C519" s="568"/>
      <c r="D519" s="781"/>
      <c r="E519" s="781"/>
      <c r="F519" s="16"/>
      <c r="G519" s="16" t="s">
        <v>2187</v>
      </c>
      <c r="H519" s="16"/>
      <c r="I519" s="16"/>
      <c r="J519" s="16"/>
      <c r="K519" s="16"/>
      <c r="L519" s="16"/>
      <c r="M519" s="16"/>
      <c r="N519" s="16"/>
      <c r="O519" s="16"/>
      <c r="P519" s="16"/>
      <c r="Q519" s="16"/>
      <c r="R519" s="16"/>
      <c r="S519" s="16"/>
      <c r="T519" s="16"/>
      <c r="U519" s="16"/>
      <c r="V519" s="16"/>
      <c r="W519" s="16"/>
      <c r="X519" s="16"/>
      <c r="Y519" s="16"/>
      <c r="Z519" s="16"/>
      <c r="AA519" s="16"/>
      <c r="AB519" s="16"/>
      <c r="AC519" s="815"/>
      <c r="AG519" s="831"/>
      <c r="AH519" s="831"/>
      <c r="AI519" s="831"/>
      <c r="AJ519" s="831"/>
      <c r="AK519" s="540"/>
      <c r="AN519" s="901"/>
      <c r="AP519" s="33"/>
      <c r="AQ519" s="33"/>
      <c r="AR519" s="33"/>
    </row>
    <row r="520" spans="1:122" s="3" customFormat="1" ht="12.75" hidden="1" customHeight="1">
      <c r="A520" s="28"/>
      <c r="B520" s="18"/>
      <c r="C520" s="575"/>
      <c r="D520" s="18"/>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815"/>
      <c r="AH520" s="815"/>
      <c r="AI520" s="815"/>
      <c r="AJ520" s="815"/>
      <c r="AK520" s="576"/>
      <c r="AL520" s="18"/>
      <c r="AM520" s="18"/>
      <c r="AN520" s="901"/>
      <c r="AO520" s="33"/>
      <c r="AP520" s="33"/>
      <c r="AQ520" s="33"/>
      <c r="AR520" s="33"/>
    </row>
    <row r="521" spans="1:122" s="3" customFormat="1" ht="12.75" hidden="1" customHeight="1">
      <c r="A521" s="28"/>
      <c r="C521" s="1562" t="s">
        <v>325</v>
      </c>
      <c r="D521" s="1563"/>
      <c r="F521" s="366" t="s">
        <v>2188</v>
      </c>
      <c r="G521" s="1529" t="s">
        <v>2189</v>
      </c>
      <c r="H521" s="1529"/>
      <c r="I521" s="1529"/>
      <c r="J521" s="1529"/>
      <c r="K521" s="1529"/>
      <c r="L521" s="1529"/>
      <c r="M521" s="1529"/>
      <c r="N521" s="1529"/>
      <c r="O521" s="1529"/>
      <c r="P521" s="1529"/>
      <c r="Q521" s="1529"/>
      <c r="R521" s="1529"/>
      <c r="S521" s="1529"/>
      <c r="T521" s="1529"/>
      <c r="U521" s="1529"/>
      <c r="V521" s="1529"/>
      <c r="W521" s="1529"/>
      <c r="X521" s="1529"/>
      <c r="Y521" s="1529"/>
      <c r="Z521" s="1529"/>
      <c r="AA521" s="1529"/>
      <c r="AB521" s="1529"/>
      <c r="AC521" s="1529"/>
      <c r="AD521" s="1529"/>
      <c r="AE521" s="1529"/>
      <c r="AF521" s="1529"/>
      <c r="AG521" s="67">
        <f>IF(AND($C$521="Yes",$C$512="Yes"),2,0)</f>
        <v>0</v>
      </c>
      <c r="AH521" s="776" t="s">
        <v>2156</v>
      </c>
      <c r="AI521" s="16"/>
      <c r="AJ521" s="831"/>
      <c r="AK521" s="540"/>
      <c r="AN521" s="901"/>
      <c r="AP521" s="60"/>
      <c r="AQ521" s="61"/>
      <c r="AR521" s="61"/>
      <c r="AS521" s="61"/>
      <c r="AT521" s="61"/>
      <c r="AU521" s="61"/>
      <c r="AV521" s="61"/>
      <c r="AW521" s="61"/>
      <c r="AX521" s="61"/>
      <c r="AY521" s="61"/>
      <c r="AZ521" s="833"/>
      <c r="BA521" s="61"/>
      <c r="BB521" s="61"/>
      <c r="BC521" s="787" t="s">
        <v>2190</v>
      </c>
      <c r="BD521" s="1574">
        <f>BJ525</f>
        <v>42</v>
      </c>
      <c r="BE521" s="1574"/>
      <c r="BF521" s="833" t="s">
        <v>2191</v>
      </c>
      <c r="BG521" s="61"/>
      <c r="BH521" s="61"/>
      <c r="BI521" s="61"/>
      <c r="BJ521" s="61"/>
      <c r="BK521" s="122"/>
      <c r="BM521"/>
      <c r="BN521" s="112" t="s">
        <v>2192</v>
      </c>
      <c r="BO521"/>
      <c r="BP521" s="112"/>
      <c r="BQ521" s="112"/>
      <c r="BR521" s="112"/>
      <c r="BS521" s="112"/>
      <c r="BT521" s="112"/>
      <c r="BU521" s="112"/>
      <c r="BV521"/>
      <c r="BW521"/>
      <c r="BX521"/>
      <c r="BY521"/>
      <c r="BZ521"/>
      <c r="CA521"/>
      <c r="CB521"/>
      <c r="CC521"/>
      <c r="CD521"/>
      <c r="CE521"/>
      <c r="CF521" s="836" t="s">
        <v>2193</v>
      </c>
      <c r="CG521"/>
      <c r="CH521"/>
      <c r="CI521"/>
      <c r="CJ521"/>
    </row>
    <row r="522" spans="1:122" s="3" customFormat="1" ht="12.75" hidden="1" customHeight="1">
      <c r="C522" s="910"/>
      <c r="D522" s="548"/>
      <c r="E522" s="558"/>
      <c r="F522" s="538"/>
      <c r="G522" s="1564"/>
      <c r="H522" s="1564"/>
      <c r="I522" s="1564"/>
      <c r="J522" s="1564"/>
      <c r="K522" s="1564"/>
      <c r="L522" s="1564"/>
      <c r="M522" s="1564"/>
      <c r="N522" s="1564"/>
      <c r="O522" s="1564"/>
      <c r="P522" s="1564"/>
      <c r="Q522" s="1564"/>
      <c r="R522" s="1564"/>
      <c r="S522" s="1564"/>
      <c r="T522" s="1564"/>
      <c r="U522" s="1564"/>
      <c r="V522" s="1564"/>
      <c r="W522" s="1564"/>
      <c r="X522" s="1564"/>
      <c r="Y522" s="1564"/>
      <c r="Z522" s="1564"/>
      <c r="AA522" s="1564"/>
      <c r="AB522" s="1564"/>
      <c r="AC522" s="1564"/>
      <c r="AD522" s="1564"/>
      <c r="AE522" s="1564"/>
      <c r="AF522" s="1564"/>
      <c r="AG522" s="560"/>
      <c r="AH522" s="560"/>
      <c r="AI522" s="560"/>
      <c r="AJ522" s="560"/>
      <c r="AK522" s="549"/>
      <c r="AN522" s="901"/>
      <c r="AP522" s="60"/>
      <c r="AQ522" s="61"/>
      <c r="AR522" s="61"/>
      <c r="AS522" s="61"/>
      <c r="AT522" s="61"/>
      <c r="AU522" s="61"/>
      <c r="AV522" s="61"/>
      <c r="AW522" s="61"/>
      <c r="AX522" s="61"/>
      <c r="AY522" s="61"/>
      <c r="AZ522" s="833"/>
      <c r="BA522" s="61"/>
      <c r="BB522" s="61"/>
      <c r="BC522" s="787" t="s">
        <v>2194</v>
      </c>
      <c r="BD522" s="1574">
        <f>SUM(E578:J586)</f>
        <v>42</v>
      </c>
      <c r="BE522" s="1574"/>
      <c r="BF522" s="833" t="s">
        <v>2191</v>
      </c>
      <c r="BG522" s="61"/>
      <c r="BH522" s="61"/>
      <c r="BI522" s="61"/>
      <c r="BJ522" s="61"/>
      <c r="BK522" s="122"/>
      <c r="BM522" s="829">
        <v>4</v>
      </c>
      <c r="BN522" s="830"/>
      <c r="BO522" s="829">
        <v>4</v>
      </c>
      <c r="BP522" s="830"/>
      <c r="BQ522" s="826">
        <v>3</v>
      </c>
      <c r="BR522" s="828"/>
      <c r="BS522" s="826">
        <v>3</v>
      </c>
      <c r="BT522" s="828"/>
      <c r="BU522" s="829">
        <v>2</v>
      </c>
      <c r="BV522" s="830"/>
      <c r="BW522" s="829">
        <v>2</v>
      </c>
      <c r="BX522" s="830"/>
      <c r="BY522" s="826">
        <v>1</v>
      </c>
      <c r="BZ522" s="828"/>
      <c r="CA522" s="826">
        <v>1</v>
      </c>
      <c r="CB522" s="828"/>
      <c r="CC522" s="829" t="s">
        <v>936</v>
      </c>
      <c r="CD522" s="830"/>
      <c r="CE522" s="829" t="s">
        <v>936</v>
      </c>
      <c r="CF522" s="830"/>
      <c r="CG522"/>
      <c r="CH522"/>
      <c r="CI522"/>
      <c r="CJ522"/>
    </row>
    <row r="523" spans="1:122" s="3" customFormat="1" ht="12.75" hidden="1" customHeight="1">
      <c r="C523" s="33"/>
      <c r="E523" s="97"/>
      <c r="F523" s="23"/>
      <c r="G523" s="816"/>
      <c r="H523" s="816"/>
      <c r="I523" s="816"/>
      <c r="J523" s="816"/>
      <c r="K523" s="816"/>
      <c r="L523" s="816"/>
      <c r="M523" s="816"/>
      <c r="N523" s="816"/>
      <c r="O523" s="816"/>
      <c r="P523" s="816"/>
      <c r="Q523" s="816"/>
      <c r="R523" s="816"/>
      <c r="S523" s="816"/>
      <c r="T523" s="816"/>
      <c r="U523" s="816"/>
      <c r="V523" s="816"/>
      <c r="W523" s="816"/>
      <c r="X523" s="816"/>
      <c r="Y523" s="816"/>
      <c r="Z523" s="816"/>
      <c r="AA523" s="816"/>
      <c r="AB523" s="816"/>
      <c r="AC523" s="816"/>
      <c r="AD523" s="816"/>
      <c r="AE523" s="816"/>
      <c r="AF523" s="816"/>
      <c r="AG523" s="16"/>
      <c r="AH523" s="16"/>
      <c r="AI523" s="16"/>
      <c r="AJ523" s="16"/>
      <c r="AN523" s="901"/>
      <c r="AP523" s="310"/>
      <c r="AQ523" s="833"/>
      <c r="AR523" s="833"/>
      <c r="AS523" s="833"/>
      <c r="AT523" s="833"/>
      <c r="AU523" s="833"/>
      <c r="AV523" s="833"/>
      <c r="AW523" s="833"/>
      <c r="AX523" s="833"/>
      <c r="AY523" s="833"/>
      <c r="AZ523" s="833"/>
      <c r="BA523" s="833"/>
      <c r="BB523" s="833"/>
      <c r="BC523" s="833"/>
      <c r="BD523" s="833"/>
      <c r="BE523" s="833"/>
      <c r="BF523" s="833"/>
      <c r="BG523" s="833"/>
      <c r="BH523" s="833"/>
      <c r="BI523" s="787" t="s">
        <v>2195</v>
      </c>
      <c r="BJ523" s="1572">
        <v>0</v>
      </c>
      <c r="BK523" s="1573"/>
      <c r="BM523" s="829">
        <f>IF(T605&gt;0,1,0)</f>
        <v>0</v>
      </c>
      <c r="BN523" s="830"/>
      <c r="BO523" s="829">
        <f>IF(Y605&gt;=0.1,1,0)</f>
        <v>0</v>
      </c>
      <c r="BP523" s="830"/>
      <c r="BQ523" s="826"/>
      <c r="BR523" s="828"/>
      <c r="BS523" s="826"/>
      <c r="BT523" s="828"/>
      <c r="BU523" s="829"/>
      <c r="BV523" s="830"/>
      <c r="BW523" s="829"/>
      <c r="BX523" s="830"/>
      <c r="BY523" s="826"/>
      <c r="BZ523" s="828"/>
      <c r="CA523" s="826"/>
      <c r="CB523" s="828"/>
      <c r="CC523" s="829"/>
      <c r="CD523" s="830"/>
      <c r="CE523" s="829"/>
      <c r="CF523" s="830"/>
      <c r="CG523"/>
      <c r="CH523"/>
      <c r="CI523"/>
      <c r="CJ523"/>
    </row>
    <row r="524" spans="1:122" s="3" customFormat="1" ht="12.75" hidden="1" customHeight="1">
      <c r="C524" s="578" t="s">
        <v>2196</v>
      </c>
      <c r="D524" s="533"/>
      <c r="E524" s="579"/>
      <c r="F524" s="580"/>
      <c r="G524" s="825"/>
      <c r="H524" s="825"/>
      <c r="I524" s="825"/>
      <c r="J524" s="825"/>
      <c r="K524" s="825"/>
      <c r="L524" s="825"/>
      <c r="M524" s="825"/>
      <c r="N524" s="825"/>
      <c r="O524" s="825"/>
      <c r="P524" s="825"/>
      <c r="Q524" s="825"/>
      <c r="R524" s="825"/>
      <c r="S524" s="825"/>
      <c r="T524" s="825"/>
      <c r="U524" s="825"/>
      <c r="V524" s="825"/>
      <c r="W524" s="825"/>
      <c r="X524" s="825"/>
      <c r="Y524" s="825"/>
      <c r="Z524" s="825"/>
      <c r="AA524" s="825"/>
      <c r="AB524" s="825"/>
      <c r="AC524" s="825"/>
      <c r="AD524" s="825"/>
      <c r="AE524" s="825"/>
      <c r="AF524" s="825"/>
      <c r="AG524" s="564"/>
      <c r="AH524" s="564"/>
      <c r="AI524" s="564"/>
      <c r="AJ524" s="564"/>
      <c r="AK524" s="555"/>
      <c r="AN524" s="209"/>
      <c r="AP524" s="310"/>
      <c r="AQ524" s="833"/>
      <c r="AR524" s="833"/>
      <c r="AS524" s="833"/>
      <c r="AT524" s="833"/>
      <c r="AU524" s="833"/>
      <c r="AV524" s="833"/>
      <c r="AW524" s="833"/>
      <c r="AX524" s="833"/>
      <c r="AY524" s="833"/>
      <c r="AZ524" s="833"/>
      <c r="BA524" s="833"/>
      <c r="BB524" s="833"/>
      <c r="BC524" s="833"/>
      <c r="BD524" s="833"/>
      <c r="BE524" s="833"/>
      <c r="BF524" s="833"/>
      <c r="BG524" s="833"/>
      <c r="BH524" s="833"/>
      <c r="BI524" s="813" t="s">
        <v>2197</v>
      </c>
      <c r="BJ524" s="1572">
        <f>Application!AG431</f>
        <v>0</v>
      </c>
      <c r="BK524" s="1573"/>
      <c r="BM524" s="829"/>
      <c r="BN524" s="830"/>
      <c r="BO524" s="829"/>
      <c r="BP524" s="830"/>
      <c r="BQ524" s="826">
        <f>IF(T606&gt;0,1,0)</f>
        <v>1</v>
      </c>
      <c r="BR524" s="828"/>
      <c r="BS524" s="826">
        <f>IF(Y606&gt;=0.1,1,0)</f>
        <v>1</v>
      </c>
      <c r="BT524" s="828"/>
      <c r="BU524" s="829"/>
      <c r="BV524" s="830"/>
      <c r="BW524" s="829"/>
      <c r="BX524" s="830"/>
      <c r="BY524" s="826"/>
      <c r="BZ524" s="828"/>
      <c r="CA524" s="826"/>
      <c r="CB524" s="828"/>
      <c r="CC524" s="829"/>
      <c r="CD524" s="830"/>
      <c r="CE524" s="829"/>
      <c r="CF524" s="830"/>
      <c r="CG524"/>
      <c r="CH524"/>
      <c r="CI524"/>
      <c r="CJ524"/>
    </row>
    <row r="525" spans="1:122" s="3" customFormat="1" ht="12.75" hidden="1" customHeight="1">
      <c r="C525" s="1555" t="s">
        <v>325</v>
      </c>
      <c r="D525" s="1180"/>
      <c r="E525" s="913" t="s">
        <v>2198</v>
      </c>
      <c r="F525" s="187" t="s">
        <v>2199</v>
      </c>
      <c r="G525" s="816"/>
      <c r="H525" s="816"/>
      <c r="I525" s="816"/>
      <c r="J525" s="816"/>
      <c r="K525" s="816"/>
      <c r="L525" s="816"/>
      <c r="M525" s="816"/>
      <c r="N525" s="816"/>
      <c r="O525" s="816"/>
      <c r="P525" s="816"/>
      <c r="Q525" s="816"/>
      <c r="R525" s="816"/>
      <c r="S525" s="816"/>
      <c r="T525" s="816"/>
      <c r="U525" s="816"/>
      <c r="V525" s="816"/>
      <c r="W525" s="816"/>
      <c r="X525" s="816"/>
      <c r="Y525" s="816"/>
      <c r="Z525" s="816"/>
      <c r="AA525" s="816"/>
      <c r="AB525" s="816"/>
      <c r="AC525" s="816"/>
      <c r="AD525" s="816"/>
      <c r="AE525" s="816"/>
      <c r="AF525" s="816"/>
      <c r="AG525" s="67">
        <f>IF(C$525="Yes",(VLOOKUP(F$526,$AO$496:$AP$499,2,FALSE)),0)</f>
        <v>0</v>
      </c>
      <c r="AH525" s="776" t="s">
        <v>2156</v>
      </c>
      <c r="AI525" s="16"/>
      <c r="AJ525" s="16"/>
      <c r="AK525" s="540"/>
      <c r="AN525" s="209"/>
      <c r="AP525" s="45"/>
      <c r="AQ525" s="311"/>
      <c r="AR525" s="311"/>
      <c r="AS525" s="311"/>
      <c r="AT525" s="311"/>
      <c r="AU525" s="311"/>
      <c r="AV525" s="311"/>
      <c r="AW525" s="311"/>
      <c r="AX525" s="311"/>
      <c r="AY525" s="311"/>
      <c r="AZ525" s="311"/>
      <c r="BA525" s="311"/>
      <c r="BB525" s="311"/>
      <c r="BC525" s="311"/>
      <c r="BD525" s="311"/>
      <c r="BE525" s="311"/>
      <c r="BF525" s="311"/>
      <c r="BG525" s="311"/>
      <c r="BH525" s="311"/>
      <c r="BI525" s="207" t="s">
        <v>2200</v>
      </c>
      <c r="BJ525" s="1572">
        <f>Application!AG433</f>
        <v>42</v>
      </c>
      <c r="BK525" s="1573"/>
      <c r="BM525" s="1586"/>
      <c r="BN525" s="1587"/>
      <c r="BO525" s="1586"/>
      <c r="BP525" s="1587"/>
      <c r="BQ525" s="1583"/>
      <c r="BR525" s="1585"/>
      <c r="BS525" s="1583"/>
      <c r="BT525" s="1585"/>
      <c r="BU525" s="1586">
        <f>IF(T607&gt;0,1,0)</f>
        <v>1</v>
      </c>
      <c r="BV525" s="1587"/>
      <c r="BW525" s="1586">
        <f>IF(Y607&gt;=0.1,1,0)</f>
        <v>1</v>
      </c>
      <c r="BX525" s="1587"/>
      <c r="BY525" s="1583"/>
      <c r="BZ525" s="1585"/>
      <c r="CA525" s="1583"/>
      <c r="CB525" s="1585"/>
      <c r="CC525" s="1586"/>
      <c r="CD525" s="1587"/>
      <c r="CE525" s="1586"/>
      <c r="CF525" s="1587"/>
      <c r="CG525"/>
      <c r="CH525"/>
      <c r="CI525"/>
      <c r="CJ525"/>
    </row>
    <row r="526" spans="1:122" s="3" customFormat="1" ht="12.75" hidden="1" customHeight="1">
      <c r="C526" s="909"/>
      <c r="E526" s="97"/>
      <c r="F526" s="1255" t="s">
        <v>325</v>
      </c>
      <c r="G526" s="1255"/>
      <c r="H526" s="1255"/>
      <c r="I526" s="1255"/>
      <c r="J526" s="1255"/>
      <c r="K526" s="1255"/>
      <c r="L526" s="1255"/>
      <c r="M526" s="1255"/>
      <c r="N526" s="1255"/>
      <c r="O526" s="1255"/>
      <c r="P526" s="1255"/>
      <c r="Q526" s="1255"/>
      <c r="R526" s="1255"/>
      <c r="S526" s="1255"/>
      <c r="T526" s="1255"/>
      <c r="U526" s="1255"/>
      <c r="V526" s="1255"/>
      <c r="W526" s="1255"/>
      <c r="X526" s="1255"/>
      <c r="Y526" s="1255"/>
      <c r="Z526" s="1255"/>
      <c r="AA526" s="1255"/>
      <c r="AB526" s="1255"/>
      <c r="AC526" s="1255"/>
      <c r="AD526" s="1255"/>
      <c r="AE526" s="1255"/>
      <c r="AF526" s="1255"/>
      <c r="AG526" s="16"/>
      <c r="AH526" s="16"/>
      <c r="AI526" s="16"/>
      <c r="AJ526" s="16"/>
      <c r="AK526" s="540"/>
      <c r="AN526" s="209"/>
      <c r="BM526" s="1586"/>
      <c r="BN526" s="1587"/>
      <c r="BO526" s="1586"/>
      <c r="BP526" s="1587"/>
      <c r="BQ526" s="1583"/>
      <c r="BR526" s="1585"/>
      <c r="BS526" s="1583"/>
      <c r="BT526" s="1585"/>
      <c r="BU526" s="1586"/>
      <c r="BV526" s="1587"/>
      <c r="BW526" s="1586"/>
      <c r="BX526" s="1587"/>
      <c r="BY526" s="1583">
        <f>IF(T608&gt;0,1,0)</f>
        <v>1</v>
      </c>
      <c r="BZ526" s="1585"/>
      <c r="CA526" s="1583">
        <f>IF(Y608&gt;=0.1,1,0)</f>
        <v>1</v>
      </c>
      <c r="CB526" s="1585"/>
      <c r="CC526" s="1586"/>
      <c r="CD526" s="1587"/>
      <c r="CE526" s="1586"/>
      <c r="CF526" s="1587"/>
      <c r="CG526"/>
      <c r="CH526"/>
      <c r="CI526"/>
      <c r="CJ526"/>
      <c r="CW526"/>
    </row>
    <row r="527" spans="1:122" s="3" customFormat="1" ht="12.75" hidden="1" customHeight="1">
      <c r="C527" s="910"/>
      <c r="D527" s="548"/>
      <c r="E527" s="558"/>
      <c r="F527" s="1735"/>
      <c r="G527" s="1735"/>
      <c r="H527" s="1735"/>
      <c r="I527" s="1735"/>
      <c r="J527" s="1735"/>
      <c r="K527" s="1735"/>
      <c r="L527" s="1735"/>
      <c r="M527" s="1735"/>
      <c r="N527" s="1735"/>
      <c r="O527" s="1735"/>
      <c r="P527" s="1735"/>
      <c r="Q527" s="1735"/>
      <c r="R527" s="1735"/>
      <c r="S527" s="1735"/>
      <c r="T527" s="1735"/>
      <c r="U527" s="1735"/>
      <c r="V527" s="1735"/>
      <c r="W527" s="1735"/>
      <c r="X527" s="1735"/>
      <c r="Y527" s="1735"/>
      <c r="Z527" s="1735"/>
      <c r="AA527" s="1735"/>
      <c r="AB527" s="1735"/>
      <c r="AC527" s="1735"/>
      <c r="AD527" s="1735"/>
      <c r="AE527" s="1735"/>
      <c r="AF527" s="1735"/>
      <c r="AG527" s="560"/>
      <c r="AH527" s="560"/>
      <c r="AI527" s="560"/>
      <c r="AJ527" s="560"/>
      <c r="AK527" s="549"/>
      <c r="AN527" s="209"/>
      <c r="BM527" s="1586"/>
      <c r="BN527" s="1587"/>
      <c r="BO527" s="1586"/>
      <c r="BP527" s="1587"/>
      <c r="BQ527" s="1583"/>
      <c r="BR527" s="1585"/>
      <c r="BS527" s="1583"/>
      <c r="BT527" s="1585"/>
      <c r="BU527" s="1586"/>
      <c r="BV527" s="1587"/>
      <c r="BW527" s="1586"/>
      <c r="BX527" s="1587"/>
      <c r="BY527" s="1583"/>
      <c r="BZ527" s="1585"/>
      <c r="CA527" s="1583"/>
      <c r="CB527" s="1585"/>
      <c r="CC527" s="1586">
        <f>IF(T609&gt;0,1,0)</f>
        <v>0</v>
      </c>
      <c r="CD527" s="1587"/>
      <c r="CE527" s="1586">
        <f>IF(Y609&gt;=0.1,1,0)</f>
        <v>0</v>
      </c>
      <c r="CF527" s="1587"/>
      <c r="CG527"/>
      <c r="CH527"/>
      <c r="CI527"/>
      <c r="CJ527"/>
    </row>
    <row r="528" spans="1:122" s="3" customFormat="1" ht="12.75" hidden="1" customHeight="1">
      <c r="A528" s="28"/>
      <c r="C528" s="16"/>
      <c r="E528" s="16"/>
      <c r="F528" s="187"/>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771"/>
      <c r="AE528" s="16"/>
      <c r="AF528" s="16"/>
      <c r="AG528" s="16"/>
      <c r="AH528" s="16"/>
      <c r="AN528" s="209"/>
      <c r="BM528" s="1586">
        <f>SUM(BM523:BN527)</f>
        <v>0</v>
      </c>
      <c r="BN528" s="1587"/>
      <c r="BO528" s="1586">
        <f>SUM(BO523:BP527)</f>
        <v>0</v>
      </c>
      <c r="BP528" s="1587"/>
      <c r="BQ528" s="1586">
        <f>SUM(BQ523:BR527)</f>
        <v>1</v>
      </c>
      <c r="BR528" s="1587"/>
      <c r="BS528" s="1586">
        <f>SUM(BS523:BT527)</f>
        <v>1</v>
      </c>
      <c r="BT528" s="1587"/>
      <c r="BU528" s="1586">
        <f>SUM(BU523:BV527)</f>
        <v>1</v>
      </c>
      <c r="BV528" s="1587"/>
      <c r="BW528" s="1586">
        <f>SUM(BW523:BX527)</f>
        <v>1</v>
      </c>
      <c r="BX528" s="1587"/>
      <c r="BY528" s="1586">
        <f>SUM(BY523:BZ527)</f>
        <v>1</v>
      </c>
      <c r="BZ528" s="1587"/>
      <c r="CA528" s="1586">
        <f>SUM(CA523:CB527)</f>
        <v>1</v>
      </c>
      <c r="CB528" s="1587"/>
      <c r="CC528" s="1586">
        <f>SUM(CC523:CD527)</f>
        <v>0</v>
      </c>
      <c r="CD528" s="1587"/>
      <c r="CE528" s="1586">
        <f>SUM(CE523:CF527)</f>
        <v>0</v>
      </c>
      <c r="CF528" s="1587"/>
      <c r="CG528"/>
      <c r="CH528"/>
      <c r="CI528"/>
      <c r="CJ528"/>
    </row>
    <row r="529" spans="1:89" s="3" customFormat="1" ht="12.75" hidden="1" customHeight="1">
      <c r="A529" s="28"/>
      <c r="B529" s="3" t="s">
        <v>2201</v>
      </c>
      <c r="C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771"/>
      <c r="AE529" s="16"/>
      <c r="AF529" s="16"/>
      <c r="AG529" s="16"/>
      <c r="AH529" s="16"/>
      <c r="AN529" s="209"/>
      <c r="AP529" s="1596" t="s">
        <v>2202</v>
      </c>
      <c r="AQ529" s="1597"/>
      <c r="AR529" s="1597"/>
      <c r="AS529" s="1597"/>
      <c r="AT529" s="1598"/>
      <c r="AU529" s="1596" t="s">
        <v>2203</v>
      </c>
      <c r="AV529" s="1597"/>
      <c r="AW529" s="1597"/>
      <c r="AX529" s="1597"/>
      <c r="AY529" s="1598"/>
      <c r="BM529" s="1583">
        <f>SUM(BM528:BP528)</f>
        <v>0</v>
      </c>
      <c r="BN529" s="1584"/>
      <c r="BO529" s="1584"/>
      <c r="BP529" s="1585"/>
      <c r="BQ529" s="1583">
        <f>SUM(BQ528:BT528)</f>
        <v>2</v>
      </c>
      <c r="BR529" s="1584"/>
      <c r="BS529" s="1584"/>
      <c r="BT529" s="1585"/>
      <c r="BU529" s="1583">
        <f>SUM(BU528:BX528)</f>
        <v>2</v>
      </c>
      <c r="BV529" s="1584"/>
      <c r="BW529" s="1584"/>
      <c r="BX529" s="1585"/>
      <c r="BY529" s="1583">
        <f>SUM(BY528:CB528)</f>
        <v>2</v>
      </c>
      <c r="BZ529" s="1584"/>
      <c r="CA529" s="1584"/>
      <c r="CB529" s="1585"/>
      <c r="CC529" s="1583">
        <f>SUM(CC528:CF528)</f>
        <v>0</v>
      </c>
      <c r="CD529" s="1584"/>
      <c r="CE529" s="1584"/>
      <c r="CF529" s="1585"/>
      <c r="CG529"/>
      <c r="CH529"/>
      <c r="CI529"/>
      <c r="CJ529"/>
    </row>
    <row r="530" spans="1:89" s="3" customFormat="1" ht="12.75" hidden="1" customHeight="1">
      <c r="A530" s="28"/>
      <c r="B530" s="3" t="s">
        <v>2204</v>
      </c>
      <c r="C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771"/>
      <c r="AE530" s="16"/>
      <c r="AF530" s="16"/>
      <c r="AG530" s="16"/>
      <c r="AH530" s="16"/>
      <c r="AN530" s="209"/>
      <c r="AP530" s="1580">
        <f>RANK(T605,$T$605:$X$609,0)+COUNTIF($T$605:$X$609,T605)-1</f>
        <v>5</v>
      </c>
      <c r="AQ530" s="1581"/>
      <c r="AR530" s="1581"/>
      <c r="AS530" s="1581"/>
      <c r="AT530" s="1582"/>
      <c r="AU530" s="1580">
        <f>RANK(Y605,$Y$605:$AC$609,0)+COUNTIF($Y$605:$AC$609,Y605)-1</f>
        <v>5</v>
      </c>
      <c r="AV530" s="1581"/>
      <c r="AW530" s="1581"/>
      <c r="AX530" s="1581"/>
      <c r="AY530" s="1582"/>
      <c r="BM530" s="1583"/>
      <c r="BN530" s="1584"/>
      <c r="BO530" s="1584"/>
      <c r="BP530" s="1585"/>
      <c r="BQ530" s="1583">
        <f>IF(AND(BQ529=2,BM529=1),1,0)</f>
        <v>0</v>
      </c>
      <c r="BR530" s="1584"/>
      <c r="BS530" s="1584"/>
      <c r="BT530" s="1585"/>
      <c r="BU530" s="1583">
        <f>IF(AND(BU529=2,BQ529=1),1,0)</f>
        <v>0</v>
      </c>
      <c r="BV530" s="1584"/>
      <c r="BW530" s="1584"/>
      <c r="BX530" s="1585"/>
      <c r="BY530" s="1583">
        <f>IF(AND(BY529=2,BU529=1),1,0)</f>
        <v>0</v>
      </c>
      <c r="BZ530" s="1584"/>
      <c r="CA530" s="1584"/>
      <c r="CB530" s="1585"/>
      <c r="CC530" s="1583">
        <f>IF(AND(CC529=2,BU529=1),1,0)</f>
        <v>0</v>
      </c>
      <c r="CD530" s="1584"/>
      <c r="CE530" s="1584"/>
      <c r="CF530" s="1585"/>
      <c r="CG530"/>
      <c r="CH530"/>
      <c r="CI530"/>
      <c r="CJ530"/>
    </row>
    <row r="531" spans="1:89" s="3" customFormat="1" ht="12.75" hidden="1" customHeight="1">
      <c r="A531" s="28"/>
      <c r="B531" s="3" t="s">
        <v>2205</v>
      </c>
      <c r="C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771"/>
      <c r="AE531" s="16"/>
      <c r="AF531" s="16"/>
      <c r="AG531" s="16"/>
      <c r="AH531" s="16"/>
      <c r="AN531" s="209"/>
      <c r="AP531" s="1580">
        <f>RANK(T606,$T$605:$X$609,0)+COUNTIF($T$605:$X$609,T606)-1</f>
        <v>2</v>
      </c>
      <c r="AQ531" s="1581"/>
      <c r="AR531" s="1581"/>
      <c r="AS531" s="1581"/>
      <c r="AT531" s="1582"/>
      <c r="AU531" s="1580">
        <f>RANK(Y606,$Y$605:$AC$609,0)+COUNTIF($Y$605:$AC$609,Y606)-1</f>
        <v>2</v>
      </c>
      <c r="AV531" s="1581"/>
      <c r="AW531" s="1581"/>
      <c r="AX531" s="1581"/>
      <c r="AY531" s="1582"/>
      <c r="BM531" s="1583"/>
      <c r="BN531" s="1584"/>
      <c r="BO531" s="1584"/>
      <c r="BP531" s="1585"/>
      <c r="BQ531" s="1583"/>
      <c r="BR531" s="1584"/>
      <c r="BS531" s="1584"/>
      <c r="BT531" s="1585"/>
      <c r="BU531" s="1583">
        <f>IF(AND(BU529=2,BM529=1),1,0)</f>
        <v>0</v>
      </c>
      <c r="BV531" s="1584"/>
      <c r="BW531" s="1584"/>
      <c r="BX531" s="1585"/>
      <c r="BY531" s="1583">
        <f>IF(AND(BY529=2,BQ529=1),1,0)</f>
        <v>0</v>
      </c>
      <c r="BZ531" s="1584"/>
      <c r="CA531" s="1584"/>
      <c r="CB531" s="1585"/>
      <c r="CC531" s="1583">
        <f>IF(AND(CC530=2,BY530=1),1,0)</f>
        <v>0</v>
      </c>
      <c r="CD531" s="1584"/>
      <c r="CE531" s="1584"/>
      <c r="CF531" s="1585"/>
      <c r="CG531"/>
      <c r="CH531"/>
      <c r="CI531"/>
      <c r="CJ531"/>
    </row>
    <row r="532" spans="1:89" s="3" customFormat="1" ht="12.75" hidden="1" customHeight="1">
      <c r="A532" s="28"/>
      <c r="B532" s="3" t="s">
        <v>2206</v>
      </c>
      <c r="C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771"/>
      <c r="AE532" s="16"/>
      <c r="AF532" s="16"/>
      <c r="AG532" s="16"/>
      <c r="AH532" s="16"/>
      <c r="AN532" s="209"/>
      <c r="AP532" s="1580">
        <f>RANK(T607,$T$605:$X$609,0)+COUNTIF($T$605:$X$609,T607)-1</f>
        <v>3</v>
      </c>
      <c r="AQ532" s="1581"/>
      <c r="AR532" s="1581"/>
      <c r="AS532" s="1581"/>
      <c r="AT532" s="1582"/>
      <c r="AU532" s="1580">
        <f>RANK(Y607,$Y$605:$AC$609,0)+COUNTIF($Y$605:$AC$609,Y607)-1</f>
        <v>3</v>
      </c>
      <c r="AV532" s="1581"/>
      <c r="AW532" s="1581"/>
      <c r="AX532" s="1581"/>
      <c r="AY532" s="1582"/>
      <c r="BM532" s="1583"/>
      <c r="BN532" s="1584"/>
      <c r="BO532" s="1584"/>
      <c r="BP532" s="1585"/>
      <c r="BQ532" s="1583"/>
      <c r="BR532" s="1584"/>
      <c r="BS532" s="1584"/>
      <c r="BT532" s="1585"/>
      <c r="BU532" s="1583"/>
      <c r="BV532" s="1584"/>
      <c r="BW532" s="1584"/>
      <c r="BX532" s="1585"/>
      <c r="BY532" s="1583">
        <f>IF(AND(BY529=2,BM529=1),1,0)</f>
        <v>0</v>
      </c>
      <c r="BZ532" s="1584"/>
      <c r="CA532" s="1584"/>
      <c r="CB532" s="1585"/>
      <c r="CC532" s="1583">
        <f>IF(AND(CC529=2,BQ529=1),1,0)</f>
        <v>0</v>
      </c>
      <c r="CD532" s="1584"/>
      <c r="CE532" s="1584"/>
      <c r="CF532" s="1585"/>
      <c r="CG532"/>
      <c r="CH532"/>
      <c r="CI532"/>
      <c r="CJ532"/>
    </row>
    <row r="533" spans="1:89" s="3" customFormat="1" ht="12.75" hidden="1" customHeight="1">
      <c r="A533" s="28"/>
      <c r="B533" s="3" t="s">
        <v>2207</v>
      </c>
      <c r="C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771"/>
      <c r="AE533" s="16"/>
      <c r="AF533" s="16"/>
      <c r="AG533" s="16"/>
      <c r="AH533" s="16"/>
      <c r="AN533" s="209"/>
      <c r="AP533" s="1580">
        <f>RANK(T608,$T$605:$X$609,0)+COUNTIF($T$605:$X$609,T608)-1</f>
        <v>1</v>
      </c>
      <c r="AQ533" s="1581"/>
      <c r="AR533" s="1581"/>
      <c r="AS533" s="1581"/>
      <c r="AT533" s="1582"/>
      <c r="AU533" s="1580">
        <f>RANK(Y608,$Y$605:$AC$609,0)+COUNTIF($Y$605:$AC$609,Y608)-1</f>
        <v>1</v>
      </c>
      <c r="AV533" s="1581"/>
      <c r="AW533" s="1581"/>
      <c r="AX533" s="1581"/>
      <c r="AY533" s="1582"/>
      <c r="BM533" s="1583"/>
      <c r="BN533" s="1584"/>
      <c r="BO533" s="1584"/>
      <c r="BP533" s="1585"/>
      <c r="BQ533" s="1583"/>
      <c r="BR533" s="1584"/>
      <c r="BS533" s="1584"/>
      <c r="BT533" s="1585"/>
      <c r="BU533" s="1583"/>
      <c r="BV533" s="1584"/>
      <c r="BW533" s="1584"/>
      <c r="BX533" s="1585"/>
      <c r="BY533" s="1583"/>
      <c r="BZ533" s="1584"/>
      <c r="CA533" s="1584"/>
      <c r="CB533" s="1585"/>
      <c r="CC533" s="1583">
        <f>IF(AND(CC529=2,BM529=1),1,0)</f>
        <v>0</v>
      </c>
      <c r="CD533" s="1584"/>
      <c r="CE533" s="1584"/>
      <c r="CF533" s="1585"/>
      <c r="CG533"/>
      <c r="CH533"/>
      <c r="CI533"/>
      <c r="CJ533"/>
    </row>
    <row r="534" spans="1:89" s="3" customFormat="1" ht="12.75" hidden="1" customHeight="1">
      <c r="A534" s="28"/>
      <c r="B534" s="3" t="s">
        <v>2208</v>
      </c>
      <c r="C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771"/>
      <c r="AE534" s="16"/>
      <c r="AF534" s="16"/>
      <c r="AG534" s="16"/>
      <c r="AH534" s="16"/>
      <c r="AN534" s="209"/>
      <c r="AP534" s="1580">
        <f>RANK(T609,$T$605:$X$609,0)+COUNTIF($T$605:$X$609,T609)-1</f>
        <v>5</v>
      </c>
      <c r="AQ534" s="1581"/>
      <c r="AR534" s="1581"/>
      <c r="AS534" s="1581"/>
      <c r="AT534" s="1582"/>
      <c r="AU534" s="1580">
        <f>RANK(Y609,$Y$605:$AC$609,0)+COUNTIF($Y$605:$AC$609,Y609)-1</f>
        <v>5</v>
      </c>
      <c r="AV534" s="1581"/>
      <c r="AW534" s="1581"/>
      <c r="AX534" s="1581"/>
      <c r="AY534" s="1582"/>
      <c r="BM534" s="1583">
        <f>SUM(BM530:BP533)</f>
        <v>0</v>
      </c>
      <c r="BN534" s="1584"/>
      <c r="BO534" s="1584"/>
      <c r="BP534" s="1585"/>
      <c r="BQ534" s="1583">
        <f>SUM(BQ530:BT533)</f>
        <v>0</v>
      </c>
      <c r="BR534" s="1584"/>
      <c r="BS534" s="1584"/>
      <c r="BT534" s="1585"/>
      <c r="BU534" s="1583">
        <f>SUM(BU530:BX533)</f>
        <v>0</v>
      </c>
      <c r="BV534" s="1584"/>
      <c r="BW534" s="1584"/>
      <c r="BX534" s="1585"/>
      <c r="BY534" s="1583">
        <f>SUM(BY530:CB533)</f>
        <v>0</v>
      </c>
      <c r="BZ534" s="1584"/>
      <c r="CA534" s="1584"/>
      <c r="CB534" s="1585"/>
      <c r="CC534" s="1583">
        <f>SUM(CC530:CF533)</f>
        <v>0</v>
      </c>
      <c r="CD534" s="1584"/>
      <c r="CE534" s="1584"/>
      <c r="CF534" s="1585"/>
      <c r="CG534" s="1583">
        <f>SUM(BM534:CF534)</f>
        <v>0</v>
      </c>
      <c r="CH534" s="1584"/>
      <c r="CI534" s="1584"/>
      <c r="CJ534" s="1585"/>
    </row>
    <row r="535" spans="1:89" s="3" customFormat="1" ht="12.75" hidden="1" customHeight="1">
      <c r="A535" s="28"/>
      <c r="B535" s="3" t="s">
        <v>2209</v>
      </c>
      <c r="C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771"/>
      <c r="AE535" s="16"/>
      <c r="AF535" s="16"/>
      <c r="AG535" s="16"/>
      <c r="AH535" s="16"/>
      <c r="AN535" s="209"/>
    </row>
    <row r="536" spans="1:89" s="3" customFormat="1" ht="12.75" hidden="1" customHeight="1">
      <c r="A536" s="207"/>
      <c r="C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771"/>
      <c r="AE536" s="16"/>
      <c r="AF536" s="16"/>
      <c r="AG536" s="16"/>
      <c r="AH536" s="16"/>
      <c r="AN536" s="209"/>
    </row>
    <row r="537" spans="1:89" s="3" customFormat="1" ht="12.75" hidden="1" customHeight="1">
      <c r="A537" s="60"/>
      <c r="B537" s="82"/>
      <c r="C537" s="82"/>
      <c r="D537" s="82"/>
      <c r="E537" s="82"/>
      <c r="F537" s="82"/>
      <c r="G537" s="82"/>
      <c r="H537" s="82"/>
      <c r="I537" s="82"/>
      <c r="J537" s="82"/>
      <c r="K537" s="82"/>
      <c r="L537" s="82"/>
      <c r="M537" s="82"/>
      <c r="N537" s="82"/>
      <c r="O537" s="82"/>
      <c r="P537" s="82"/>
      <c r="Q537" s="82"/>
      <c r="R537" s="82"/>
      <c r="S537" s="82"/>
      <c r="T537" s="82"/>
      <c r="U537" s="82"/>
      <c r="V537" s="82"/>
      <c r="W537" s="82"/>
      <c r="X537" s="82"/>
      <c r="Y537" s="82"/>
      <c r="Z537" s="82"/>
      <c r="AA537" s="82"/>
      <c r="AB537" s="82"/>
      <c r="AC537" s="906"/>
      <c r="AD537" s="82"/>
      <c r="AE537" s="82"/>
      <c r="AF537" s="82"/>
      <c r="AG537" s="82"/>
      <c r="AH537" s="61"/>
      <c r="AI537" s="788"/>
      <c r="AJ537" s="788" t="s">
        <v>2210</v>
      </c>
      <c r="AK537" s="1194">
        <f>SUM(AG481:AG526)</f>
        <v>0</v>
      </c>
      <c r="AL537" s="1195"/>
      <c r="AM537" s="1196"/>
      <c r="AN537" s="209"/>
      <c r="AP537" s="99" t="s">
        <v>2211</v>
      </c>
      <c r="AQ537" s="100"/>
      <c r="AR537" s="100"/>
      <c r="AS537" s="100"/>
      <c r="AT537" s="100"/>
      <c r="AU537" s="100"/>
      <c r="AV537" s="100"/>
      <c r="AW537" s="100"/>
      <c r="AX537" s="100"/>
      <c r="AY537" s="100"/>
      <c r="AZ537" s="101"/>
      <c r="CH537" s="769" t="s">
        <v>2193</v>
      </c>
      <c r="CK537" s="836"/>
    </row>
    <row r="538" spans="1:89" s="3" customFormat="1" ht="12.75" hidden="1" customHeight="1" thickBot="1">
      <c r="A538" s="96"/>
      <c r="B538" s="96"/>
      <c r="C538" s="96"/>
      <c r="D538" s="96"/>
      <c r="E538" s="96"/>
      <c r="F538" s="96"/>
      <c r="G538" s="96"/>
      <c r="H538" s="96"/>
      <c r="I538" s="96"/>
      <c r="J538" s="96"/>
      <c r="K538" s="96"/>
      <c r="L538" s="96"/>
      <c r="M538" s="96"/>
      <c r="N538" s="96"/>
      <c r="O538" s="96"/>
      <c r="P538" s="96"/>
      <c r="Q538" s="96"/>
      <c r="R538" s="96"/>
      <c r="S538" s="96"/>
      <c r="T538" s="96"/>
      <c r="U538" s="96"/>
      <c r="V538" s="96"/>
      <c r="W538" s="96"/>
      <c r="X538" s="96"/>
      <c r="Y538" s="96"/>
      <c r="Z538" s="96"/>
      <c r="AA538" s="96"/>
      <c r="AB538" s="96"/>
      <c r="AC538" s="96"/>
      <c r="AD538" s="96"/>
      <c r="AE538" s="96"/>
      <c r="AF538" s="96"/>
      <c r="AG538" s="96"/>
      <c r="AH538" s="96"/>
      <c r="AI538" s="96"/>
      <c r="AJ538" s="96"/>
      <c r="AK538" s="96"/>
      <c r="AL538" s="96"/>
      <c r="AM538" s="96"/>
      <c r="AN538" s="209"/>
      <c r="AP538" s="102" t="s">
        <v>2212</v>
      </c>
      <c r="AQ538" s="103"/>
      <c r="AR538" s="103"/>
      <c r="AS538" s="103"/>
      <c r="AT538" s="103"/>
      <c r="AU538" s="103"/>
      <c r="AV538" s="103"/>
      <c r="AW538" s="103"/>
      <c r="AX538" s="103"/>
      <c r="AY538" s="1586">
        <f>SUM(O605:S609)</f>
        <v>42</v>
      </c>
      <c r="AZ538" s="1587"/>
      <c r="CG538"/>
      <c r="CH538" s="1694" t="s">
        <v>2213</v>
      </c>
      <c r="CI538" s="1141"/>
      <c r="CJ538" s="1141"/>
      <c r="CK538" s="1142"/>
    </row>
    <row r="539" spans="1:89" s="3" customFormat="1" ht="12.75" customHeight="1" thickTop="1">
      <c r="B539" s="137"/>
      <c r="C539" s="138"/>
      <c r="D539" s="138"/>
      <c r="E539" s="138"/>
      <c r="F539" s="138"/>
      <c r="G539" s="138"/>
      <c r="H539" s="138"/>
      <c r="I539" s="816"/>
      <c r="J539" s="816"/>
      <c r="K539" s="816"/>
      <c r="L539" s="816"/>
      <c r="M539" s="816"/>
      <c r="N539" s="816"/>
      <c r="O539" s="816"/>
      <c r="P539" s="816"/>
      <c r="Q539" s="816"/>
      <c r="R539" s="18"/>
      <c r="S539" s="2"/>
      <c r="T539" s="2"/>
      <c r="U539" s="2"/>
      <c r="V539" s="2"/>
      <c r="W539" s="2"/>
      <c r="X539" s="2"/>
      <c r="Y539" s="2"/>
      <c r="Z539" s="2"/>
      <c r="AA539" s="2"/>
      <c r="AB539" s="2"/>
      <c r="AC539" s="2"/>
      <c r="AD539" s="2"/>
      <c r="AE539" s="2"/>
      <c r="AF539" s="18"/>
      <c r="AG539" s="2"/>
      <c r="AH539" s="2"/>
      <c r="AI539" s="2"/>
      <c r="AJ539" s="2"/>
      <c r="AM539" s="18"/>
      <c r="AN539" s="209"/>
      <c r="AP539" s="104" t="s">
        <v>2214</v>
      </c>
      <c r="AQ539" s="105"/>
      <c r="AR539" s="105"/>
      <c r="AS539" s="1586" t="str">
        <f>IF(AY538=BK565,"passed","failed")</f>
        <v>passed</v>
      </c>
      <c r="AT539" s="1588"/>
      <c r="AU539" s="1587"/>
      <c r="AV539" s="105"/>
      <c r="AW539" s="105"/>
      <c r="AX539" s="105"/>
      <c r="AY539" s="105"/>
      <c r="AZ539" s="106"/>
      <c r="CG539"/>
      <c r="CH539" s="1143"/>
      <c r="CI539" s="1144"/>
      <c r="CJ539" s="1144"/>
      <c r="CK539" s="1145"/>
    </row>
    <row r="540" spans="1:89" s="3" customFormat="1" ht="12.75" customHeight="1">
      <c r="A540" s="2" t="s">
        <v>2215</v>
      </c>
      <c r="B540" s="18"/>
      <c r="C540" s="2"/>
      <c r="D540" s="18"/>
      <c r="E540" s="18"/>
      <c r="F540" s="18"/>
      <c r="G540" s="18"/>
      <c r="H540" s="18"/>
      <c r="I540" s="18"/>
      <c r="J540" s="18"/>
      <c r="K540" s="18"/>
      <c r="L540" s="18"/>
      <c r="M540" s="18"/>
      <c r="N540" s="18"/>
      <c r="O540" s="18"/>
      <c r="P540" s="18"/>
      <c r="Q540" s="18"/>
      <c r="R540" s="18"/>
      <c r="S540" s="18"/>
      <c r="T540" s="18"/>
      <c r="U540" s="18"/>
      <c r="V540" s="18"/>
      <c r="W540" s="18"/>
      <c r="X540" s="18"/>
      <c r="Y540" s="18"/>
      <c r="Z540" s="18"/>
      <c r="AA540" s="18"/>
      <c r="AB540" s="18"/>
      <c r="AE540" s="1679" t="s">
        <v>2216</v>
      </c>
      <c r="AF540" s="1679"/>
      <c r="AG540" s="1679"/>
      <c r="AH540" s="1679"/>
      <c r="AI540" s="1679"/>
      <c r="AJ540" s="1679"/>
      <c r="AK540" s="1679"/>
      <c r="AL540" s="815"/>
      <c r="AM540" s="18"/>
      <c r="AN540" s="209"/>
      <c r="BE540"/>
      <c r="BF540"/>
      <c r="BG540"/>
      <c r="BH540"/>
      <c r="BI540"/>
      <c r="BJ540"/>
      <c r="BK540"/>
      <c r="BL540"/>
      <c r="BM540"/>
      <c r="BN540"/>
      <c r="BO540"/>
      <c r="BP540"/>
      <c r="BQ540"/>
      <c r="BR540" s="836" t="s">
        <v>2193</v>
      </c>
      <c r="BS540"/>
      <c r="BT540"/>
      <c r="BU540"/>
      <c r="BV540"/>
      <c r="BW540"/>
      <c r="BX540"/>
      <c r="BY540"/>
      <c r="BZ540"/>
      <c r="CA540"/>
      <c r="CB540"/>
      <c r="CC540"/>
      <c r="CG540"/>
      <c r="CH540" s="1143"/>
      <c r="CI540" s="1144"/>
      <c r="CJ540" s="1144"/>
      <c r="CK540" s="1145"/>
    </row>
    <row r="541" spans="1:89" s="3" customFormat="1" ht="12.75" customHeight="1">
      <c r="B541" s="776" t="s">
        <v>2217</v>
      </c>
      <c r="C541" s="2"/>
      <c r="D541" s="18"/>
      <c r="E541" s="18"/>
      <c r="F541" s="18"/>
      <c r="G541" s="18"/>
      <c r="H541" s="18"/>
      <c r="I541" s="18"/>
      <c r="J541" s="18"/>
      <c r="K541" s="18"/>
      <c r="L541" s="18"/>
      <c r="M541" s="18"/>
      <c r="N541" s="18"/>
      <c r="O541" s="18"/>
      <c r="P541" s="18"/>
      <c r="Q541" s="18"/>
      <c r="R541" s="18"/>
      <c r="S541" s="18"/>
      <c r="T541" s="18"/>
      <c r="U541" s="18"/>
      <c r="V541" s="18"/>
      <c r="W541" s="18"/>
      <c r="X541" s="18"/>
      <c r="Y541" s="18"/>
      <c r="Z541" s="18"/>
      <c r="AA541" s="18"/>
      <c r="AB541" s="18"/>
      <c r="AE541" s="815"/>
      <c r="AF541" s="815"/>
      <c r="AG541" s="1592" t="s">
        <v>2218</v>
      </c>
      <c r="AH541" s="1592"/>
      <c r="AI541" s="1592"/>
      <c r="AJ541" s="1592"/>
      <c r="AK541" s="815"/>
      <c r="AL541" s="815"/>
      <c r="AM541" s="18"/>
      <c r="AN541" s="209"/>
      <c r="BE541" s="1583" t="s">
        <v>2219</v>
      </c>
      <c r="BF541" s="1584"/>
      <c r="BG541" s="1584"/>
      <c r="BH541" s="1585"/>
      <c r="BI541" s="1583" t="s">
        <v>2220</v>
      </c>
      <c r="BJ541" s="1584"/>
      <c r="BK541" s="1584"/>
      <c r="BL541" s="1585"/>
      <c r="BM541" s="1583" t="s">
        <v>2221</v>
      </c>
      <c r="BN541" s="1584"/>
      <c r="BO541" s="1584"/>
      <c r="BP541" s="1585"/>
      <c r="BQ541" s="1583" t="s">
        <v>2222</v>
      </c>
      <c r="BR541" s="1584"/>
      <c r="BS541" s="1584"/>
      <c r="BT541" s="1585"/>
      <c r="BU541" s="1583" t="s">
        <v>2223</v>
      </c>
      <c r="BV541" s="1584"/>
      <c r="BW541" s="1584"/>
      <c r="BX541" s="1585"/>
      <c r="BY541" s="1583" t="s">
        <v>2224</v>
      </c>
      <c r="BZ541" s="1584"/>
      <c r="CA541" s="1584"/>
      <c r="CB541" s="1585"/>
      <c r="CC541"/>
      <c r="CG541"/>
      <c r="CH541" s="1143"/>
      <c r="CI541" s="1144"/>
      <c r="CJ541" s="1144"/>
      <c r="CK541" s="1145"/>
    </row>
    <row r="542" spans="1:89" s="3" customFormat="1" ht="12.75" customHeight="1">
      <c r="A542" s="2"/>
      <c r="B542" s="1550" t="s">
        <v>2225</v>
      </c>
      <c r="C542" s="1550"/>
      <c r="D542" s="1550"/>
      <c r="E542" s="1550"/>
      <c r="F542" s="1550"/>
      <c r="G542" s="1550"/>
      <c r="H542" s="1550"/>
      <c r="I542" s="1550"/>
      <c r="J542" s="1550"/>
      <c r="K542" s="1550"/>
      <c r="L542" s="1550"/>
      <c r="M542" s="1550"/>
      <c r="N542" s="1550"/>
      <c r="O542" s="1550"/>
      <c r="P542" s="1550"/>
      <c r="Q542" s="1550"/>
      <c r="R542" s="1550"/>
      <c r="S542" s="1550"/>
      <c r="T542" s="1550"/>
      <c r="U542" s="1550"/>
      <c r="V542" s="1550"/>
      <c r="W542" s="1550"/>
      <c r="X542" s="1550"/>
      <c r="Y542" s="1550"/>
      <c r="Z542" s="1550"/>
      <c r="AA542" s="1550"/>
      <c r="AB542" s="1550"/>
      <c r="AC542" s="1550"/>
      <c r="AD542" s="1550"/>
      <c r="AE542" s="1550"/>
      <c r="AF542" s="1550"/>
      <c r="AG542" s="1550"/>
      <c r="AK542" s="18"/>
      <c r="AL542" s="18"/>
      <c r="AN542" s="209"/>
      <c r="AP542" s="313" t="s">
        <v>2226</v>
      </c>
      <c r="AQ542" s="314"/>
      <c r="AR542" s="314"/>
      <c r="AS542" s="314"/>
      <c r="AT542" s="314"/>
      <c r="AU542" s="314"/>
      <c r="AV542" s="315"/>
      <c r="AW542" s="314"/>
      <c r="AX542" s="314"/>
      <c r="AY542" s="315"/>
      <c r="BE542" s="1586">
        <f>IF(CH543=1,0,1)</f>
        <v>0</v>
      </c>
      <c r="BF542" s="1588"/>
      <c r="BG542" s="1588"/>
      <c r="BH542" s="1587"/>
      <c r="BI542" s="1586"/>
      <c r="BJ542" s="1588"/>
      <c r="BK542" s="1588"/>
      <c r="BL542" s="1587"/>
      <c r="BM542" s="1586"/>
      <c r="BN542" s="1588"/>
      <c r="BO542" s="1588"/>
      <c r="BP542" s="1587"/>
      <c r="BQ542" s="1586"/>
      <c r="BR542" s="1588"/>
      <c r="BS542" s="1588"/>
      <c r="BT542" s="1587"/>
      <c r="BU542" s="1583"/>
      <c r="BV542" s="1584"/>
      <c r="BW542" s="1584"/>
      <c r="BX542" s="1585"/>
      <c r="BY542" s="1583"/>
      <c r="BZ542" s="1584"/>
      <c r="CA542" s="1584"/>
      <c r="CB542" s="1585"/>
      <c r="CC542"/>
      <c r="CG542"/>
      <c r="CH542" s="1146"/>
      <c r="CI542" s="1147"/>
      <c r="CJ542" s="1147"/>
      <c r="CK542" s="1148"/>
    </row>
    <row r="543" spans="1:89" s="3" customFormat="1" ht="12.75" customHeight="1">
      <c r="A543" s="17"/>
      <c r="B543" s="1550"/>
      <c r="C543" s="1550"/>
      <c r="D543" s="1550"/>
      <c r="E543" s="1550"/>
      <c r="F543" s="1550"/>
      <c r="G543" s="1550"/>
      <c r="H543" s="1550"/>
      <c r="I543" s="1550"/>
      <c r="J543" s="1550"/>
      <c r="K543" s="1550"/>
      <c r="L543" s="1550"/>
      <c r="M543" s="1550"/>
      <c r="N543" s="1550"/>
      <c r="O543" s="1550"/>
      <c r="P543" s="1550"/>
      <c r="Q543" s="1550"/>
      <c r="R543" s="1550"/>
      <c r="S543" s="1550"/>
      <c r="T543" s="1550"/>
      <c r="U543" s="1550"/>
      <c r="V543" s="1550"/>
      <c r="W543" s="1550"/>
      <c r="X543" s="1550"/>
      <c r="Y543" s="1550"/>
      <c r="Z543" s="1550"/>
      <c r="AA543" s="1550"/>
      <c r="AB543" s="1550"/>
      <c r="AC543" s="1550"/>
      <c r="AD543" s="1550"/>
      <c r="AE543" s="1550"/>
      <c r="AF543" s="1550"/>
      <c r="AG543" s="1550"/>
      <c r="AK543" s="117"/>
      <c r="AL543" s="117"/>
      <c r="AM543" s="117"/>
      <c r="AN543" s="209"/>
      <c r="AP543" s="316" t="s">
        <v>2227</v>
      </c>
      <c r="AQ543" s="317"/>
      <c r="AR543" s="317"/>
      <c r="AS543" s="317"/>
      <c r="AT543" s="317"/>
      <c r="AU543" s="1589">
        <f>ROUNDUP(BK565*0.1,0)</f>
        <v>5</v>
      </c>
      <c r="AV543" s="1590"/>
      <c r="AW543" s="317"/>
      <c r="AX543" s="317">
        <f>AU543-AP545</f>
        <v>-12</v>
      </c>
      <c r="AY543" s="318"/>
      <c r="BE543" s="1586"/>
      <c r="BF543" s="1588"/>
      <c r="BG543" s="1588"/>
      <c r="BH543" s="1587"/>
      <c r="BI543" s="1586">
        <f>IF(AND(CH544=1,BE542=0),0,1)</f>
        <v>0</v>
      </c>
      <c r="BJ543" s="1588"/>
      <c r="BK543" s="1588"/>
      <c r="BL543" s="1587"/>
      <c r="BM543" s="1586"/>
      <c r="BN543" s="1588"/>
      <c r="BO543" s="1588"/>
      <c r="BP543" s="1587"/>
      <c r="BQ543" s="1586"/>
      <c r="BR543" s="1588"/>
      <c r="BS543" s="1588"/>
      <c r="BT543" s="1587"/>
      <c r="BU543" s="1583"/>
      <c r="BV543" s="1584"/>
      <c r="BW543" s="1584"/>
      <c r="BX543" s="1585"/>
      <c r="BY543" s="1583"/>
      <c r="BZ543" s="1584"/>
      <c r="CA543" s="1584"/>
      <c r="CB543" s="1585"/>
      <c r="CC543"/>
      <c r="CG543"/>
      <c r="CH543" s="1583">
        <f>IF(OR(Y605=0,Y605&gt;=0.1),1,0)</f>
        <v>1</v>
      </c>
      <c r="CI543" s="1584"/>
      <c r="CJ543" s="1584"/>
      <c r="CK543" s="1585"/>
    </row>
    <row r="544" spans="1:89" s="3" customFormat="1" ht="12.75" customHeight="1">
      <c r="B544" s="1550"/>
      <c r="C544" s="1550"/>
      <c r="D544" s="1550"/>
      <c r="E544" s="1550"/>
      <c r="F544" s="1550"/>
      <c r="G544" s="1550"/>
      <c r="H544" s="1550"/>
      <c r="I544" s="1550"/>
      <c r="J544" s="1550"/>
      <c r="K544" s="1550"/>
      <c r="L544" s="1550"/>
      <c r="M544" s="1550"/>
      <c r="N544" s="1550"/>
      <c r="O544" s="1550"/>
      <c r="P544" s="1550"/>
      <c r="Q544" s="1550"/>
      <c r="R544" s="1550"/>
      <c r="S544" s="1550"/>
      <c r="T544" s="1550"/>
      <c r="U544" s="1550"/>
      <c r="V544" s="1550"/>
      <c r="W544" s="1550"/>
      <c r="X544" s="1550"/>
      <c r="Y544" s="1550"/>
      <c r="Z544" s="1550"/>
      <c r="AA544" s="1550"/>
      <c r="AB544" s="1550"/>
      <c r="AC544" s="1550"/>
      <c r="AD544" s="1550"/>
      <c r="AE544" s="1550"/>
      <c r="AF544" s="1550"/>
      <c r="AG544" s="1550"/>
      <c r="AH544" s="116"/>
      <c r="AI544" s="116"/>
      <c r="AJ544" s="116"/>
      <c r="AK544" s="117"/>
      <c r="AL544" s="117"/>
      <c r="AM544" s="117"/>
      <c r="AN544" s="209"/>
      <c r="AP544" s="316"/>
      <c r="AQ544" s="317"/>
      <c r="AR544" s="317"/>
      <c r="AS544" s="317"/>
      <c r="AT544" s="317"/>
      <c r="AU544" s="317"/>
      <c r="AV544" s="318"/>
      <c r="AW544" s="317"/>
      <c r="AX544" s="317"/>
      <c r="AY544" s="318"/>
      <c r="BE544" s="1586"/>
      <c r="BF544" s="1588"/>
      <c r="BG544" s="1588"/>
      <c r="BH544" s="1587"/>
      <c r="BI544" s="1586"/>
      <c r="BJ544" s="1588"/>
      <c r="BK544" s="1588"/>
      <c r="BL544" s="1587"/>
      <c r="BM544" s="1586">
        <f>IF(AND(AND(CH545=1,BI543=0,BE542=0)),0,1)</f>
        <v>0</v>
      </c>
      <c r="BN544" s="1588"/>
      <c r="BO544" s="1588"/>
      <c r="BP544" s="1587"/>
      <c r="BQ544" s="1586"/>
      <c r="BR544" s="1588"/>
      <c r="BS544" s="1588"/>
      <c r="BT544" s="1587"/>
      <c r="BU544" s="1583"/>
      <c r="BV544" s="1584"/>
      <c r="BW544" s="1584"/>
      <c r="BX544" s="1585"/>
      <c r="BY544" s="1583"/>
      <c r="BZ544" s="1584"/>
      <c r="CA544" s="1584"/>
      <c r="CB544" s="1585"/>
      <c r="CC544"/>
      <c r="CG544"/>
      <c r="CH544" s="1583">
        <f>IF(OR(Y606=0,Y606&gt;=0.1),1,0)</f>
        <v>1</v>
      </c>
      <c r="CI544" s="1584"/>
      <c r="CJ544" s="1584"/>
      <c r="CK544" s="1585"/>
    </row>
    <row r="545" spans="2:89" s="3" customFormat="1" ht="12.75" customHeight="1">
      <c r="B545" s="1550"/>
      <c r="C545" s="1550"/>
      <c r="D545" s="1550"/>
      <c r="E545" s="1550"/>
      <c r="F545" s="1550"/>
      <c r="G545" s="1550"/>
      <c r="H545" s="1550"/>
      <c r="I545" s="1550"/>
      <c r="J545" s="1550"/>
      <c r="K545" s="1550"/>
      <c r="L545" s="1550"/>
      <c r="M545" s="1550"/>
      <c r="N545" s="1550"/>
      <c r="O545" s="1550"/>
      <c r="P545" s="1550"/>
      <c r="Q545" s="1550"/>
      <c r="R545" s="1550"/>
      <c r="S545" s="1550"/>
      <c r="T545" s="1550"/>
      <c r="U545" s="1550"/>
      <c r="V545" s="1550"/>
      <c r="W545" s="1550"/>
      <c r="X545" s="1550"/>
      <c r="Y545" s="1550"/>
      <c r="Z545" s="1550"/>
      <c r="AA545" s="1550"/>
      <c r="AB545" s="1550"/>
      <c r="AC545" s="1550"/>
      <c r="AD545" s="1550"/>
      <c r="AE545" s="1550"/>
      <c r="AF545" s="1550"/>
      <c r="AG545" s="1550"/>
      <c r="AH545" s="116"/>
      <c r="AI545" s="116"/>
      <c r="AJ545" s="116"/>
      <c r="AK545" s="117"/>
      <c r="AL545" s="117"/>
      <c r="AM545" s="117"/>
      <c r="AN545" s="209"/>
      <c r="AP545" s="1612">
        <f>SUM(T605:X609)</f>
        <v>17</v>
      </c>
      <c r="AQ545" s="1613"/>
      <c r="AR545" s="1613"/>
      <c r="AS545" s="1613"/>
      <c r="AT545" s="1614"/>
      <c r="AU545" s="317"/>
      <c r="AV545" s="318"/>
      <c r="AW545" s="317"/>
      <c r="AX545" s="317"/>
      <c r="AY545" s="318"/>
      <c r="BE545" s="1586"/>
      <c r="BF545" s="1588"/>
      <c r="BG545" s="1588"/>
      <c r="BH545" s="1587"/>
      <c r="BI545" s="1586"/>
      <c r="BJ545" s="1588"/>
      <c r="BK545" s="1588"/>
      <c r="BL545" s="1587"/>
      <c r="BM545" s="1586"/>
      <c r="BN545" s="1588"/>
      <c r="BO545" s="1588"/>
      <c r="BP545" s="1587"/>
      <c r="BQ545" s="1586">
        <f>IF(AND(AND(AND(CH546=1,BM544=0,BI543=0,BE542=0))),0,1)</f>
        <v>0</v>
      </c>
      <c r="BR545" s="1588"/>
      <c r="BS545" s="1588"/>
      <c r="BT545" s="1587"/>
      <c r="BU545" s="1583"/>
      <c r="BV545" s="1584"/>
      <c r="BW545" s="1584"/>
      <c r="BX545" s="1585"/>
      <c r="BY545" s="1583"/>
      <c r="BZ545" s="1584"/>
      <c r="CA545" s="1584"/>
      <c r="CB545" s="1585"/>
      <c r="CC545"/>
      <c r="CG545"/>
      <c r="CH545" s="1583">
        <f>IF(OR(Y607=0,Y607&gt;=0.1),1,0)</f>
        <v>1</v>
      </c>
      <c r="CI545" s="1584"/>
      <c r="CJ545" s="1584"/>
      <c r="CK545" s="1585"/>
    </row>
    <row r="546" spans="2:89" s="3" customFormat="1" ht="12.75" customHeight="1">
      <c r="B546" s="1550"/>
      <c r="C546" s="1550"/>
      <c r="D546" s="1550"/>
      <c r="E546" s="1550"/>
      <c r="F546" s="1550"/>
      <c r="G546" s="1550"/>
      <c r="H546" s="1550"/>
      <c r="I546" s="1550"/>
      <c r="J546" s="1550"/>
      <c r="K546" s="1550"/>
      <c r="L546" s="1550"/>
      <c r="M546" s="1550"/>
      <c r="N546" s="1550"/>
      <c r="O546" s="1550"/>
      <c r="P546" s="1550"/>
      <c r="Q546" s="1550"/>
      <c r="R546" s="1550"/>
      <c r="S546" s="1550"/>
      <c r="T546" s="1550"/>
      <c r="U546" s="1550"/>
      <c r="V546" s="1550"/>
      <c r="W546" s="1550"/>
      <c r="X546" s="1550"/>
      <c r="Y546" s="1550"/>
      <c r="Z546" s="1550"/>
      <c r="AA546" s="1550"/>
      <c r="AB546" s="1550"/>
      <c r="AC546" s="1550"/>
      <c r="AD546" s="1550"/>
      <c r="AE546" s="1550"/>
      <c r="AF546" s="1550"/>
      <c r="AG546" s="1550"/>
      <c r="AH546" s="116"/>
      <c r="AI546" s="116"/>
      <c r="AJ546" s="116"/>
      <c r="AK546" s="117"/>
      <c r="AL546" s="117"/>
      <c r="AM546" s="117"/>
      <c r="AN546" s="209"/>
      <c r="AP546" s="319"/>
      <c r="AQ546" s="320"/>
      <c r="AR546" s="320"/>
      <c r="AS546" s="320"/>
      <c r="AT546" s="321" t="s">
        <v>2214</v>
      </c>
      <c r="AU546" s="1589" t="str">
        <f>IF(AP545&gt;=AU543,"passed","failed")</f>
        <v>passed</v>
      </c>
      <c r="AV546" s="1705"/>
      <c r="AW546" s="1590"/>
      <c r="AX546" s="322"/>
      <c r="AY546" s="323"/>
      <c r="BE546" s="1586"/>
      <c r="BF546" s="1588"/>
      <c r="BG546" s="1588"/>
      <c r="BH546" s="1587"/>
      <c r="BI546" s="1586"/>
      <c r="BJ546" s="1588"/>
      <c r="BK546" s="1588"/>
      <c r="BL546" s="1587"/>
      <c r="BM546" s="1586"/>
      <c r="BN546" s="1588"/>
      <c r="BO546" s="1588"/>
      <c r="BP546" s="1587"/>
      <c r="BQ546" s="1586"/>
      <c r="BR546" s="1588"/>
      <c r="BS546" s="1588"/>
      <c r="BT546" s="1587"/>
      <c r="BU546" s="1586">
        <f>IF(AND(AND(AND(AND(CH547=1,BQ545=0,BM544=0,BI543=0,BE542=0)))),0,1)</f>
        <v>0</v>
      </c>
      <c r="BV546" s="1588"/>
      <c r="BW546" s="1588"/>
      <c r="BX546" s="1587"/>
      <c r="BY546" s="1583"/>
      <c r="BZ546" s="1584"/>
      <c r="CA546" s="1584"/>
      <c r="CB546" s="1585"/>
      <c r="CC546"/>
      <c r="CD546"/>
      <c r="CE546"/>
      <c r="CF546"/>
      <c r="CG546"/>
      <c r="CH546" s="1583">
        <f>IF(OR(Y608=0,Y608&gt;=0.1),1,0)</f>
        <v>1</v>
      </c>
      <c r="CI546" s="1584"/>
      <c r="CJ546" s="1584"/>
      <c r="CK546" s="1585"/>
    </row>
    <row r="547" spans="2:89" s="3" customFormat="1" ht="13.7" customHeight="1">
      <c r="B547" s="1550"/>
      <c r="C547" s="1550"/>
      <c r="D547" s="1550"/>
      <c r="E547" s="1550"/>
      <c r="F547" s="1550"/>
      <c r="G547" s="1550"/>
      <c r="H547" s="1550"/>
      <c r="I547" s="1550"/>
      <c r="J547" s="1550"/>
      <c r="K547" s="1550"/>
      <c r="L547" s="1550"/>
      <c r="M547" s="1550"/>
      <c r="N547" s="1550"/>
      <c r="O547" s="1550"/>
      <c r="P547" s="1550"/>
      <c r="Q547" s="1550"/>
      <c r="R547" s="1550"/>
      <c r="S547" s="1550"/>
      <c r="T547" s="1550"/>
      <c r="U547" s="1550"/>
      <c r="V547" s="1550"/>
      <c r="W547" s="1550"/>
      <c r="X547" s="1550"/>
      <c r="Y547" s="1550"/>
      <c r="Z547" s="1550"/>
      <c r="AA547" s="1550"/>
      <c r="AB547" s="1550"/>
      <c r="AC547" s="1550"/>
      <c r="AD547" s="1550"/>
      <c r="AE547" s="1550"/>
      <c r="AF547" s="1550"/>
      <c r="AG547" s="1550"/>
      <c r="AH547" s="116"/>
      <c r="AI547" s="116"/>
      <c r="AJ547" s="116"/>
      <c r="AK547" s="117"/>
      <c r="AL547" s="117"/>
      <c r="AM547" s="117"/>
      <c r="AN547" s="209"/>
      <c r="BE547" s="1586">
        <f>SUM(BE542:BH546)</f>
        <v>0</v>
      </c>
      <c r="BF547" s="1588"/>
      <c r="BG547" s="1588"/>
      <c r="BH547" s="1587"/>
      <c r="BI547" s="1586">
        <f>SUM(BI542:BL546)</f>
        <v>0</v>
      </c>
      <c r="BJ547" s="1588"/>
      <c r="BK547" s="1588"/>
      <c r="BL547" s="1587"/>
      <c r="BM547" s="1586">
        <f>SUM(BM542:BP546)</f>
        <v>0</v>
      </c>
      <c r="BN547" s="1588"/>
      <c r="BO547" s="1588"/>
      <c r="BP547" s="1587"/>
      <c r="BQ547" s="1586">
        <f>SUM(BQ542:BT546)</f>
        <v>0</v>
      </c>
      <c r="BR547" s="1588"/>
      <c r="BS547" s="1588"/>
      <c r="BT547" s="1587"/>
      <c r="BU547" s="1586">
        <f>SUM(BU542:BX546)</f>
        <v>0</v>
      </c>
      <c r="BV547" s="1588"/>
      <c r="BW547" s="1588"/>
      <c r="BX547" s="1587"/>
      <c r="BY547" s="1586">
        <f>SUM(BY542:CB546)</f>
        <v>0</v>
      </c>
      <c r="BZ547" s="1588"/>
      <c r="CA547" s="1588"/>
      <c r="CB547" s="1587"/>
      <c r="CC547" s="1583">
        <f>IF(AND(CH543=1,T605&gt;0),0,SUM(BE547:CB547))</f>
        <v>0</v>
      </c>
      <c r="CD547" s="1584"/>
      <c r="CE547" s="1584"/>
      <c r="CF547" s="1585"/>
      <c r="CG547"/>
      <c r="CH547" s="1583">
        <f>IF(OR(Y609=0,Y609&gt;=0.1),1,0)</f>
        <v>1</v>
      </c>
      <c r="CI547" s="1584"/>
      <c r="CJ547" s="1584"/>
      <c r="CK547" s="1585"/>
    </row>
    <row r="548" spans="2:89" s="3" customFormat="1" ht="12.4" customHeight="1">
      <c r="B548" s="1709" t="s">
        <v>2228</v>
      </c>
      <c r="C548" s="1709"/>
      <c r="D548" s="1709"/>
      <c r="E548" s="1709"/>
      <c r="F548" s="1709"/>
      <c r="G548" s="1709"/>
      <c r="H548" s="1709"/>
      <c r="I548" s="1709"/>
      <c r="J548" s="1709"/>
      <c r="K548" s="1709"/>
      <c r="L548" s="1709"/>
      <c r="M548" s="1709"/>
      <c r="N548" s="1709"/>
      <c r="O548" s="1709"/>
      <c r="P548" s="1709"/>
      <c r="Q548" s="1709"/>
      <c r="R548" s="1709"/>
      <c r="S548" s="1709"/>
      <c r="T548" s="1709"/>
      <c r="U548" s="1709"/>
      <c r="V548" s="1709"/>
      <c r="W548" s="1709"/>
      <c r="X548" s="1709"/>
      <c r="Y548" s="1709"/>
      <c r="Z548" s="1709"/>
      <c r="AA548" s="1709"/>
      <c r="AB548" s="1709"/>
      <c r="AC548" s="1709"/>
      <c r="AD548" s="1709"/>
      <c r="AE548" s="1709"/>
      <c r="AF548" s="1709"/>
      <c r="AG548" s="1709"/>
      <c r="AH548" s="116"/>
      <c r="AI548" s="116"/>
      <c r="AJ548" s="116"/>
      <c r="AK548" s="117"/>
      <c r="AL548" s="117"/>
      <c r="AM548" s="117"/>
      <c r="AN548" s="209"/>
    </row>
    <row r="549" spans="2:89" s="3" customFormat="1" ht="21" customHeight="1">
      <c r="B549" s="1709"/>
      <c r="C549" s="1709"/>
      <c r="D549" s="1709"/>
      <c r="E549" s="1709"/>
      <c r="F549" s="1709"/>
      <c r="G549" s="1709"/>
      <c r="H549" s="1709"/>
      <c r="I549" s="1709"/>
      <c r="J549" s="1709"/>
      <c r="K549" s="1709"/>
      <c r="L549" s="1709"/>
      <c r="M549" s="1709"/>
      <c r="N549" s="1709"/>
      <c r="O549" s="1709"/>
      <c r="P549" s="1709"/>
      <c r="Q549" s="1709"/>
      <c r="R549" s="1709"/>
      <c r="S549" s="1709"/>
      <c r="T549" s="1709"/>
      <c r="U549" s="1709"/>
      <c r="V549" s="1709"/>
      <c r="W549" s="1709"/>
      <c r="X549" s="1709"/>
      <c r="Y549" s="1709"/>
      <c r="Z549" s="1709"/>
      <c r="AA549" s="1709"/>
      <c r="AB549" s="1709"/>
      <c r="AC549" s="1709"/>
      <c r="AD549" s="1709"/>
      <c r="AE549" s="1709"/>
      <c r="AF549" s="1709"/>
      <c r="AG549" s="1709"/>
      <c r="AH549" s="116"/>
      <c r="AI549" s="116"/>
      <c r="AJ549" s="116"/>
      <c r="AK549" s="117"/>
      <c r="AL549" s="117"/>
      <c r="AM549" s="117"/>
      <c r="AN549" s="209"/>
      <c r="AP549" s="99" t="s">
        <v>2229</v>
      </c>
      <c r="AQ549" s="100"/>
      <c r="AR549" s="100"/>
      <c r="AS549" s="100"/>
      <c r="AT549" s="100"/>
      <c r="AU549" s="100"/>
      <c r="AV549" s="100"/>
      <c r="AW549" s="100"/>
      <c r="AX549" s="100"/>
      <c r="AY549" s="101"/>
    </row>
    <row r="550" spans="2:89" s="3" customFormat="1" ht="12.75" customHeight="1">
      <c r="B550" s="1709" t="s">
        <v>2230</v>
      </c>
      <c r="C550" s="1709"/>
      <c r="D550" s="1709"/>
      <c r="E550" s="1709"/>
      <c r="F550" s="1709"/>
      <c r="G550" s="1709"/>
      <c r="H550" s="1709"/>
      <c r="I550" s="1709"/>
      <c r="J550" s="1709"/>
      <c r="K550" s="1709"/>
      <c r="L550" s="1709"/>
      <c r="M550" s="1709"/>
      <c r="N550" s="1709"/>
      <c r="O550" s="1709"/>
      <c r="P550" s="1709"/>
      <c r="Q550" s="1709"/>
      <c r="R550" s="1709"/>
      <c r="S550" s="1709"/>
      <c r="T550" s="1709"/>
      <c r="U550" s="1709"/>
      <c r="V550" s="1709"/>
      <c r="W550" s="1709"/>
      <c r="X550" s="1709"/>
      <c r="Y550" s="1709"/>
      <c r="Z550" s="1709"/>
      <c r="AA550" s="1709"/>
      <c r="AB550" s="1709"/>
      <c r="AC550" s="1709"/>
      <c r="AD550" s="1709"/>
      <c r="AE550" s="1709"/>
      <c r="AF550" s="1709"/>
      <c r="AG550" s="518"/>
      <c r="AH550" s="116"/>
      <c r="AI550" s="116"/>
      <c r="AJ550" s="116"/>
      <c r="AK550" s="117"/>
      <c r="AL550" s="117"/>
      <c r="AM550" s="117"/>
      <c r="AN550" s="209"/>
      <c r="AP550" s="102" t="s">
        <v>2231</v>
      </c>
      <c r="AQ550" s="103"/>
      <c r="AR550" s="103"/>
      <c r="AS550" s="103"/>
      <c r="AT550" s="103"/>
      <c r="AU550" s="103"/>
      <c r="AV550" s="103"/>
      <c r="AW550" s="103"/>
      <c r="AX550" s="110"/>
      <c r="AY550" s="110"/>
    </row>
    <row r="551" spans="2:89" s="3" customFormat="1" ht="12.75" customHeight="1">
      <c r="B551" s="1709"/>
      <c r="C551" s="1709"/>
      <c r="D551" s="1709"/>
      <c r="E551" s="1709"/>
      <c r="F551" s="1709"/>
      <c r="G551" s="1709"/>
      <c r="H551" s="1709"/>
      <c r="I551" s="1709"/>
      <c r="J551" s="1709"/>
      <c r="K551" s="1709"/>
      <c r="L551" s="1709"/>
      <c r="M551" s="1709"/>
      <c r="N551" s="1709"/>
      <c r="O551" s="1709"/>
      <c r="P551" s="1709"/>
      <c r="Q551" s="1709"/>
      <c r="R551" s="1709"/>
      <c r="S551" s="1709"/>
      <c r="T551" s="1709"/>
      <c r="U551" s="1709"/>
      <c r="V551" s="1709"/>
      <c r="W551" s="1709"/>
      <c r="X551" s="1709"/>
      <c r="Y551" s="1709"/>
      <c r="Z551" s="1709"/>
      <c r="AA551" s="1709"/>
      <c r="AB551" s="1709"/>
      <c r="AC551" s="1709"/>
      <c r="AD551" s="1709"/>
      <c r="AE551" s="1709"/>
      <c r="AF551" s="1709"/>
      <c r="AG551" s="116"/>
      <c r="AH551" s="116"/>
      <c r="AI551" s="116"/>
      <c r="AJ551" s="116"/>
      <c r="AK551" s="117"/>
      <c r="AL551" s="117"/>
      <c r="AM551" s="117"/>
      <c r="AN551" s="209"/>
      <c r="AP551" s="104"/>
      <c r="AQ551" s="105"/>
      <c r="AR551" s="105"/>
      <c r="AS551" s="105"/>
      <c r="AT551" s="111" t="s">
        <v>2214</v>
      </c>
      <c r="AU551" s="105"/>
      <c r="AV551" s="1586" t="str">
        <f>IF(BJ587&gt;0,"failed","passed")</f>
        <v>failed</v>
      </c>
      <c r="AW551" s="1588"/>
      <c r="AX551" s="1588"/>
      <c r="AY551" s="1587"/>
    </row>
    <row r="552" spans="2:89" s="3" customFormat="1" ht="12.4" customHeight="1">
      <c r="B552" s="519" t="s">
        <v>2232</v>
      </c>
      <c r="C552" s="520"/>
      <c r="D552" s="520"/>
      <c r="E552" s="520"/>
      <c r="F552" s="520"/>
      <c r="G552" s="520"/>
      <c r="H552" s="520"/>
      <c r="I552" s="520"/>
      <c r="J552" s="520"/>
      <c r="K552" s="520"/>
      <c r="L552" s="520"/>
      <c r="M552" s="520"/>
      <c r="N552" s="520"/>
      <c r="O552" s="160"/>
      <c r="P552" s="160"/>
      <c r="Q552" s="160"/>
      <c r="R552" s="160"/>
      <c r="S552" s="160"/>
      <c r="T552" s="160"/>
      <c r="U552" s="160"/>
      <c r="V552" s="160"/>
      <c r="W552" s="160"/>
      <c r="X552" s="160"/>
      <c r="Y552" s="160"/>
      <c r="Z552" s="160"/>
      <c r="AA552" s="160"/>
      <c r="AB552" s="160"/>
      <c r="AC552" s="160"/>
      <c r="AD552" s="160"/>
      <c r="AE552" s="160"/>
      <c r="AF552" s="160"/>
      <c r="AG552" s="160"/>
      <c r="AH552" s="160"/>
      <c r="AI552" s="116"/>
      <c r="AJ552" s="116"/>
      <c r="AK552" s="117"/>
      <c r="AL552" s="117"/>
      <c r="AM552" s="117"/>
      <c r="AN552" s="209"/>
    </row>
    <row r="553" spans="2:89" s="3" customFormat="1" ht="12.75" customHeight="1">
      <c r="B553" s="160" t="s">
        <v>2233</v>
      </c>
      <c r="G553" s="160"/>
      <c r="H553" s="160"/>
      <c r="I553" s="160"/>
      <c r="J553" s="160"/>
      <c r="K553" s="160"/>
      <c r="L553" s="160"/>
      <c r="M553" s="160"/>
      <c r="N553" s="160"/>
      <c r="O553" s="160"/>
      <c r="P553" s="160"/>
      <c r="Q553" s="160"/>
      <c r="R553" s="160"/>
      <c r="S553" s="160"/>
      <c r="T553" s="160"/>
      <c r="U553" s="160"/>
      <c r="V553" s="160"/>
      <c r="W553" s="160"/>
      <c r="X553" s="160"/>
      <c r="Y553" s="160"/>
      <c r="Z553" s="160"/>
      <c r="AA553" s="160"/>
      <c r="AB553" s="160"/>
      <c r="AC553" s="160"/>
      <c r="AD553" s="160"/>
      <c r="AE553" s="160"/>
      <c r="AF553" s="160"/>
      <c r="AG553" s="160"/>
      <c r="AH553" s="160"/>
      <c r="AI553" s="116"/>
      <c r="AJ553" s="116"/>
      <c r="AK553" s="117"/>
      <c r="AL553" s="117"/>
      <c r="AM553" s="117"/>
      <c r="AN553" s="209"/>
      <c r="BL553"/>
      <c r="BM553"/>
      <c r="BN553"/>
      <c r="BO553"/>
      <c r="BP553"/>
      <c r="BQ553"/>
      <c r="CB553"/>
      <c r="CC553"/>
      <c r="CD553"/>
      <c r="CE553"/>
      <c r="CF553"/>
      <c r="CG553"/>
      <c r="CH553"/>
    </row>
    <row r="554" spans="2:89" s="3" customFormat="1" ht="12.75" customHeight="1">
      <c r="B554" s="28"/>
      <c r="D554" s="118"/>
      <c r="E554" s="119"/>
      <c r="I554" s="152"/>
      <c r="J554" s="153"/>
      <c r="K554" s="154"/>
      <c r="L554" s="154"/>
      <c r="M554" s="154"/>
      <c r="N554" s="154"/>
      <c r="O554" s="154"/>
      <c r="P554" s="155"/>
      <c r="Q554" s="1739" t="s">
        <v>2234</v>
      </c>
      <c r="R554" s="1739"/>
      <c r="S554" s="1739"/>
      <c r="T554" s="1739"/>
      <c r="U554" s="1739"/>
      <c r="V554" s="1739"/>
      <c r="W554" s="1739"/>
      <c r="X554" s="1739"/>
      <c r="Y554" s="1739"/>
      <c r="Z554" s="1739"/>
      <c r="AA554" s="1739"/>
      <c r="AB554" s="1739"/>
      <c r="AC554" s="1739"/>
      <c r="AD554" s="1739"/>
      <c r="AE554" s="1739"/>
      <c r="AF554" s="1739"/>
      <c r="AG554" s="116"/>
      <c r="AH554" s="116"/>
      <c r="AI554" s="116"/>
      <c r="AN554" s="209"/>
      <c r="AP554" s="5" t="s">
        <v>2235</v>
      </c>
      <c r="AQ554" s="6"/>
      <c r="AR554" s="6"/>
      <c r="AS554" s="6"/>
      <c r="AT554" s="6"/>
      <c r="AU554" s="6"/>
      <c r="AV554" s="6"/>
      <c r="AW554" s="6"/>
      <c r="AX554" s="6"/>
      <c r="AY554" s="6"/>
      <c r="AZ554" s="6"/>
      <c r="BA554" s="6"/>
      <c r="BB554" s="6"/>
      <c r="BC554" s="6"/>
      <c r="BD554" s="6"/>
      <c r="BE554" s="6"/>
      <c r="BF554" s="6"/>
      <c r="BG554" s="44"/>
      <c r="BL554"/>
      <c r="BM554"/>
      <c r="BN554"/>
      <c r="BO554"/>
      <c r="BP554"/>
      <c r="BQ554"/>
      <c r="CB554"/>
      <c r="CC554"/>
      <c r="CD554"/>
      <c r="CE554"/>
      <c r="CF554"/>
      <c r="CG554"/>
      <c r="CH554"/>
    </row>
    <row r="555" spans="2:89" s="3" customFormat="1" ht="12.75" customHeight="1">
      <c r="B555" s="2"/>
      <c r="I555" s="156"/>
      <c r="J555" s="116"/>
      <c r="N555" s="815"/>
      <c r="O555" s="815"/>
      <c r="P555" s="157"/>
      <c r="Q555" s="1739"/>
      <c r="R555" s="1739"/>
      <c r="S555" s="1739"/>
      <c r="T555" s="1739"/>
      <c r="U555" s="1739"/>
      <c r="V555" s="1739"/>
      <c r="W555" s="1739"/>
      <c r="X555" s="1739"/>
      <c r="Y555" s="1739"/>
      <c r="Z555" s="1739"/>
      <c r="AA555" s="1739"/>
      <c r="AB555" s="1739"/>
      <c r="AC555" s="1739"/>
      <c r="AD555" s="1739"/>
      <c r="AE555" s="1739"/>
      <c r="AF555" s="1739"/>
      <c r="AN555" s="209"/>
      <c r="AP555" s="38" t="s">
        <v>2236</v>
      </c>
      <c r="AQ555" s="39"/>
      <c r="AR555" s="39"/>
      <c r="AS555" s="39"/>
      <c r="AT555" s="39"/>
      <c r="AU555" s="39"/>
      <c r="AV555" s="39"/>
      <c r="AW555" s="39"/>
      <c r="AX555" s="39"/>
      <c r="AY555" s="39"/>
      <c r="AZ555" s="39"/>
      <c r="BA555" s="39"/>
      <c r="BB555" s="39"/>
      <c r="BC555" s="7"/>
      <c r="BD555" s="826" t="str">
        <f>IF(CN574=0,"passed","failed")</f>
        <v>passed</v>
      </c>
      <c r="BE555" s="827"/>
      <c r="BF555" s="827"/>
      <c r="BG555" s="828"/>
      <c r="BJ555" s="17"/>
      <c r="BK555" s="17"/>
      <c r="BL555"/>
      <c r="BM555"/>
      <c r="BN555"/>
      <c r="BO555"/>
      <c r="BP555"/>
      <c r="BQ555"/>
      <c r="BR555" s="17"/>
      <c r="BS555" s="17"/>
      <c r="BT555" s="17"/>
      <c r="BU555" s="17"/>
      <c r="BV555" s="17"/>
      <c r="BW555" s="17"/>
      <c r="BX555" s="17"/>
      <c r="BY555" s="17"/>
      <c r="BZ555" s="17"/>
      <c r="CA555" s="17"/>
      <c r="CB555"/>
      <c r="CC555"/>
      <c r="CD555"/>
      <c r="CE555"/>
      <c r="CF555"/>
      <c r="CG555"/>
      <c r="CH555"/>
    </row>
    <row r="556" spans="2:89" s="3" customFormat="1" ht="12.75" customHeight="1" thickBot="1">
      <c r="B556" s="769"/>
      <c r="I556" s="158"/>
      <c r="J556" s="159"/>
      <c r="K556" s="123"/>
      <c r="L556" s="123"/>
      <c r="M556" s="123"/>
      <c r="N556" s="301"/>
      <c r="O556" s="301"/>
      <c r="P556" s="349"/>
      <c r="Q556" s="1570" t="s">
        <v>2237</v>
      </c>
      <c r="R556" s="1571"/>
      <c r="S556" s="1626" t="s">
        <v>2238</v>
      </c>
      <c r="T556" s="1626"/>
      <c r="U556" s="1570">
        <v>0.5</v>
      </c>
      <c r="V556" s="1571"/>
      <c r="W556" s="1570">
        <v>0.45</v>
      </c>
      <c r="X556" s="1571"/>
      <c r="Y556" s="1570">
        <v>0.4</v>
      </c>
      <c r="Z556" s="1571"/>
      <c r="AA556" s="1570">
        <v>0.35</v>
      </c>
      <c r="AB556" s="1571"/>
      <c r="AC556" s="1703">
        <v>0.3</v>
      </c>
      <c r="AD556" s="1704"/>
      <c r="AE556" s="1570">
        <v>0.2</v>
      </c>
      <c r="AF556" s="1571"/>
      <c r="AN556" s="209"/>
      <c r="BL556"/>
      <c r="BM556"/>
      <c r="BN556"/>
      <c r="BO556"/>
      <c r="BP556"/>
      <c r="BQ556"/>
      <c r="BR556"/>
      <c r="BS556"/>
      <c r="BT556"/>
      <c r="BU556"/>
      <c r="BV556"/>
      <c r="BW556"/>
      <c r="BX556"/>
      <c r="BY556"/>
      <c r="BZ556"/>
      <c r="CA556"/>
      <c r="CB556"/>
      <c r="CC556"/>
      <c r="CD556"/>
      <c r="CE556"/>
      <c r="CF556"/>
      <c r="CG556"/>
      <c r="CH556"/>
    </row>
    <row r="557" spans="2:89" s="3" customFormat="1" ht="12.75" customHeight="1">
      <c r="B557" s="769"/>
      <c r="I557" s="156"/>
      <c r="J557" s="116"/>
      <c r="N557" s="33"/>
      <c r="O557" s="1567"/>
      <c r="P557" s="1568"/>
      <c r="Q557" s="1746"/>
      <c r="R557" s="1710"/>
      <c r="S557" s="1715"/>
      <c r="T557" s="1715"/>
      <c r="U557" s="1710"/>
      <c r="V557" s="1710"/>
      <c r="W557" s="1710"/>
      <c r="X557" s="1710"/>
      <c r="Y557" s="1710"/>
      <c r="Z557" s="1710"/>
      <c r="AA557" s="1713"/>
      <c r="AB557" s="1713"/>
      <c r="AC557" s="1710"/>
      <c r="AD557" s="1710"/>
      <c r="AE557" s="1701"/>
      <c r="AF557" s="1702"/>
      <c r="AN557" s="209"/>
      <c r="AP557" s="98" t="s">
        <v>2239</v>
      </c>
      <c r="AQ557" s="8"/>
      <c r="AR557" s="8"/>
      <c r="AS557" s="8"/>
      <c r="AT557" s="1583" t="str">
        <f>IF(OR(AV551="passed",BD555="passed"),"passed","failed")</f>
        <v>passed</v>
      </c>
      <c r="AU557" s="1584"/>
      <c r="AV557" s="1584"/>
      <c r="AW557" s="1584"/>
      <c r="AX557" s="1585"/>
    </row>
    <row r="558" spans="2:89" s="3" customFormat="1" ht="12.75" customHeight="1">
      <c r="B558" s="769"/>
      <c r="I558" s="156"/>
      <c r="J558" s="116"/>
      <c r="N558" s="33"/>
      <c r="O558" s="1567"/>
      <c r="P558" s="1568"/>
      <c r="Q558" s="1714"/>
      <c r="R558" s="1560"/>
      <c r="S558" s="1560"/>
      <c r="T558" s="1560"/>
      <c r="U558" s="1560"/>
      <c r="V558" s="1560"/>
      <c r="W558" s="1560"/>
      <c r="X558" s="1560"/>
      <c r="Y558" s="1532"/>
      <c r="Z558" s="1532"/>
      <c r="AA558" s="1560"/>
      <c r="AB558" s="1560"/>
      <c r="AC558" s="1532"/>
      <c r="AD558" s="1532"/>
      <c r="AE558" s="1607"/>
      <c r="AF558" s="1608"/>
      <c r="AN558" s="209"/>
      <c r="AP558"/>
      <c r="AQ558"/>
      <c r="AR558"/>
      <c r="AS558"/>
      <c r="AT558"/>
      <c r="AU558"/>
      <c r="AV558"/>
      <c r="AW558"/>
      <c r="AX558"/>
      <c r="AY558"/>
    </row>
    <row r="559" spans="2:89" s="3" customFormat="1" ht="12.75" customHeight="1">
      <c r="B559" s="769"/>
      <c r="I559" s="156"/>
      <c r="J559" s="116"/>
      <c r="N559" s="33"/>
      <c r="O559" s="1567"/>
      <c r="P559" s="1568"/>
      <c r="Q559" s="1714"/>
      <c r="R559" s="1560"/>
      <c r="S559" s="1560"/>
      <c r="T559" s="1560"/>
      <c r="U559" s="1560"/>
      <c r="V559" s="1560"/>
      <c r="W559" s="1560"/>
      <c r="X559" s="1560"/>
      <c r="Y559" s="1560"/>
      <c r="Z559" s="1560"/>
      <c r="AA559" s="1532"/>
      <c r="AB559" s="1532"/>
      <c r="AC559" s="1560"/>
      <c r="AD559" s="1560"/>
      <c r="AE559" s="1556"/>
      <c r="AF559" s="1557"/>
      <c r="AN559" s="209"/>
      <c r="AP559" s="107" t="s">
        <v>2240</v>
      </c>
      <c r="AQ559" s="108"/>
      <c r="AR559" s="108"/>
      <c r="AS559" s="108"/>
      <c r="AT559" s="108"/>
      <c r="AU559" s="108"/>
      <c r="AV559" s="109"/>
      <c r="AW559" s="1706" t="str">
        <f>IF(AND(AND(AND(AND(AS539="passed",AU546="passed",BD555="passed",SUM(T605:X609)&gt;1)))),"YES","NO")</f>
        <v>YES</v>
      </c>
      <c r="AX559" s="1707"/>
      <c r="AY559" s="1708"/>
      <c r="AZ559" s="32"/>
      <c r="BA559" s="32"/>
      <c r="BB559" s="32"/>
      <c r="BC559" s="32"/>
      <c r="BD559" s="32"/>
      <c r="BE559" s="18"/>
      <c r="BF559" s="18"/>
      <c r="BG559" s="18"/>
    </row>
    <row r="560" spans="2:89" s="3" customFormat="1" ht="12.75" customHeight="1">
      <c r="B560" s="769"/>
      <c r="I560" s="156"/>
      <c r="J560" s="116"/>
      <c r="N560" s="33"/>
      <c r="O560" s="1567"/>
      <c r="P560" s="1568"/>
      <c r="Q560" s="1714"/>
      <c r="R560" s="1560"/>
      <c r="S560" s="1560"/>
      <c r="T560" s="1560"/>
      <c r="U560" s="1560"/>
      <c r="V560" s="1560"/>
      <c r="W560" s="1560"/>
      <c r="X560" s="1560"/>
      <c r="Y560" s="1532"/>
      <c r="Z560" s="1532"/>
      <c r="AA560" s="1560"/>
      <c r="AB560" s="1560"/>
      <c r="AC560" s="1532"/>
      <c r="AD560" s="1532"/>
      <c r="AE560" s="1607"/>
      <c r="AF560" s="1608"/>
      <c r="AN560" s="209"/>
    </row>
    <row r="561" spans="1:96" s="3" customFormat="1" ht="12.75" customHeight="1">
      <c r="B561" s="769"/>
      <c r="I561" s="156"/>
      <c r="J561" s="116"/>
      <c r="N561" s="33"/>
      <c r="O561" s="1567"/>
      <c r="P561" s="1568"/>
      <c r="Q561" s="1714"/>
      <c r="R561" s="1560"/>
      <c r="S561" s="1560"/>
      <c r="T561" s="1560"/>
      <c r="U561" s="1560"/>
      <c r="V561" s="1560"/>
      <c r="W561" s="1532"/>
      <c r="X561" s="1532"/>
      <c r="Y561" s="1560"/>
      <c r="Z561" s="1560"/>
      <c r="AA561" s="1532"/>
      <c r="AB561" s="1532"/>
      <c r="AC561" s="1560"/>
      <c r="AD561" s="1560"/>
      <c r="AE561" s="1556"/>
      <c r="AF561" s="1557"/>
      <c r="AN561" s="209"/>
    </row>
    <row r="562" spans="1:96" s="3" customFormat="1" ht="12.75" customHeight="1">
      <c r="B562" s="769"/>
      <c r="I562" s="156"/>
      <c r="J562" s="116"/>
      <c r="N562" s="33"/>
      <c r="O562" s="1567"/>
      <c r="P562" s="1568"/>
      <c r="Q562" s="1714"/>
      <c r="R562" s="1560"/>
      <c r="S562" s="1560"/>
      <c r="T562" s="1560"/>
      <c r="U562" s="1560"/>
      <c r="V562" s="1560"/>
      <c r="W562" s="1560"/>
      <c r="X562" s="1560"/>
      <c r="Y562" s="1532"/>
      <c r="Z562" s="1532"/>
      <c r="AA562" s="1560"/>
      <c r="AB562" s="1560"/>
      <c r="AC562" s="1532"/>
      <c r="AD562" s="1532"/>
      <c r="AE562" s="1607"/>
      <c r="AF562" s="1608"/>
      <c r="AN562" s="209"/>
      <c r="AU562" s="18"/>
      <c r="AV562" s="18"/>
      <c r="AW562" s="7"/>
      <c r="AX562" s="8"/>
      <c r="AY562" s="8"/>
      <c r="AZ562" s="788" t="s">
        <v>2241</v>
      </c>
      <c r="BA562" s="1686" t="s">
        <v>2242</v>
      </c>
      <c r="BB562" s="1687"/>
      <c r="BC562" s="1687"/>
      <c r="BD562" s="1687"/>
      <c r="BE562" s="1688"/>
      <c r="BF562" s="1536">
        <f>SUM(O605:S609)</f>
        <v>42</v>
      </c>
      <c r="BG562" s="1537"/>
      <c r="BH562" s="1537"/>
      <c r="BI562" s="1537"/>
      <c r="BJ562" s="1538"/>
      <c r="BK562" s="1536">
        <f>SUM(T605:X609)</f>
        <v>17</v>
      </c>
      <c r="BL562" s="1537"/>
      <c r="BM562" s="1537"/>
      <c r="BN562" s="1537"/>
      <c r="BO562" s="1538"/>
    </row>
    <row r="563" spans="1:96" s="3" customFormat="1" ht="12.75" customHeight="1">
      <c r="B563" s="28"/>
      <c r="I563" s="1443" t="s">
        <v>2179</v>
      </c>
      <c r="J563" s="1444"/>
      <c r="K563" s="1444"/>
      <c r="L563" s="1444"/>
      <c r="M563" s="1444"/>
      <c r="N563" s="1445"/>
      <c r="O563" s="1567">
        <v>0.5</v>
      </c>
      <c r="P563" s="1568"/>
      <c r="Q563" s="1758"/>
      <c r="R563" s="1606"/>
      <c r="S563" s="1560"/>
      <c r="T563" s="1560"/>
      <c r="U563" s="1738" t="s">
        <v>2243</v>
      </c>
      <c r="V563" s="1738"/>
      <c r="W563" s="1748">
        <v>37.5</v>
      </c>
      <c r="X563" s="1748"/>
      <c r="Y563" s="1606"/>
      <c r="Z563" s="1606"/>
      <c r="AA563" s="1748"/>
      <c r="AB563" s="1748"/>
      <c r="AC563" s="1606"/>
      <c r="AD563" s="1606"/>
      <c r="AE563" s="1711"/>
      <c r="AF563" s="1712"/>
      <c r="AN563" s="209"/>
      <c r="CL563"/>
      <c r="CM563"/>
    </row>
    <row r="564" spans="1:96" s="3" customFormat="1" ht="12.75" customHeight="1">
      <c r="B564" s="802"/>
      <c r="C564" s="43"/>
      <c r="I564" s="1443"/>
      <c r="J564" s="1444"/>
      <c r="K564" s="1444"/>
      <c r="L564" s="1444"/>
      <c r="M564" s="1444"/>
      <c r="N564" s="1445"/>
      <c r="O564" s="1567">
        <v>0.45</v>
      </c>
      <c r="P564" s="1568"/>
      <c r="Q564" s="1714"/>
      <c r="R564" s="1560"/>
      <c r="S564" s="1560"/>
      <c r="T564" s="1560"/>
      <c r="U564" s="1531" t="s">
        <v>2244</v>
      </c>
      <c r="V564" s="1531"/>
      <c r="W564" s="1532">
        <v>33.799999999999997</v>
      </c>
      <c r="X564" s="1532"/>
      <c r="Y564" s="1532"/>
      <c r="Z564" s="1532"/>
      <c r="AA564" s="1560"/>
      <c r="AB564" s="1560"/>
      <c r="AC564" s="1532"/>
      <c r="AD564" s="1532"/>
      <c r="AE564" s="1607"/>
      <c r="AF564" s="1608"/>
      <c r="AN564" s="209"/>
      <c r="CL564"/>
      <c r="CM564"/>
    </row>
    <row r="565" spans="1:96" s="3" customFormat="1" ht="12.75" customHeight="1">
      <c r="B565" s="33"/>
      <c r="C565" s="33"/>
      <c r="D565" s="33"/>
      <c r="E565" s="33"/>
      <c r="I565" s="1443"/>
      <c r="J565" s="1444"/>
      <c r="K565" s="1444"/>
      <c r="L565" s="1444"/>
      <c r="M565" s="1444"/>
      <c r="N565" s="1445"/>
      <c r="O565" s="1567">
        <v>0.4</v>
      </c>
      <c r="P565" s="1568"/>
      <c r="Q565" s="1714"/>
      <c r="R565" s="1560"/>
      <c r="S565" s="1531" t="s">
        <v>2245</v>
      </c>
      <c r="T565" s="1531"/>
      <c r="U565" s="1532">
        <v>20</v>
      </c>
      <c r="V565" s="1532"/>
      <c r="W565" s="1532">
        <v>30</v>
      </c>
      <c r="X565" s="1532"/>
      <c r="Y565" s="1532"/>
      <c r="Z565" s="1532"/>
      <c r="AA565" s="1532"/>
      <c r="AB565" s="1532"/>
      <c r="AC565" s="1532"/>
      <c r="AD565" s="1532"/>
      <c r="AE565" s="1607"/>
      <c r="AF565" s="1608"/>
      <c r="AN565" s="209"/>
      <c r="AP565" s="1627" t="s">
        <v>2246</v>
      </c>
      <c r="AQ565" s="1628"/>
      <c r="AR565" s="1628"/>
      <c r="AS565" s="1628"/>
      <c r="AT565" s="1628"/>
      <c r="AU565" s="1628"/>
      <c r="AV565" s="1628"/>
      <c r="AW565" s="1628"/>
      <c r="AX565" s="1628"/>
      <c r="AY565" s="1628"/>
      <c r="AZ565" s="1628"/>
      <c r="BA565" s="1628"/>
      <c r="BB565" s="1628"/>
      <c r="BC565" s="1628"/>
      <c r="BD565" s="1628"/>
      <c r="BE565" s="1628"/>
      <c r="BF565" s="1628"/>
      <c r="BG565" s="1628"/>
      <c r="BH565" s="1628"/>
      <c r="BI565" s="1628"/>
      <c r="BJ565" s="1629"/>
      <c r="BK565" s="1695">
        <f>BF562</f>
        <v>42</v>
      </c>
      <c r="BL565" s="1696"/>
      <c r="BM565" s="1696"/>
      <c r="BN565" s="1696"/>
      <c r="BO565" s="1697"/>
      <c r="BP565" s="18"/>
      <c r="BQ565" s="18"/>
      <c r="BR565" s="18"/>
      <c r="BS565" s="18"/>
      <c r="BT565" s="18"/>
      <c r="BU565" s="18"/>
      <c r="BV565" s="18"/>
      <c r="BW565" s="18"/>
      <c r="BX565" s="18"/>
      <c r="BY565" s="18"/>
      <c r="BZ565" s="18"/>
      <c r="CA565" s="18"/>
      <c r="CB565" s="18"/>
      <c r="CC565" s="18"/>
      <c r="CD565" s="18"/>
      <c r="CE565" s="18"/>
      <c r="CF565" s="18"/>
      <c r="CG565" s="18"/>
      <c r="CH565" s="18"/>
      <c r="CI565" s="18"/>
      <c r="CJ565" s="18"/>
      <c r="CK565" s="18"/>
      <c r="CL565" s="18"/>
      <c r="CM565" s="18"/>
      <c r="CN565" s="18"/>
      <c r="CO565" s="18"/>
      <c r="CP565" s="18"/>
      <c r="CQ565" s="18"/>
      <c r="CR565" s="18"/>
    </row>
    <row r="566" spans="1:96" s="3" customFormat="1" ht="12.75" customHeight="1">
      <c r="B566" s="33"/>
      <c r="C566" s="33"/>
      <c r="D566" s="33"/>
      <c r="E566" s="33"/>
      <c r="I566" s="1443"/>
      <c r="J566" s="1444"/>
      <c r="K566" s="1444"/>
      <c r="L566" s="1444"/>
      <c r="M566" s="1444"/>
      <c r="N566" s="1445"/>
      <c r="O566" s="1567">
        <v>0.35</v>
      </c>
      <c r="P566" s="1568"/>
      <c r="Q566" s="1714"/>
      <c r="R566" s="1560"/>
      <c r="S566" s="1531" t="s">
        <v>2247</v>
      </c>
      <c r="T566" s="1531"/>
      <c r="U566" s="1532">
        <v>17.5</v>
      </c>
      <c r="V566" s="1532"/>
      <c r="W566" s="1532">
        <v>26.3</v>
      </c>
      <c r="X566" s="1532"/>
      <c r="Y566" s="1532">
        <v>35</v>
      </c>
      <c r="Z566" s="1532"/>
      <c r="AA566" s="1532"/>
      <c r="AB566" s="1532"/>
      <c r="AC566" s="1532">
        <v>50</v>
      </c>
      <c r="AD566" s="1532"/>
      <c r="AE566" s="1607"/>
      <c r="AF566" s="1608"/>
      <c r="AN566" s="209"/>
      <c r="AP566" s="1630"/>
      <c r="AQ566" s="1631"/>
      <c r="AR566" s="1631"/>
      <c r="AS566" s="1631"/>
      <c r="AT566" s="1631"/>
      <c r="AU566" s="1631"/>
      <c r="AV566" s="1631"/>
      <c r="AW566" s="1631"/>
      <c r="AX566" s="1631"/>
      <c r="AY566" s="1631"/>
      <c r="AZ566" s="1631"/>
      <c r="BA566" s="1631"/>
      <c r="BB566" s="1631"/>
      <c r="BC566" s="1631"/>
      <c r="BD566" s="1631"/>
      <c r="BE566" s="1631"/>
      <c r="BF566" s="1631"/>
      <c r="BG566" s="1631"/>
      <c r="BH566" s="1631"/>
      <c r="BI566" s="1631"/>
      <c r="BJ566" s="1632"/>
      <c r="BK566" s="1698"/>
      <c r="BL566" s="1699"/>
      <c r="BM566" s="1699"/>
      <c r="BN566" s="1699"/>
      <c r="BO566" s="1700"/>
      <c r="BP566" s="18"/>
      <c r="BQ566" s="18"/>
      <c r="BR566" s="18"/>
      <c r="BS566" s="18"/>
      <c r="BT566" s="18"/>
      <c r="BU566" s="18"/>
      <c r="BV566" s="18"/>
      <c r="BW566" s="18"/>
      <c r="BX566" s="18"/>
      <c r="BY566" s="18"/>
      <c r="BZ566" s="18"/>
      <c r="CA566" s="18"/>
      <c r="CB566" s="18"/>
      <c r="CC566" s="18"/>
      <c r="CD566" s="18"/>
      <c r="CE566" s="18"/>
      <c r="CF566" s="18"/>
      <c r="CG566" s="18"/>
      <c r="CH566" s="18"/>
      <c r="CI566" s="18"/>
      <c r="CJ566" s="18"/>
      <c r="CK566" s="18"/>
      <c r="CL566" s="18"/>
      <c r="CM566" s="18"/>
      <c r="CN566" s="18"/>
      <c r="CO566" s="18"/>
      <c r="CP566" s="18"/>
      <c r="CQ566" s="18"/>
      <c r="CR566" s="18"/>
    </row>
    <row r="567" spans="1:96" s="3" customFormat="1" ht="12.75" customHeight="1">
      <c r="B567" s="33"/>
      <c r="C567" s="33"/>
      <c r="D567" s="33"/>
      <c r="E567" s="33"/>
      <c r="I567" s="1443"/>
      <c r="J567" s="1444"/>
      <c r="K567" s="1444"/>
      <c r="L567" s="1444"/>
      <c r="M567" s="1444"/>
      <c r="N567" s="1445"/>
      <c r="O567" s="1567">
        <v>0.3</v>
      </c>
      <c r="P567" s="1568"/>
      <c r="Q567" s="1714"/>
      <c r="R567" s="1560"/>
      <c r="S567" s="1531" t="s">
        <v>2248</v>
      </c>
      <c r="T567" s="1531"/>
      <c r="U567" s="1532">
        <v>15</v>
      </c>
      <c r="V567" s="1532"/>
      <c r="W567" s="1532">
        <v>22.5</v>
      </c>
      <c r="X567" s="1532"/>
      <c r="Y567" s="1532">
        <v>30</v>
      </c>
      <c r="Z567" s="1532"/>
      <c r="AA567" s="1532">
        <v>37.5</v>
      </c>
      <c r="AB567" s="1532"/>
      <c r="AC567" s="1532">
        <v>45</v>
      </c>
      <c r="AD567" s="1532"/>
      <c r="AE567" s="1607"/>
      <c r="AF567" s="1608"/>
      <c r="AN567" s="209"/>
      <c r="AP567" s="30"/>
      <c r="AQ567" s="18"/>
      <c r="AR567" s="18"/>
      <c r="AS567" s="18"/>
      <c r="AT567" s="18"/>
      <c r="AU567" s="18"/>
      <c r="AV567" s="18"/>
      <c r="AW567" s="18"/>
      <c r="AX567" s="18"/>
      <c r="AY567" s="18"/>
      <c r="AZ567" s="18"/>
      <c r="BA567" s="18"/>
      <c r="BB567" s="18"/>
      <c r="BC567" s="18"/>
      <c r="BD567" s="18"/>
      <c r="BE567" s="32"/>
      <c r="BF567" s="32"/>
      <c r="BG567" s="32"/>
      <c r="BH567" s="32"/>
      <c r="BI567" s="32"/>
      <c r="BJ567" s="1007">
        <v>5</v>
      </c>
      <c r="BK567" s="1008"/>
      <c r="BL567" s="1008"/>
      <c r="BM567" s="1008"/>
      <c r="BN567" s="1009"/>
      <c r="BO567" s="1007">
        <v>4</v>
      </c>
      <c r="BP567" s="1008"/>
      <c r="BQ567" s="1008"/>
      <c r="BR567" s="1008"/>
      <c r="BS567" s="1009"/>
      <c r="BT567" s="1007">
        <v>3</v>
      </c>
      <c r="BU567" s="1008"/>
      <c r="BV567" s="1008"/>
      <c r="BW567" s="1008"/>
      <c r="BX567" s="1009"/>
      <c r="BY567" s="1007">
        <v>2</v>
      </c>
      <c r="BZ567" s="1008"/>
      <c r="CA567" s="1008"/>
      <c r="CB567" s="1008"/>
      <c r="CC567" s="1009"/>
      <c r="CD567" s="1007">
        <v>1</v>
      </c>
      <c r="CE567" s="1008"/>
      <c r="CF567" s="1008"/>
      <c r="CG567" s="1008"/>
      <c r="CH567" s="1009"/>
      <c r="CI567" s="1007">
        <v>0</v>
      </c>
      <c r="CJ567" s="1008"/>
      <c r="CK567" s="1008"/>
      <c r="CL567" s="1008"/>
      <c r="CM567" s="1009"/>
      <c r="CN567" s="18"/>
      <c r="CO567" s="18"/>
      <c r="CP567" s="18"/>
      <c r="CQ567" s="18"/>
      <c r="CR567" s="18"/>
    </row>
    <row r="568" spans="1:96" s="3" customFormat="1" ht="12.75" customHeight="1">
      <c r="B568" s="33"/>
      <c r="C568" s="33"/>
      <c r="D568" s="33"/>
      <c r="E568" s="33"/>
      <c r="I568" s="1443"/>
      <c r="J568" s="1444"/>
      <c r="K568" s="1444"/>
      <c r="L568" s="1444"/>
      <c r="M568" s="1444"/>
      <c r="N568" s="1445"/>
      <c r="O568" s="1567">
        <v>0.25</v>
      </c>
      <c r="P568" s="1568"/>
      <c r="Q568" s="1714"/>
      <c r="R568" s="1560"/>
      <c r="S568" s="1531" t="s">
        <v>2249</v>
      </c>
      <c r="T568" s="1531"/>
      <c r="U568" s="1532">
        <v>12.5</v>
      </c>
      <c r="V568" s="1532"/>
      <c r="W568" s="1532">
        <v>18.8</v>
      </c>
      <c r="X568" s="1532"/>
      <c r="Y568" s="1532">
        <v>25</v>
      </c>
      <c r="Z568" s="1532"/>
      <c r="AA568" s="1532">
        <v>31.3</v>
      </c>
      <c r="AB568" s="1532"/>
      <c r="AC568" s="1532">
        <v>37.5</v>
      </c>
      <c r="AD568" s="1532"/>
      <c r="AE568" s="1607">
        <v>50</v>
      </c>
      <c r="AF568" s="1608"/>
      <c r="AN568" s="209"/>
      <c r="AP568" s="1691" t="str">
        <f t="shared" ref="AP568:AP574" si="0">J604</f>
        <v>5 BR</v>
      </c>
      <c r="AQ568" s="1692"/>
      <c r="AR568" s="1692"/>
      <c r="AS568" s="1692"/>
      <c r="AT568" s="1693"/>
      <c r="AU568" s="1004">
        <f t="shared" ref="AU568:AU573" si="1">O604</f>
        <v>0</v>
      </c>
      <c r="AV568" s="1005"/>
      <c r="AW568" s="1005"/>
      <c r="AX568" s="1005"/>
      <c r="AY568" s="1006"/>
      <c r="AZ568" s="1004">
        <f t="shared" ref="AZ568:AZ573" si="2">T604</f>
        <v>0</v>
      </c>
      <c r="BA568" s="1005"/>
      <c r="BB568" s="1005"/>
      <c r="BC568" s="1005"/>
      <c r="BD568" s="1006"/>
      <c r="BE568" s="1333">
        <f t="shared" ref="BE568:BE573" si="3">Y604</f>
        <v>0</v>
      </c>
      <c r="BF568" s="1334"/>
      <c r="BG568" s="1334"/>
      <c r="BH568" s="1334"/>
      <c r="BI568" s="1335"/>
      <c r="BJ568" s="1007">
        <f>IF(OR(AP578=0,BE568&gt;=0.1),0,1)</f>
        <v>0</v>
      </c>
      <c r="BK568" s="1008"/>
      <c r="BL568" s="1008"/>
      <c r="BM568" s="1008"/>
      <c r="BN568" s="1009"/>
      <c r="BO568" s="1007"/>
      <c r="BP568" s="1008"/>
      <c r="BQ568" s="1008"/>
      <c r="BR568" s="1008"/>
      <c r="BS568" s="1009"/>
      <c r="BT568" s="1007"/>
      <c r="BU568" s="1008"/>
      <c r="BV568" s="1008"/>
      <c r="BW568" s="1008"/>
      <c r="BX568" s="1009"/>
      <c r="BY568" s="1007"/>
      <c r="BZ568" s="1008"/>
      <c r="CA568" s="1008"/>
      <c r="CB568" s="1008"/>
      <c r="CC568" s="1009"/>
      <c r="CD568" s="1007"/>
      <c r="CE568" s="1008"/>
      <c r="CF568" s="1008"/>
      <c r="CG568" s="1008"/>
      <c r="CH568" s="1009"/>
      <c r="CI568" s="1007"/>
      <c r="CJ568" s="1008"/>
      <c r="CK568" s="1008"/>
      <c r="CL568" s="1008"/>
      <c r="CM568" s="1009"/>
      <c r="CN568" s="18"/>
      <c r="CO568" s="18"/>
      <c r="CP568" s="18"/>
      <c r="CQ568" s="18"/>
      <c r="CR568" s="18"/>
    </row>
    <row r="569" spans="1:96" s="3" customFormat="1" ht="12.75" customHeight="1">
      <c r="A569" s="802"/>
      <c r="B569" s="33"/>
      <c r="C569" s="33"/>
      <c r="D569" s="33"/>
      <c r="E569" s="33"/>
      <c r="I569" s="1443"/>
      <c r="J569" s="1444"/>
      <c r="K569" s="1444"/>
      <c r="L569" s="1444"/>
      <c r="M569" s="1444"/>
      <c r="N569" s="1445"/>
      <c r="O569" s="1567">
        <v>0.2</v>
      </c>
      <c r="P569" s="1568"/>
      <c r="Q569" s="1714"/>
      <c r="R569" s="1560"/>
      <c r="S569" s="1745" t="s">
        <v>2250</v>
      </c>
      <c r="T569" s="1745"/>
      <c r="U569" s="1532">
        <v>10</v>
      </c>
      <c r="V569" s="1532"/>
      <c r="W569" s="1532">
        <v>15</v>
      </c>
      <c r="X569" s="1532"/>
      <c r="Y569" s="1532">
        <v>20</v>
      </c>
      <c r="Z569" s="1532"/>
      <c r="AA569" s="1532">
        <v>25</v>
      </c>
      <c r="AB569" s="1532"/>
      <c r="AC569" s="1532">
        <v>30</v>
      </c>
      <c r="AD569" s="1532"/>
      <c r="AE569" s="1607">
        <v>40</v>
      </c>
      <c r="AF569" s="1608"/>
      <c r="AN569" s="209"/>
      <c r="AP569" s="1691" t="str">
        <f t="shared" si="0"/>
        <v>4 BR</v>
      </c>
      <c r="AQ569" s="1692"/>
      <c r="AR569" s="1692"/>
      <c r="AS569" s="1692"/>
      <c r="AT569" s="1693"/>
      <c r="AU569" s="1004">
        <f t="shared" si="1"/>
        <v>0</v>
      </c>
      <c r="AV569" s="1005"/>
      <c r="AW569" s="1005"/>
      <c r="AX569" s="1005"/>
      <c r="AY569" s="1006"/>
      <c r="AZ569" s="1004">
        <f t="shared" si="2"/>
        <v>0</v>
      </c>
      <c r="BA569" s="1005"/>
      <c r="BB569" s="1005"/>
      <c r="BC569" s="1005"/>
      <c r="BD569" s="1006"/>
      <c r="BE569" s="1333">
        <f t="shared" si="3"/>
        <v>0</v>
      </c>
      <c r="BF569" s="1334"/>
      <c r="BG569" s="1334"/>
      <c r="BH569" s="1334"/>
      <c r="BI569" s="1335"/>
      <c r="BJ569" s="1007"/>
      <c r="BK569" s="1008"/>
      <c r="BL569" s="1008"/>
      <c r="BM569" s="1008"/>
      <c r="BN569" s="1009"/>
      <c r="BO569" s="1007">
        <f>IF(AND(AND(AZ568=0,BJ568=0,AP579=1)),1,0)</f>
        <v>0</v>
      </c>
      <c r="BP569" s="1008"/>
      <c r="BQ569" s="1008"/>
      <c r="BR569" s="1008"/>
      <c r="BS569" s="1009"/>
      <c r="BT569" s="1007"/>
      <c r="BU569" s="1008"/>
      <c r="BV569" s="1008"/>
      <c r="BW569" s="1008"/>
      <c r="BX569" s="1009"/>
      <c r="BY569" s="1007"/>
      <c r="BZ569" s="1008"/>
      <c r="CA569" s="1008"/>
      <c r="CB569" s="1008"/>
      <c r="CC569" s="1009"/>
      <c r="CD569" s="1007"/>
      <c r="CE569" s="1008"/>
      <c r="CF569" s="1008"/>
      <c r="CG569" s="1008"/>
      <c r="CH569" s="1009"/>
      <c r="CI569" s="1007"/>
      <c r="CJ569" s="1008"/>
      <c r="CK569" s="1008"/>
      <c r="CL569" s="1008"/>
      <c r="CM569" s="1009"/>
      <c r="CN569" s="18"/>
      <c r="CO569" s="18"/>
      <c r="CP569" s="18"/>
      <c r="CQ569" s="18"/>
      <c r="CR569" s="18"/>
    </row>
    <row r="570" spans="1:96" s="3" customFormat="1" ht="12.75" customHeight="1">
      <c r="A570" s="802"/>
      <c r="B570" s="33"/>
      <c r="C570" s="33"/>
      <c r="D570" s="33"/>
      <c r="E570" s="33"/>
      <c r="I570" s="1443"/>
      <c r="J570" s="1444"/>
      <c r="K570" s="1444"/>
      <c r="L570" s="1444"/>
      <c r="M570" s="1444"/>
      <c r="N570" s="1445"/>
      <c r="O570" s="1567">
        <v>0.15</v>
      </c>
      <c r="P570" s="1568"/>
      <c r="Q570" s="1714"/>
      <c r="R570" s="1560"/>
      <c r="S570" s="1531" t="s">
        <v>2251</v>
      </c>
      <c r="T570" s="1531"/>
      <c r="U570" s="1532">
        <v>7.5</v>
      </c>
      <c r="V570" s="1532"/>
      <c r="W570" s="1532">
        <v>11.3</v>
      </c>
      <c r="X570" s="1532"/>
      <c r="Y570" s="1532">
        <v>15</v>
      </c>
      <c r="Z570" s="1532"/>
      <c r="AA570" s="1532">
        <v>18.8</v>
      </c>
      <c r="AB570" s="1532"/>
      <c r="AC570" s="1532">
        <v>22.5</v>
      </c>
      <c r="AD570" s="1532"/>
      <c r="AE570" s="1607">
        <v>30</v>
      </c>
      <c r="AF570" s="1608"/>
      <c r="AN570" s="209"/>
      <c r="AP570" s="1691" t="str">
        <f t="shared" si="0"/>
        <v>3 BR</v>
      </c>
      <c r="AQ570" s="1692"/>
      <c r="AR570" s="1692"/>
      <c r="AS570" s="1692"/>
      <c r="AT570" s="1693"/>
      <c r="AU570" s="1004">
        <f t="shared" si="1"/>
        <v>12</v>
      </c>
      <c r="AV570" s="1005"/>
      <c r="AW570" s="1005"/>
      <c r="AX570" s="1005"/>
      <c r="AY570" s="1006"/>
      <c r="AZ570" s="1004">
        <f t="shared" si="2"/>
        <v>3</v>
      </c>
      <c r="BA570" s="1005"/>
      <c r="BB570" s="1005"/>
      <c r="BC570" s="1005"/>
      <c r="BD570" s="1006"/>
      <c r="BE570" s="1333">
        <f t="shared" si="3"/>
        <v>0.25</v>
      </c>
      <c r="BF570" s="1334"/>
      <c r="BG570" s="1334"/>
      <c r="BH570" s="1334"/>
      <c r="BI570" s="1335"/>
      <c r="BJ570" s="1007"/>
      <c r="BK570" s="1008"/>
      <c r="BL570" s="1008"/>
      <c r="BM570" s="1008"/>
      <c r="BN570" s="1009"/>
      <c r="BO570" s="1007"/>
      <c r="BP570" s="1008"/>
      <c r="BQ570" s="1008"/>
      <c r="BR570" s="1008"/>
      <c r="BS570" s="1009"/>
      <c r="BT570" s="1007">
        <f>IF(AND(AND(AZ568+AZ569=0,BJ568+BO569=0,AP580=1)),1,0)</f>
        <v>0</v>
      </c>
      <c r="BU570" s="1008"/>
      <c r="BV570" s="1008"/>
      <c r="BW570" s="1008"/>
      <c r="BX570" s="1009"/>
      <c r="BY570" s="1007"/>
      <c r="BZ570" s="1008"/>
      <c r="CA570" s="1008"/>
      <c r="CB570" s="1008"/>
      <c r="CC570" s="1009"/>
      <c r="CD570" s="1007"/>
      <c r="CE570" s="1008"/>
      <c r="CF570" s="1008"/>
      <c r="CG570" s="1008"/>
      <c r="CH570" s="1009"/>
      <c r="CI570" s="1007"/>
      <c r="CJ570" s="1008"/>
      <c r="CK570" s="1008"/>
      <c r="CL570" s="1008"/>
      <c r="CM570" s="1009"/>
      <c r="CN570" s="18"/>
      <c r="CO570" s="18"/>
      <c r="CP570" s="18"/>
      <c r="CQ570" s="18"/>
      <c r="CR570" s="18"/>
    </row>
    <row r="571" spans="1:96" s="3" customFormat="1" ht="12.75" customHeight="1" thickBot="1">
      <c r="B571" s="33"/>
      <c r="C571" s="33"/>
      <c r="D571" s="33"/>
      <c r="E571" s="33"/>
      <c r="I571" s="1446"/>
      <c r="J571" s="1447"/>
      <c r="K571" s="1447"/>
      <c r="L571" s="1447"/>
      <c r="M571" s="1447"/>
      <c r="N571" s="1448"/>
      <c r="O571" s="1567">
        <v>0.1</v>
      </c>
      <c r="P571" s="1568"/>
      <c r="Q571" s="1743"/>
      <c r="R571" s="1744"/>
      <c r="S571" s="1531" t="s">
        <v>2252</v>
      </c>
      <c r="T571" s="1531"/>
      <c r="U571" s="1595">
        <v>5</v>
      </c>
      <c r="V571" s="1595"/>
      <c r="W571" s="1595">
        <v>7.5</v>
      </c>
      <c r="X571" s="1595"/>
      <c r="Y571" s="1595">
        <v>10</v>
      </c>
      <c r="Z571" s="1595"/>
      <c r="AA571" s="1595">
        <v>12.5</v>
      </c>
      <c r="AB571" s="1595"/>
      <c r="AC571" s="1595">
        <v>15</v>
      </c>
      <c r="AD571" s="1595"/>
      <c r="AE571" s="1548">
        <v>20</v>
      </c>
      <c r="AF571" s="1549"/>
      <c r="AK571" s="121"/>
      <c r="AL571" s="121"/>
      <c r="AM571" s="33"/>
      <c r="AN571" s="209"/>
      <c r="AP571" s="1691" t="str">
        <f t="shared" si="0"/>
        <v>2 BR</v>
      </c>
      <c r="AQ571" s="1692"/>
      <c r="AR571" s="1692"/>
      <c r="AS571" s="1692"/>
      <c r="AT571" s="1693"/>
      <c r="AU571" s="1004">
        <f t="shared" si="1"/>
        <v>9</v>
      </c>
      <c r="AV571" s="1005"/>
      <c r="AW571" s="1005"/>
      <c r="AX571" s="1005"/>
      <c r="AY571" s="1006"/>
      <c r="AZ571" s="1004">
        <f t="shared" si="2"/>
        <v>1</v>
      </c>
      <c r="BA571" s="1005"/>
      <c r="BB571" s="1005"/>
      <c r="BC571" s="1005"/>
      <c r="BD571" s="1006"/>
      <c r="BE571" s="1333">
        <f t="shared" si="3"/>
        <v>0.1111111111111111</v>
      </c>
      <c r="BF571" s="1334"/>
      <c r="BG571" s="1334"/>
      <c r="BH571" s="1334"/>
      <c r="BI571" s="1335"/>
      <c r="BJ571" s="1007"/>
      <c r="BK571" s="1008"/>
      <c r="BL571" s="1008"/>
      <c r="BM571" s="1008"/>
      <c r="BN571" s="1009"/>
      <c r="BO571" s="1007"/>
      <c r="BP571" s="1008"/>
      <c r="BQ571" s="1008"/>
      <c r="BR571" s="1008"/>
      <c r="BS571" s="1009"/>
      <c r="BT571" s="1007"/>
      <c r="BU571" s="1008"/>
      <c r="BV571" s="1008"/>
      <c r="BW571" s="1008"/>
      <c r="BX571" s="1009"/>
      <c r="BY571" s="1007">
        <f>IF(AND(AND(AZ568+AZ569+AZ570=0,BO569+BT570+BJ568=0,AP581=1)),1,0)</f>
        <v>0</v>
      </c>
      <c r="BZ571" s="1008"/>
      <c r="CA571" s="1008"/>
      <c r="CB571" s="1008"/>
      <c r="CC571" s="1009"/>
      <c r="CD571" s="1007"/>
      <c r="CE571" s="1008"/>
      <c r="CF571" s="1008"/>
      <c r="CG571" s="1008"/>
      <c r="CH571" s="1009"/>
      <c r="CI571" s="1007"/>
      <c r="CJ571" s="1008"/>
      <c r="CK571" s="1008"/>
      <c r="CL571" s="1008"/>
      <c r="CM571" s="1009"/>
      <c r="CN571" s="18"/>
      <c r="CO571" s="18"/>
      <c r="CP571" s="18"/>
      <c r="CQ571" s="18"/>
      <c r="CR571" s="18"/>
    </row>
    <row r="572" spans="1:96" s="3" customFormat="1" ht="12.75" customHeight="1">
      <c r="B572" s="33"/>
      <c r="C572" s="33"/>
      <c r="D572" s="33"/>
      <c r="E572" s="1419" t="s">
        <v>2253</v>
      </c>
      <c r="F572" s="1126"/>
      <c r="G572" s="1126"/>
      <c r="H572" s="1126"/>
      <c r="I572" s="1126"/>
      <c r="J572" s="1126"/>
      <c r="K572" s="1126"/>
      <c r="L572" s="1126"/>
      <c r="M572" s="1126"/>
      <c r="N572" s="1126"/>
      <c r="O572" s="1126"/>
      <c r="P572" s="1126"/>
      <c r="Q572" s="1126"/>
      <c r="R572" s="1126"/>
      <c r="S572" s="1126"/>
      <c r="T572" s="1126"/>
      <c r="U572" s="1126"/>
      <c r="V572" s="1126"/>
      <c r="W572" s="1126"/>
      <c r="X572" s="1126"/>
      <c r="Y572" s="1126"/>
      <c r="Z572" s="1126"/>
      <c r="AA572" s="1126"/>
      <c r="AB572" s="1126"/>
      <c r="AC572" s="1126"/>
      <c r="AD572" s="1126"/>
      <c r="AE572" s="1126"/>
      <c r="AF572" s="1126"/>
      <c r="AG572" s="1126"/>
      <c r="AH572" s="1127"/>
      <c r="AK572" s="121"/>
      <c r="AL572" s="121"/>
      <c r="AM572" s="33"/>
      <c r="AN572" s="209"/>
      <c r="AP572" s="1691" t="str">
        <f t="shared" si="0"/>
        <v>1 BR</v>
      </c>
      <c r="AQ572" s="1692"/>
      <c r="AR572" s="1692"/>
      <c r="AS572" s="1692"/>
      <c r="AT572" s="1693"/>
      <c r="AU572" s="1004">
        <f t="shared" si="1"/>
        <v>21</v>
      </c>
      <c r="AV572" s="1005"/>
      <c r="AW572" s="1005"/>
      <c r="AX572" s="1005"/>
      <c r="AY572" s="1006"/>
      <c r="AZ572" s="1004">
        <f t="shared" si="2"/>
        <v>13</v>
      </c>
      <c r="BA572" s="1005"/>
      <c r="BB572" s="1005"/>
      <c r="BC572" s="1005"/>
      <c r="BD572" s="1006"/>
      <c r="BE572" s="1333">
        <f t="shared" si="3"/>
        <v>0.61904761904761907</v>
      </c>
      <c r="BF572" s="1334"/>
      <c r="BG572" s="1334"/>
      <c r="BH572" s="1334"/>
      <c r="BI572" s="1335"/>
      <c r="BJ572" s="1007"/>
      <c r="BK572" s="1008"/>
      <c r="BL572" s="1008"/>
      <c r="BM572" s="1008"/>
      <c r="BN572" s="1009"/>
      <c r="BO572" s="1007"/>
      <c r="BP572" s="1008"/>
      <c r="BQ572" s="1008"/>
      <c r="BR572" s="1008"/>
      <c r="BS572" s="1009"/>
      <c r="BT572" s="1007"/>
      <c r="BU572" s="1008"/>
      <c r="BV572" s="1008"/>
      <c r="BW572" s="1008"/>
      <c r="BX572" s="1009"/>
      <c r="BY572" s="1007"/>
      <c r="BZ572" s="1008"/>
      <c r="CA572" s="1008"/>
      <c r="CB572" s="1008"/>
      <c r="CC572" s="1009"/>
      <c r="CD572" s="1007">
        <f>IF(AND(AND(BE569+BE570+BE571+BE568=0,BT570+BY571+BO569+BJ568=0,AP582=1)),1,0)</f>
        <v>0</v>
      </c>
      <c r="CE572" s="1008"/>
      <c r="CF572" s="1008"/>
      <c r="CG572" s="1008"/>
      <c r="CH572" s="1009"/>
      <c r="CI572" s="1007"/>
      <c r="CJ572" s="1008"/>
      <c r="CK572" s="1008"/>
      <c r="CL572" s="1008"/>
      <c r="CM572" s="1009"/>
      <c r="CN572" s="18"/>
      <c r="CO572" s="18"/>
      <c r="CP572" s="18"/>
      <c r="CQ572" s="18"/>
      <c r="CR572" s="18"/>
    </row>
    <row r="573" spans="1:96" s="3" customFormat="1" ht="12.75" customHeight="1">
      <c r="E573" s="1618"/>
      <c r="F573" s="1110"/>
      <c r="G573" s="1110"/>
      <c r="H573" s="1110"/>
      <c r="I573" s="1110"/>
      <c r="J573" s="1110"/>
      <c r="K573" s="1110"/>
      <c r="L573" s="1110"/>
      <c r="M573" s="1110"/>
      <c r="N573" s="1110"/>
      <c r="O573" s="1110"/>
      <c r="P573" s="1110"/>
      <c r="Q573" s="1110"/>
      <c r="R573" s="1110"/>
      <c r="S573" s="1110"/>
      <c r="T573" s="1110"/>
      <c r="U573" s="1110"/>
      <c r="V573" s="1110"/>
      <c r="W573" s="1110"/>
      <c r="X573" s="1110"/>
      <c r="Y573" s="1110"/>
      <c r="Z573" s="1110"/>
      <c r="AA573" s="1110"/>
      <c r="AB573" s="1110"/>
      <c r="AC573" s="1110"/>
      <c r="AD573" s="1110"/>
      <c r="AE573" s="1110"/>
      <c r="AF573" s="1110"/>
      <c r="AG573" s="1110"/>
      <c r="AH573" s="1619"/>
      <c r="AN573" s="209"/>
      <c r="AP573" s="1691" t="str">
        <f t="shared" si="0"/>
        <v>SRO</v>
      </c>
      <c r="AQ573" s="1692"/>
      <c r="AR573" s="1692"/>
      <c r="AS573" s="1692"/>
      <c r="AT573" s="1693"/>
      <c r="AU573" s="1004">
        <f t="shared" si="1"/>
        <v>0</v>
      </c>
      <c r="AV573" s="1005"/>
      <c r="AW573" s="1005"/>
      <c r="AX573" s="1005"/>
      <c r="AY573" s="1006"/>
      <c r="AZ573" s="1004">
        <f t="shared" si="2"/>
        <v>0</v>
      </c>
      <c r="BA573" s="1005"/>
      <c r="BB573" s="1005"/>
      <c r="BC573" s="1005"/>
      <c r="BD573" s="1006"/>
      <c r="BE573" s="1333">
        <f t="shared" si="3"/>
        <v>0</v>
      </c>
      <c r="BF573" s="1334"/>
      <c r="BG573" s="1334"/>
      <c r="BH573" s="1334"/>
      <c r="BI573" s="1335"/>
      <c r="BJ573" s="1007"/>
      <c r="BK573" s="1008"/>
      <c r="BL573" s="1008"/>
      <c r="BM573" s="1008"/>
      <c r="BN573" s="1009"/>
      <c r="BO573" s="1007"/>
      <c r="BP573" s="1008"/>
      <c r="BQ573" s="1008"/>
      <c r="BR573" s="1008"/>
      <c r="BS573" s="1009"/>
      <c r="BT573" s="1007"/>
      <c r="BU573" s="1008"/>
      <c r="BV573" s="1008"/>
      <c r="BW573" s="1008"/>
      <c r="BX573" s="1009"/>
      <c r="BY573" s="1007"/>
      <c r="BZ573" s="1008"/>
      <c r="CA573" s="1008"/>
      <c r="CB573" s="1008"/>
      <c r="CC573" s="1009"/>
      <c r="CD573" s="1007"/>
      <c r="CE573" s="1008"/>
      <c r="CF573" s="1008"/>
      <c r="CG573" s="1008"/>
      <c r="CH573" s="1009"/>
      <c r="CI573" s="1007">
        <f>IF(AND(AND(AZ570+AZ571+AZ572+AZ569+AZ568=0,BY571+CD572+BT570+BO569+BJ568=0,AP583=1)),1,0)</f>
        <v>0</v>
      </c>
      <c r="CJ573" s="1008"/>
      <c r="CK573" s="1008"/>
      <c r="CL573" s="1008"/>
      <c r="CM573" s="1009"/>
      <c r="CN573" s="18"/>
      <c r="CO573" s="18"/>
      <c r="CP573" s="18"/>
      <c r="CQ573" s="18"/>
      <c r="CR573" s="18"/>
    </row>
    <row r="574" spans="1:96" s="3" customFormat="1" ht="12.75" customHeight="1">
      <c r="E574" s="1539" t="s">
        <v>2254</v>
      </c>
      <c r="F574" s="1540"/>
      <c r="G574" s="1540"/>
      <c r="H574" s="1540"/>
      <c r="I574" s="1540"/>
      <c r="J574" s="1541"/>
      <c r="K574" s="1539" t="s">
        <v>2255</v>
      </c>
      <c r="L574" s="1540"/>
      <c r="M574" s="1540"/>
      <c r="N574" s="1540"/>
      <c r="O574" s="1540"/>
      <c r="P574" s="1541"/>
      <c r="Q574" s="1440" t="s">
        <v>2256</v>
      </c>
      <c r="R574" s="1441"/>
      <c r="S574" s="1441"/>
      <c r="T574" s="1441"/>
      <c r="U574" s="1441"/>
      <c r="V574" s="1442"/>
      <c r="W574" s="1440" t="str">
        <f>I563</f>
        <v>Percent of Low-Income Units (exclusive of manager’s units)</v>
      </c>
      <c r="X574" s="1441"/>
      <c r="Y574" s="1441"/>
      <c r="Z574" s="1441"/>
      <c r="AA574" s="1441"/>
      <c r="AB574" s="1442"/>
      <c r="AC574" s="1440" t="s">
        <v>2257</v>
      </c>
      <c r="AD574" s="1441"/>
      <c r="AE574" s="1441"/>
      <c r="AF574" s="1441"/>
      <c r="AG574" s="1441"/>
      <c r="AH574" s="1442"/>
      <c r="AN574" s="209"/>
      <c r="AP574" s="1691" t="str">
        <f t="shared" si="0"/>
        <v>Total:</v>
      </c>
      <c r="AQ574" s="1692"/>
      <c r="AR574" s="1692"/>
      <c r="AS574" s="1692"/>
      <c r="AT574" s="1693"/>
      <c r="AU574" s="1691"/>
      <c r="AV574" s="1692"/>
      <c r="AW574" s="1692"/>
      <c r="AX574" s="1692"/>
      <c r="AY574" s="1693"/>
      <c r="AZ574" s="1691"/>
      <c r="BA574" s="1692"/>
      <c r="BB574" s="1692"/>
      <c r="BC574" s="1692"/>
      <c r="BD574" s="1693"/>
      <c r="BE574" s="1691"/>
      <c r="BF574" s="1692"/>
      <c r="BG574" s="1692"/>
      <c r="BH574" s="1692"/>
      <c r="BI574" s="1693"/>
      <c r="BJ574" s="1007">
        <f>SUM(BJ568:BN573)</f>
        <v>0</v>
      </c>
      <c r="BK574" s="1008"/>
      <c r="BL574" s="1008"/>
      <c r="BM574" s="1008"/>
      <c r="BN574" s="1009"/>
      <c r="BO574" s="1007">
        <f>SUM(BO568:BS573)</f>
        <v>0</v>
      </c>
      <c r="BP574" s="1008"/>
      <c r="BQ574" s="1008"/>
      <c r="BR574" s="1008"/>
      <c r="BS574" s="1009"/>
      <c r="BT574" s="1007">
        <f>SUM(BT568:BX573)</f>
        <v>0</v>
      </c>
      <c r="BU574" s="1008"/>
      <c r="BV574" s="1008"/>
      <c r="BW574" s="1008"/>
      <c r="BX574" s="1009"/>
      <c r="BY574" s="1007">
        <f>SUM(BY568:CC573)</f>
        <v>0</v>
      </c>
      <c r="BZ574" s="1008"/>
      <c r="CA574" s="1008"/>
      <c r="CB574" s="1008"/>
      <c r="CC574" s="1009"/>
      <c r="CD574" s="1007">
        <f>SUM(CD568:CH573)</f>
        <v>0</v>
      </c>
      <c r="CE574" s="1008"/>
      <c r="CF574" s="1008"/>
      <c r="CG574" s="1008"/>
      <c r="CH574" s="1009"/>
      <c r="CI574" s="1007">
        <f>SUM(CI568:CM573)</f>
        <v>0</v>
      </c>
      <c r="CJ574" s="1008"/>
      <c r="CK574" s="1008"/>
      <c r="CL574" s="1008"/>
      <c r="CM574" s="1009"/>
      <c r="CN574" s="1007">
        <f>SUM(BJ574:CM574)</f>
        <v>0</v>
      </c>
      <c r="CO574" s="1008"/>
      <c r="CP574" s="1008"/>
      <c r="CQ574" s="1008"/>
      <c r="CR574" s="1009"/>
    </row>
    <row r="575" spans="1:96" s="3" customFormat="1" ht="12.75" customHeight="1">
      <c r="E575" s="1542"/>
      <c r="F575" s="1543"/>
      <c r="G575" s="1543"/>
      <c r="H575" s="1543"/>
      <c r="I575" s="1543"/>
      <c r="J575" s="1544"/>
      <c r="K575" s="1542"/>
      <c r="L575" s="1543"/>
      <c r="M575" s="1543"/>
      <c r="N575" s="1543"/>
      <c r="O575" s="1543"/>
      <c r="P575" s="1544"/>
      <c r="Q575" s="1443"/>
      <c r="R575" s="1444"/>
      <c r="S575" s="1444"/>
      <c r="T575" s="1444"/>
      <c r="U575" s="1444"/>
      <c r="V575" s="1445"/>
      <c r="W575" s="1443"/>
      <c r="X575" s="1444"/>
      <c r="Y575" s="1444"/>
      <c r="Z575" s="1444"/>
      <c r="AA575" s="1444"/>
      <c r="AB575" s="1445"/>
      <c r="AC575" s="1443"/>
      <c r="AD575" s="1444"/>
      <c r="AE575" s="1444"/>
      <c r="AF575" s="1444"/>
      <c r="AG575" s="1444"/>
      <c r="AH575" s="1445"/>
      <c r="AN575" s="209"/>
    </row>
    <row r="576" spans="1:96" s="3" customFormat="1" ht="12.75" customHeight="1">
      <c r="E576" s="1542"/>
      <c r="F576" s="1543"/>
      <c r="G576" s="1543"/>
      <c r="H576" s="1543"/>
      <c r="I576" s="1543"/>
      <c r="J576" s="1544"/>
      <c r="K576" s="1542"/>
      <c r="L576" s="1543"/>
      <c r="M576" s="1543"/>
      <c r="N576" s="1543"/>
      <c r="O576" s="1543"/>
      <c r="P576" s="1544"/>
      <c r="Q576" s="1443"/>
      <c r="R576" s="1444"/>
      <c r="S576" s="1444"/>
      <c r="T576" s="1444"/>
      <c r="U576" s="1444"/>
      <c r="V576" s="1445"/>
      <c r="W576" s="1443"/>
      <c r="X576" s="1444"/>
      <c r="Y576" s="1444"/>
      <c r="Z576" s="1444"/>
      <c r="AA576" s="1444"/>
      <c r="AB576" s="1445"/>
      <c r="AC576" s="1443"/>
      <c r="AD576" s="1444"/>
      <c r="AE576" s="1444"/>
      <c r="AF576" s="1444"/>
      <c r="AG576" s="1444"/>
      <c r="AH576" s="1445"/>
      <c r="AN576" s="209"/>
    </row>
    <row r="577" spans="2:69" s="3" customFormat="1" ht="12.75" customHeight="1">
      <c r="E577" s="1542"/>
      <c r="F577" s="1543"/>
      <c r="G577" s="1543"/>
      <c r="H577" s="1543"/>
      <c r="I577" s="1543"/>
      <c r="J577" s="1544"/>
      <c r="K577" s="1542"/>
      <c r="L577" s="1543"/>
      <c r="M577" s="1543"/>
      <c r="N577" s="1543"/>
      <c r="O577" s="1543"/>
      <c r="P577" s="1544"/>
      <c r="Q577" s="1443"/>
      <c r="R577" s="1444"/>
      <c r="S577" s="1444"/>
      <c r="T577" s="1444"/>
      <c r="U577" s="1444"/>
      <c r="V577" s="1445"/>
      <c r="W577" s="1443"/>
      <c r="X577" s="1444"/>
      <c r="Y577" s="1444"/>
      <c r="Z577" s="1444"/>
      <c r="AA577" s="1444"/>
      <c r="AB577" s="1445"/>
      <c r="AC577" s="1443"/>
      <c r="AD577" s="1444"/>
      <c r="AE577" s="1444"/>
      <c r="AF577" s="1444"/>
      <c r="AG577" s="1444"/>
      <c r="AH577" s="1445"/>
      <c r="AN577" s="209"/>
      <c r="AP577" s="2" t="s">
        <v>2258</v>
      </c>
      <c r="BH577" s="2" t="s">
        <v>2259</v>
      </c>
    </row>
    <row r="578" spans="2:69" s="3" customFormat="1" ht="12.75" customHeight="1">
      <c r="E578" s="1533"/>
      <c r="F578" s="1534"/>
      <c r="G578" s="1534"/>
      <c r="H578" s="1534"/>
      <c r="I578" s="1534"/>
      <c r="J578" s="1535"/>
      <c r="K578" s="1536">
        <v>20</v>
      </c>
      <c r="L578" s="1537"/>
      <c r="M578" s="1537"/>
      <c r="N578" s="1537"/>
      <c r="O578" s="1537"/>
      <c r="P578" s="1538"/>
      <c r="Q578" s="1603">
        <f>IF(ISERROR(IF((((E578/$BJ$525)*100)&gt;100),"EXCESSIVE VALUE",(E578/$BJ$525)*100)),0,IF((((E578/$BJ$525)*100)&gt;100),"EXCESSIVE VALUE",(E578/$BJ$525)*100))</f>
        <v>0</v>
      </c>
      <c r="R578" s="1604"/>
      <c r="S578" s="1604"/>
      <c r="T578" s="1604"/>
      <c r="U578" s="1604"/>
      <c r="V578" s="1605"/>
      <c r="W578" s="1545">
        <f>IF(FLOOR(Q578,5)&gt;80,80,FLOOR(Q578,5))</f>
        <v>0</v>
      </c>
      <c r="X578" s="1546"/>
      <c r="Y578" s="1546"/>
      <c r="Z578" s="1546"/>
      <c r="AA578" s="1546"/>
      <c r="AB578" s="1547"/>
      <c r="AC578" s="1545">
        <f t="shared" ref="AC578:AC583" si="4">IFERROR(IF(W578&gt;0,INDEX($BI$504:$BP$518,MATCH(W578,$BH$504:$BH$518,0),MATCH(K578,$BI$503:$BP$503,0)),0),0)</f>
        <v>0</v>
      </c>
      <c r="AD578" s="1546"/>
      <c r="AE578" s="1546"/>
      <c r="AF578" s="1546"/>
      <c r="AG578" s="1546"/>
      <c r="AH578" s="1547"/>
      <c r="AN578" s="209"/>
      <c r="AO578" s="3">
        <v>5</v>
      </c>
      <c r="AP578" s="1536">
        <f t="shared" ref="AP578:AP583" si="5">IF(OR(BE568&gt;=0.1,BE568=0),0,1)</f>
        <v>0</v>
      </c>
      <c r="AQ578" s="1537"/>
      <c r="AR578" s="1537"/>
      <c r="AS578" s="1537"/>
      <c r="AT578" s="1538"/>
      <c r="AX578" s="1586" t="s">
        <v>2260</v>
      </c>
      <c r="AY578" s="1588"/>
      <c r="AZ578" s="1588"/>
      <c r="BA578" s="1588"/>
      <c r="BB578" s="1588"/>
      <c r="BC578" s="1588"/>
      <c r="BD578" s="1588"/>
      <c r="BE578" s="1588"/>
      <c r="BF578" s="1588"/>
      <c r="BG578" s="1588"/>
      <c r="BH578" s="1588"/>
      <c r="BI578" s="1588"/>
      <c r="BJ578" s="1588"/>
      <c r="BK578" s="1588"/>
      <c r="BL578" s="1588"/>
      <c r="BM578" s="1588"/>
      <c r="BN578" s="1588"/>
      <c r="BO578" s="1588"/>
      <c r="BP578" s="1588"/>
      <c r="BQ578" s="1587"/>
    </row>
    <row r="579" spans="2:69" s="3" customFormat="1" ht="12.75" customHeight="1">
      <c r="E579" s="1533">
        <v>17</v>
      </c>
      <c r="F579" s="1534"/>
      <c r="G579" s="1534"/>
      <c r="H579" s="1534"/>
      <c r="I579" s="1534"/>
      <c r="J579" s="1535"/>
      <c r="K579" s="1536">
        <v>30</v>
      </c>
      <c r="L579" s="1537"/>
      <c r="M579" s="1537"/>
      <c r="N579" s="1537"/>
      <c r="O579" s="1537"/>
      <c r="P579" s="1538"/>
      <c r="Q579" s="1603">
        <f t="shared" ref="Q579:Q586" si="6">IF(ISERROR(IF((((E579/$BJ$525)*100)&gt;100),"EXCESSIVE VALUE",(E579/$BJ$525)*100)),0,IF((((E579/$BJ$525)*100)&gt;100),"EXCESSIVE VALUE",(E579/$BJ$525)*100))</f>
        <v>40.476190476190474</v>
      </c>
      <c r="R579" s="1604"/>
      <c r="S579" s="1604"/>
      <c r="T579" s="1604"/>
      <c r="U579" s="1604"/>
      <c r="V579" s="1605"/>
      <c r="W579" s="1545">
        <f>IF(FLOOR(Q579,5)&gt;80,80,FLOOR(Q579,5))</f>
        <v>40</v>
      </c>
      <c r="X579" s="1546"/>
      <c r="Y579" s="1546"/>
      <c r="Z579" s="1546"/>
      <c r="AA579" s="1546"/>
      <c r="AB579" s="1547"/>
      <c r="AC579" s="1545">
        <f t="shared" si="4"/>
        <v>50</v>
      </c>
      <c r="AD579" s="1546"/>
      <c r="AE579" s="1546"/>
      <c r="AF579" s="1546"/>
      <c r="AG579" s="1546"/>
      <c r="AH579" s="1547"/>
      <c r="AN579" s="209"/>
      <c r="AO579" s="3">
        <v>4</v>
      </c>
      <c r="AP579" s="1536">
        <f t="shared" si="5"/>
        <v>0</v>
      </c>
      <c r="AQ579" s="1537"/>
      <c r="AR579" s="1537"/>
      <c r="AS579" s="1537"/>
      <c r="AT579" s="1538"/>
      <c r="AX579" s="1649" t="s">
        <v>2261</v>
      </c>
      <c r="AY579" s="1650"/>
      <c r="AZ579" s="1194" t="s">
        <v>2261</v>
      </c>
      <c r="BA579" s="1196"/>
      <c r="BB579" s="1649" t="s">
        <v>1514</v>
      </c>
      <c r="BC579" s="1650"/>
      <c r="BD579" s="1583" t="s">
        <v>1514</v>
      </c>
      <c r="BE579" s="1585"/>
      <c r="BF579" s="1649" t="s">
        <v>1513</v>
      </c>
      <c r="BG579" s="1650"/>
      <c r="BH579" s="1583" t="s">
        <v>1513</v>
      </c>
      <c r="BI579" s="1585"/>
      <c r="BJ579" s="1649" t="s">
        <v>1512</v>
      </c>
      <c r="BK579" s="1650"/>
      <c r="BL579" s="1583" t="s">
        <v>1512</v>
      </c>
      <c r="BM579" s="1585"/>
      <c r="BN579" s="1649" t="s">
        <v>936</v>
      </c>
      <c r="BO579" s="1650"/>
      <c r="BP579" s="1583" t="s">
        <v>936</v>
      </c>
      <c r="BQ579" s="1585"/>
    </row>
    <row r="580" spans="2:69" s="3" customFormat="1" ht="12.75" customHeight="1">
      <c r="E580" s="1533"/>
      <c r="F580" s="1534"/>
      <c r="G580" s="1534"/>
      <c r="H580" s="1534"/>
      <c r="I580" s="1534"/>
      <c r="J580" s="1535"/>
      <c r="K580" s="1536">
        <v>35</v>
      </c>
      <c r="L580" s="1537"/>
      <c r="M580" s="1537"/>
      <c r="N580" s="1537"/>
      <c r="O580" s="1537"/>
      <c r="P580" s="1538"/>
      <c r="Q580" s="1603">
        <f t="shared" si="6"/>
        <v>0</v>
      </c>
      <c r="R580" s="1604"/>
      <c r="S580" s="1604"/>
      <c r="T580" s="1604"/>
      <c r="U580" s="1604"/>
      <c r="V580" s="1605"/>
      <c r="W580" s="1545">
        <f t="shared" ref="W580:W586" si="7">IF(FLOOR(Q580,5)&gt;80,80,FLOOR(Q580,5))</f>
        <v>0</v>
      </c>
      <c r="X580" s="1546"/>
      <c r="Y580" s="1546"/>
      <c r="Z580" s="1546"/>
      <c r="AA580" s="1546"/>
      <c r="AB580" s="1547"/>
      <c r="AC580" s="1545">
        <f t="shared" si="4"/>
        <v>0</v>
      </c>
      <c r="AD580" s="1546"/>
      <c r="AE580" s="1546"/>
      <c r="AF580" s="1546"/>
      <c r="AG580" s="1546"/>
      <c r="AH580" s="1547"/>
      <c r="AN580" s="209"/>
      <c r="AO580" s="3">
        <v>3</v>
      </c>
      <c r="AP580" s="1536">
        <f t="shared" si="5"/>
        <v>0</v>
      </c>
      <c r="AQ580" s="1537"/>
      <c r="AR580" s="1537"/>
      <c r="AS580" s="1537"/>
      <c r="AT580" s="1538"/>
      <c r="AX580" s="1649">
        <f>IF(AP530=1,1,0)</f>
        <v>0</v>
      </c>
      <c r="AY580" s="1650"/>
      <c r="AZ580" s="1586"/>
      <c r="BA580" s="1587"/>
      <c r="BB580" s="1689"/>
      <c r="BC580" s="1690"/>
      <c r="BD580" s="1583">
        <f>IF(AND(T605&gt;0,AP530&gt;0),1,0)</f>
        <v>0</v>
      </c>
      <c r="BE580" s="1585"/>
      <c r="BF580" s="1689"/>
      <c r="BG580" s="1690"/>
      <c r="BH580" s="1583">
        <f>IF(AND(T605&gt;0,AP530&gt;0),1,0)</f>
        <v>0</v>
      </c>
      <c r="BI580" s="1585"/>
      <c r="BJ580" s="1689"/>
      <c r="BK580" s="1690"/>
      <c r="BL580" s="1583">
        <f>IF(AND(T605&gt;0,AP530&gt;0),1,0)</f>
        <v>0</v>
      </c>
      <c r="BM580" s="1585"/>
      <c r="BN580" s="1689"/>
      <c r="BO580" s="1690"/>
      <c r="BP580" s="1583">
        <f>IF(AND(T605&gt;0,AP530&gt;0),1,0)</f>
        <v>0</v>
      </c>
      <c r="BQ580" s="1585"/>
    </row>
    <row r="581" spans="2:69" s="3" customFormat="1" ht="12.75" customHeight="1">
      <c r="E581" s="1533"/>
      <c r="F581" s="1534"/>
      <c r="G581" s="1534"/>
      <c r="H581" s="1534"/>
      <c r="I581" s="1534"/>
      <c r="J581" s="1535"/>
      <c r="K581" s="1536">
        <v>40</v>
      </c>
      <c r="L581" s="1537"/>
      <c r="M581" s="1537"/>
      <c r="N581" s="1537"/>
      <c r="O581" s="1537"/>
      <c r="P581" s="1538"/>
      <c r="Q581" s="1603">
        <f t="shared" si="6"/>
        <v>0</v>
      </c>
      <c r="R581" s="1604"/>
      <c r="S581" s="1604"/>
      <c r="T581" s="1604"/>
      <c r="U581" s="1604"/>
      <c r="V581" s="1605"/>
      <c r="W581" s="1545">
        <f t="shared" si="7"/>
        <v>0</v>
      </c>
      <c r="X581" s="1546"/>
      <c r="Y581" s="1546"/>
      <c r="Z581" s="1546"/>
      <c r="AA581" s="1546"/>
      <c r="AB581" s="1547"/>
      <c r="AC581" s="1545">
        <f t="shared" si="4"/>
        <v>0</v>
      </c>
      <c r="AD581" s="1546"/>
      <c r="AE581" s="1546"/>
      <c r="AF581" s="1546"/>
      <c r="AG581" s="1546"/>
      <c r="AH581" s="1547"/>
      <c r="AN581" s="209"/>
      <c r="AO581" s="3">
        <v>2</v>
      </c>
      <c r="AP581" s="1536">
        <f t="shared" si="5"/>
        <v>0</v>
      </c>
      <c r="AQ581" s="1537"/>
      <c r="AR581" s="1537"/>
      <c r="AS581" s="1537"/>
      <c r="AT581" s="1538"/>
      <c r="AX581" s="1689"/>
      <c r="AY581" s="1690"/>
      <c r="AZ581" s="1586"/>
      <c r="BA581" s="1587"/>
      <c r="BB581" s="1649">
        <f>IF(AP531=1,1,0)</f>
        <v>0</v>
      </c>
      <c r="BC581" s="1650"/>
      <c r="BD581" s="1586"/>
      <c r="BE581" s="1587"/>
      <c r="BF581" s="1689"/>
      <c r="BG581" s="1690"/>
      <c r="BH581" s="1583">
        <f>IF(AND(T606&gt;0,AP531&gt;0),1,0)</f>
        <v>1</v>
      </c>
      <c r="BI581" s="1585"/>
      <c r="BJ581" s="1689"/>
      <c r="BK581" s="1690"/>
      <c r="BL581" s="1583">
        <f>IF(AND(T606&gt;0,AP531&gt;0),1,0)</f>
        <v>1</v>
      </c>
      <c r="BM581" s="1585"/>
      <c r="BN581" s="1689"/>
      <c r="BO581" s="1690"/>
      <c r="BP581" s="1583">
        <f>IF(AND(T606&gt;0,AP531&gt;0),1,0)</f>
        <v>1</v>
      </c>
      <c r="BQ581" s="1585"/>
    </row>
    <row r="582" spans="2:69" s="3" customFormat="1" ht="12.75" customHeight="1">
      <c r="E582" s="1533"/>
      <c r="F582" s="1534"/>
      <c r="G582" s="1534"/>
      <c r="H582" s="1534"/>
      <c r="I582" s="1534"/>
      <c r="J582" s="1535"/>
      <c r="K582" s="1536">
        <v>45</v>
      </c>
      <c r="L582" s="1537"/>
      <c r="M582" s="1537"/>
      <c r="N582" s="1537"/>
      <c r="O582" s="1537"/>
      <c r="P582" s="1538"/>
      <c r="Q582" s="1603">
        <f t="shared" si="6"/>
        <v>0</v>
      </c>
      <c r="R582" s="1604"/>
      <c r="S582" s="1604"/>
      <c r="T582" s="1604"/>
      <c r="U582" s="1604"/>
      <c r="V582" s="1605"/>
      <c r="W582" s="1545">
        <f>IF(FLOOR(Q582,5)&gt;65,65,FLOOR(Q582,5))</f>
        <v>0</v>
      </c>
      <c r="X582" s="1546"/>
      <c r="Y582" s="1546"/>
      <c r="Z582" s="1546"/>
      <c r="AA582" s="1546"/>
      <c r="AB582" s="1547"/>
      <c r="AC582" s="1545">
        <f t="shared" si="4"/>
        <v>0</v>
      </c>
      <c r="AD582" s="1546"/>
      <c r="AE582" s="1546"/>
      <c r="AF582" s="1546"/>
      <c r="AG582" s="1546"/>
      <c r="AH582" s="1547"/>
      <c r="AN582" s="209"/>
      <c r="AO582" s="3">
        <v>1</v>
      </c>
      <c r="AP582" s="1536">
        <f t="shared" si="5"/>
        <v>0</v>
      </c>
      <c r="AQ582" s="1537"/>
      <c r="AR582" s="1537"/>
      <c r="AS582" s="1537"/>
      <c r="AT582" s="1538"/>
      <c r="AX582" s="1689"/>
      <c r="AY582" s="1690"/>
      <c r="AZ582" s="1586"/>
      <c r="BA582" s="1587"/>
      <c r="BB582" s="1689"/>
      <c r="BC582" s="1690"/>
      <c r="BD582" s="1586"/>
      <c r="BE582" s="1587"/>
      <c r="BF582" s="1649">
        <f>IF(AP532=1,1,0)</f>
        <v>0</v>
      </c>
      <c r="BG582" s="1650"/>
      <c r="BH582" s="1586"/>
      <c r="BI582" s="1587"/>
      <c r="BJ582" s="1689"/>
      <c r="BK582" s="1690"/>
      <c r="BL582" s="1583">
        <f>IF(AND(T607&gt;0,AP532&gt;0),1,0)</f>
        <v>1</v>
      </c>
      <c r="BM582" s="1585"/>
      <c r="BN582" s="1689"/>
      <c r="BO582" s="1690"/>
      <c r="BP582" s="1583">
        <f>IF(AND(T607&gt;0,AP532&gt;0),1,0)</f>
        <v>1</v>
      </c>
      <c r="BQ582" s="1585"/>
    </row>
    <row r="583" spans="2:69" s="3" customFormat="1" ht="12.75" customHeight="1">
      <c r="E583" s="1533">
        <v>9</v>
      </c>
      <c r="F583" s="1534"/>
      <c r="G583" s="1534"/>
      <c r="H583" s="1534"/>
      <c r="I583" s="1534"/>
      <c r="J583" s="1535"/>
      <c r="K583" s="1536">
        <v>50</v>
      </c>
      <c r="L583" s="1537"/>
      <c r="M583" s="1537"/>
      <c r="N583" s="1537"/>
      <c r="O583" s="1537"/>
      <c r="P583" s="1538"/>
      <c r="Q583" s="1603">
        <f t="shared" si="6"/>
        <v>21.428571428571427</v>
      </c>
      <c r="R583" s="1604"/>
      <c r="S583" s="1604"/>
      <c r="T583" s="1604"/>
      <c r="U583" s="1604"/>
      <c r="V583" s="1605"/>
      <c r="W583" s="1545">
        <f>IF(FLOOR(Q583,5)&gt;40,40,FLOOR(Q583,5))</f>
        <v>20</v>
      </c>
      <c r="X583" s="1546"/>
      <c r="Y583" s="1546"/>
      <c r="Z583" s="1546"/>
      <c r="AA583" s="1546"/>
      <c r="AB583" s="1547"/>
      <c r="AC583" s="1545">
        <f t="shared" si="4"/>
        <v>10</v>
      </c>
      <c r="AD583" s="1546"/>
      <c r="AE583" s="1546"/>
      <c r="AF583" s="1546"/>
      <c r="AG583" s="1546"/>
      <c r="AH583" s="1547"/>
      <c r="AN583" s="209"/>
      <c r="AO583" s="3">
        <v>0</v>
      </c>
      <c r="AP583" s="1536">
        <f t="shared" si="5"/>
        <v>0</v>
      </c>
      <c r="AQ583" s="1537"/>
      <c r="AR583" s="1537"/>
      <c r="AS583" s="1537"/>
      <c r="AT583" s="1538"/>
      <c r="AX583" s="1689"/>
      <c r="AY583" s="1690"/>
      <c r="AZ583" s="1586"/>
      <c r="BA583" s="1587"/>
      <c r="BB583" s="1689"/>
      <c r="BC583" s="1690"/>
      <c r="BD583" s="1586"/>
      <c r="BE583" s="1587"/>
      <c r="BF583" s="1689"/>
      <c r="BG583" s="1690"/>
      <c r="BH583" s="1586"/>
      <c r="BI583" s="1587"/>
      <c r="BJ583" s="1649">
        <f>IF(AP533=1,1,0)</f>
        <v>1</v>
      </c>
      <c r="BK583" s="1650"/>
      <c r="BL583" s="1689"/>
      <c r="BM583" s="1690"/>
      <c r="BN583" s="1689"/>
      <c r="BO583" s="1690"/>
      <c r="BP583" s="1583">
        <f>IF(AND(T608&gt;0,AP533&gt;0),1,0)</f>
        <v>1</v>
      </c>
      <c r="BQ583" s="1585"/>
    </row>
    <row r="584" spans="2:69" s="3" customFormat="1" ht="12.75" customHeight="1">
      <c r="E584" s="1623"/>
      <c r="F584" s="1624"/>
      <c r="G584" s="1624"/>
      <c r="H584" s="1624"/>
      <c r="I584" s="1624"/>
      <c r="J584" s="1625"/>
      <c r="K584" s="1722">
        <f>IF(OR(Application!D211="Rural",Application!D211="Rural apportionment (Section 514)",Application!D211="Rural apportionment (Section 515)",Application!D211="Rural apportionment (HOME)",Application!D211="Rural (Native American apportionment)"),50,0)</f>
        <v>0</v>
      </c>
      <c r="L584" s="1723"/>
      <c r="M584" s="1724" t="s">
        <v>2262</v>
      </c>
      <c r="N584" s="1724"/>
      <c r="O584" s="1724"/>
      <c r="P584" s="1725"/>
      <c r="Q584" s="1603">
        <f t="shared" si="6"/>
        <v>0</v>
      </c>
      <c r="R584" s="1604"/>
      <c r="S584" s="1604"/>
      <c r="T584" s="1604"/>
      <c r="U584" s="1604"/>
      <c r="V584" s="1605"/>
      <c r="W584" s="1545">
        <f>IF(FLOOR(Q584,5)&gt;50,50,FLOOR(Q584,5))</f>
        <v>0</v>
      </c>
      <c r="X584" s="1546"/>
      <c r="Y584" s="1546"/>
      <c r="Z584" s="1546"/>
      <c r="AA584" s="1546"/>
      <c r="AB584" s="1547"/>
      <c r="AC584" s="1545">
        <f>IFERROR(IF(W584&gt;0,INDEX($AT$504:$BA$518,MATCH(W584,$AS$504:$AS$518,0),MATCH(K584,$AT$503:$BA$503,0)),0),0)</f>
        <v>0</v>
      </c>
      <c r="AD584" s="1546"/>
      <c r="AE584" s="1546"/>
      <c r="AF584" s="1546"/>
      <c r="AG584" s="1546"/>
      <c r="AH584" s="1547"/>
      <c r="AN584" s="209"/>
      <c r="AP584" s="1536"/>
      <c r="AQ584" s="1537"/>
      <c r="AR584" s="1537"/>
      <c r="AS584" s="1537"/>
      <c r="AT584" s="1538"/>
      <c r="AX584" s="1689"/>
      <c r="AY584" s="1690"/>
      <c r="AZ584" s="1586"/>
      <c r="BA584" s="1587"/>
      <c r="BB584" s="1689"/>
      <c r="BC584" s="1690"/>
      <c r="BD584" s="1586"/>
      <c r="BE584" s="1587"/>
      <c r="BF584" s="1689"/>
      <c r="BG584" s="1690"/>
      <c r="BH584" s="1586"/>
      <c r="BI584" s="1587"/>
      <c r="BJ584" s="1689"/>
      <c r="BK584" s="1690"/>
      <c r="BL584" s="1689"/>
      <c r="BM584" s="1690"/>
      <c r="BN584" s="1649">
        <f>IF(AP534=1,1,0)</f>
        <v>0</v>
      </c>
      <c r="BO584" s="1650"/>
      <c r="BP584" s="1586"/>
      <c r="BQ584" s="1587"/>
    </row>
    <row r="585" spans="2:69" s="3" customFormat="1" ht="12.75" customHeight="1">
      <c r="E585" s="1623"/>
      <c r="F585" s="1624"/>
      <c r="G585" s="1624"/>
      <c r="H585" s="1624"/>
      <c r="I585" s="1624"/>
      <c r="J585" s="1625"/>
      <c r="K585" s="1722">
        <f>IF(OR(Application!D211="Rural",Application!D211="Rural apportionment (Section 514)",Application!D211="Rural apportionment (Section 515)",Application!D211="Rural apportionment (HOME)",Application!D211="Rural (Native American apportionment)"),55,0)</f>
        <v>0</v>
      </c>
      <c r="L585" s="1723"/>
      <c r="M585" s="1724" t="s">
        <v>2262</v>
      </c>
      <c r="N585" s="1724"/>
      <c r="O585" s="1724"/>
      <c r="P585" s="1725"/>
      <c r="Q585" s="1603">
        <f t="shared" si="6"/>
        <v>0</v>
      </c>
      <c r="R585" s="1604"/>
      <c r="S585" s="1604"/>
      <c r="T585" s="1604"/>
      <c r="U585" s="1604"/>
      <c r="V585" s="1605"/>
      <c r="W585" s="1545">
        <f>IF(FLOOR(Q585,5)&gt;40,40,FLOOR(Q585,5))</f>
        <v>0</v>
      </c>
      <c r="X585" s="1546"/>
      <c r="Y585" s="1546"/>
      <c r="Z585" s="1546"/>
      <c r="AA585" s="1546"/>
      <c r="AB585" s="1547"/>
      <c r="AC585" s="1545">
        <f>IFERROR(IF(W585&gt;0,INDEX($AT$504:$BA$518,MATCH(W585,$AS$504:$AS$518,0),MATCH(K585,$AT$503:$BA$503,0)),0),0)</f>
        <v>0</v>
      </c>
      <c r="AD585" s="1546"/>
      <c r="AE585" s="1546"/>
      <c r="AF585" s="1546"/>
      <c r="AG585" s="1546"/>
      <c r="AH585" s="1547"/>
      <c r="AN585" s="209"/>
      <c r="AX585" s="1649">
        <f>SUM(AX580:AY584)</f>
        <v>0</v>
      </c>
      <c r="AY585" s="1650"/>
      <c r="AZ585" s="1583">
        <f>SUM(AZ581:BA584)</f>
        <v>0</v>
      </c>
      <c r="BA585" s="1585"/>
      <c r="BB585" s="1649">
        <f>SUM(BB581:BC584)</f>
        <v>0</v>
      </c>
      <c r="BC585" s="1650"/>
      <c r="BD585" s="1583">
        <f>SUM(BD580:BE584)</f>
        <v>0</v>
      </c>
      <c r="BE585" s="1585"/>
      <c r="BF585" s="1649">
        <f>SUM(BF582:BG584)</f>
        <v>0</v>
      </c>
      <c r="BG585" s="1650"/>
      <c r="BH585" s="1583">
        <f>SUM(BH580:BI584)</f>
        <v>1</v>
      </c>
      <c r="BI585" s="1585"/>
      <c r="BJ585" s="1649">
        <f>SUM(BJ580:BK584)</f>
        <v>1</v>
      </c>
      <c r="BK585" s="1650"/>
      <c r="BL585" s="1583">
        <f>SUM(BL580:BM584)</f>
        <v>2</v>
      </c>
      <c r="BM585" s="1585"/>
      <c r="BN585" s="1649">
        <f>SUM(BN580:BO584)</f>
        <v>0</v>
      </c>
      <c r="BO585" s="1650"/>
      <c r="BP585" s="1583">
        <f>SUM(BP580:BQ584)</f>
        <v>3</v>
      </c>
      <c r="BQ585" s="1585"/>
    </row>
    <row r="586" spans="2:69" s="3" customFormat="1" ht="12.75" customHeight="1">
      <c r="E586" s="1533">
        <v>16</v>
      </c>
      <c r="F586" s="1534"/>
      <c r="G586" s="1534"/>
      <c r="H586" s="1534"/>
      <c r="I586" s="1534"/>
      <c r="J586" s="1535"/>
      <c r="K586" s="1536" t="s">
        <v>2263</v>
      </c>
      <c r="L586" s="1537"/>
      <c r="M586" s="1537"/>
      <c r="N586" s="1537"/>
      <c r="O586" s="1537"/>
      <c r="P586" s="1538"/>
      <c r="Q586" s="1603">
        <f t="shared" si="6"/>
        <v>38.095238095238095</v>
      </c>
      <c r="R586" s="1604"/>
      <c r="S586" s="1604"/>
      <c r="T586" s="1604"/>
      <c r="U586" s="1604"/>
      <c r="V586" s="1605"/>
      <c r="W586" s="1545">
        <f t="shared" si="7"/>
        <v>35</v>
      </c>
      <c r="X586" s="1546"/>
      <c r="Y586" s="1546"/>
      <c r="Z586" s="1546"/>
      <c r="AA586" s="1546"/>
      <c r="AB586" s="1547"/>
      <c r="AC586" s="1545">
        <v>0</v>
      </c>
      <c r="AD586" s="1546"/>
      <c r="AE586" s="1546"/>
      <c r="AF586" s="1546"/>
      <c r="AG586" s="1546"/>
      <c r="AH586" s="1547"/>
      <c r="AN586" s="209"/>
      <c r="AX586" s="1661">
        <f>IF(AND(AX585=1,AZ585&gt;1),1,0)</f>
        <v>0</v>
      </c>
      <c r="AY586" s="1662"/>
      <c r="AZ586" s="1662"/>
      <c r="BA586" s="1663"/>
      <c r="BB586" s="1661">
        <f>IF(AND(BB585=1,BD585&gt;=1),1,0)</f>
        <v>0</v>
      </c>
      <c r="BC586" s="1662"/>
      <c r="BD586" s="1662"/>
      <c r="BE586" s="1663"/>
      <c r="BF586" s="1661">
        <f>IF(AND(BF585=1,BH585&gt;=1),1,0)</f>
        <v>0</v>
      </c>
      <c r="BG586" s="1662"/>
      <c r="BH586" s="1662"/>
      <c r="BI586" s="1663"/>
      <c r="BJ586" s="1661">
        <f>IF(AND(BJ585=1,BL585&gt;=1),1,0)</f>
        <v>1</v>
      </c>
      <c r="BK586" s="1662"/>
      <c r="BL586" s="1662"/>
      <c r="BM586" s="1663"/>
      <c r="BN586" s="1661">
        <f>IF(AND(BN585=1,BP585&gt;=1),1,0)</f>
        <v>0</v>
      </c>
      <c r="BO586" s="1662"/>
      <c r="BP586" s="1662"/>
      <c r="BQ586" s="1663"/>
    </row>
    <row r="587" spans="2:69" s="3" customFormat="1" ht="12.75" customHeight="1">
      <c r="E587" s="817"/>
      <c r="F587" s="818"/>
      <c r="G587" s="818"/>
      <c r="H587" s="818"/>
      <c r="I587" s="818"/>
      <c r="J587" s="819"/>
      <c r="K587" s="1536" t="s">
        <v>2264</v>
      </c>
      <c r="L587" s="1537"/>
      <c r="M587" s="1537"/>
      <c r="N587" s="1537"/>
      <c r="O587" s="1537"/>
      <c r="P587" s="1538"/>
      <c r="Q587" s="1603">
        <f>IF(ISERROR(IF((((E587/$BJ$525)*100)&gt;100),"EXCESSIVE VALUE",(E587/$BJ$525)*100)),0,IF((((E587/$BJ$525)*100)&gt;100),"EXCESSIVE VALUE",(E587/$BJ$525)*100))</f>
        <v>0</v>
      </c>
      <c r="R587" s="1604"/>
      <c r="S587" s="1604"/>
      <c r="T587" s="1604"/>
      <c r="U587" s="1604"/>
      <c r="V587" s="1605"/>
      <c r="W587" s="1545">
        <f>IF(FLOOR(Q587,5)&gt;80,80,FLOOR(Q587,5))</f>
        <v>0</v>
      </c>
      <c r="X587" s="1546"/>
      <c r="Y587" s="1546"/>
      <c r="Z587" s="1546"/>
      <c r="AA587" s="1546"/>
      <c r="AB587" s="1547"/>
      <c r="AC587" s="1545">
        <v>0</v>
      </c>
      <c r="AD587" s="1546"/>
      <c r="AE587" s="1546"/>
      <c r="AF587" s="1546"/>
      <c r="AG587" s="1546"/>
      <c r="AH587" s="1547"/>
      <c r="AN587" s="209"/>
      <c r="AX587"/>
      <c r="AY587"/>
      <c r="AZ587"/>
      <c r="BA587"/>
      <c r="BB587"/>
      <c r="BC587"/>
      <c r="BD587"/>
      <c r="BE587"/>
      <c r="BF587"/>
      <c r="BG587"/>
      <c r="BH587"/>
      <c r="BI587" s="27" t="s">
        <v>1639</v>
      </c>
      <c r="BJ587" s="1661">
        <f>AX586+BB586+BF586+BJ586+BN586</f>
        <v>1</v>
      </c>
      <c r="BK587" s="1662"/>
      <c r="BL587" s="1662"/>
      <c r="BM587" s="1663"/>
      <c r="BN587"/>
      <c r="BO587"/>
      <c r="BP587"/>
      <c r="BQ587"/>
    </row>
    <row r="588" spans="2:69" s="3" customFormat="1" ht="12.75" customHeight="1">
      <c r="E588" s="817"/>
      <c r="F588" s="818"/>
      <c r="G588" s="818"/>
      <c r="H588" s="818"/>
      <c r="I588" s="818"/>
      <c r="J588" s="819"/>
      <c r="K588" s="1536" t="s">
        <v>2265</v>
      </c>
      <c r="L588" s="1537"/>
      <c r="M588" s="1537"/>
      <c r="N588" s="1537"/>
      <c r="O588" s="1537"/>
      <c r="P588" s="1538"/>
      <c r="Q588" s="1603">
        <f>IF(ISERROR(IF((((E588/$BJ$525)*100)&gt;100),"EXCESSIVE VALUE",(E588/$BJ$525)*100)),0,IF((((E588/$BJ$525)*100)&gt;100),"EXCESSIVE VALUE",(E588/$BJ$525)*100))</f>
        <v>0</v>
      </c>
      <c r="R588" s="1604"/>
      <c r="S588" s="1604"/>
      <c r="T588" s="1604"/>
      <c r="U588" s="1604"/>
      <c r="V588" s="1605"/>
      <c r="W588" s="1545">
        <f>IF(FLOOR(Q588,5)&gt;80,80,FLOOR(Q588,5))</f>
        <v>0</v>
      </c>
      <c r="X588" s="1546"/>
      <c r="Y588" s="1546"/>
      <c r="Z588" s="1546"/>
      <c r="AA588" s="1546"/>
      <c r="AB588" s="1547"/>
      <c r="AC588" s="1545">
        <v>0</v>
      </c>
      <c r="AD588" s="1546"/>
      <c r="AE588" s="1546"/>
      <c r="AF588" s="1546"/>
      <c r="AG588" s="1546"/>
      <c r="AH588" s="1547"/>
      <c r="AN588" s="209"/>
      <c r="AX588"/>
      <c r="AY588"/>
      <c r="AZ588"/>
      <c r="BA588"/>
      <c r="BB588"/>
      <c r="BC588"/>
      <c r="BD588"/>
      <c r="BE588"/>
      <c r="BF588"/>
      <c r="BG588"/>
      <c r="BI588"/>
      <c r="BJ588" t="s">
        <v>2266</v>
      </c>
      <c r="BK588"/>
      <c r="BL588"/>
      <c r="BM588"/>
      <c r="BN588"/>
      <c r="BO588"/>
      <c r="BP588"/>
      <c r="BQ588"/>
    </row>
    <row r="589" spans="2:69" s="3" customFormat="1" ht="12.75" customHeight="1">
      <c r="E589" s="1380">
        <f>SUM(E578:J588)</f>
        <v>42</v>
      </c>
      <c r="F589" s="1381"/>
      <c r="G589" s="1381"/>
      <c r="H589" s="1381"/>
      <c r="I589" s="1381"/>
      <c r="J589" s="1382"/>
      <c r="K589" s="302"/>
      <c r="L589" s="302"/>
      <c r="M589" s="302"/>
      <c r="N589" s="302"/>
      <c r="O589" s="302"/>
      <c r="P589" s="302"/>
      <c r="Q589" s="302"/>
      <c r="R589" s="302"/>
      <c r="S589" s="302"/>
      <c r="T589" s="302"/>
      <c r="U589" s="61"/>
      <c r="V589" s="61"/>
      <c r="W589" s="61"/>
      <c r="X589" s="61"/>
      <c r="Y589" s="61"/>
      <c r="Z589" s="302"/>
      <c r="AA589" s="61"/>
      <c r="AB589" s="788" t="s">
        <v>2267</v>
      </c>
      <c r="AC589" s="1620">
        <f>IF(SUM(AC578:AH588)&gt;0,SUM(AC578:AH588),0)</f>
        <v>60</v>
      </c>
      <c r="AD589" s="1621"/>
      <c r="AE589" s="1621"/>
      <c r="AF589" s="1621"/>
      <c r="AG589" s="1621"/>
      <c r="AH589" s="1622"/>
      <c r="AK589" s="33"/>
      <c r="AL589" s="33"/>
      <c r="AM589" s="26"/>
      <c r="AN589" s="209"/>
    </row>
    <row r="590" spans="2:69" s="3" customFormat="1" ht="12.75" customHeight="1">
      <c r="E590" s="234"/>
      <c r="F590" s="723"/>
      <c r="G590" s="723"/>
      <c r="H590" s="723"/>
      <c r="I590" s="723"/>
      <c r="J590" s="723"/>
      <c r="K590" s="33"/>
      <c r="L590" s="33"/>
      <c r="M590" s="33"/>
      <c r="N590" s="33"/>
      <c r="O590" s="33"/>
      <c r="P590" s="33"/>
      <c r="Q590" s="33"/>
      <c r="R590" s="33"/>
      <c r="S590" s="33"/>
      <c r="T590" s="33"/>
      <c r="Z590" s="33"/>
      <c r="AB590" s="836"/>
      <c r="AC590" s="233"/>
      <c r="AD590" s="233"/>
      <c r="AE590" s="233"/>
      <c r="AF590" s="233"/>
      <c r="AG590" s="233"/>
      <c r="AH590" s="233"/>
      <c r="AK590" s="33"/>
      <c r="AL590" s="33"/>
      <c r="AM590" s="26"/>
      <c r="AN590" s="209"/>
    </row>
    <row r="591" spans="2:69" s="3" customFormat="1" ht="12.75" customHeight="1">
      <c r="AK591" s="33"/>
      <c r="AL591" s="33"/>
      <c r="AM591" s="33"/>
      <c r="AN591" s="209"/>
    </row>
    <row r="592" spans="2:69" s="3" customFormat="1" ht="12.75" customHeight="1">
      <c r="B592" s="776" t="s">
        <v>2268</v>
      </c>
      <c r="AG592" s="1592" t="s">
        <v>1987</v>
      </c>
      <c r="AH592" s="1592"/>
      <c r="AI592" s="1592"/>
      <c r="AJ592" s="1592"/>
      <c r="AK592" s="33"/>
      <c r="AL592" s="33"/>
      <c r="AM592" s="33"/>
      <c r="AN592" s="209"/>
    </row>
    <row r="593" spans="1:60" s="3" customFormat="1" ht="12.75" customHeight="1">
      <c r="B593" s="1550" t="s">
        <v>2269</v>
      </c>
      <c r="C593" s="1550"/>
      <c r="D593" s="1550"/>
      <c r="E593" s="1550"/>
      <c r="F593" s="1550"/>
      <c r="G593" s="1550"/>
      <c r="H593" s="1550"/>
      <c r="I593" s="1550"/>
      <c r="J593" s="1550"/>
      <c r="K593" s="1550"/>
      <c r="L593" s="1550"/>
      <c r="M593" s="1550"/>
      <c r="N593" s="1550"/>
      <c r="O593" s="1550"/>
      <c r="P593" s="1550"/>
      <c r="Q593" s="1550"/>
      <c r="R593" s="1550"/>
      <c r="S593" s="1550"/>
      <c r="T593" s="1550"/>
      <c r="U593" s="1550"/>
      <c r="V593" s="1550"/>
      <c r="W593" s="1550"/>
      <c r="X593" s="1550"/>
      <c r="Y593" s="1550"/>
      <c r="Z593" s="1550"/>
      <c r="AA593" s="1550"/>
      <c r="AB593" s="1550"/>
      <c r="AC593" s="1550"/>
      <c r="AD593" s="1550"/>
      <c r="AE593" s="1550"/>
      <c r="AF593" s="1550"/>
      <c r="AG593" s="1550"/>
      <c r="AH593" s="1550"/>
      <c r="AI593" s="18"/>
      <c r="AJ593" s="18"/>
      <c r="AK593"/>
      <c r="AL593"/>
      <c r="AM593"/>
      <c r="AN593" s="209"/>
    </row>
    <row r="594" spans="1:60" s="3" customFormat="1" ht="12.75" customHeight="1">
      <c r="A594" s="18"/>
      <c r="B594" s="1550"/>
      <c r="C594" s="1550"/>
      <c r="D594" s="1550"/>
      <c r="E594" s="1550"/>
      <c r="F594" s="1550"/>
      <c r="G594" s="1550"/>
      <c r="H594" s="1550"/>
      <c r="I594" s="1550"/>
      <c r="J594" s="1550"/>
      <c r="K594" s="1550"/>
      <c r="L594" s="1550"/>
      <c r="M594" s="1550"/>
      <c r="N594" s="1550"/>
      <c r="O594" s="1550"/>
      <c r="P594" s="1550"/>
      <c r="Q594" s="1550"/>
      <c r="R594" s="1550"/>
      <c r="S594" s="1550"/>
      <c r="T594" s="1550"/>
      <c r="U594" s="1550"/>
      <c r="V594" s="1550"/>
      <c r="W594" s="1550"/>
      <c r="X594" s="1550"/>
      <c r="Y594" s="1550"/>
      <c r="Z594" s="1550"/>
      <c r="AA594" s="1550"/>
      <c r="AB594" s="1550"/>
      <c r="AC594" s="1550"/>
      <c r="AD594" s="1550"/>
      <c r="AE594" s="1550"/>
      <c r="AF594" s="1550"/>
      <c r="AG594" s="1550"/>
      <c r="AH594" s="1550"/>
      <c r="AI594" s="18"/>
      <c r="AJ594" s="18"/>
      <c r="AK594"/>
      <c r="AL594"/>
      <c r="AM594"/>
      <c r="AN594" s="209"/>
    </row>
    <row r="595" spans="1:60" s="3" customFormat="1" ht="12.75" customHeight="1">
      <c r="A595" s="18"/>
      <c r="B595" s="1550"/>
      <c r="C595" s="1550"/>
      <c r="D595" s="1550"/>
      <c r="E595" s="1550"/>
      <c r="F595" s="1550"/>
      <c r="G595" s="1550"/>
      <c r="H595" s="1550"/>
      <c r="I595" s="1550"/>
      <c r="J595" s="1550"/>
      <c r="K595" s="1550"/>
      <c r="L595" s="1550"/>
      <c r="M595" s="1550"/>
      <c r="N595" s="1550"/>
      <c r="O595" s="1550"/>
      <c r="P595" s="1550"/>
      <c r="Q595" s="1550"/>
      <c r="R595" s="1550"/>
      <c r="S595" s="1550"/>
      <c r="T595" s="1550"/>
      <c r="U595" s="1550"/>
      <c r="V595" s="1550"/>
      <c r="W595" s="1550"/>
      <c r="X595" s="1550"/>
      <c r="Y595" s="1550"/>
      <c r="Z595" s="1550"/>
      <c r="AA595" s="1550"/>
      <c r="AB595" s="1550"/>
      <c r="AC595" s="1550"/>
      <c r="AD595" s="1550"/>
      <c r="AE595" s="1550"/>
      <c r="AF595" s="1550"/>
      <c r="AG595" s="1550"/>
      <c r="AH595" s="1550"/>
      <c r="AI595" s="18"/>
      <c r="AJ595" s="18"/>
      <c r="AK595"/>
      <c r="AL595"/>
      <c r="AM595"/>
      <c r="AN595" s="209"/>
    </row>
    <row r="596" spans="1:60" s="3" customFormat="1" ht="12.75" customHeight="1">
      <c r="A596" s="18"/>
      <c r="B596" s="1550"/>
      <c r="C596" s="1550"/>
      <c r="D596" s="1550"/>
      <c r="E596" s="1550"/>
      <c r="F596" s="1550"/>
      <c r="G596" s="1550"/>
      <c r="H596" s="1550"/>
      <c r="I596" s="1550"/>
      <c r="J596" s="1550"/>
      <c r="K596" s="1550"/>
      <c r="L596" s="1550"/>
      <c r="M596" s="1550"/>
      <c r="N596" s="1550"/>
      <c r="O596" s="1550"/>
      <c r="P596" s="1550"/>
      <c r="Q596" s="1550"/>
      <c r="R596" s="1550"/>
      <c r="S596" s="1550"/>
      <c r="T596" s="1550"/>
      <c r="U596" s="1550"/>
      <c r="V596" s="1550"/>
      <c r="W596" s="1550"/>
      <c r="X596" s="1550"/>
      <c r="Y596" s="1550"/>
      <c r="Z596" s="1550"/>
      <c r="AA596" s="1550"/>
      <c r="AB596" s="1550"/>
      <c r="AC596" s="1550"/>
      <c r="AD596" s="1550"/>
      <c r="AE596" s="1550"/>
      <c r="AF596" s="1550"/>
      <c r="AG596" s="1550"/>
      <c r="AH596" s="1550"/>
      <c r="AI596" s="18"/>
      <c r="AJ596" s="18"/>
      <c r="AK596"/>
      <c r="AL596"/>
      <c r="AM596"/>
      <c r="AN596" s="508"/>
    </row>
    <row r="597" spans="1:60">
      <c r="B597" s="1550"/>
      <c r="C597" s="1550"/>
      <c r="D597" s="1550"/>
      <c r="E597" s="1550"/>
      <c r="F597" s="1550"/>
      <c r="G597" s="1550"/>
      <c r="H597" s="1550"/>
      <c r="I597" s="1550"/>
      <c r="J597" s="1550"/>
      <c r="K597" s="1550"/>
      <c r="L597" s="1550"/>
      <c r="M597" s="1550"/>
      <c r="N597" s="1550"/>
      <c r="O597" s="1550"/>
      <c r="P597" s="1550"/>
      <c r="Q597" s="1550"/>
      <c r="R597" s="1550"/>
      <c r="S597" s="1550"/>
      <c r="T597" s="1550"/>
      <c r="U597" s="1550"/>
      <c r="V597" s="1550"/>
      <c r="W597" s="1550"/>
      <c r="X597" s="1550"/>
      <c r="Y597" s="1550"/>
      <c r="Z597" s="1550"/>
      <c r="AA597" s="1550"/>
      <c r="AB597" s="1550"/>
      <c r="AC597" s="1550"/>
      <c r="AD597" s="1550"/>
      <c r="AE597" s="1550"/>
      <c r="AF597" s="1550"/>
      <c r="AG597" s="1550"/>
      <c r="AH597" s="1550"/>
      <c r="AK597"/>
      <c r="AL597"/>
      <c r="AM597"/>
      <c r="BD597" s="18"/>
      <c r="BE597" s="18"/>
      <c r="BF597" s="18"/>
      <c r="BG597" s="18"/>
      <c r="BH597" s="18"/>
    </row>
    <row r="598" spans="1:60" ht="12.75" customHeight="1">
      <c r="B598" s="1550"/>
      <c r="C598" s="1550"/>
      <c r="D598" s="1550"/>
      <c r="E598" s="1550"/>
      <c r="F598" s="1550"/>
      <c r="G598" s="1550"/>
      <c r="H598" s="1550"/>
      <c r="I598" s="1550"/>
      <c r="J598" s="1550"/>
      <c r="K598" s="1550"/>
      <c r="L598" s="1550"/>
      <c r="M598" s="1550"/>
      <c r="N598" s="1550"/>
      <c r="O598" s="1550"/>
      <c r="P598" s="1550"/>
      <c r="Q598" s="1550"/>
      <c r="R598" s="1550"/>
      <c r="S598" s="1550"/>
      <c r="T598" s="1550"/>
      <c r="U598" s="1550"/>
      <c r="V598" s="1550"/>
      <c r="W598" s="1550"/>
      <c r="X598" s="1550"/>
      <c r="Y598" s="1550"/>
      <c r="Z598" s="1550"/>
      <c r="AA598" s="1550"/>
      <c r="AB598" s="1550"/>
      <c r="AC598" s="1550"/>
      <c r="AD598" s="1550"/>
      <c r="AE598" s="1550"/>
      <c r="AF598" s="1550"/>
      <c r="AG598" s="1550"/>
      <c r="AH598" s="1550"/>
    </row>
    <row r="599" spans="1:60" ht="12.75" customHeight="1">
      <c r="E599" s="116"/>
    </row>
    <row r="600" spans="1:60">
      <c r="J600" s="1672" t="s">
        <v>2270</v>
      </c>
      <c r="K600" s="1673"/>
      <c r="L600" s="1673"/>
      <c r="M600" s="1673"/>
      <c r="N600" s="1674"/>
      <c r="O600" s="1440" t="s">
        <v>2271</v>
      </c>
      <c r="P600" s="1441"/>
      <c r="Q600" s="1441"/>
      <c r="R600" s="1441"/>
      <c r="S600" s="1442"/>
      <c r="T600" s="1440" t="s">
        <v>2272</v>
      </c>
      <c r="U600" s="1441"/>
      <c r="V600" s="1441"/>
      <c r="W600" s="1441"/>
      <c r="X600" s="1442"/>
      <c r="Y600" s="1440" t="s">
        <v>2273</v>
      </c>
      <c r="Z600" s="1441"/>
      <c r="AA600" s="1441"/>
      <c r="AB600" s="1441"/>
      <c r="AC600" s="1442"/>
      <c r="AF600"/>
      <c r="AG600"/>
      <c r="AH600"/>
      <c r="AI600"/>
      <c r="AJ600"/>
    </row>
    <row r="601" spans="1:60">
      <c r="D601"/>
      <c r="E601"/>
      <c r="F601"/>
      <c r="G601"/>
      <c r="H601"/>
      <c r="I601"/>
      <c r="J601" s="1575"/>
      <c r="K601" s="1576"/>
      <c r="L601" s="1576"/>
      <c r="M601" s="1576"/>
      <c r="N601" s="1675"/>
      <c r="O601" s="1443"/>
      <c r="P601" s="1444"/>
      <c r="Q601" s="1444"/>
      <c r="R601" s="1444"/>
      <c r="S601" s="1445"/>
      <c r="T601" s="1443"/>
      <c r="U601" s="1444"/>
      <c r="V601" s="1444"/>
      <c r="W601" s="1444"/>
      <c r="X601" s="1445"/>
      <c r="Y601" s="1443"/>
      <c r="Z601" s="1444"/>
      <c r="AA601" s="1444"/>
      <c r="AB601" s="1444"/>
      <c r="AC601" s="1445"/>
      <c r="AF601"/>
      <c r="AG601"/>
      <c r="AH601"/>
      <c r="AI601"/>
      <c r="AJ601"/>
    </row>
    <row r="602" spans="1:60">
      <c r="I602"/>
      <c r="J602" s="1575"/>
      <c r="K602" s="1576"/>
      <c r="L602" s="1576"/>
      <c r="M602" s="1576"/>
      <c r="N602" s="1675"/>
      <c r="O602" s="1443"/>
      <c r="P602" s="1444"/>
      <c r="Q602" s="1444"/>
      <c r="R602" s="1444"/>
      <c r="S602" s="1445"/>
      <c r="T602" s="1443"/>
      <c r="U602" s="1444"/>
      <c r="V602" s="1444"/>
      <c r="W602" s="1444"/>
      <c r="X602" s="1445"/>
      <c r="Y602" s="1443"/>
      <c r="Z602" s="1444"/>
      <c r="AA602" s="1444"/>
      <c r="AB602" s="1444"/>
      <c r="AC602" s="1445"/>
      <c r="AD602"/>
      <c r="AF602"/>
      <c r="AG602"/>
      <c r="AH602"/>
      <c r="AI602"/>
      <c r="AJ602"/>
    </row>
    <row r="603" spans="1:60">
      <c r="D603"/>
      <c r="E603"/>
      <c r="F603"/>
      <c r="G603"/>
      <c r="H603"/>
      <c r="I603"/>
      <c r="J603" s="1575"/>
      <c r="K603" s="1576"/>
      <c r="L603" s="1576"/>
      <c r="M603" s="1576"/>
      <c r="N603" s="1675"/>
      <c r="O603" s="1443"/>
      <c r="P603" s="1444"/>
      <c r="Q603" s="1444"/>
      <c r="R603" s="1444"/>
      <c r="S603" s="1445"/>
      <c r="T603" s="1443"/>
      <c r="U603" s="1444"/>
      <c r="V603" s="1444"/>
      <c r="W603" s="1444"/>
      <c r="X603" s="1445"/>
      <c r="Y603" s="1443"/>
      <c r="Z603" s="1444"/>
      <c r="AA603" s="1444"/>
      <c r="AB603" s="1444"/>
      <c r="AC603" s="1445"/>
      <c r="AD603"/>
      <c r="AF603"/>
      <c r="AG603"/>
      <c r="AH603"/>
      <c r="AI603"/>
      <c r="AJ603"/>
    </row>
    <row r="604" spans="1:60">
      <c r="D604"/>
      <c r="E604"/>
      <c r="F604"/>
      <c r="G604"/>
      <c r="H604"/>
      <c r="I604"/>
      <c r="J604" s="1609" t="s">
        <v>2274</v>
      </c>
      <c r="K604" s="1610"/>
      <c r="L604" s="1610"/>
      <c r="M604" s="1610"/>
      <c r="N604" s="1611"/>
      <c r="O604" s="1536">
        <f>Application!CM613</f>
        <v>0</v>
      </c>
      <c r="P604" s="1537"/>
      <c r="Q604" s="1537"/>
      <c r="R604" s="1537"/>
      <c r="S604" s="1538"/>
      <c r="T604" s="1536">
        <f>Application!DR614</f>
        <v>0</v>
      </c>
      <c r="U604" s="1537"/>
      <c r="V604" s="1537"/>
      <c r="W604" s="1537"/>
      <c r="X604" s="1538"/>
      <c r="Y604" s="1615">
        <f t="shared" ref="Y604:Y609" si="8">IF(T604&gt;0,T604/O604,0)</f>
        <v>0</v>
      </c>
      <c r="Z604" s="1616"/>
      <c r="AA604" s="1616"/>
      <c r="AB604" s="1616"/>
      <c r="AC604" s="1617"/>
      <c r="AD604"/>
      <c r="AF604"/>
      <c r="AG604"/>
      <c r="AH604"/>
      <c r="AI604"/>
      <c r="AJ604"/>
    </row>
    <row r="605" spans="1:60">
      <c r="D605"/>
      <c r="E605"/>
      <c r="F605"/>
      <c r="G605"/>
      <c r="H605"/>
      <c r="I605"/>
      <c r="J605" s="1609" t="s">
        <v>1515</v>
      </c>
      <c r="K605" s="1610"/>
      <c r="L605" s="1610"/>
      <c r="M605" s="1610"/>
      <c r="N605" s="1611"/>
      <c r="O605" s="1536">
        <f>Application!CH613</f>
        <v>0</v>
      </c>
      <c r="P605" s="1537"/>
      <c r="Q605" s="1537"/>
      <c r="R605" s="1537"/>
      <c r="S605" s="1538"/>
      <c r="T605" s="1536">
        <f>Application!DM614</f>
        <v>0</v>
      </c>
      <c r="U605" s="1537"/>
      <c r="V605" s="1537"/>
      <c r="W605" s="1537"/>
      <c r="X605" s="1538"/>
      <c r="Y605" s="1615">
        <f t="shared" si="8"/>
        <v>0</v>
      </c>
      <c r="Z605" s="1616"/>
      <c r="AA605" s="1616"/>
      <c r="AB605" s="1616"/>
      <c r="AC605" s="1617"/>
      <c r="AD605"/>
      <c r="AF605"/>
      <c r="AG605"/>
      <c r="AH605"/>
      <c r="AI605"/>
      <c r="AJ605"/>
      <c r="AO605" s="3"/>
    </row>
    <row r="606" spans="1:60">
      <c r="D606"/>
      <c r="E606"/>
      <c r="F606"/>
      <c r="G606"/>
      <c r="H606"/>
      <c r="I606"/>
      <c r="J606" s="1609" t="s">
        <v>1514</v>
      </c>
      <c r="K606" s="1610"/>
      <c r="L606" s="1610"/>
      <c r="M606" s="1610"/>
      <c r="N606" s="1611"/>
      <c r="O606" s="1536">
        <f>Application!CC613</f>
        <v>12</v>
      </c>
      <c r="P606" s="1537"/>
      <c r="Q606" s="1537"/>
      <c r="R606" s="1537"/>
      <c r="S606" s="1538"/>
      <c r="T606" s="1536">
        <f>Application!DH614</f>
        <v>3</v>
      </c>
      <c r="U606" s="1537"/>
      <c r="V606" s="1537"/>
      <c r="W606" s="1537"/>
      <c r="X606" s="1538"/>
      <c r="Y606" s="1615">
        <f t="shared" si="8"/>
        <v>0.25</v>
      </c>
      <c r="Z606" s="1616"/>
      <c r="AA606" s="1616"/>
      <c r="AB606" s="1616"/>
      <c r="AC606" s="1617"/>
      <c r="AD606"/>
      <c r="AF606"/>
      <c r="AG606"/>
      <c r="AH606"/>
      <c r="AI606"/>
      <c r="AJ606"/>
    </row>
    <row r="607" spans="1:60">
      <c r="D607"/>
      <c r="E607"/>
      <c r="F607"/>
      <c r="G607"/>
      <c r="H607"/>
      <c r="I607"/>
      <c r="J607" s="1609" t="s">
        <v>1513</v>
      </c>
      <c r="K607" s="1610"/>
      <c r="L607" s="1610"/>
      <c r="M607" s="1610"/>
      <c r="N607" s="1611"/>
      <c r="O607" s="1536">
        <f>Application!BX613</f>
        <v>9</v>
      </c>
      <c r="P607" s="1537"/>
      <c r="Q607" s="1537"/>
      <c r="R607" s="1537"/>
      <c r="S607" s="1538"/>
      <c r="T607" s="1536">
        <f>Application!DC614</f>
        <v>1</v>
      </c>
      <c r="U607" s="1537"/>
      <c r="V607" s="1537"/>
      <c r="W607" s="1537"/>
      <c r="X607" s="1538"/>
      <c r="Y607" s="1615">
        <f t="shared" si="8"/>
        <v>0.1111111111111111</v>
      </c>
      <c r="Z607" s="1616"/>
      <c r="AA607" s="1616"/>
      <c r="AB607" s="1616"/>
      <c r="AC607" s="1617"/>
      <c r="AD607"/>
      <c r="AF607"/>
      <c r="AG607"/>
      <c r="AH607"/>
      <c r="AI607"/>
      <c r="AJ607"/>
    </row>
    <row r="608" spans="1:60">
      <c r="D608"/>
      <c r="E608"/>
      <c r="F608"/>
      <c r="G608"/>
      <c r="H608"/>
      <c r="I608"/>
      <c r="J608" s="1609" t="s">
        <v>1512</v>
      </c>
      <c r="K608" s="1610"/>
      <c r="L608" s="1610"/>
      <c r="M608" s="1610"/>
      <c r="N608" s="1611"/>
      <c r="O608" s="1536">
        <f>Application!BS613</f>
        <v>21</v>
      </c>
      <c r="P608" s="1537"/>
      <c r="Q608" s="1537"/>
      <c r="R608" s="1537"/>
      <c r="S608" s="1538"/>
      <c r="T608" s="1536">
        <f>Application!CX614</f>
        <v>13</v>
      </c>
      <c r="U608" s="1537"/>
      <c r="V608" s="1537"/>
      <c r="W608" s="1537"/>
      <c r="X608" s="1538"/>
      <c r="Y608" s="1615">
        <f t="shared" si="8"/>
        <v>0.61904761904761907</v>
      </c>
      <c r="Z608" s="1616"/>
      <c r="AA608" s="1616"/>
      <c r="AB608" s="1616"/>
      <c r="AC608" s="1617"/>
      <c r="AD608"/>
      <c r="AF608"/>
      <c r="AG608"/>
      <c r="AH608"/>
      <c r="AI608"/>
      <c r="AJ608"/>
    </row>
    <row r="609" spans="1:60">
      <c r="D609"/>
      <c r="E609"/>
      <c r="F609"/>
      <c r="G609"/>
      <c r="H609"/>
      <c r="I609"/>
      <c r="J609" s="1609" t="s">
        <v>936</v>
      </c>
      <c r="K609" s="1610"/>
      <c r="L609" s="1610"/>
      <c r="M609" s="1610"/>
      <c r="N609" s="1611"/>
      <c r="O609" s="1536">
        <f>Application!BN613</f>
        <v>0</v>
      </c>
      <c r="P609" s="1537"/>
      <c r="Q609" s="1537"/>
      <c r="R609" s="1537"/>
      <c r="S609" s="1538"/>
      <c r="T609" s="1536">
        <f>Application!CS614</f>
        <v>0</v>
      </c>
      <c r="U609" s="1537"/>
      <c r="V609" s="1537"/>
      <c r="W609" s="1537"/>
      <c r="X609" s="1538"/>
      <c r="Y609" s="1615">
        <f t="shared" si="8"/>
        <v>0</v>
      </c>
      <c r="Z609" s="1616"/>
      <c r="AA609" s="1616"/>
      <c r="AB609" s="1616"/>
      <c r="AC609" s="1617"/>
      <c r="AD609"/>
      <c r="AF609"/>
      <c r="AG609"/>
      <c r="AH609"/>
      <c r="AI609"/>
      <c r="AJ609"/>
    </row>
    <row r="610" spans="1:60">
      <c r="D610"/>
      <c r="E610"/>
      <c r="F610"/>
      <c r="G610"/>
      <c r="H610"/>
      <c r="I610"/>
      <c r="J610" s="1017" t="s">
        <v>1485</v>
      </c>
      <c r="K610" s="1018"/>
      <c r="L610" s="1018"/>
      <c r="M610" s="1018"/>
      <c r="N610" s="1019"/>
      <c r="O610" s="1600">
        <f>SUM(O604:S609)</f>
        <v>42</v>
      </c>
      <c r="P610" s="1601"/>
      <c r="Q610" s="1601"/>
      <c r="R610" s="1601"/>
      <c r="S610" s="1602"/>
      <c r="T610" s="1600">
        <f>SUM(T604:X609)</f>
        <v>17</v>
      </c>
      <c r="U610" s="1601"/>
      <c r="V610" s="1601"/>
      <c r="W610" s="1601"/>
      <c r="X610" s="1602"/>
      <c r="Y610" s="1669" t="s">
        <v>867</v>
      </c>
      <c r="Z610" s="1670"/>
      <c r="AA610" s="1670"/>
      <c r="AB610" s="1670"/>
      <c r="AC610" s="1671"/>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0"/>
      <c r="E612"/>
      <c r="F612"/>
      <c r="G612"/>
      <c r="H612"/>
      <c r="I612"/>
      <c r="AG612"/>
      <c r="BD612" s="18"/>
      <c r="BE612" s="18"/>
      <c r="BF612" s="18"/>
      <c r="BG612" s="18"/>
      <c r="BH612" s="18"/>
    </row>
    <row r="613" spans="1:60">
      <c r="A613" s="1094" t="s">
        <v>2275</v>
      </c>
      <c r="B613" s="1095"/>
      <c r="C613" s="1095"/>
      <c r="D613" s="1095"/>
      <c r="E613" s="1095"/>
      <c r="F613" s="1095"/>
      <c r="G613" s="1095"/>
      <c r="H613" s="1095"/>
      <c r="I613" s="1095"/>
      <c r="J613" s="1095"/>
      <c r="K613" s="1095"/>
      <c r="L613" s="1095"/>
      <c r="M613" s="1095"/>
      <c r="N613" s="1095"/>
      <c r="O613" s="1095"/>
      <c r="P613" s="1095"/>
      <c r="Q613" s="1095"/>
      <c r="R613" s="1095"/>
      <c r="S613" s="1095"/>
      <c r="T613" s="1095"/>
      <c r="U613" s="1095"/>
      <c r="V613" s="1095"/>
      <c r="W613" s="1095"/>
      <c r="X613" s="1095"/>
      <c r="Y613" s="1095"/>
      <c r="Z613" s="1095"/>
      <c r="AA613" s="1095"/>
      <c r="AB613" s="1095"/>
      <c r="AC613" s="1095"/>
      <c r="AD613" s="1095"/>
      <c r="AE613" s="1095"/>
      <c r="AF613" s="1095"/>
      <c r="AG613" s="1095"/>
      <c r="AH613" s="1095"/>
      <c r="AI613" s="1096"/>
      <c r="AJ613" s="1651">
        <v>2</v>
      </c>
      <c r="AK613" s="1652"/>
      <c r="BD613" s="18"/>
      <c r="BE613" s="18"/>
      <c r="BF613" s="18"/>
      <c r="BG613" s="18"/>
      <c r="BH613" s="18"/>
    </row>
    <row r="614" spans="1:60">
      <c r="A614" s="6"/>
      <c r="B614" s="125"/>
      <c r="C614" s="125"/>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60">
      <c r="A615" s="1676" t="s">
        <v>2276</v>
      </c>
      <c r="B615" s="1676"/>
      <c r="C615" s="1676"/>
      <c r="D615" s="1676"/>
      <c r="E615" s="1676"/>
      <c r="F615" s="1676"/>
      <c r="G615" s="1676"/>
      <c r="H615" s="1676"/>
      <c r="I615" s="1676"/>
      <c r="J615" s="1676"/>
      <c r="K615" s="1676"/>
      <c r="L615" s="1676"/>
      <c r="M615" s="1676"/>
      <c r="N615" s="1676"/>
      <c r="O615" s="1676"/>
      <c r="P615" s="1676"/>
      <c r="Q615" s="1676"/>
      <c r="R615" s="1676"/>
      <c r="S615" s="1676"/>
      <c r="T615" s="1676"/>
      <c r="U615" s="1676"/>
      <c r="V615" s="1676"/>
      <c r="W615" s="1676"/>
      <c r="X615" s="1676"/>
      <c r="Y615" s="1676"/>
      <c r="Z615" s="1676"/>
      <c r="AA615" s="1676"/>
      <c r="AB615" s="1676"/>
      <c r="AC615" s="1676"/>
      <c r="AD615" s="1676"/>
      <c r="AE615" s="1676"/>
      <c r="AF615" s="1676"/>
      <c r="AG615" s="1676"/>
      <c r="AH615" s="1676"/>
      <c r="AI615" s="1676"/>
      <c r="AJ615" s="1676"/>
      <c r="AK615" s="1194">
        <f>IF($AC$589=0,0,$AC$589+$AJ$613)</f>
        <v>62</v>
      </c>
      <c r="AL615" s="1195"/>
      <c r="AM615" s="1196"/>
      <c r="AO615" s="3"/>
    </row>
    <row r="616" spans="1:60" ht="13.7" customHeight="1">
      <c r="B616" s="3"/>
      <c r="C616" s="2"/>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M616" s="3"/>
      <c r="AO616" s="3"/>
    </row>
    <row r="617" spans="1:60" ht="13.7" customHeight="1">
      <c r="A617" s="769" t="s">
        <v>2277</v>
      </c>
      <c r="B617" s="3"/>
      <c r="C617" s="2"/>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spans="1:60" ht="22.7" customHeight="1">
      <c r="A618" s="815"/>
      <c r="AI618" s="16"/>
      <c r="AJ618" s="3"/>
      <c r="AK618" s="3"/>
      <c r="AL618" s="3"/>
      <c r="AM618" s="3"/>
    </row>
    <row r="619" spans="1:60">
      <c r="A619" s="17"/>
      <c r="B619" s="1529" t="s">
        <v>2278</v>
      </c>
      <c r="C619" s="1529"/>
      <c r="D619" s="1529"/>
      <c r="E619" s="1529"/>
      <c r="F619" s="1529"/>
      <c r="G619" s="1529"/>
      <c r="H619" s="1529"/>
      <c r="I619" s="1529"/>
      <c r="J619" s="1529"/>
      <c r="K619" s="1529"/>
      <c r="L619" s="1529"/>
      <c r="M619" s="1529"/>
      <c r="N619" s="1529"/>
      <c r="O619" s="1529"/>
      <c r="P619" s="1529"/>
      <c r="Q619" s="1529"/>
      <c r="R619" s="1529"/>
      <c r="S619" s="1529"/>
      <c r="T619" s="1529"/>
      <c r="U619" s="1529"/>
      <c r="V619" s="1529"/>
      <c r="W619" s="1529"/>
      <c r="X619" s="1529"/>
      <c r="Y619" s="1529"/>
      <c r="Z619" s="1529"/>
      <c r="AA619" s="1529"/>
      <c r="AB619" s="1529"/>
      <c r="AC619" s="1529"/>
      <c r="AD619" s="1529"/>
      <c r="AE619" s="1529"/>
      <c r="AF619" s="1529"/>
      <c r="AG619" s="1529"/>
      <c r="AH619" s="1529"/>
      <c r="AI619" s="16"/>
      <c r="AJ619" s="3"/>
      <c r="AK619" s="3"/>
      <c r="AL619" s="3"/>
      <c r="AM619" s="3"/>
    </row>
    <row r="620" spans="1:60">
      <c r="A620" s="3"/>
      <c r="B620" s="1529"/>
      <c r="C620" s="1529"/>
      <c r="D620" s="1529"/>
      <c r="E620" s="1529"/>
      <c r="F620" s="1529"/>
      <c r="G620" s="1529"/>
      <c r="H620" s="1529"/>
      <c r="I620" s="1529"/>
      <c r="J620" s="1529"/>
      <c r="K620" s="1529"/>
      <c r="L620" s="1529"/>
      <c r="M620" s="1529"/>
      <c r="N620" s="1529"/>
      <c r="O620" s="1529"/>
      <c r="P620" s="1529"/>
      <c r="Q620" s="1529"/>
      <c r="R620" s="1529"/>
      <c r="S620" s="1529"/>
      <c r="T620" s="1529"/>
      <c r="U620" s="1529"/>
      <c r="V620" s="1529"/>
      <c r="W620" s="1529"/>
      <c r="X620" s="1529"/>
      <c r="Y620" s="1529"/>
      <c r="Z620" s="1529"/>
      <c r="AA620" s="1529"/>
      <c r="AB620" s="1529"/>
      <c r="AC620" s="1529"/>
      <c r="AD620" s="1529"/>
      <c r="AE620" s="1529"/>
      <c r="AF620" s="1529"/>
      <c r="AG620" s="1529"/>
      <c r="AH620" s="1529"/>
      <c r="AI620" s="3"/>
      <c r="AJ620" s="3"/>
      <c r="AK620" s="3"/>
      <c r="AL620" s="3"/>
      <c r="AM620" s="3"/>
    </row>
    <row r="621" spans="1:60" ht="13.7" customHeight="1">
      <c r="A621" s="3"/>
      <c r="B621" s="28"/>
      <c r="C621" s="126" t="s">
        <v>2279</v>
      </c>
      <c r="D621" s="3"/>
      <c r="E621" s="3"/>
      <c r="F621" s="116"/>
      <c r="G621" s="116"/>
      <c r="H621" s="116"/>
      <c r="I621" s="116"/>
      <c r="J621" s="116"/>
      <c r="K621" s="116"/>
      <c r="L621" s="116"/>
      <c r="M621" s="116"/>
      <c r="N621" s="116"/>
      <c r="O621" s="116"/>
      <c r="P621" s="116"/>
      <c r="Q621" s="116"/>
      <c r="R621" s="116"/>
      <c r="S621" s="116"/>
      <c r="T621" s="116"/>
      <c r="U621" s="116"/>
      <c r="V621" s="116"/>
      <c r="W621" s="116"/>
      <c r="X621" s="116"/>
      <c r="Y621" s="116"/>
      <c r="Z621" s="116"/>
      <c r="AA621" s="116"/>
      <c r="AB621" s="116"/>
      <c r="AC621" s="3"/>
      <c r="AD621" s="3"/>
      <c r="AE621" s="3"/>
      <c r="AF621" s="815"/>
      <c r="AG621" s="3"/>
      <c r="AH621" s="815" t="s">
        <v>1907</v>
      </c>
      <c r="AI621" s="815"/>
      <c r="AJ621" s="815"/>
      <c r="AK621" s="815"/>
      <c r="AL621" s="815"/>
      <c r="AM621" s="3"/>
      <c r="AO621" s="3"/>
    </row>
    <row r="622" spans="1:60" ht="13.7" customHeight="1">
      <c r="A622" s="3"/>
      <c r="B622" s="28"/>
      <c r="C622" s="34"/>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116"/>
      <c r="AE622" s="116"/>
      <c r="AF622" s="116"/>
      <c r="AG622" s="116"/>
      <c r="AH622" s="116"/>
      <c r="AI622" s="116"/>
      <c r="AJ622" s="3"/>
      <c r="AK622" s="3"/>
      <c r="AL622" s="3"/>
      <c r="AM622" s="3"/>
      <c r="AO622" s="3"/>
    </row>
    <row r="623" spans="1:60">
      <c r="A623" s="3"/>
      <c r="B623" s="17"/>
      <c r="C623" s="1180" t="s">
        <v>712</v>
      </c>
      <c r="D623" s="1180"/>
      <c r="E623" s="136"/>
      <c r="F623" s="1749" t="s">
        <v>2280</v>
      </c>
      <c r="G623" s="1750"/>
      <c r="H623" s="1750"/>
      <c r="I623" s="1750"/>
      <c r="J623" s="1750"/>
      <c r="K623" s="1750"/>
      <c r="L623" s="1750"/>
      <c r="M623" s="1750"/>
      <c r="N623" s="1750"/>
      <c r="O623" s="1750"/>
      <c r="P623" s="1750"/>
      <c r="Q623" s="1750"/>
      <c r="R623" s="1750"/>
      <c r="S623" s="1750"/>
      <c r="T623" s="1750"/>
      <c r="U623" s="1750"/>
      <c r="V623" s="1750"/>
      <c r="W623" s="1750"/>
      <c r="X623" s="1750"/>
      <c r="Y623" s="1750"/>
      <c r="Z623" s="1750"/>
      <c r="AA623" s="1750"/>
      <c r="AB623" s="1750"/>
      <c r="AC623" s="1750"/>
      <c r="AD623" s="1750"/>
      <c r="AE623" s="1751"/>
      <c r="AF623" s="821"/>
      <c r="AG623" s="984" t="s">
        <v>1941</v>
      </c>
      <c r="AH623" s="984"/>
      <c r="AI623" s="984"/>
      <c r="AJ623" s="984"/>
      <c r="AK623" s="3"/>
      <c r="AL623" s="3"/>
      <c r="AM623" s="3"/>
      <c r="AO623" s="3"/>
      <c r="AP623" s="28"/>
    </row>
    <row r="624" spans="1:60">
      <c r="A624" s="3"/>
      <c r="B624" s="17"/>
      <c r="C624" s="34"/>
      <c r="D624" s="3"/>
      <c r="E624" s="136"/>
      <c r="F624" s="1752"/>
      <c r="G624" s="1753"/>
      <c r="H624" s="1753"/>
      <c r="I624" s="1753"/>
      <c r="J624" s="1753"/>
      <c r="K624" s="1753"/>
      <c r="L624" s="1753"/>
      <c r="M624" s="1753"/>
      <c r="N624" s="1753"/>
      <c r="O624" s="1753"/>
      <c r="P624" s="1753"/>
      <c r="Q624" s="1753"/>
      <c r="R624" s="1753"/>
      <c r="S624" s="1753"/>
      <c r="T624" s="1753"/>
      <c r="U624" s="1753"/>
      <c r="V624" s="1753"/>
      <c r="W624" s="1753"/>
      <c r="X624" s="1753"/>
      <c r="Y624" s="1753"/>
      <c r="Z624" s="1753"/>
      <c r="AA624" s="1753"/>
      <c r="AB624" s="1753"/>
      <c r="AC624" s="1753"/>
      <c r="AD624" s="1753"/>
      <c r="AE624" s="1754"/>
      <c r="AF624" s="821"/>
      <c r="AG624" s="821"/>
      <c r="AH624" s="821"/>
      <c r="AI624" s="821"/>
      <c r="AJ624" s="3"/>
      <c r="AK624" s="3"/>
      <c r="AL624" s="3"/>
      <c r="AM624" s="3"/>
    </row>
    <row r="625" spans="1:60" ht="13.7" customHeight="1">
      <c r="A625" s="3"/>
      <c r="B625" s="17"/>
      <c r="C625" s="34"/>
      <c r="D625" s="3"/>
      <c r="E625" s="136"/>
      <c r="F625" s="1755"/>
      <c r="G625" s="1756"/>
      <c r="H625" s="1756"/>
      <c r="I625" s="1756"/>
      <c r="J625" s="1756"/>
      <c r="K625" s="1756"/>
      <c r="L625" s="1756"/>
      <c r="M625" s="1756"/>
      <c r="N625" s="1756"/>
      <c r="O625" s="1756"/>
      <c r="P625" s="1756"/>
      <c r="Q625" s="1756"/>
      <c r="R625" s="1756"/>
      <c r="S625" s="1756"/>
      <c r="T625" s="1756"/>
      <c r="U625" s="1756"/>
      <c r="V625" s="1756"/>
      <c r="W625" s="1756"/>
      <c r="X625" s="1756"/>
      <c r="Y625" s="1756"/>
      <c r="Z625" s="1756"/>
      <c r="AA625" s="1756"/>
      <c r="AB625" s="1756"/>
      <c r="AC625" s="1756"/>
      <c r="AD625" s="1756"/>
      <c r="AE625" s="1757"/>
      <c r="AF625" s="821"/>
      <c r="AG625" s="821"/>
      <c r="AH625" s="821"/>
      <c r="AI625" s="821"/>
      <c r="AJ625" s="3"/>
      <c r="AK625" s="3"/>
      <c r="AL625" s="3"/>
      <c r="AM625" s="3"/>
    </row>
    <row r="626" spans="1:60" ht="13.7" customHeight="1">
      <c r="A626" s="3"/>
      <c r="B626" s="17"/>
      <c r="C626" s="34"/>
      <c r="D626" s="3"/>
      <c r="E626" s="136"/>
      <c r="F626" s="638"/>
      <c r="G626" s="638"/>
      <c r="H626" s="638"/>
      <c r="I626" s="638"/>
      <c r="J626" s="638"/>
      <c r="K626" s="638"/>
      <c r="L626" s="638"/>
      <c r="M626" s="638"/>
      <c r="N626" s="638"/>
      <c r="O626" s="638"/>
      <c r="P626" s="638"/>
      <c r="Q626" s="638"/>
      <c r="R626" s="638"/>
      <c r="S626" s="638"/>
      <c r="T626" s="638"/>
      <c r="U626" s="638"/>
      <c r="V626" s="638"/>
      <c r="W626" s="638"/>
      <c r="X626" s="638"/>
      <c r="Y626" s="638"/>
      <c r="Z626" s="638"/>
      <c r="AA626" s="638"/>
      <c r="AB626" s="638"/>
      <c r="AC626" s="638"/>
      <c r="AD626" s="638"/>
      <c r="AE626" s="3"/>
      <c r="AF626" s="821"/>
      <c r="AG626" s="821"/>
      <c r="AH626" s="821"/>
      <c r="AI626" s="821"/>
      <c r="AJ626" s="3"/>
      <c r="AK626" s="3"/>
      <c r="AL626" s="3"/>
      <c r="AM626" s="3"/>
    </row>
    <row r="627" spans="1:60" ht="13.7" customHeight="1">
      <c r="A627" s="3"/>
      <c r="B627" s="1529" t="s">
        <v>2281</v>
      </c>
      <c r="C627" s="1529"/>
      <c r="D627" s="1529"/>
      <c r="E627" s="1529"/>
      <c r="F627" s="1529"/>
      <c r="G627" s="1529"/>
      <c r="H627" s="1529"/>
      <c r="I627" s="1529"/>
      <c r="J627" s="1529"/>
      <c r="K627" s="1529"/>
      <c r="L627" s="1529"/>
      <c r="M627" s="1529"/>
      <c r="N627" s="1529"/>
      <c r="O627" s="1529"/>
      <c r="P627" s="1529"/>
      <c r="Q627" s="1529"/>
      <c r="R627" s="1529"/>
      <c r="S627" s="1529"/>
      <c r="T627" s="1529"/>
      <c r="U627" s="1529"/>
      <c r="V627" s="1529"/>
      <c r="W627" s="1529"/>
      <c r="X627" s="1529"/>
      <c r="Y627" s="1529"/>
      <c r="Z627" s="1529"/>
      <c r="AA627" s="1529"/>
      <c r="AB627" s="1529"/>
      <c r="AC627" s="1529"/>
      <c r="AD627" s="1529"/>
      <c r="AE627" s="1529"/>
      <c r="AF627" s="1529"/>
      <c r="AG627" s="1529"/>
      <c r="AH627" s="1529"/>
      <c r="AI627" s="821"/>
      <c r="AJ627" s="3"/>
      <c r="AK627" s="3"/>
      <c r="AL627" s="3"/>
      <c r="AM627" s="3"/>
      <c r="AN627" s="49"/>
    </row>
    <row r="628" spans="1:60" ht="13.7" customHeight="1">
      <c r="B628" s="1529"/>
      <c r="C628" s="1529"/>
      <c r="D628" s="1529"/>
      <c r="E628" s="1529"/>
      <c r="F628" s="1529"/>
      <c r="G628" s="1529"/>
      <c r="H628" s="1529"/>
      <c r="I628" s="1529"/>
      <c r="J628" s="1529"/>
      <c r="K628" s="1529"/>
      <c r="L628" s="1529"/>
      <c r="M628" s="1529"/>
      <c r="N628" s="1529"/>
      <c r="O628" s="1529"/>
      <c r="P628" s="1529"/>
      <c r="Q628" s="1529"/>
      <c r="R628" s="1529"/>
      <c r="S628" s="1529"/>
      <c r="T628" s="1529"/>
      <c r="U628" s="1529"/>
      <c r="V628" s="1529"/>
      <c r="W628" s="1529"/>
      <c r="X628" s="1529"/>
      <c r="Y628" s="1529"/>
      <c r="Z628" s="1529"/>
      <c r="AA628" s="1529"/>
      <c r="AB628" s="1529"/>
      <c r="AC628" s="1529"/>
      <c r="AD628" s="1529"/>
      <c r="AE628" s="1529"/>
      <c r="AF628" s="1529"/>
      <c r="AG628" s="1529"/>
      <c r="AH628" s="1529"/>
      <c r="AI628" s="116"/>
      <c r="AJ628" s="3"/>
      <c r="AK628" s="3"/>
      <c r="AL628" s="3"/>
      <c r="AM628" s="3"/>
      <c r="AN628" s="49"/>
      <c r="AR628" s="33"/>
    </row>
    <row r="629" spans="1:60" ht="13.7" customHeight="1">
      <c r="A629" s="3"/>
      <c r="B629" s="1529"/>
      <c r="C629" s="1529"/>
      <c r="D629" s="1529"/>
      <c r="E629" s="1529"/>
      <c r="F629" s="1529"/>
      <c r="G629" s="1529"/>
      <c r="H629" s="1529"/>
      <c r="I629" s="1529"/>
      <c r="J629" s="1529"/>
      <c r="K629" s="1529"/>
      <c r="L629" s="1529"/>
      <c r="M629" s="1529"/>
      <c r="N629" s="1529"/>
      <c r="O629" s="1529"/>
      <c r="P629" s="1529"/>
      <c r="Q629" s="1529"/>
      <c r="R629" s="1529"/>
      <c r="S629" s="1529"/>
      <c r="T629" s="1529"/>
      <c r="U629" s="1529"/>
      <c r="V629" s="1529"/>
      <c r="W629" s="1529"/>
      <c r="X629" s="1529"/>
      <c r="Y629" s="1529"/>
      <c r="Z629" s="1529"/>
      <c r="AA629" s="1529"/>
      <c r="AB629" s="1529"/>
      <c r="AC629" s="1529"/>
      <c r="AD629" s="1529"/>
      <c r="AE629" s="1529"/>
      <c r="AF629" s="1529"/>
      <c r="AG629" s="1529"/>
      <c r="AH629" s="1529"/>
      <c r="AI629" s="116"/>
      <c r="AJ629" s="3"/>
      <c r="AK629" s="3"/>
      <c r="AL629" s="3"/>
      <c r="AM629" s="3"/>
      <c r="AN629" s="49"/>
    </row>
    <row r="630" spans="1:60" ht="13.7" customHeight="1">
      <c r="A630" s="3"/>
      <c r="B630" s="1529"/>
      <c r="C630" s="1529"/>
      <c r="D630" s="1529"/>
      <c r="E630" s="1529"/>
      <c r="F630" s="1529"/>
      <c r="G630" s="1529"/>
      <c r="H630" s="1529"/>
      <c r="I630" s="1529"/>
      <c r="J630" s="1529"/>
      <c r="K630" s="1529"/>
      <c r="L630" s="1529"/>
      <c r="M630" s="1529"/>
      <c r="N630" s="1529"/>
      <c r="O630" s="1529"/>
      <c r="P630" s="1529"/>
      <c r="Q630" s="1529"/>
      <c r="R630" s="1529"/>
      <c r="S630" s="1529"/>
      <c r="T630" s="1529"/>
      <c r="U630" s="1529"/>
      <c r="V630" s="1529"/>
      <c r="W630" s="1529"/>
      <c r="X630" s="1529"/>
      <c r="Y630" s="1529"/>
      <c r="Z630" s="1529"/>
      <c r="AA630" s="1529"/>
      <c r="AB630" s="1529"/>
      <c r="AC630" s="1529"/>
      <c r="AD630" s="1529"/>
      <c r="AE630" s="1529"/>
      <c r="AF630" s="1529"/>
      <c r="AG630" s="1529"/>
      <c r="AH630" s="1529"/>
      <c r="AI630" s="116"/>
      <c r="AJ630" s="3"/>
      <c r="AK630" s="3"/>
      <c r="AL630" s="3"/>
      <c r="AM630" s="3"/>
      <c r="AN630" s="49"/>
    </row>
    <row r="631" spans="1:60" ht="13.7" customHeight="1">
      <c r="A631" s="3"/>
      <c r="B631" s="1529"/>
      <c r="C631" s="1529"/>
      <c r="D631" s="1529"/>
      <c r="E631" s="1529"/>
      <c r="F631" s="1529"/>
      <c r="G631" s="1529"/>
      <c r="H631" s="1529"/>
      <c r="I631" s="1529"/>
      <c r="J631" s="1529"/>
      <c r="K631" s="1529"/>
      <c r="L631" s="1529"/>
      <c r="M631" s="1529"/>
      <c r="N631" s="1529"/>
      <c r="O631" s="1529"/>
      <c r="P631" s="1529"/>
      <c r="Q631" s="1529"/>
      <c r="R631" s="1529"/>
      <c r="S631" s="1529"/>
      <c r="T631" s="1529"/>
      <c r="U631" s="1529"/>
      <c r="V631" s="1529"/>
      <c r="W631" s="1529"/>
      <c r="X631" s="1529"/>
      <c r="Y631" s="1529"/>
      <c r="Z631" s="1529"/>
      <c r="AA631" s="1529"/>
      <c r="AB631" s="1529"/>
      <c r="AC631" s="1529"/>
      <c r="AD631" s="1529"/>
      <c r="AE631" s="1529"/>
      <c r="AF631" s="1529"/>
      <c r="AG631" s="1529"/>
      <c r="AH631" s="1529"/>
      <c r="AI631" s="116"/>
      <c r="AJ631" s="3"/>
      <c r="AK631" s="3"/>
      <c r="AL631" s="3"/>
      <c r="AM631" s="3"/>
      <c r="AN631" s="49"/>
    </row>
    <row r="632" spans="1:60" ht="13.7" customHeight="1">
      <c r="A632" s="3"/>
      <c r="B632" s="1529"/>
      <c r="C632" s="1529"/>
      <c r="D632" s="1529"/>
      <c r="E632" s="1529"/>
      <c r="F632" s="1529"/>
      <c r="G632" s="1529"/>
      <c r="H632" s="1529"/>
      <c r="I632" s="1529"/>
      <c r="J632" s="1529"/>
      <c r="K632" s="1529"/>
      <c r="L632" s="1529"/>
      <c r="M632" s="1529"/>
      <c r="N632" s="1529"/>
      <c r="O632" s="1529"/>
      <c r="P632" s="1529"/>
      <c r="Q632" s="1529"/>
      <c r="R632" s="1529"/>
      <c r="S632" s="1529"/>
      <c r="T632" s="1529"/>
      <c r="U632" s="1529"/>
      <c r="V632" s="1529"/>
      <c r="W632" s="1529"/>
      <c r="X632" s="1529"/>
      <c r="Y632" s="1529"/>
      <c r="Z632" s="1529"/>
      <c r="AA632" s="1529"/>
      <c r="AB632" s="1529"/>
      <c r="AC632" s="1529"/>
      <c r="AD632" s="1529"/>
      <c r="AE632" s="1529"/>
      <c r="AF632" s="1529"/>
      <c r="AG632" s="1529"/>
      <c r="AH632" s="1529"/>
      <c r="AI632" s="116"/>
      <c r="AJ632" s="3"/>
      <c r="AK632" s="3"/>
      <c r="AL632" s="3"/>
      <c r="AM632" s="3"/>
      <c r="AN632" s="49"/>
    </row>
    <row r="633" spans="1:60" ht="13.7" customHeight="1">
      <c r="A633" s="3"/>
      <c r="B633" s="1529"/>
      <c r="C633" s="1529"/>
      <c r="D633" s="1529"/>
      <c r="E633" s="1529"/>
      <c r="F633" s="1529"/>
      <c r="G633" s="1529"/>
      <c r="H633" s="1529"/>
      <c r="I633" s="1529"/>
      <c r="J633" s="1529"/>
      <c r="K633" s="1529"/>
      <c r="L633" s="1529"/>
      <c r="M633" s="1529"/>
      <c r="N633" s="1529"/>
      <c r="O633" s="1529"/>
      <c r="P633" s="1529"/>
      <c r="Q633" s="1529"/>
      <c r="R633" s="1529"/>
      <c r="S633" s="1529"/>
      <c r="T633" s="1529"/>
      <c r="U633" s="1529"/>
      <c r="V633" s="1529"/>
      <c r="W633" s="1529"/>
      <c r="X633" s="1529"/>
      <c r="Y633" s="1529"/>
      <c r="Z633" s="1529"/>
      <c r="AA633" s="1529"/>
      <c r="AB633" s="1529"/>
      <c r="AC633" s="1529"/>
      <c r="AD633" s="1529"/>
      <c r="AE633" s="1529"/>
      <c r="AF633" s="1529"/>
      <c r="AG633" s="1529"/>
      <c r="AH633" s="1529"/>
      <c r="AI633" s="116"/>
      <c r="AJ633" s="3"/>
      <c r="AK633" s="3"/>
      <c r="AL633" s="3"/>
      <c r="AM633" s="3"/>
      <c r="AN633" s="49"/>
    </row>
    <row r="634" spans="1:60">
      <c r="A634" s="3"/>
      <c r="B634" s="1529"/>
      <c r="C634" s="1529"/>
      <c r="D634" s="1529"/>
      <c r="E634" s="1529"/>
      <c r="F634" s="1529"/>
      <c r="G634" s="1529"/>
      <c r="H634" s="1529"/>
      <c r="I634" s="1529"/>
      <c r="J634" s="1529"/>
      <c r="K634" s="1529"/>
      <c r="L634" s="1529"/>
      <c r="M634" s="1529"/>
      <c r="N634" s="1529"/>
      <c r="O634" s="1529"/>
      <c r="P634" s="1529"/>
      <c r="Q634" s="1529"/>
      <c r="R634" s="1529"/>
      <c r="S634" s="1529"/>
      <c r="T634" s="1529"/>
      <c r="U634" s="1529"/>
      <c r="V634" s="1529"/>
      <c r="W634" s="1529"/>
      <c r="X634" s="1529"/>
      <c r="Y634" s="1529"/>
      <c r="Z634" s="1529"/>
      <c r="AA634" s="1529"/>
      <c r="AB634" s="1529"/>
      <c r="AC634" s="1529"/>
      <c r="AD634" s="1529"/>
      <c r="AE634" s="1529"/>
      <c r="AF634" s="1529"/>
      <c r="AG634" s="1529"/>
      <c r="AH634" s="1529"/>
      <c r="AI634" s="116"/>
      <c r="AJ634" s="3"/>
      <c r="AK634" s="3"/>
      <c r="AL634" s="3"/>
      <c r="AM634" s="3"/>
      <c r="AN634" s="49"/>
    </row>
    <row r="635" spans="1:60">
      <c r="A635" s="3"/>
      <c r="B635" s="1529"/>
      <c r="C635" s="1529"/>
      <c r="D635" s="1529"/>
      <c r="E635" s="1529"/>
      <c r="F635" s="1529"/>
      <c r="G635" s="1529"/>
      <c r="H635" s="1529"/>
      <c r="I635" s="1529"/>
      <c r="J635" s="1529"/>
      <c r="K635" s="1529"/>
      <c r="L635" s="1529"/>
      <c r="M635" s="1529"/>
      <c r="N635" s="1529"/>
      <c r="O635" s="1529"/>
      <c r="P635" s="1529"/>
      <c r="Q635" s="1529"/>
      <c r="R635" s="1529"/>
      <c r="S635" s="1529"/>
      <c r="T635" s="1529"/>
      <c r="U635" s="1529"/>
      <c r="V635" s="1529"/>
      <c r="W635" s="1529"/>
      <c r="X635" s="1529"/>
      <c r="Y635" s="1529"/>
      <c r="Z635" s="1529"/>
      <c r="AA635" s="1529"/>
      <c r="AB635" s="1529"/>
      <c r="AC635" s="1529"/>
      <c r="AD635" s="1529"/>
      <c r="AE635" s="1529"/>
      <c r="AF635" s="1529"/>
      <c r="AG635" s="1529"/>
      <c r="AH635" s="1529"/>
      <c r="AI635" s="116"/>
      <c r="AJ635" s="3"/>
      <c r="AK635" s="3"/>
      <c r="AL635" s="3"/>
      <c r="AM635" s="3"/>
      <c r="AN635" s="49"/>
    </row>
    <row r="636" spans="1:60">
      <c r="A636" s="3"/>
      <c r="B636" s="1529"/>
      <c r="C636" s="1529"/>
      <c r="D636" s="1529"/>
      <c r="E636" s="1529"/>
      <c r="F636" s="1529"/>
      <c r="G636" s="1529"/>
      <c r="H636" s="1529"/>
      <c r="I636" s="1529"/>
      <c r="J636" s="1529"/>
      <c r="K636" s="1529"/>
      <c r="L636" s="1529"/>
      <c r="M636" s="1529"/>
      <c r="N636" s="1529"/>
      <c r="O636" s="1529"/>
      <c r="P636" s="1529"/>
      <c r="Q636" s="1529"/>
      <c r="R636" s="1529"/>
      <c r="S636" s="1529"/>
      <c r="T636" s="1529"/>
      <c r="U636" s="1529"/>
      <c r="V636" s="1529"/>
      <c r="W636" s="1529"/>
      <c r="X636" s="1529"/>
      <c r="Y636" s="1529"/>
      <c r="Z636" s="1529"/>
      <c r="AA636" s="1529"/>
      <c r="AB636" s="1529"/>
      <c r="AC636" s="1529"/>
      <c r="AD636" s="1529"/>
      <c r="AE636" s="1529"/>
      <c r="AF636" s="1529"/>
      <c r="AG636" s="1529"/>
      <c r="AH636" s="1529"/>
      <c r="AI636" s="116"/>
      <c r="AJ636" s="3"/>
      <c r="AK636" s="3"/>
      <c r="AL636" s="3"/>
      <c r="AM636" s="3"/>
      <c r="AN636" s="49"/>
    </row>
    <row r="637" spans="1:60">
      <c r="A637" s="3"/>
      <c r="B637" s="1529"/>
      <c r="C637" s="1529"/>
      <c r="D637" s="1529"/>
      <c r="E637" s="1529"/>
      <c r="F637" s="1529"/>
      <c r="G637" s="1529"/>
      <c r="H637" s="1529"/>
      <c r="I637" s="1529"/>
      <c r="J637" s="1529"/>
      <c r="K637" s="1529"/>
      <c r="L637" s="1529"/>
      <c r="M637" s="1529"/>
      <c r="N637" s="1529"/>
      <c r="O637" s="1529"/>
      <c r="P637" s="1529"/>
      <c r="Q637" s="1529"/>
      <c r="R637" s="1529"/>
      <c r="S637" s="1529"/>
      <c r="T637" s="1529"/>
      <c r="U637" s="1529"/>
      <c r="V637" s="1529"/>
      <c r="W637" s="1529"/>
      <c r="X637" s="1529"/>
      <c r="Y637" s="1529"/>
      <c r="Z637" s="1529"/>
      <c r="AA637" s="1529"/>
      <c r="AB637" s="1529"/>
      <c r="AC637" s="1529"/>
      <c r="AD637" s="1529"/>
      <c r="AE637" s="1529"/>
      <c r="AF637" s="1529"/>
      <c r="AG637" s="1529"/>
      <c r="AH637" s="1529"/>
      <c r="AI637" s="116"/>
      <c r="AJ637" s="3"/>
      <c r="AK637" s="3"/>
      <c r="AL637" s="3"/>
      <c r="AM637" s="3"/>
      <c r="AN637" s="49"/>
    </row>
    <row r="638" spans="1:60" s="493" customFormat="1" ht="12.4" customHeight="1">
      <c r="A638" s="3"/>
      <c r="B638" s="1529"/>
      <c r="C638" s="1529"/>
      <c r="D638" s="1529"/>
      <c r="E638" s="1529"/>
      <c r="F638" s="1529"/>
      <c r="G638" s="1529"/>
      <c r="H638" s="1529"/>
      <c r="I638" s="1529"/>
      <c r="J638" s="1529"/>
      <c r="K638" s="1529"/>
      <c r="L638" s="1529"/>
      <c r="M638" s="1529"/>
      <c r="N638" s="1529"/>
      <c r="O638" s="1529"/>
      <c r="P638" s="1529"/>
      <c r="Q638" s="1529"/>
      <c r="R638" s="1529"/>
      <c r="S638" s="1529"/>
      <c r="T638" s="1529"/>
      <c r="U638" s="1529"/>
      <c r="V638" s="1529"/>
      <c r="W638" s="1529"/>
      <c r="X638" s="1529"/>
      <c r="Y638" s="1529"/>
      <c r="Z638" s="1529"/>
      <c r="AA638" s="1529"/>
      <c r="AB638" s="1529"/>
      <c r="AC638" s="1529"/>
      <c r="AD638" s="1529"/>
      <c r="AE638" s="1529"/>
      <c r="AF638" s="1529"/>
      <c r="AG638" s="1529"/>
      <c r="AH638" s="1529"/>
      <c r="AI638" s="116"/>
      <c r="AJ638" s="3"/>
      <c r="AK638" s="3"/>
      <c r="AL638" s="3"/>
      <c r="AM638" s="3"/>
      <c r="AN638" s="516"/>
      <c r="BD638" s="495"/>
      <c r="BE638" s="495"/>
      <c r="BF638" s="495"/>
      <c r="BG638" s="495"/>
      <c r="BH638" s="495"/>
    </row>
    <row r="639" spans="1:60">
      <c r="A639" s="3"/>
      <c r="B639" s="1529"/>
      <c r="C639" s="1529"/>
      <c r="D639" s="1529"/>
      <c r="E639" s="1529"/>
      <c r="F639" s="1529"/>
      <c r="G639" s="1529"/>
      <c r="H639" s="1529"/>
      <c r="I639" s="1529"/>
      <c r="J639" s="1529"/>
      <c r="K639" s="1529"/>
      <c r="L639" s="1529"/>
      <c r="M639" s="1529"/>
      <c r="N639" s="1529"/>
      <c r="O639" s="1529"/>
      <c r="P639" s="1529"/>
      <c r="Q639" s="1529"/>
      <c r="R639" s="1529"/>
      <c r="S639" s="1529"/>
      <c r="T639" s="1529"/>
      <c r="U639" s="1529"/>
      <c r="V639" s="1529"/>
      <c r="W639" s="1529"/>
      <c r="X639" s="1529"/>
      <c r="Y639" s="1529"/>
      <c r="Z639" s="1529"/>
      <c r="AA639" s="1529"/>
      <c r="AB639" s="1529"/>
      <c r="AC639" s="1529"/>
      <c r="AD639" s="1529"/>
      <c r="AE639" s="1529"/>
      <c r="AF639" s="1529"/>
      <c r="AG639" s="1529"/>
      <c r="AH639" s="1529"/>
      <c r="AI639" s="127"/>
      <c r="AJ639" s="3"/>
      <c r="AK639" s="3"/>
      <c r="AL639" s="3"/>
      <c r="AM639" s="3"/>
      <c r="AN639" s="49"/>
      <c r="AO639" s="18"/>
    </row>
    <row r="640" spans="1:60">
      <c r="A640" s="22"/>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2"/>
      <c r="AK640" s="22"/>
      <c r="AL640" s="22"/>
      <c r="AM640" s="22"/>
      <c r="AN640" s="49"/>
    </row>
    <row r="641" spans="1:49">
      <c r="A641" s="60"/>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c r="AA641" s="61"/>
      <c r="AB641" s="61"/>
      <c r="AC641" s="61"/>
      <c r="AD641" s="61"/>
      <c r="AE641" s="61"/>
      <c r="AF641" s="61"/>
      <c r="AG641" s="61"/>
      <c r="AH641" s="61"/>
      <c r="AI641" s="788"/>
      <c r="AJ641" s="788" t="s">
        <v>2282</v>
      </c>
      <c r="AK641" s="1194">
        <f>IF($C$623="yes",10,0)</f>
        <v>10</v>
      </c>
      <c r="AL641" s="1195"/>
      <c r="AM641" s="1196"/>
      <c r="AN641" s="49"/>
      <c r="AO641" s="3"/>
    </row>
    <row r="642" spans="1:49" ht="13.5" thickBot="1">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c r="Y642" s="66"/>
      <c r="Z642" s="66"/>
      <c r="AA642" s="66"/>
      <c r="AB642" s="66"/>
      <c r="AC642" s="66"/>
      <c r="AD642" s="66"/>
      <c r="AE642" s="66"/>
      <c r="AF642" s="66"/>
      <c r="AG642" s="66"/>
      <c r="AH642" s="66"/>
      <c r="AI642" s="66"/>
      <c r="AJ642" s="66"/>
      <c r="AK642" s="66"/>
      <c r="AL642" s="66"/>
      <c r="AM642" s="66"/>
      <c r="AN642" s="49"/>
      <c r="AO642" s="18"/>
    </row>
    <row r="643" spans="1:49" ht="13.5" thickTop="1">
      <c r="AN643" s="49"/>
      <c r="AO643" s="18"/>
      <c r="AP643"/>
      <c r="AQ643" s="491"/>
      <c r="AR643"/>
      <c r="AS643"/>
      <c r="AT643"/>
      <c r="AU643"/>
      <c r="AV643" s="32"/>
      <c r="AW643" s="32"/>
    </row>
    <row r="644" spans="1:49">
      <c r="A644" s="776" t="s">
        <v>2283</v>
      </c>
      <c r="B644" s="137"/>
      <c r="C644" s="138"/>
      <c r="D644" s="138"/>
      <c r="E644" s="138"/>
      <c r="F644" s="138"/>
      <c r="G644" s="138"/>
      <c r="H644" s="138"/>
      <c r="I644" s="816"/>
      <c r="J644" s="816"/>
      <c r="K644" s="816"/>
      <c r="L644" s="816"/>
      <c r="M644" s="816"/>
      <c r="N644" s="816"/>
      <c r="O644" s="816"/>
      <c r="P644" s="816"/>
      <c r="Q644" s="816"/>
      <c r="S644" s="2"/>
      <c r="T644" s="2"/>
      <c r="U644" s="2"/>
      <c r="V644" s="2"/>
      <c r="W644" s="2"/>
      <c r="X644" s="2"/>
      <c r="Y644" s="2"/>
      <c r="Z644" s="2"/>
      <c r="AA644" s="2"/>
      <c r="AB644" s="2"/>
      <c r="AC644" s="2"/>
      <c r="AD644" s="2"/>
      <c r="AE644" s="3"/>
      <c r="AF644" s="3"/>
      <c r="AG644" s="2"/>
      <c r="AH644" s="815" t="s">
        <v>2284</v>
      </c>
      <c r="AI644" s="2"/>
      <c r="AJ644" s="2"/>
      <c r="AK644" s="3"/>
      <c r="AL644" s="3"/>
      <c r="AM644" s="3"/>
      <c r="AN644" s="49"/>
      <c r="AO644" s="3">
        <f>IF($C$646="yes",2,0)</f>
        <v>0</v>
      </c>
      <c r="AQ644" s="491"/>
      <c r="AR644"/>
      <c r="AS644"/>
      <c r="AT644"/>
      <c r="AU644"/>
      <c r="AV644" s="32"/>
      <c r="AW644" s="32"/>
    </row>
    <row r="645" spans="1:49">
      <c r="B645" s="3"/>
      <c r="C645" s="776"/>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G645" s="3"/>
      <c r="AI645" s="3"/>
      <c r="AJ645" s="3"/>
      <c r="AK645" s="3"/>
      <c r="AL645" s="3"/>
      <c r="AM645" s="3"/>
      <c r="AN645" s="49"/>
      <c r="AO645" s="3">
        <f>IF($C$651="yes",2,0)</f>
        <v>0</v>
      </c>
      <c r="AQ645"/>
      <c r="AR645"/>
      <c r="AS645"/>
      <c r="AT645"/>
      <c r="AU645"/>
      <c r="AV645" s="32"/>
      <c r="AW645" s="32"/>
    </row>
    <row r="646" spans="1:49">
      <c r="C646" s="1180" t="s">
        <v>325</v>
      </c>
      <c r="D646" s="1180"/>
      <c r="E646" s="136" t="s">
        <v>18</v>
      </c>
      <c r="F646" s="16" t="s">
        <v>2285</v>
      </c>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2" t="s">
        <v>1987</v>
      </c>
      <c r="AH646" s="3"/>
      <c r="AI646" s="3"/>
      <c r="AJ646" s="3"/>
      <c r="AK646" s="3"/>
      <c r="AL646" s="3"/>
      <c r="AM646" s="3"/>
      <c r="AN646" s="49"/>
      <c r="AO646" s="3">
        <f>IF($C$655="yes",2,0)</f>
        <v>2</v>
      </c>
      <c r="AQ646"/>
      <c r="AR646"/>
      <c r="AS646"/>
      <c r="AT646"/>
      <c r="AU646"/>
      <c r="AV646" s="32"/>
      <c r="AW646" s="32"/>
    </row>
    <row r="647" spans="1:49">
      <c r="A647" s="776"/>
      <c r="B647" s="17"/>
      <c r="F647" s="16" t="s">
        <v>2286</v>
      </c>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H647" s="16"/>
      <c r="AI647" s="16"/>
      <c r="AJ647" s="3"/>
      <c r="AK647" s="3"/>
      <c r="AL647" s="3"/>
      <c r="AM647" s="3"/>
      <c r="AN647" s="49"/>
      <c r="AO647" s="3">
        <f>IF($C$659="yes",1,0)</f>
        <v>0</v>
      </c>
      <c r="AQ647"/>
      <c r="AR647"/>
      <c r="AS647"/>
      <c r="AT647"/>
      <c r="AU647"/>
      <c r="AV647" s="32"/>
      <c r="AW647" s="32"/>
    </row>
    <row r="648" spans="1:49">
      <c r="A648" s="3"/>
      <c r="B648" s="16"/>
      <c r="C648" s="3"/>
      <c r="D648" s="16"/>
      <c r="E648" s="3"/>
      <c r="F648" s="16" t="s">
        <v>2287</v>
      </c>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3"/>
      <c r="AK648" s="3"/>
      <c r="AL648" s="3"/>
      <c r="AM648" s="3"/>
      <c r="AN648" s="49"/>
      <c r="AO648" s="3">
        <f>IF($C$661="yes",2,0)</f>
        <v>0</v>
      </c>
      <c r="AQ648"/>
      <c r="AR648"/>
      <c r="AS648"/>
      <c r="AT648"/>
      <c r="AU648"/>
      <c r="AV648" s="32"/>
      <c r="AW648" s="32"/>
    </row>
    <row r="649" spans="1:49">
      <c r="A649" s="3"/>
      <c r="B649" s="16"/>
      <c r="C649" s="16"/>
      <c r="D649" s="16"/>
      <c r="E649" s="16"/>
      <c r="F649" s="16" t="s">
        <v>2288</v>
      </c>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3"/>
      <c r="AK649" s="3"/>
      <c r="AL649" s="3"/>
      <c r="AM649" s="3"/>
      <c r="AN649" s="517"/>
      <c r="AO649" s="3">
        <f>IF($C$666="yes",1,0)</f>
        <v>0</v>
      </c>
    </row>
    <row r="650" spans="1:49">
      <c r="A650" s="3"/>
      <c r="B650" s="16"/>
      <c r="C650" s="16"/>
      <c r="D650" s="16"/>
      <c r="E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3"/>
      <c r="AK650" s="3"/>
      <c r="AL650" s="3"/>
      <c r="AM650" s="3"/>
      <c r="AN650" s="209"/>
      <c r="AO650" s="3">
        <f>IF($C$669="yes",2,0)</f>
        <v>0</v>
      </c>
    </row>
    <row r="651" spans="1:49">
      <c r="A651" s="3"/>
      <c r="B651" s="16"/>
      <c r="C651" s="1180" t="s">
        <v>325</v>
      </c>
      <c r="D651" s="1180"/>
      <c r="E651" s="136" t="s">
        <v>23</v>
      </c>
      <c r="F651" s="16" t="s">
        <v>2289</v>
      </c>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2" t="s">
        <v>1987</v>
      </c>
      <c r="AH651" s="16"/>
      <c r="AI651" s="16"/>
      <c r="AJ651" s="3"/>
      <c r="AK651" s="3"/>
      <c r="AL651" s="3"/>
      <c r="AM651" s="3"/>
      <c r="AO651" s="22">
        <f>SUM(AO644:AO650)</f>
        <v>2</v>
      </c>
      <c r="AP651" s="494" t="s">
        <v>2290</v>
      </c>
    </row>
    <row r="652" spans="1:49">
      <c r="A652" s="3"/>
      <c r="B652" s="16"/>
      <c r="C652" s="3"/>
      <c r="D652" s="16"/>
      <c r="E652" s="3"/>
      <c r="F652" s="16" t="s">
        <v>2291</v>
      </c>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3"/>
      <c r="AK652" s="3"/>
      <c r="AL652" s="3"/>
      <c r="AM652" s="3"/>
      <c r="AN652" s="49"/>
      <c r="AO652" s="18"/>
    </row>
    <row r="653" spans="1:49">
      <c r="A653" s="3"/>
      <c r="B653" s="16"/>
      <c r="C653" s="3"/>
      <c r="D653" s="16"/>
      <c r="E653" s="3"/>
      <c r="F653" s="16" t="s">
        <v>2292</v>
      </c>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3"/>
      <c r="AK653" s="3"/>
      <c r="AL653" s="3"/>
      <c r="AM653" s="3"/>
      <c r="AN653" s="49"/>
      <c r="AO653" s="18"/>
    </row>
    <row r="654" spans="1:49">
      <c r="A654" s="3"/>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3"/>
      <c r="AK654" s="3"/>
      <c r="AL654" s="3"/>
      <c r="AM654" s="3"/>
      <c r="AN654" s="49"/>
      <c r="AO654" s="18"/>
    </row>
    <row r="655" spans="1:49">
      <c r="A655" s="3"/>
      <c r="B655" s="16"/>
      <c r="C655" s="1180" t="s">
        <v>712</v>
      </c>
      <c r="D655" s="1180"/>
      <c r="E655" s="136" t="s">
        <v>43</v>
      </c>
      <c r="F655" s="373" t="s">
        <v>2293</v>
      </c>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2" t="s">
        <v>1987</v>
      </c>
      <c r="AH655" s="16"/>
      <c r="AI655" s="16"/>
      <c r="AJ655" s="3"/>
      <c r="AK655" s="3"/>
      <c r="AL655" s="3"/>
      <c r="AM655" s="3"/>
      <c r="AN655" s="49"/>
      <c r="AO655" s="18"/>
    </row>
    <row r="656" spans="1:49">
      <c r="A656" s="3"/>
      <c r="B656" s="16"/>
      <c r="C656" s="3"/>
      <c r="D656" s="16"/>
      <c r="E656" s="3"/>
      <c r="F656" s="16" t="s">
        <v>2294</v>
      </c>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3"/>
      <c r="AK656" s="3"/>
      <c r="AL656" s="3"/>
      <c r="AM656" s="3"/>
      <c r="AN656" s="49"/>
      <c r="AO656" s="18"/>
    </row>
    <row r="657" spans="1:41">
      <c r="A657" s="3"/>
      <c r="B657" s="16"/>
      <c r="C657" s="3"/>
      <c r="D657" s="16"/>
      <c r="E657" s="3"/>
      <c r="F657" s="16" t="s">
        <v>2295</v>
      </c>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3"/>
      <c r="AK657" s="3"/>
      <c r="AL657" s="3"/>
      <c r="AM657" s="3"/>
      <c r="AN657" s="49"/>
      <c r="AO657" s="18"/>
    </row>
    <row r="658" spans="1:41">
      <c r="A658" s="3"/>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3"/>
      <c r="AK658" s="3"/>
      <c r="AL658" s="3"/>
      <c r="AM658" s="3"/>
      <c r="AN658" s="49"/>
      <c r="AO658" s="18"/>
    </row>
    <row r="659" spans="1:41">
      <c r="A659" s="3"/>
      <c r="B659" s="16"/>
      <c r="C659" s="1180" t="s">
        <v>325</v>
      </c>
      <c r="D659" s="1180"/>
      <c r="E659" s="136" t="s">
        <v>1963</v>
      </c>
      <c r="F659" s="16" t="s">
        <v>2296</v>
      </c>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2" t="s">
        <v>2006</v>
      </c>
      <c r="AH659" s="16"/>
      <c r="AI659" s="16"/>
      <c r="AJ659" s="3"/>
      <c r="AK659" s="3"/>
      <c r="AL659" s="3"/>
      <c r="AM659" s="3"/>
    </row>
    <row r="660" spans="1:41">
      <c r="A660" s="3"/>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3"/>
      <c r="AK660" s="3"/>
      <c r="AL660" s="3"/>
      <c r="AM660" s="3"/>
    </row>
    <row r="661" spans="1:41">
      <c r="A661" s="3"/>
      <c r="B661" s="16"/>
      <c r="C661" s="1180" t="s">
        <v>325</v>
      </c>
      <c r="D661" s="1180"/>
      <c r="E661" s="136" t="s">
        <v>1965</v>
      </c>
      <c r="F661" s="16" t="s">
        <v>2297</v>
      </c>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2" t="s">
        <v>1987</v>
      </c>
      <c r="AH661" s="16"/>
      <c r="AI661" s="16"/>
      <c r="AJ661" s="3"/>
      <c r="AK661" s="3"/>
      <c r="AL661" s="3"/>
      <c r="AM661" s="3"/>
    </row>
    <row r="662" spans="1:41">
      <c r="A662" s="3"/>
      <c r="B662" s="16"/>
      <c r="C662" s="3"/>
      <c r="D662" s="16"/>
      <c r="E662" s="3"/>
      <c r="F662" s="374" t="s">
        <v>2298</v>
      </c>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3"/>
      <c r="AK662" s="3"/>
      <c r="AL662" s="3"/>
      <c r="AM662" s="3"/>
      <c r="AN662" s="209"/>
      <c r="AO662" s="18"/>
    </row>
    <row r="663" spans="1:41">
      <c r="A663" s="3"/>
      <c r="B663" s="16"/>
      <c r="C663" s="3"/>
      <c r="D663" s="16"/>
      <c r="E663" s="3"/>
      <c r="F663" s="374" t="s">
        <v>2299</v>
      </c>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3"/>
      <c r="AK663" s="3"/>
      <c r="AL663" s="3"/>
      <c r="AM663" s="3"/>
      <c r="AN663" s="209"/>
      <c r="AO663" s="18"/>
    </row>
    <row r="664" spans="1:41" ht="14.25" customHeight="1">
      <c r="A664" s="3"/>
      <c r="B664" s="16"/>
      <c r="C664" s="16"/>
      <c r="D664" s="16"/>
      <c r="E664" s="16"/>
      <c r="F664" s="16" t="s">
        <v>2300</v>
      </c>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3"/>
      <c r="AK664" s="3"/>
      <c r="AL664" s="3"/>
      <c r="AM664" s="3"/>
      <c r="AO664" s="18"/>
    </row>
    <row r="665" spans="1:41">
      <c r="A665" s="3"/>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3"/>
      <c r="AK665" s="3"/>
      <c r="AL665" s="3"/>
      <c r="AM665" s="3"/>
      <c r="AN665" s="49"/>
      <c r="AO665" s="18"/>
    </row>
    <row r="666" spans="1:41">
      <c r="A666" s="3"/>
      <c r="B666" s="16"/>
      <c r="C666" s="1180" t="s">
        <v>325</v>
      </c>
      <c r="D666" s="1180"/>
      <c r="E666" s="136" t="s">
        <v>1988</v>
      </c>
      <c r="F666" s="16" t="s">
        <v>2301</v>
      </c>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2" t="s">
        <v>2006</v>
      </c>
      <c r="AH666" s="16"/>
      <c r="AI666" s="16"/>
      <c r="AJ666" s="3"/>
      <c r="AK666" s="3"/>
      <c r="AL666" s="3"/>
      <c r="AM666" s="3"/>
      <c r="AN666" s="49"/>
      <c r="AO666" s="18"/>
    </row>
    <row r="667" spans="1:41">
      <c r="A667" s="3"/>
      <c r="B667" s="16"/>
      <c r="C667" s="16"/>
      <c r="D667" s="16"/>
      <c r="E667" s="16"/>
      <c r="F667" s="16" t="s">
        <v>2302</v>
      </c>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3"/>
      <c r="AK667" s="3"/>
      <c r="AL667" s="3"/>
      <c r="AM667" s="3"/>
      <c r="AN667" s="49"/>
      <c r="AO667" s="18"/>
    </row>
    <row r="668" spans="1:41">
      <c r="A668" s="3"/>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3"/>
      <c r="AK668" s="3"/>
      <c r="AL668" s="3"/>
      <c r="AM668" s="3"/>
      <c r="AN668" s="49"/>
      <c r="AO668" s="18"/>
    </row>
    <row r="669" spans="1:41">
      <c r="A669" s="3"/>
      <c r="B669" s="16"/>
      <c r="C669" s="1180" t="s">
        <v>325</v>
      </c>
      <c r="D669" s="1180"/>
      <c r="E669" s="136" t="s">
        <v>1990</v>
      </c>
      <c r="F669" s="1529" t="s">
        <v>2303</v>
      </c>
      <c r="G669" s="1529"/>
      <c r="H669" s="1529"/>
      <c r="I669" s="1529"/>
      <c r="J669" s="1529"/>
      <c r="K669" s="1529"/>
      <c r="L669" s="1529"/>
      <c r="M669" s="1529"/>
      <c r="N669" s="1529"/>
      <c r="O669" s="1529"/>
      <c r="P669" s="1529"/>
      <c r="Q669" s="1529"/>
      <c r="R669" s="1529"/>
      <c r="S669" s="1529"/>
      <c r="T669" s="1529"/>
      <c r="U669" s="1529"/>
      <c r="V669" s="1529"/>
      <c r="W669" s="1529"/>
      <c r="X669" s="1529"/>
      <c r="Y669" s="1529"/>
      <c r="Z669" s="1529"/>
      <c r="AA669" s="1529"/>
      <c r="AB669" s="1529"/>
      <c r="AC669" s="1529"/>
      <c r="AD669" s="1529"/>
      <c r="AE669" s="16"/>
      <c r="AF669" s="16"/>
      <c r="AG669" s="2" t="s">
        <v>1987</v>
      </c>
      <c r="AH669" s="16"/>
      <c r="AI669" s="16"/>
      <c r="AJ669" s="3"/>
      <c r="AK669" s="3"/>
      <c r="AL669" s="3"/>
      <c r="AM669" s="3"/>
      <c r="AN669" s="49"/>
      <c r="AO669" s="18"/>
    </row>
    <row r="670" spans="1:41">
      <c r="A670" s="3"/>
      <c r="B670" s="16"/>
      <c r="C670" s="16"/>
      <c r="D670" s="16"/>
      <c r="E670" s="16"/>
      <c r="F670" s="1529"/>
      <c r="G670" s="1529"/>
      <c r="H670" s="1529"/>
      <c r="I670" s="1529"/>
      <c r="J670" s="1529"/>
      <c r="K670" s="1529"/>
      <c r="L670" s="1529"/>
      <c r="M670" s="1529"/>
      <c r="N670" s="1529"/>
      <c r="O670" s="1529"/>
      <c r="P670" s="1529"/>
      <c r="Q670" s="1529"/>
      <c r="R670" s="1529"/>
      <c r="S670" s="1529"/>
      <c r="T670" s="1529"/>
      <c r="U670" s="1529"/>
      <c r="V670" s="1529"/>
      <c r="W670" s="1529"/>
      <c r="X670" s="1529"/>
      <c r="Y670" s="1529"/>
      <c r="Z670" s="1529"/>
      <c r="AA670" s="1529"/>
      <c r="AB670" s="1529"/>
      <c r="AC670" s="1529"/>
      <c r="AD670" s="1529"/>
      <c r="AE670" s="16"/>
      <c r="AF670" s="16"/>
      <c r="AG670" s="16"/>
      <c r="AH670" s="16"/>
      <c r="AI670" s="16"/>
      <c r="AJ670" s="3"/>
      <c r="AK670" s="3"/>
      <c r="AL670" s="3"/>
      <c r="AM670" s="3"/>
      <c r="AN670" s="49"/>
      <c r="AO670" s="18"/>
    </row>
    <row r="671" spans="1:41" ht="0.75" customHeight="1">
      <c r="A671" s="3"/>
      <c r="B671" s="16"/>
      <c r="C671" s="16"/>
      <c r="D671" s="16"/>
      <c r="E671" s="16"/>
      <c r="F671" s="1529"/>
      <c r="G671" s="1529"/>
      <c r="H671" s="1529"/>
      <c r="I671" s="1529"/>
      <c r="J671" s="1529"/>
      <c r="K671" s="1529"/>
      <c r="L671" s="1529"/>
      <c r="M671" s="1529"/>
      <c r="N671" s="1529"/>
      <c r="O671" s="1529"/>
      <c r="P671" s="1529"/>
      <c r="Q671" s="1529"/>
      <c r="R671" s="1529"/>
      <c r="S671" s="1529"/>
      <c r="T671" s="1529"/>
      <c r="U671" s="1529"/>
      <c r="V671" s="1529"/>
      <c r="W671" s="1529"/>
      <c r="X671" s="1529"/>
      <c r="Y671" s="1529"/>
      <c r="Z671" s="1529"/>
      <c r="AA671" s="1529"/>
      <c r="AB671" s="1529"/>
      <c r="AC671" s="1529"/>
      <c r="AD671" s="1529"/>
      <c r="AE671" s="16"/>
      <c r="AF671" s="16"/>
      <c r="AG671" s="16"/>
      <c r="AH671" s="16"/>
      <c r="AI671" s="16"/>
      <c r="AJ671" s="3"/>
      <c r="AK671" s="3"/>
      <c r="AL671" s="3"/>
      <c r="AM671" s="3"/>
      <c r="AN671" s="49"/>
      <c r="AO671" s="18"/>
    </row>
    <row r="672" spans="1:41" ht="12.75" hidden="1" customHeight="1">
      <c r="A672" s="3"/>
      <c r="B672" s="16"/>
      <c r="C672" s="16"/>
      <c r="D672" s="16"/>
      <c r="G672" s="16"/>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16"/>
      <c r="AH672" s="16"/>
      <c r="AI672" s="16"/>
      <c r="AJ672" s="3"/>
      <c r="AK672" s="3"/>
      <c r="AL672" s="3"/>
      <c r="AM672" s="3"/>
      <c r="AN672" s="49"/>
      <c r="AO672" s="18"/>
    </row>
    <row r="673" spans="1:60" hidden="1">
      <c r="A673" s="3"/>
      <c r="B673" s="16"/>
      <c r="C673" s="16"/>
      <c r="D673" s="16"/>
      <c r="E673" s="16"/>
      <c r="F673" s="16"/>
      <c r="G673" s="16"/>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16"/>
      <c r="AH673" s="16"/>
      <c r="AI673" s="16"/>
      <c r="AJ673" s="3"/>
      <c r="AK673" s="3"/>
      <c r="AL673" s="3"/>
      <c r="AM673" s="3"/>
      <c r="AN673" s="49"/>
      <c r="AO673" s="18"/>
    </row>
    <row r="674" spans="1:60" hidden="1">
      <c r="A674" s="3"/>
      <c r="B674" s="16"/>
      <c r="C674" s="16"/>
      <c r="D674" s="16"/>
      <c r="E674" s="16"/>
      <c r="F674" s="16"/>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16"/>
      <c r="AH674" s="16"/>
      <c r="AI674" s="16"/>
      <c r="AJ674" s="3"/>
      <c r="AK674" s="3"/>
      <c r="AL674" s="3"/>
      <c r="AM674" s="3"/>
      <c r="AN674" s="49"/>
      <c r="AO674" s="18"/>
    </row>
    <row r="675" spans="1:60" hidden="1">
      <c r="A675" s="3"/>
      <c r="B675" s="16"/>
      <c r="C675" s="16"/>
      <c r="D675" s="16"/>
      <c r="E675" s="16"/>
      <c r="F675" s="16"/>
      <c r="G675" s="16"/>
      <c r="H675" s="16"/>
      <c r="AG675" s="16"/>
      <c r="AH675" s="16"/>
      <c r="AI675" s="16"/>
      <c r="AJ675" s="3"/>
      <c r="AK675" s="3"/>
      <c r="AL675" s="3"/>
      <c r="AM675" s="3"/>
      <c r="AN675" s="49"/>
      <c r="AO675" s="18"/>
    </row>
    <row r="676" spans="1:60" hidden="1">
      <c r="A676" s="3"/>
      <c r="B676" s="16"/>
      <c r="C676" s="16"/>
      <c r="D676" s="16"/>
      <c r="E676" s="16"/>
      <c r="F676" s="16"/>
      <c r="G676" s="16"/>
      <c r="H676" s="16"/>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16"/>
      <c r="AH676" s="16"/>
      <c r="AI676" s="16"/>
      <c r="AJ676" s="3"/>
      <c r="AK676" s="3"/>
      <c r="AL676" s="3"/>
      <c r="AM676" s="3"/>
      <c r="AN676" s="49"/>
      <c r="AO676" s="18"/>
    </row>
    <row r="677" spans="1:60" hidden="1">
      <c r="A677" s="3"/>
      <c r="B677" s="16"/>
      <c r="C677" s="16"/>
      <c r="D677" s="16"/>
      <c r="E677" s="16"/>
      <c r="F677" s="16"/>
      <c r="H677" s="16"/>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16"/>
      <c r="AH677" s="16"/>
      <c r="AI677" s="16"/>
      <c r="AJ677" s="3"/>
      <c r="AK677" s="3"/>
      <c r="AL677" s="3"/>
      <c r="AM677" s="3"/>
      <c r="AN677" s="49"/>
      <c r="AO677" s="18"/>
    </row>
    <row r="678" spans="1:60" hidden="1">
      <c r="A678" s="3"/>
      <c r="B678" s="16"/>
      <c r="C678" s="16"/>
      <c r="D678" s="16"/>
      <c r="E678" s="16"/>
      <c r="F678" s="16"/>
      <c r="G678" s="16"/>
      <c r="H678" s="16"/>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16"/>
      <c r="AH678" s="16"/>
      <c r="AI678" s="16"/>
      <c r="AJ678" s="3"/>
      <c r="AK678" s="3"/>
      <c r="AL678" s="3"/>
      <c r="AM678" s="3"/>
      <c r="AN678" s="49"/>
      <c r="AO678" s="18"/>
    </row>
    <row r="679" spans="1:60" hidden="1">
      <c r="A679" s="3"/>
      <c r="B679" s="16"/>
      <c r="C679" s="16"/>
      <c r="D679" s="16"/>
      <c r="E679" s="16"/>
      <c r="F679" s="16"/>
      <c r="G679" s="16"/>
      <c r="H679" s="16"/>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16"/>
      <c r="AH679" s="16"/>
      <c r="AI679" s="16"/>
      <c r="AJ679" s="3"/>
      <c r="AK679" s="3"/>
      <c r="AL679" s="3"/>
      <c r="AM679" s="3"/>
      <c r="AN679" s="49"/>
      <c r="AO679" s="18"/>
      <c r="BD679" s="18"/>
      <c r="BE679" s="18"/>
      <c r="BF679" s="18"/>
      <c r="BG679" s="18"/>
      <c r="BH679" s="18"/>
    </row>
    <row r="680" spans="1:60" hidden="1">
      <c r="A680" s="3"/>
      <c r="B680" s="16"/>
      <c r="C680" s="16"/>
      <c r="D680" s="16"/>
      <c r="E680" s="16"/>
      <c r="F680" s="16"/>
      <c r="G680" s="16"/>
      <c r="AG680" s="16"/>
      <c r="AH680" s="16"/>
      <c r="AI680" s="16"/>
      <c r="AJ680" s="3"/>
      <c r="AK680" s="3"/>
      <c r="AL680" s="3"/>
      <c r="AM680" s="3"/>
      <c r="AN680" s="49"/>
      <c r="AO680" s="18"/>
      <c r="BD680" s="18"/>
      <c r="BE680" s="18"/>
      <c r="BF680" s="18"/>
      <c r="BG680" s="18"/>
      <c r="BH680" s="18"/>
    </row>
    <row r="681" spans="1:60" hidden="1">
      <c r="A681" s="3"/>
      <c r="B681" s="16"/>
      <c r="C681" s="16"/>
      <c r="D681" s="16"/>
      <c r="E681" s="16"/>
      <c r="F681" s="16"/>
      <c r="L681" s="28"/>
      <c r="M681" s="28"/>
      <c r="N681" s="28"/>
      <c r="O681" s="28"/>
      <c r="P681" s="28"/>
      <c r="AG681" s="16"/>
      <c r="AH681" s="16"/>
      <c r="AI681" s="16"/>
      <c r="AJ681" s="3"/>
      <c r="AK681" s="3"/>
      <c r="AL681" s="3"/>
      <c r="AM681" s="3"/>
      <c r="AN681" s="49"/>
      <c r="AO681" s="18"/>
      <c r="BD681" s="18"/>
      <c r="BE681" s="18"/>
      <c r="BF681" s="18"/>
      <c r="BG681" s="18"/>
      <c r="BH681" s="18"/>
    </row>
    <row r="682" spans="1:60" hidden="1">
      <c r="A682" s="3"/>
      <c r="B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3"/>
      <c r="AK682" s="3"/>
      <c r="AL682" s="3"/>
      <c r="AM682" s="3"/>
      <c r="AN682" s="49"/>
      <c r="AO682" s="18"/>
    </row>
    <row r="683" spans="1:60">
      <c r="A683" s="3"/>
      <c r="B683" s="16"/>
      <c r="C683" s="16"/>
      <c r="D683" s="16"/>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O683" s="18"/>
    </row>
    <row r="684" spans="1:60">
      <c r="A684" s="128"/>
      <c r="B684" s="129"/>
      <c r="C684" s="61"/>
      <c r="D684" s="82"/>
      <c r="E684" s="61"/>
      <c r="F684" s="61"/>
      <c r="G684" s="61"/>
      <c r="H684" s="61"/>
      <c r="I684" s="61"/>
      <c r="J684" s="61"/>
      <c r="K684" s="61"/>
      <c r="L684" s="61"/>
      <c r="M684" s="61"/>
      <c r="N684" s="61"/>
      <c r="O684" s="61"/>
      <c r="P684" s="61"/>
      <c r="Q684" s="61"/>
      <c r="R684" s="61"/>
      <c r="S684" s="61"/>
      <c r="T684" s="61"/>
      <c r="U684" s="61"/>
      <c r="V684" s="61"/>
      <c r="W684" s="61"/>
      <c r="X684" s="61"/>
      <c r="Y684" s="61"/>
      <c r="Z684" s="61"/>
      <c r="AA684" s="61"/>
      <c r="AB684" s="61"/>
      <c r="AC684" s="61"/>
      <c r="AD684" s="61"/>
      <c r="AE684" s="61"/>
      <c r="AF684" s="61"/>
      <c r="AG684" s="61"/>
      <c r="AH684" s="61"/>
      <c r="AI684" s="788"/>
      <c r="AJ684" s="788" t="s">
        <v>2304</v>
      </c>
      <c r="AK684" s="1194">
        <f>$AO$651</f>
        <v>2</v>
      </c>
      <c r="AL684" s="1195"/>
      <c r="AM684" s="1196"/>
    </row>
    <row r="685" spans="1:60">
      <c r="A685" s="3"/>
      <c r="C685" s="3"/>
      <c r="D685" s="16"/>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836"/>
      <c r="AJ685" s="801"/>
      <c r="AM685" s="3"/>
    </row>
    <row r="686" spans="1:60">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O686" s="148"/>
      <c r="AP686" s="148"/>
      <c r="AQ686" s="148"/>
    </row>
    <row r="687" spans="1:60">
      <c r="A687" s="1667" t="s">
        <v>2305</v>
      </c>
      <c r="B687" s="1667"/>
      <c r="C687" s="1667"/>
      <c r="D687" s="1667"/>
      <c r="E687" s="1667"/>
      <c r="F687" s="1667"/>
      <c r="G687" s="1667"/>
      <c r="H687" s="1667"/>
      <c r="I687" s="1667"/>
      <c r="J687" s="1667"/>
      <c r="K687" s="1667"/>
      <c r="L687" s="1667"/>
      <c r="M687" s="1667"/>
      <c r="N687" s="1667"/>
      <c r="O687" s="1667"/>
      <c r="P687" s="1667"/>
      <c r="Q687" s="1667"/>
      <c r="R687" s="1667"/>
      <c r="S687" s="1667"/>
      <c r="T687" s="1667"/>
      <c r="U687" s="1667"/>
      <c r="V687" s="1667"/>
      <c r="W687" s="1667"/>
      <c r="X687" s="1667"/>
      <c r="Y687" s="1667"/>
      <c r="Z687" s="1667"/>
      <c r="AA687" s="1667"/>
      <c r="AB687" s="1667"/>
      <c r="AC687" s="1667"/>
      <c r="AD687" s="1667"/>
      <c r="AE687" s="1667"/>
      <c r="AF687" s="1667"/>
      <c r="AG687" s="1667"/>
      <c r="AH687" s="1667"/>
      <c r="AI687" s="1667"/>
      <c r="AJ687" s="1667"/>
      <c r="AK687" s="1667"/>
      <c r="AL687" s="1667"/>
      <c r="AM687" s="1667"/>
      <c r="AO687" s="148"/>
      <c r="AP687" s="148"/>
      <c r="AQ687" s="148"/>
    </row>
    <row r="688" spans="1:60">
      <c r="A688" s="1668"/>
      <c r="B688" s="1668"/>
      <c r="C688" s="1668"/>
      <c r="D688" s="1668"/>
      <c r="E688" s="1668"/>
      <c r="F688" s="1668"/>
      <c r="G688" s="1668"/>
      <c r="H688" s="1668"/>
      <c r="I688" s="1668"/>
      <c r="J688" s="1668"/>
      <c r="K688" s="1668"/>
      <c r="L688" s="1668"/>
      <c r="M688" s="1668"/>
      <c r="N688" s="1668"/>
      <c r="O688" s="1668"/>
      <c r="P688" s="1668"/>
      <c r="Q688" s="1668"/>
      <c r="R688" s="1668"/>
      <c r="S688" s="1668"/>
      <c r="T688" s="1668"/>
      <c r="U688" s="1668"/>
      <c r="V688" s="1668"/>
      <c r="W688" s="1668"/>
      <c r="X688" s="1668"/>
      <c r="Y688" s="1668"/>
      <c r="Z688" s="1668"/>
      <c r="AA688" s="1668"/>
      <c r="AB688" s="1668"/>
      <c r="AC688" s="1668"/>
      <c r="AD688" s="1668"/>
      <c r="AE688" s="1668"/>
      <c r="AF688" s="1668"/>
      <c r="AG688" s="1668"/>
      <c r="AH688" s="1668"/>
      <c r="AI688" s="1668"/>
      <c r="AJ688" s="1668"/>
      <c r="AK688" s="1668"/>
      <c r="AL688" s="1668"/>
      <c r="AM688" s="1668"/>
      <c r="AP688" s="148"/>
      <c r="AQ688" s="148"/>
    </row>
    <row r="689" spans="1:43">
      <c r="A689" s="3"/>
      <c r="B689" s="137"/>
      <c r="C689" s="138"/>
      <c r="D689" s="138"/>
      <c r="E689" s="138"/>
      <c r="F689" s="138"/>
      <c r="G689" s="138"/>
      <c r="H689" s="138"/>
      <c r="I689" s="816"/>
      <c r="J689" s="816"/>
      <c r="K689" s="816"/>
      <c r="L689" s="816"/>
      <c r="M689" s="816"/>
      <c r="N689" s="816"/>
      <c r="O689" s="816"/>
      <c r="P689" s="816"/>
      <c r="Q689" s="816"/>
      <c r="S689" s="2"/>
      <c r="T689" s="2"/>
      <c r="U689" s="2"/>
      <c r="V689" s="2"/>
      <c r="W689" s="2"/>
      <c r="X689" s="2"/>
      <c r="Y689" s="2"/>
      <c r="Z689" s="2"/>
      <c r="AA689" s="2"/>
      <c r="AB689" s="2"/>
      <c r="AC689" s="2"/>
      <c r="AD689" s="2"/>
      <c r="AE689" s="2"/>
      <c r="AG689" s="2"/>
      <c r="AH689" s="2"/>
      <c r="AI689" s="2"/>
      <c r="AJ689" s="2"/>
      <c r="AK689" s="3"/>
      <c r="AL689" s="3"/>
      <c r="AM689" s="20"/>
      <c r="AO689" s="345">
        <f>SUM(AO690:AO691)</f>
        <v>25</v>
      </c>
      <c r="AQ689" s="148"/>
    </row>
    <row r="690" spans="1:43">
      <c r="A690" s="1524" t="s">
        <v>2306</v>
      </c>
      <c r="B690" s="1524"/>
      <c r="C690" s="1524"/>
      <c r="D690" s="1524"/>
      <c r="E690" s="1524"/>
      <c r="F690" s="1524"/>
      <c r="G690" s="1524"/>
      <c r="H690" s="1524"/>
      <c r="I690" s="1524"/>
      <c r="J690" s="1524"/>
      <c r="K690" s="1524"/>
      <c r="L690" s="1524"/>
      <c r="M690" s="1524"/>
      <c r="N690" s="1524"/>
      <c r="O690" s="1524"/>
      <c r="P690" s="1524"/>
      <c r="Q690" s="1524"/>
      <c r="R690" s="1524"/>
      <c r="S690" s="1524"/>
      <c r="T690" s="1524"/>
      <c r="U690" s="1524"/>
      <c r="V690" s="1524"/>
      <c r="W690" s="1524"/>
      <c r="X690" s="1524"/>
      <c r="Y690" s="1524"/>
      <c r="Z690" s="1524"/>
      <c r="AA690" s="1524"/>
      <c r="AB690" s="1524"/>
      <c r="AC690" s="1524"/>
      <c r="AD690" s="1524"/>
      <c r="AE690" s="1524"/>
      <c r="AF690" s="1524"/>
      <c r="AG690" s="1524"/>
      <c r="AH690" s="1524"/>
      <c r="AI690" s="1524"/>
      <c r="AJ690" s="1524"/>
      <c r="AK690" s="1524"/>
      <c r="AL690" s="1524"/>
      <c r="AM690" s="1524"/>
      <c r="AO690" s="148">
        <f>IF(T699&gt;15,15,T699)</f>
        <v>15</v>
      </c>
      <c r="AP690" s="148"/>
      <c r="AQ690" s="148"/>
    </row>
    <row r="691" spans="1:43">
      <c r="A691" s="1524" t="s">
        <v>2307</v>
      </c>
      <c r="B691" s="1524"/>
      <c r="C691" s="1524"/>
      <c r="D691" s="1524"/>
      <c r="E691" s="1524"/>
      <c r="F691" s="1524"/>
      <c r="G691" s="1524"/>
      <c r="H691" s="1524"/>
      <c r="I691" s="1524"/>
      <c r="J691" s="1524"/>
      <c r="K691" s="1524"/>
      <c r="L691" s="1524"/>
      <c r="M691" s="1524"/>
      <c r="N691" s="1524"/>
      <c r="O691" s="1524"/>
      <c r="P691" s="1524"/>
      <c r="Q691" s="1524"/>
      <c r="R691" s="1524"/>
      <c r="S691" s="1524"/>
      <c r="T691" s="1524"/>
      <c r="U691" s="1524"/>
      <c r="V691" s="1524"/>
      <c r="W691" s="1524"/>
      <c r="X691" s="1524"/>
      <c r="Y691" s="1524"/>
      <c r="Z691" s="1524"/>
      <c r="AA691" s="1524"/>
      <c r="AB691" s="1524"/>
      <c r="AC691" s="1524"/>
      <c r="AD691" s="1524"/>
      <c r="AE691" s="1524"/>
      <c r="AF691" s="1524"/>
      <c r="AG691" s="1524"/>
      <c r="AH691" s="1524"/>
      <c r="AI691" s="1524"/>
      <c r="AJ691" s="1524"/>
      <c r="AK691" s="1524"/>
      <c r="AL691" s="1524"/>
      <c r="AM691" s="1524"/>
      <c r="AO691" s="148">
        <f>IF(T700&gt;10,10,T700)</f>
        <v>10</v>
      </c>
      <c r="AP691" s="148"/>
      <c r="AQ691" s="148"/>
    </row>
    <row r="692" spans="1:43">
      <c r="A692" s="208"/>
      <c r="B692" s="154"/>
      <c r="C692" s="154"/>
      <c r="D692" s="154"/>
      <c r="E692" s="154"/>
      <c r="F692" s="154"/>
      <c r="G692" s="154"/>
      <c r="H692" s="154"/>
      <c r="I692" s="154"/>
      <c r="J692" s="154"/>
      <c r="K692" s="154"/>
      <c r="L692" s="154"/>
      <c r="M692" s="154"/>
      <c r="N692" s="154"/>
      <c r="O692" s="154"/>
      <c r="P692" s="154"/>
      <c r="Q692" s="154"/>
      <c r="R692" s="154"/>
      <c r="S692" s="155"/>
      <c r="T692" s="1419" t="s">
        <v>2308</v>
      </c>
      <c r="U692" s="1128"/>
      <c r="V692" s="1128"/>
      <c r="W692" s="1128"/>
      <c r="X692" s="1128"/>
      <c r="Y692" s="1129"/>
      <c r="Z692" s="1419" t="s">
        <v>2309</v>
      </c>
      <c r="AA692" s="1128"/>
      <c r="AB692" s="1128"/>
      <c r="AC692" s="1128"/>
      <c r="AD692" s="1128"/>
      <c r="AE692" s="1129"/>
      <c r="AF692" s="1419" t="s">
        <v>2310</v>
      </c>
      <c r="AG692" s="1128"/>
      <c r="AH692" s="1128"/>
      <c r="AI692" s="1128"/>
      <c r="AJ692" s="1128"/>
      <c r="AK692" s="1129"/>
      <c r="AL692" s="806"/>
      <c r="AM692" s="17"/>
    </row>
    <row r="693" spans="1:43">
      <c r="A693" s="165"/>
      <c r="B693" s="123"/>
      <c r="C693" s="123"/>
      <c r="D693" s="123"/>
      <c r="E693" s="123"/>
      <c r="F693" s="123"/>
      <c r="G693" s="123"/>
      <c r="H693" s="123"/>
      <c r="I693" s="123"/>
      <c r="J693" s="123"/>
      <c r="K693" s="123"/>
      <c r="L693" s="123"/>
      <c r="M693" s="123"/>
      <c r="N693" s="123"/>
      <c r="O693" s="123"/>
      <c r="P693" s="123"/>
      <c r="Q693" s="123"/>
      <c r="R693" s="123"/>
      <c r="S693" s="124"/>
      <c r="T693" s="1120"/>
      <c r="U693" s="1121"/>
      <c r="V693" s="1121"/>
      <c r="W693" s="1121"/>
      <c r="X693" s="1121"/>
      <c r="Y693" s="1122"/>
      <c r="Z693" s="1120"/>
      <c r="AA693" s="1121"/>
      <c r="AB693" s="1121"/>
      <c r="AC693" s="1121"/>
      <c r="AD693" s="1121"/>
      <c r="AE693" s="1122"/>
      <c r="AF693" s="1120"/>
      <c r="AG693" s="1121"/>
      <c r="AH693" s="1121"/>
      <c r="AI693" s="1121"/>
      <c r="AJ693" s="1121"/>
      <c r="AK693" s="1122"/>
      <c r="AL693" s="806"/>
      <c r="AM693" s="17"/>
    </row>
    <row r="694" spans="1:43">
      <c r="A694" s="837" t="s">
        <v>854</v>
      </c>
      <c r="B694" s="1638" t="s">
        <v>2311</v>
      </c>
      <c r="C694" s="1638"/>
      <c r="D694" s="1638"/>
      <c r="E694" s="1638"/>
      <c r="F694" s="1638"/>
      <c r="G694" s="1638"/>
      <c r="H694" s="1638"/>
      <c r="I694" s="1638"/>
      <c r="J694" s="1638"/>
      <c r="K694" s="1638"/>
      <c r="L694" s="1638"/>
      <c r="M694" s="1638"/>
      <c r="N694" s="1638"/>
      <c r="O694" s="1638"/>
      <c r="P694" s="1638"/>
      <c r="Q694" s="1638"/>
      <c r="R694" s="1638"/>
      <c r="S694" s="1639"/>
      <c r="T694" s="1637">
        <f>SUM(T695:Y696)</f>
        <v>10</v>
      </c>
      <c r="U694" s="1637"/>
      <c r="V694" s="1637"/>
      <c r="W694" s="1637"/>
      <c r="X694" s="1637"/>
      <c r="Y694" s="1637"/>
      <c r="Z694" s="1130">
        <v>10</v>
      </c>
      <c r="AA694" s="1130"/>
      <c r="AB694" s="1130"/>
      <c r="AC694" s="1130"/>
      <c r="AD694" s="1130"/>
      <c r="AE694" s="1130"/>
      <c r="AF694" s="1130">
        <f>IF(T694&gt;Z694,Z694,T694)</f>
        <v>10</v>
      </c>
      <c r="AG694" s="1130"/>
      <c r="AH694" s="1130"/>
      <c r="AI694" s="1130"/>
      <c r="AJ694" s="1130"/>
      <c r="AK694" s="1130"/>
      <c r="AL694" s="806"/>
      <c r="AM694" s="17"/>
      <c r="AO694" s="3">
        <f>IF(T703&gt;50,50,T703)</f>
        <v>50</v>
      </c>
    </row>
    <row r="695" spans="1:43">
      <c r="A695" s="468"/>
      <c r="B695" s="469"/>
      <c r="C695" s="474"/>
      <c r="D695" s="227" t="s">
        <v>2312</v>
      </c>
      <c r="E695" s="1641" t="s">
        <v>2313</v>
      </c>
      <c r="F695" s="1641"/>
      <c r="G695" s="1641"/>
      <c r="H695" s="1641"/>
      <c r="I695" s="1641"/>
      <c r="J695" s="1641"/>
      <c r="K695" s="1641"/>
      <c r="L695" s="1641"/>
      <c r="M695" s="1641"/>
      <c r="N695" s="1641"/>
      <c r="O695" s="1641"/>
      <c r="P695" s="1641"/>
      <c r="Q695" s="1641"/>
      <c r="R695" s="1641"/>
      <c r="S695" s="1642"/>
      <c r="T695" s="1640">
        <f>AJ31</f>
        <v>7</v>
      </c>
      <c r="U695" s="1640"/>
      <c r="V695" s="1640"/>
      <c r="W695" s="1640"/>
      <c r="X695" s="1640"/>
      <c r="Y695" s="1640"/>
      <c r="Z695" s="1395">
        <v>7</v>
      </c>
      <c r="AA695" s="1395"/>
      <c r="AB695" s="1395"/>
      <c r="AC695" s="1395"/>
      <c r="AD695" s="1395"/>
      <c r="AE695" s="1395"/>
      <c r="AF695" s="1653"/>
      <c r="AG695" s="1653"/>
      <c r="AH695" s="1653"/>
      <c r="AI695" s="1653"/>
      <c r="AJ695" s="1653"/>
      <c r="AK695" s="1653"/>
      <c r="AL695" s="806"/>
      <c r="AM695" s="17"/>
    </row>
    <row r="696" spans="1:43">
      <c r="A696" s="470"/>
      <c r="B696" s="469"/>
      <c r="C696" s="469"/>
      <c r="D696" s="227" t="s">
        <v>2314</v>
      </c>
      <c r="E696" s="1641" t="s">
        <v>2315</v>
      </c>
      <c r="F696" s="1641"/>
      <c r="G696" s="1641"/>
      <c r="H696" s="1641"/>
      <c r="I696" s="1641"/>
      <c r="J696" s="1641"/>
      <c r="K696" s="1641"/>
      <c r="L696" s="1641"/>
      <c r="M696" s="1641"/>
      <c r="N696" s="1641"/>
      <c r="O696" s="1641"/>
      <c r="P696" s="1641"/>
      <c r="Q696" s="1641"/>
      <c r="R696" s="1641"/>
      <c r="S696" s="1642"/>
      <c r="T696" s="1640">
        <f>AJ47</f>
        <v>3</v>
      </c>
      <c r="U696" s="1640"/>
      <c r="V696" s="1640"/>
      <c r="W696" s="1640"/>
      <c r="X696" s="1640"/>
      <c r="Y696" s="1640"/>
      <c r="Z696" s="1395">
        <v>3</v>
      </c>
      <c r="AA696" s="1395"/>
      <c r="AB696" s="1395"/>
      <c r="AC696" s="1395"/>
      <c r="AD696" s="1395"/>
      <c r="AE696" s="1395"/>
      <c r="AF696" s="1653"/>
      <c r="AG696" s="1653"/>
      <c r="AH696" s="1653"/>
      <c r="AI696" s="1653"/>
      <c r="AJ696" s="1653"/>
      <c r="AK696" s="1653"/>
      <c r="AL696" s="806"/>
      <c r="AM696" s="17"/>
    </row>
    <row r="697" spans="1:43">
      <c r="A697" s="837" t="s">
        <v>889</v>
      </c>
      <c r="B697" s="1638" t="s">
        <v>2316</v>
      </c>
      <c r="C697" s="1638"/>
      <c r="D697" s="1638"/>
      <c r="E697" s="1638"/>
      <c r="F697" s="1638"/>
      <c r="G697" s="1638"/>
      <c r="H697" s="1638"/>
      <c r="I697" s="1638"/>
      <c r="J697" s="1638"/>
      <c r="K697" s="1638"/>
      <c r="L697" s="1638"/>
      <c r="M697" s="1638"/>
      <c r="N697" s="1638"/>
      <c r="O697" s="1638"/>
      <c r="P697" s="1638"/>
      <c r="Q697" s="1638"/>
      <c r="R697" s="1638"/>
      <c r="S697" s="1639"/>
      <c r="T697" s="1637">
        <f>AK68</f>
        <v>10</v>
      </c>
      <c r="U697" s="1637"/>
      <c r="V697" s="1637"/>
      <c r="W697" s="1637"/>
      <c r="X697" s="1637"/>
      <c r="Y697" s="1637"/>
      <c r="Z697" s="1130">
        <v>10</v>
      </c>
      <c r="AA697" s="1130"/>
      <c r="AB697" s="1130"/>
      <c r="AC697" s="1130"/>
      <c r="AD697" s="1130"/>
      <c r="AE697" s="1130"/>
      <c r="AF697" s="1130">
        <f>IF(T697&gt;Z697,Z697,T697)</f>
        <v>10</v>
      </c>
      <c r="AG697" s="1130"/>
      <c r="AH697" s="1130"/>
      <c r="AI697" s="1130"/>
      <c r="AJ697" s="1130"/>
      <c r="AK697" s="1130"/>
      <c r="AL697" s="806"/>
      <c r="AM697" s="17"/>
    </row>
    <row r="698" spans="1:43">
      <c r="A698" s="837" t="s">
        <v>973</v>
      </c>
      <c r="B698" s="1638" t="s">
        <v>2317</v>
      </c>
      <c r="C698" s="1638"/>
      <c r="D698" s="1638"/>
      <c r="E698" s="1638"/>
      <c r="F698" s="1638"/>
      <c r="G698" s="1638"/>
      <c r="H698" s="1638"/>
      <c r="I698" s="1638"/>
      <c r="J698" s="1638"/>
      <c r="K698" s="1638"/>
      <c r="L698" s="1638"/>
      <c r="M698" s="1638"/>
      <c r="N698" s="1638"/>
      <c r="O698" s="1638"/>
      <c r="P698" s="1638"/>
      <c r="Q698" s="1638"/>
      <c r="R698" s="1638"/>
      <c r="S698" s="1639"/>
      <c r="T698" s="1637">
        <f>AO689</f>
        <v>25</v>
      </c>
      <c r="U698" s="1637">
        <f>IF(AND(AND(A699&gt;15,15+A700),A700&gt;10,A699+10),A698,0)</f>
        <v>0</v>
      </c>
      <c r="V698" s="1637">
        <f>IF(AND(AND(B699&gt;15,15+B700),B700&gt;10,B699+10),#REF!,0)</f>
        <v>0</v>
      </c>
      <c r="W698" s="1637">
        <f>IF(AND(AND(C699&gt;15,15+C700),C700&gt;10,C699+10),B698,0)</f>
        <v>0</v>
      </c>
      <c r="X698" s="1637" t="e">
        <f>IF(AND(AND(D699&gt;15,15+D700),D700&gt;10,D699+10),D698,0)</f>
        <v>#VALUE!</v>
      </c>
      <c r="Y698" s="1637" t="e">
        <f>IF(AND(AND(E699&gt;15,15+E700),E700&gt;10,E699+10),E698,0)</f>
        <v>#VALUE!</v>
      </c>
      <c r="Z698" s="1130">
        <v>25</v>
      </c>
      <c r="AA698" s="1130"/>
      <c r="AB698" s="1130"/>
      <c r="AC698" s="1130"/>
      <c r="AD698" s="1130"/>
      <c r="AE698" s="1130"/>
      <c r="AF698" s="1130">
        <f>IF(T698&gt;Z698,Z698,T698)</f>
        <v>25</v>
      </c>
      <c r="AG698" s="1130"/>
      <c r="AH698" s="1130"/>
      <c r="AI698" s="1130"/>
      <c r="AJ698" s="1130"/>
      <c r="AK698" s="1130"/>
      <c r="AL698" s="806"/>
      <c r="AM698" s="17"/>
    </row>
    <row r="699" spans="1:43">
      <c r="A699" s="837"/>
      <c r="B699" s="469"/>
      <c r="C699" s="469"/>
      <c r="D699" s="227" t="s">
        <v>1067</v>
      </c>
      <c r="E699" s="1641" t="s">
        <v>2318</v>
      </c>
      <c r="F699" s="1641"/>
      <c r="G699" s="1641"/>
      <c r="H699" s="1641"/>
      <c r="I699" s="1641"/>
      <c r="J699" s="1641"/>
      <c r="K699" s="1641"/>
      <c r="L699" s="1641"/>
      <c r="M699" s="1641"/>
      <c r="N699" s="1641"/>
      <c r="O699" s="1641"/>
      <c r="P699" s="1641"/>
      <c r="Q699" s="1641"/>
      <c r="R699" s="1641"/>
      <c r="S699" s="1642"/>
      <c r="T699" s="1640">
        <f>AK280</f>
        <v>18</v>
      </c>
      <c r="U699" s="1640"/>
      <c r="V699" s="1640"/>
      <c r="W699" s="1640"/>
      <c r="X699" s="1640"/>
      <c r="Y699" s="1640"/>
      <c r="Z699" s="1395">
        <v>15</v>
      </c>
      <c r="AA699" s="1395"/>
      <c r="AB699" s="1395"/>
      <c r="AC699" s="1395"/>
      <c r="AD699" s="1395"/>
      <c r="AE699" s="1395"/>
      <c r="AF699" s="1653"/>
      <c r="AG699" s="1653"/>
      <c r="AH699" s="1653"/>
      <c r="AI699" s="1653"/>
      <c r="AJ699" s="1653"/>
      <c r="AK699" s="1653"/>
      <c r="AL699" s="806"/>
      <c r="AM699" s="17"/>
    </row>
    <row r="700" spans="1:43">
      <c r="A700" s="471"/>
      <c r="B700" s="58"/>
      <c r="C700" s="58"/>
      <c r="D700" s="472" t="s">
        <v>1079</v>
      </c>
      <c r="E700" s="1641" t="s">
        <v>2319</v>
      </c>
      <c r="F700" s="1641"/>
      <c r="G700" s="1641"/>
      <c r="H700" s="1641"/>
      <c r="I700" s="1641"/>
      <c r="J700" s="1641"/>
      <c r="K700" s="1641"/>
      <c r="L700" s="1641"/>
      <c r="M700" s="1641"/>
      <c r="N700" s="1641"/>
      <c r="O700" s="1641"/>
      <c r="P700" s="1641"/>
      <c r="Q700" s="1641"/>
      <c r="R700" s="1641"/>
      <c r="S700" s="1642"/>
      <c r="T700" s="1640">
        <f>AK471</f>
        <v>10</v>
      </c>
      <c r="U700" s="1640"/>
      <c r="V700" s="1640"/>
      <c r="W700" s="1640"/>
      <c r="X700" s="1640"/>
      <c r="Y700" s="1640"/>
      <c r="Z700" s="1395">
        <v>10</v>
      </c>
      <c r="AA700" s="1395"/>
      <c r="AB700" s="1395"/>
      <c r="AC700" s="1395"/>
      <c r="AD700" s="1395"/>
      <c r="AE700" s="1395"/>
      <c r="AF700" s="1653"/>
      <c r="AG700" s="1653"/>
      <c r="AH700" s="1653"/>
      <c r="AI700" s="1653"/>
      <c r="AJ700" s="1653"/>
      <c r="AK700" s="1653"/>
      <c r="AL700" s="806"/>
      <c r="AM700" s="17"/>
    </row>
    <row r="701" spans="1:43" hidden="1">
      <c r="A701" s="837" t="s">
        <v>994</v>
      </c>
      <c r="B701" s="1638" t="s">
        <v>2320</v>
      </c>
      <c r="C701" s="1638"/>
      <c r="D701" s="1638"/>
      <c r="E701" s="1638"/>
      <c r="F701" s="1638"/>
      <c r="G701" s="1638"/>
      <c r="H701" s="1638"/>
      <c r="I701" s="1638"/>
      <c r="J701" s="1638"/>
      <c r="K701" s="1638"/>
      <c r="L701" s="1638"/>
      <c r="M701" s="1638"/>
      <c r="N701" s="1638"/>
      <c r="O701" s="1638"/>
      <c r="P701" s="1638"/>
      <c r="Q701" s="1638"/>
      <c r="R701" s="1638"/>
      <c r="S701" s="1639"/>
      <c r="T701" s="1637"/>
      <c r="U701" s="1637"/>
      <c r="V701" s="1637"/>
      <c r="W701" s="1637"/>
      <c r="X701" s="1637"/>
      <c r="Y701" s="1637"/>
      <c r="Z701" s="1130"/>
      <c r="AA701" s="1130"/>
      <c r="AB701" s="1130"/>
      <c r="AC701" s="1130"/>
      <c r="AD701" s="1130"/>
      <c r="AE701" s="1130"/>
      <c r="AF701" s="1130"/>
      <c r="AG701" s="1130"/>
      <c r="AH701" s="1130"/>
      <c r="AI701" s="1130"/>
      <c r="AJ701" s="1130"/>
      <c r="AK701" s="1130"/>
      <c r="AL701" s="806"/>
      <c r="AM701" s="17"/>
    </row>
    <row r="702" spans="1:43">
      <c r="A702" s="837" t="s">
        <v>994</v>
      </c>
      <c r="B702" s="1638" t="s">
        <v>2321</v>
      </c>
      <c r="C702" s="1638"/>
      <c r="D702" s="1638"/>
      <c r="E702" s="1638"/>
      <c r="F702" s="1638"/>
      <c r="G702" s="1638"/>
      <c r="H702" s="1638"/>
      <c r="I702" s="1638"/>
      <c r="J702" s="1638"/>
      <c r="K702" s="1638"/>
      <c r="L702" s="1638"/>
      <c r="M702" s="1638"/>
      <c r="N702" s="1638"/>
      <c r="O702" s="1638"/>
      <c r="P702" s="1638"/>
      <c r="Q702" s="1638"/>
      <c r="R702" s="1638"/>
      <c r="S702" s="1639"/>
      <c r="T702" s="1657">
        <f>IF(SUM(T703:Y704)&gt;52,52,SUM(T703:Y704))</f>
        <v>52</v>
      </c>
      <c r="U702" s="1633"/>
      <c r="V702" s="1633"/>
      <c r="W702" s="1633"/>
      <c r="X702" s="1633"/>
      <c r="Y702" s="1633"/>
      <c r="Z702" s="1633">
        <v>52</v>
      </c>
      <c r="AA702" s="1633"/>
      <c r="AB702" s="1633"/>
      <c r="AC702" s="1633"/>
      <c r="AD702" s="1633"/>
      <c r="AE702" s="1633"/>
      <c r="AF702" s="1633">
        <f>$AO$694+$T$704</f>
        <v>52</v>
      </c>
      <c r="AG702" s="1633"/>
      <c r="AH702" s="1633"/>
      <c r="AI702" s="1633"/>
      <c r="AJ702" s="1633"/>
      <c r="AK702" s="1633"/>
      <c r="AL702" s="806"/>
      <c r="AM702" s="17"/>
    </row>
    <row r="703" spans="1:43">
      <c r="A703" s="473"/>
      <c r="B703" s="475"/>
      <c r="C703" s="475"/>
      <c r="D703" s="476" t="s">
        <v>2322</v>
      </c>
      <c r="E703" s="1641" t="s">
        <v>2323</v>
      </c>
      <c r="F703" s="1641"/>
      <c r="G703" s="1641"/>
      <c r="H703" s="1641"/>
      <c r="I703" s="1641"/>
      <c r="J703" s="1641"/>
      <c r="K703" s="1641"/>
      <c r="L703" s="1641"/>
      <c r="M703" s="1641"/>
      <c r="N703" s="1641"/>
      <c r="O703" s="1641"/>
      <c r="P703" s="1641"/>
      <c r="Q703" s="1641"/>
      <c r="R703" s="1641"/>
      <c r="S703" s="1642"/>
      <c r="T703" s="1634">
        <f>AC589</f>
        <v>60</v>
      </c>
      <c r="U703" s="1635"/>
      <c r="V703" s="1635"/>
      <c r="W703" s="1635"/>
      <c r="X703" s="1635"/>
      <c r="Y703" s="1636"/>
      <c r="Z703" s="1634">
        <v>50</v>
      </c>
      <c r="AA703" s="1635"/>
      <c r="AB703" s="1635"/>
      <c r="AC703" s="1635"/>
      <c r="AD703" s="1635"/>
      <c r="AE703" s="1636"/>
      <c r="AF703" s="1664"/>
      <c r="AG703" s="1665"/>
      <c r="AH703" s="1665"/>
      <c r="AI703" s="1665"/>
      <c r="AJ703" s="1665"/>
      <c r="AK703" s="1666"/>
      <c r="AL703" s="806"/>
      <c r="AM703" s="3"/>
    </row>
    <row r="704" spans="1:43">
      <c r="A704" s="477"/>
      <c r="B704" s="469"/>
      <c r="C704" s="469"/>
      <c r="D704" s="227" t="s">
        <v>2324</v>
      </c>
      <c r="E704" s="1641" t="s">
        <v>2325</v>
      </c>
      <c r="F704" s="1641"/>
      <c r="G704" s="1641"/>
      <c r="H704" s="1641"/>
      <c r="I704" s="1641"/>
      <c r="J704" s="1641"/>
      <c r="K704" s="1641"/>
      <c r="L704" s="1641"/>
      <c r="M704" s="1641"/>
      <c r="N704" s="1641"/>
      <c r="O704" s="1641"/>
      <c r="P704" s="1641"/>
      <c r="Q704" s="1641"/>
      <c r="R704" s="1641"/>
      <c r="S704" s="1642"/>
      <c r="T704" s="1380">
        <f>IF(AJ613&gt;0,2,0)</f>
        <v>2</v>
      </c>
      <c r="U704" s="1381"/>
      <c r="V704" s="1381"/>
      <c r="W704" s="1381"/>
      <c r="X704" s="1381"/>
      <c r="Y704" s="1382"/>
      <c r="Z704" s="1194">
        <v>2</v>
      </c>
      <c r="AA704" s="1195"/>
      <c r="AB704" s="1195"/>
      <c r="AC704" s="1195"/>
      <c r="AD704" s="1195"/>
      <c r="AE704" s="1196"/>
      <c r="AF704" s="1654"/>
      <c r="AG704" s="1655"/>
      <c r="AH704" s="1655"/>
      <c r="AI704" s="1655"/>
      <c r="AJ704" s="1655"/>
      <c r="AK704" s="1656"/>
      <c r="AL704" s="806"/>
      <c r="AM704" s="3"/>
    </row>
    <row r="705" spans="1:39">
      <c r="A705" s="473" t="s">
        <v>1009</v>
      </c>
      <c r="B705" s="1638" t="s">
        <v>2326</v>
      </c>
      <c r="C705" s="1638"/>
      <c r="D705" s="1638"/>
      <c r="E705" s="1638"/>
      <c r="F705" s="1638"/>
      <c r="G705" s="1638"/>
      <c r="H705" s="1638"/>
      <c r="I705" s="1638"/>
      <c r="J705" s="1638"/>
      <c r="K705" s="1638"/>
      <c r="L705" s="1638"/>
      <c r="M705" s="1638"/>
      <c r="N705" s="1638"/>
      <c r="O705" s="1638"/>
      <c r="P705" s="1638"/>
      <c r="Q705" s="1638"/>
      <c r="R705" s="1638"/>
      <c r="S705" s="1639"/>
      <c r="T705" s="1637">
        <f>AK641</f>
        <v>10</v>
      </c>
      <c r="U705" s="1637"/>
      <c r="V705" s="1637"/>
      <c r="W705" s="1637"/>
      <c r="X705" s="1637"/>
      <c r="Y705" s="1637"/>
      <c r="Z705" s="1130">
        <v>10</v>
      </c>
      <c r="AA705" s="1130"/>
      <c r="AB705" s="1130"/>
      <c r="AC705" s="1130"/>
      <c r="AD705" s="1130"/>
      <c r="AE705" s="1130"/>
      <c r="AF705" s="1253">
        <f>IF(T705&gt;Z705,Z705,T705)</f>
        <v>10</v>
      </c>
      <c r="AG705" s="1254"/>
      <c r="AH705" s="1254"/>
      <c r="AI705" s="1254"/>
      <c r="AJ705" s="1254"/>
      <c r="AK705" s="1270"/>
      <c r="AL705" s="806"/>
      <c r="AM705" s="17"/>
    </row>
    <row r="706" spans="1:39">
      <c r="A706" s="473" t="s">
        <v>1019</v>
      </c>
      <c r="B706" s="1638" t="s">
        <v>2327</v>
      </c>
      <c r="C706" s="1638"/>
      <c r="D706" s="1638"/>
      <c r="E706" s="1638"/>
      <c r="F706" s="1638"/>
      <c r="G706" s="1638"/>
      <c r="H706" s="1638"/>
      <c r="I706" s="1638"/>
      <c r="J706" s="1638"/>
      <c r="K706" s="1638"/>
      <c r="L706" s="1638"/>
      <c r="M706" s="1638"/>
      <c r="N706" s="1638"/>
      <c r="O706" s="1638"/>
      <c r="P706" s="1638"/>
      <c r="Q706" s="1638"/>
      <c r="R706" s="1638"/>
      <c r="S706" s="1639"/>
      <c r="T706" s="1658">
        <f>IF(AK684&gt;2,2,AK684)</f>
        <v>2</v>
      </c>
      <c r="U706" s="1659"/>
      <c r="V706" s="1659"/>
      <c r="W706" s="1659"/>
      <c r="X706" s="1659"/>
      <c r="Y706" s="1660"/>
      <c r="Z706" s="1253">
        <v>2</v>
      </c>
      <c r="AA706" s="1254"/>
      <c r="AB706" s="1254"/>
      <c r="AC706" s="1254"/>
      <c r="AD706" s="1254"/>
      <c r="AE706" s="1270"/>
      <c r="AF706" s="1253">
        <f>IF(T706&gt;Z706,Z706,T706)</f>
        <v>2</v>
      </c>
      <c r="AG706" s="1863"/>
      <c r="AH706" s="1863"/>
      <c r="AI706" s="1863"/>
      <c r="AJ706" s="1863"/>
      <c r="AK706" s="1864"/>
      <c r="AL706" s="2"/>
      <c r="AM706" s="17"/>
    </row>
    <row r="707" spans="1:39">
      <c r="A707" s="1726" t="s">
        <v>2328</v>
      </c>
      <c r="B707" s="1638"/>
      <c r="C707" s="1638"/>
      <c r="D707" s="1638"/>
      <c r="E707" s="1638"/>
      <c r="F707" s="1638"/>
      <c r="G707" s="1638"/>
      <c r="H707" s="1638"/>
      <c r="I707" s="1638"/>
      <c r="J707" s="1638"/>
      <c r="K707" s="1638"/>
      <c r="L707" s="1638"/>
      <c r="M707" s="1638"/>
      <c r="N707" s="1638"/>
      <c r="O707" s="1638"/>
      <c r="P707" s="1638"/>
      <c r="Q707" s="1638"/>
      <c r="R707" s="1638"/>
      <c r="S707" s="1639"/>
      <c r="T707" s="1274"/>
      <c r="U707" s="1274"/>
      <c r="V707" s="1274"/>
      <c r="W707" s="1274"/>
      <c r="X707" s="1274"/>
      <c r="Y707" s="1274"/>
      <c r="Z707" s="1395" t="s">
        <v>2329</v>
      </c>
      <c r="AA707" s="1395"/>
      <c r="AB707" s="1395"/>
      <c r="AC707" s="1395"/>
      <c r="AD707" s="1395"/>
      <c r="AE707" s="1395"/>
      <c r="AF707" s="1253">
        <f>IF(T707&gt;0,T707,0)</f>
        <v>0</v>
      </c>
      <c r="AG707" s="1254"/>
      <c r="AH707" s="1254"/>
      <c r="AI707" s="1254"/>
      <c r="AJ707" s="1254"/>
      <c r="AK707" s="1270"/>
      <c r="AL707" s="815"/>
      <c r="AM707" s="17"/>
    </row>
    <row r="708" spans="1:39" ht="15.75">
      <c r="A708" s="1716" t="s">
        <v>2330</v>
      </c>
      <c r="B708" s="1717"/>
      <c r="C708" s="1717"/>
      <c r="D708" s="1717"/>
      <c r="E708" s="1717"/>
      <c r="F708" s="1717"/>
      <c r="G708" s="1717"/>
      <c r="H708" s="1717"/>
      <c r="I708" s="1717"/>
      <c r="J708" s="1717"/>
      <c r="K708" s="1717"/>
      <c r="L708" s="1717"/>
      <c r="M708" s="1717"/>
      <c r="N708" s="1717"/>
      <c r="O708" s="1717"/>
      <c r="P708" s="1717"/>
      <c r="Q708" s="1717"/>
      <c r="R708" s="1717"/>
      <c r="S708" s="1717"/>
      <c r="T708" s="1717"/>
      <c r="U708" s="1717"/>
      <c r="V708" s="1717"/>
      <c r="W708" s="1717"/>
      <c r="X708" s="1717"/>
      <c r="Y708" s="1717"/>
      <c r="Z708" s="1717"/>
      <c r="AA708" s="1717"/>
      <c r="AB708" s="1717"/>
      <c r="AC708" s="1717"/>
      <c r="AD708" s="1717"/>
      <c r="AE708" s="1718"/>
      <c r="AF708" s="1643">
        <f>SUM(AF694:AK706)-AF707</f>
        <v>109</v>
      </c>
      <c r="AG708" s="1644"/>
      <c r="AH708" s="1644"/>
      <c r="AI708" s="1644"/>
      <c r="AJ708" s="1644"/>
      <c r="AK708" s="1645"/>
      <c r="AL708" s="604"/>
      <c r="AM708" s="3"/>
    </row>
    <row r="709" spans="1:39" ht="12.4" customHeight="1">
      <c r="A709" s="1719"/>
      <c r="B709" s="1720"/>
      <c r="C709" s="1720"/>
      <c r="D709" s="1720"/>
      <c r="E709" s="1720"/>
      <c r="F709" s="1720"/>
      <c r="G709" s="1720"/>
      <c r="H709" s="1720"/>
      <c r="I709" s="1720"/>
      <c r="J709" s="1720"/>
      <c r="K709" s="1720"/>
      <c r="L709" s="1720"/>
      <c r="M709" s="1720"/>
      <c r="N709" s="1720"/>
      <c r="O709" s="1720"/>
      <c r="P709" s="1720"/>
      <c r="Q709" s="1720"/>
      <c r="R709" s="1720"/>
      <c r="S709" s="1720"/>
      <c r="T709" s="1720"/>
      <c r="U709" s="1720"/>
      <c r="V709" s="1720"/>
      <c r="W709" s="1720"/>
      <c r="X709" s="1720"/>
      <c r="Y709" s="1720"/>
      <c r="Z709" s="1720"/>
      <c r="AA709" s="1720"/>
      <c r="AB709" s="1720"/>
      <c r="AC709" s="1720"/>
      <c r="AD709" s="1720"/>
      <c r="AE709" s="1721"/>
      <c r="AF709" s="1646"/>
      <c r="AG709" s="1647"/>
      <c r="AH709" s="1647"/>
      <c r="AI709" s="1647"/>
      <c r="AJ709" s="1647"/>
      <c r="AK709" s="1648"/>
      <c r="AL709" s="604"/>
      <c r="AM709" s="3"/>
    </row>
    <row r="710" spans="1:39" ht="56.25" customHeight="1">
      <c r="A710" s="928" t="s">
        <v>2331</v>
      </c>
      <c r="B710" s="928"/>
      <c r="C710" s="928"/>
      <c r="D710" s="928"/>
      <c r="E710" s="928"/>
      <c r="F710" s="928"/>
      <c r="G710" s="928"/>
      <c r="H710" s="928"/>
      <c r="I710" s="928"/>
      <c r="J710" s="928"/>
      <c r="K710" s="928"/>
      <c r="L710" s="928"/>
      <c r="M710" s="928"/>
      <c r="N710" s="928"/>
      <c r="O710" s="928"/>
      <c r="P710" s="928"/>
      <c r="Q710" s="928"/>
      <c r="R710" s="928"/>
      <c r="S710" s="928"/>
      <c r="T710" s="928"/>
      <c r="U710" s="928"/>
      <c r="V710" s="928"/>
      <c r="W710" s="928"/>
      <c r="X710" s="928"/>
      <c r="Y710" s="928"/>
      <c r="Z710" s="928"/>
      <c r="AA710" s="928"/>
      <c r="AB710" s="928"/>
      <c r="AC710" s="928"/>
      <c r="AD710" s="928"/>
      <c r="AE710" s="928"/>
      <c r="AF710" s="928"/>
      <c r="AG710" s="928"/>
      <c r="AH710" s="928"/>
      <c r="AI710" s="928"/>
      <c r="AJ710" s="928"/>
      <c r="AK710" s="928"/>
      <c r="AL710" s="928"/>
      <c r="AM710" s="1530"/>
    </row>
    <row r="711" spans="1:39" ht="12.4" hidden="1" customHeight="1">
      <c r="A711" s="928"/>
      <c r="B711" s="928"/>
      <c r="C711" s="928"/>
      <c r="D711" s="928"/>
      <c r="E711" s="928"/>
      <c r="F711" s="928"/>
      <c r="G711" s="928"/>
      <c r="H711" s="928"/>
      <c r="I711" s="928"/>
      <c r="J711" s="928"/>
      <c r="K711" s="928"/>
      <c r="L711" s="928"/>
      <c r="M711" s="928"/>
      <c r="N711" s="928"/>
      <c r="O711" s="928"/>
      <c r="P711" s="928"/>
      <c r="Q711" s="928"/>
      <c r="R711" s="928"/>
      <c r="S711" s="928"/>
      <c r="T711" s="928"/>
      <c r="U711" s="928"/>
      <c r="V711" s="928"/>
      <c r="W711" s="928"/>
      <c r="X711" s="928"/>
      <c r="Y711" s="928"/>
      <c r="Z711" s="928"/>
      <c r="AA711" s="928"/>
      <c r="AB711" s="928"/>
      <c r="AC711" s="928"/>
      <c r="AD711" s="928"/>
      <c r="AE711" s="928"/>
      <c r="AF711" s="928"/>
      <c r="AG711" s="928"/>
      <c r="AH711" s="928"/>
      <c r="AI711" s="928"/>
      <c r="AJ711" s="928"/>
      <c r="AK711" s="928"/>
      <c r="AL711" s="928"/>
      <c r="AM711" s="1530"/>
    </row>
    <row r="712" spans="1:39" ht="12.4" hidden="1" customHeight="1">
      <c r="A712" s="928"/>
      <c r="B712" s="928"/>
      <c r="C712" s="928"/>
      <c r="D712" s="928"/>
      <c r="E712" s="928"/>
      <c r="F712" s="928"/>
      <c r="G712" s="928"/>
      <c r="H712" s="928"/>
      <c r="I712" s="928"/>
      <c r="J712" s="928"/>
      <c r="K712" s="928"/>
      <c r="L712" s="928"/>
      <c r="M712" s="928"/>
      <c r="N712" s="928"/>
      <c r="O712" s="928"/>
      <c r="P712" s="928"/>
      <c r="Q712" s="928"/>
      <c r="R712" s="928"/>
      <c r="S712" s="928"/>
      <c r="T712" s="928"/>
      <c r="U712" s="928"/>
      <c r="V712" s="928"/>
      <c r="W712" s="928"/>
      <c r="X712" s="928"/>
      <c r="Y712" s="928"/>
      <c r="Z712" s="928"/>
      <c r="AA712" s="928"/>
      <c r="AB712" s="928"/>
      <c r="AC712" s="928"/>
      <c r="AD712" s="928"/>
      <c r="AE712" s="928"/>
      <c r="AF712" s="928"/>
      <c r="AG712" s="928"/>
      <c r="AH712" s="928"/>
      <c r="AI712" s="928"/>
      <c r="AJ712" s="928"/>
      <c r="AK712" s="928"/>
      <c r="AL712" s="928"/>
      <c r="AM712" s="1530"/>
    </row>
    <row r="713" spans="1:39" ht="12.4" hidden="1" customHeight="1">
      <c r="A713" s="928"/>
      <c r="B713" s="928"/>
      <c r="C713" s="928"/>
      <c r="D713" s="928"/>
      <c r="E713" s="928"/>
      <c r="F713" s="928"/>
      <c r="G713" s="928"/>
      <c r="H713" s="928"/>
      <c r="I713" s="928"/>
      <c r="J713" s="928"/>
      <c r="K713" s="928"/>
      <c r="L713" s="928"/>
      <c r="M713" s="928"/>
      <c r="N713" s="928"/>
      <c r="O713" s="928"/>
      <c r="P713" s="928"/>
      <c r="Q713" s="928"/>
      <c r="R713" s="928"/>
      <c r="S713" s="928"/>
      <c r="T713" s="928"/>
      <c r="U713" s="928"/>
      <c r="V713" s="928"/>
      <c r="W713" s="928"/>
      <c r="X713" s="928"/>
      <c r="Y713" s="928"/>
      <c r="Z713" s="928"/>
      <c r="AA713" s="928"/>
      <c r="AB713" s="928"/>
      <c r="AC713" s="928"/>
      <c r="AD713" s="928"/>
      <c r="AE713" s="928"/>
      <c r="AF713" s="928"/>
      <c r="AG713" s="928"/>
      <c r="AH713" s="928"/>
      <c r="AI713" s="928"/>
      <c r="AJ713" s="928"/>
      <c r="AK713" s="928"/>
      <c r="AL713" s="928"/>
      <c r="AM713" s="1530"/>
    </row>
    <row r="714" spans="1:39" hidden="1">
      <c r="A714" s="928"/>
      <c r="B714" s="928"/>
      <c r="C714" s="928"/>
      <c r="D714" s="928"/>
      <c r="E714" s="928"/>
      <c r="F714" s="928"/>
      <c r="G714" s="928"/>
      <c r="H714" s="928"/>
      <c r="I714" s="928"/>
      <c r="J714" s="928"/>
      <c r="K714" s="928"/>
      <c r="L714" s="928"/>
      <c r="M714" s="928"/>
      <c r="N714" s="928"/>
      <c r="O714" s="928"/>
      <c r="P714" s="928"/>
      <c r="Q714" s="928"/>
      <c r="R714" s="928"/>
      <c r="S714" s="928"/>
      <c r="T714" s="928"/>
      <c r="U714" s="928"/>
      <c r="V714" s="928"/>
      <c r="W714" s="928"/>
      <c r="X714" s="928"/>
      <c r="Y714" s="928"/>
      <c r="Z714" s="928"/>
      <c r="AA714" s="928"/>
      <c r="AB714" s="928"/>
      <c r="AC714" s="928"/>
      <c r="AD714" s="928"/>
      <c r="AE714" s="928"/>
      <c r="AF714" s="928"/>
      <c r="AG714" s="928"/>
      <c r="AH714" s="928"/>
      <c r="AI714" s="928"/>
      <c r="AJ714" s="928"/>
      <c r="AK714" s="928"/>
      <c r="AL714" s="928"/>
      <c r="AM714" s="1530"/>
    </row>
    <row r="715" spans="1:39">
      <c r="A715" s="928"/>
      <c r="B715" s="928"/>
      <c r="C715" s="928"/>
      <c r="D715" s="928"/>
      <c r="E715" s="928"/>
      <c r="F715" s="928"/>
      <c r="G715" s="928"/>
      <c r="H715" s="928"/>
      <c r="I715" s="928"/>
      <c r="J715" s="928"/>
      <c r="K715" s="928"/>
      <c r="L715" s="928"/>
      <c r="M715" s="928"/>
      <c r="N715" s="928"/>
      <c r="O715" s="928"/>
      <c r="P715" s="928"/>
      <c r="Q715" s="928"/>
      <c r="R715" s="928"/>
      <c r="S715" s="928"/>
      <c r="T715" s="928"/>
      <c r="U715" s="928"/>
      <c r="V715" s="928"/>
      <c r="W715" s="928"/>
      <c r="X715" s="928"/>
      <c r="Y715" s="928"/>
      <c r="Z715" s="928"/>
      <c r="AA715" s="928"/>
      <c r="AB715" s="928"/>
      <c r="AC715" s="928"/>
      <c r="AD715" s="928"/>
      <c r="AE715" s="928"/>
      <c r="AF715" s="928"/>
      <c r="AG715" s="928"/>
      <c r="AH715" s="928"/>
      <c r="AI715" s="928"/>
      <c r="AJ715" s="928"/>
      <c r="AK715" s="928"/>
      <c r="AL715" s="928"/>
      <c r="AM715" s="1530"/>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698" customWidth="1"/>
    <col min="11" max="11" width="2.5703125" style="699" customWidth="1"/>
    <col min="12" max="43" width="2.5703125" style="698" customWidth="1"/>
    <col min="44" max="47" width="2.5703125" style="698" hidden="1" customWidth="1"/>
    <col min="48" max="16384" width="9.140625" style="698" hidden="1"/>
  </cols>
  <sheetData>
    <row r="1" spans="1:57" ht="15" customHeight="1">
      <c r="A1" s="1775" t="s">
        <v>2332</v>
      </c>
      <c r="B1" s="1775"/>
      <c r="C1" s="1775"/>
      <c r="D1" s="1775"/>
      <c r="E1" s="1775"/>
      <c r="F1" s="1775"/>
      <c r="G1" s="1775"/>
      <c r="H1" s="1775"/>
      <c r="I1" s="1775"/>
      <c r="J1" s="1775"/>
      <c r="K1" s="1775"/>
      <c r="L1" s="1775"/>
      <c r="M1" s="1775"/>
      <c r="N1" s="1775"/>
      <c r="O1" s="1775"/>
      <c r="P1" s="1775"/>
      <c r="Q1" s="1775"/>
      <c r="R1" s="1775"/>
      <c r="S1" s="1775"/>
      <c r="T1" s="1775"/>
      <c r="U1" s="1775"/>
      <c r="V1" s="1775"/>
      <c r="W1" s="1775"/>
      <c r="X1" s="1775"/>
      <c r="Y1" s="1775"/>
      <c r="Z1" s="1775"/>
      <c r="AA1" s="1775"/>
      <c r="AB1" s="1775"/>
      <c r="AC1" s="1775"/>
      <c r="AD1" s="1775"/>
      <c r="AE1" s="1775"/>
      <c r="AF1" s="1775"/>
      <c r="AG1" s="1775"/>
      <c r="AH1" s="1775"/>
      <c r="AI1" s="1775"/>
      <c r="AJ1" s="1775"/>
      <c r="AK1" s="1775"/>
      <c r="AL1" s="1775"/>
      <c r="AM1" s="1775"/>
      <c r="AN1" s="1775"/>
      <c r="AO1" s="1775"/>
      <c r="AP1" s="1775"/>
      <c r="AQ1" s="1775"/>
    </row>
    <row r="2" spans="1:57" ht="15" customHeight="1">
      <c r="A2" s="1775"/>
      <c r="B2" s="1775"/>
      <c r="C2" s="1775"/>
      <c r="D2" s="1775"/>
      <c r="E2" s="1775"/>
      <c r="F2" s="1775"/>
      <c r="G2" s="1775"/>
      <c r="H2" s="1775"/>
      <c r="I2" s="1775"/>
      <c r="J2" s="1775"/>
      <c r="K2" s="1775"/>
      <c r="L2" s="1775"/>
      <c r="M2" s="1775"/>
      <c r="N2" s="1775"/>
      <c r="O2" s="1775"/>
      <c r="P2" s="1775"/>
      <c r="Q2" s="1775"/>
      <c r="R2" s="1775"/>
      <c r="S2" s="1775"/>
      <c r="T2" s="1775"/>
      <c r="U2" s="1775"/>
      <c r="V2" s="1775"/>
      <c r="W2" s="1775"/>
      <c r="X2" s="1775"/>
      <c r="Y2" s="1775"/>
      <c r="Z2" s="1775"/>
      <c r="AA2" s="1775"/>
      <c r="AB2" s="1775"/>
      <c r="AC2" s="1775"/>
      <c r="AD2" s="1775"/>
      <c r="AE2" s="1775"/>
      <c r="AF2" s="1775"/>
      <c r="AG2" s="1775"/>
      <c r="AH2" s="1775"/>
      <c r="AI2" s="1775"/>
      <c r="AJ2" s="1775"/>
      <c r="AK2" s="1775"/>
      <c r="AL2" s="1775"/>
      <c r="AM2" s="1775"/>
      <c r="AN2" s="1775"/>
      <c r="AO2" s="1775"/>
      <c r="AP2" s="1775"/>
      <c r="AQ2" s="1775"/>
    </row>
    <row r="3" spans="1:57">
      <c r="A3" s="700"/>
      <c r="B3" s="700"/>
      <c r="I3" s="701"/>
      <c r="K3" s="702"/>
    </row>
    <row r="4" spans="1:57" ht="14.25" customHeight="1">
      <c r="A4" s="1764" t="s">
        <v>2333</v>
      </c>
      <c r="B4" s="1764"/>
      <c r="C4" s="1764"/>
      <c r="D4" s="1764"/>
      <c r="E4" s="1764"/>
      <c r="F4" s="1764"/>
      <c r="G4" s="1764"/>
      <c r="H4" s="1764"/>
      <c r="I4" s="1764"/>
      <c r="J4" s="1764"/>
      <c r="K4" s="1764"/>
      <c r="L4" s="1764"/>
      <c r="M4" s="1764"/>
      <c r="N4" s="1764"/>
      <c r="O4" s="1764"/>
      <c r="P4" s="1764"/>
      <c r="Q4" s="1764"/>
      <c r="R4" s="1764"/>
      <c r="S4" s="1764"/>
      <c r="T4" s="1764"/>
      <c r="U4" s="1764"/>
      <c r="V4" s="1764"/>
      <c r="W4" s="1764"/>
      <c r="X4" s="1764"/>
      <c r="Y4" s="1764"/>
      <c r="Z4" s="1764"/>
      <c r="AA4" s="1764"/>
      <c r="AB4" s="1764"/>
      <c r="AC4" s="1764"/>
      <c r="AD4" s="1764"/>
      <c r="AE4" s="1764"/>
      <c r="AF4" s="1764"/>
      <c r="AG4" s="1764"/>
      <c r="AH4" s="1764"/>
      <c r="AI4" s="1764"/>
      <c r="AJ4" s="1764"/>
      <c r="AK4" s="1764"/>
      <c r="AL4" s="1764"/>
      <c r="AM4" s="1764"/>
      <c r="AN4" s="1764"/>
      <c r="AO4" s="1764"/>
      <c r="AP4" s="1764"/>
      <c r="AQ4" s="1764"/>
    </row>
    <row r="5" spans="1:57">
      <c r="A5" s="700"/>
      <c r="B5" s="700"/>
      <c r="I5" s="701"/>
      <c r="K5" s="702"/>
    </row>
    <row r="6" spans="1:57">
      <c r="A6" s="700"/>
      <c r="B6" s="700"/>
      <c r="D6" s="698" t="s">
        <v>2334</v>
      </c>
      <c r="I6" s="701"/>
      <c r="K6" s="702"/>
      <c r="U6" s="1774"/>
      <c r="V6" s="1774"/>
      <c r="W6" s="1774"/>
      <c r="BC6" s="698" t="s">
        <v>2335</v>
      </c>
    </row>
    <row r="7" spans="1:57">
      <c r="A7" s="700"/>
      <c r="B7" s="700"/>
      <c r="D7" s="372" t="s">
        <v>2336</v>
      </c>
      <c r="I7" s="701"/>
      <c r="K7" s="702"/>
      <c r="BC7" s="698" t="s">
        <v>2337</v>
      </c>
    </row>
    <row r="8" spans="1:57">
      <c r="A8" s="700"/>
      <c r="B8" s="700"/>
      <c r="D8" s="372"/>
      <c r="E8" s="698" t="s">
        <v>2338</v>
      </c>
      <c r="BC8" s="698" t="s">
        <v>2339</v>
      </c>
    </row>
    <row r="9" spans="1:57">
      <c r="A9" s="700"/>
      <c r="B9" s="700"/>
      <c r="E9" s="698" t="s">
        <v>2340</v>
      </c>
      <c r="I9" s="701"/>
      <c r="K9" s="702"/>
      <c r="P9" s="1765"/>
      <c r="Q9" s="1765"/>
      <c r="R9" s="1765"/>
      <c r="S9" s="1765"/>
      <c r="T9" s="1765"/>
    </row>
    <row r="10" spans="1:57">
      <c r="A10" s="700"/>
      <c r="B10" s="700"/>
      <c r="I10" s="701"/>
      <c r="K10" s="702"/>
    </row>
    <row r="11" spans="1:57">
      <c r="A11" s="1764" t="s">
        <v>2341</v>
      </c>
      <c r="B11" s="1764"/>
      <c r="C11" s="1764"/>
      <c r="D11" s="1764"/>
      <c r="E11" s="1764"/>
      <c r="F11" s="1764"/>
      <c r="G11" s="1764"/>
      <c r="H11" s="1764"/>
      <c r="I11" s="1764"/>
      <c r="J11" s="1764"/>
      <c r="K11" s="1764"/>
      <c r="L11" s="1764"/>
      <c r="M11" s="1764"/>
      <c r="N11" s="1764"/>
      <c r="O11" s="1764"/>
      <c r="P11" s="1764"/>
      <c r="Q11" s="1764"/>
      <c r="R11" s="1764"/>
      <c r="S11" s="1764"/>
      <c r="T11" s="1764"/>
      <c r="U11" s="1764"/>
      <c r="V11" s="1764"/>
      <c r="W11" s="1764"/>
      <c r="X11" s="1764"/>
      <c r="Y11" s="1764"/>
      <c r="Z11" s="1764"/>
      <c r="AA11" s="1764"/>
      <c r="AB11" s="1764"/>
      <c r="AC11" s="1764"/>
      <c r="AD11" s="1764"/>
      <c r="AE11" s="1764"/>
      <c r="AF11" s="1764"/>
      <c r="AG11" s="1764"/>
      <c r="AH11" s="1764"/>
      <c r="AI11" s="1764"/>
      <c r="AJ11" s="1764"/>
      <c r="AK11" s="1764"/>
      <c r="AL11" s="1764"/>
      <c r="AM11" s="1764"/>
      <c r="AN11" s="1764"/>
      <c r="AO11" s="1764"/>
      <c r="AP11" s="1764"/>
      <c r="AQ11" s="1764"/>
      <c r="BC11" s="698" t="s">
        <v>712</v>
      </c>
    </row>
    <row r="12" spans="1:57">
      <c r="A12" s="700"/>
      <c r="B12" s="700"/>
      <c r="I12" s="701"/>
      <c r="K12" s="702"/>
      <c r="BC12" s="698" t="s">
        <v>821</v>
      </c>
    </row>
    <row r="13" spans="1:57">
      <c r="A13" s="700"/>
      <c r="B13" s="700"/>
      <c r="D13" s="698" t="s">
        <v>2342</v>
      </c>
      <c r="I13" s="701"/>
      <c r="K13" s="702"/>
      <c r="T13" s="1774"/>
      <c r="U13" s="1774"/>
      <c r="V13" s="1774"/>
    </row>
    <row r="14" spans="1:57">
      <c r="A14" s="700"/>
      <c r="B14" s="700"/>
      <c r="E14" s="698" t="s">
        <v>2343</v>
      </c>
      <c r="I14" s="701"/>
      <c r="K14" s="702"/>
      <c r="N14" s="1762"/>
      <c r="O14" s="1762"/>
      <c r="P14" s="1762"/>
      <c r="Q14" s="1762"/>
      <c r="R14" s="1762"/>
      <c r="S14" s="1762"/>
      <c r="T14" s="1762"/>
      <c r="U14" s="1762"/>
      <c r="V14" s="1762"/>
      <c r="W14" s="1762"/>
      <c r="X14" s="1762"/>
      <c r="Y14" s="1762"/>
      <c r="Z14" s="1762"/>
      <c r="AA14" s="1762"/>
      <c r="AB14" s="1762"/>
      <c r="AC14" s="1762"/>
      <c r="AD14" s="1762"/>
      <c r="AE14" s="1762"/>
    </row>
    <row r="15" spans="1:57">
      <c r="A15" s="700"/>
      <c r="B15" s="700"/>
      <c r="E15" s="698" t="s">
        <v>2344</v>
      </c>
      <c r="I15" s="701"/>
      <c r="K15" s="702"/>
      <c r="N15" s="717"/>
      <c r="O15" s="717"/>
      <c r="P15" s="717"/>
      <c r="Q15" s="717"/>
      <c r="R15" s="717"/>
      <c r="S15" s="717"/>
      <c r="T15" s="717"/>
      <c r="U15" s="717"/>
      <c r="V15" s="717"/>
      <c r="W15" s="717"/>
      <c r="X15" s="717"/>
      <c r="Y15" s="717"/>
      <c r="Z15" s="717"/>
      <c r="AA15" s="717"/>
      <c r="AB15" s="717"/>
      <c r="AC15" s="717"/>
      <c r="AD15" s="717"/>
      <c r="AE15" s="717"/>
      <c r="BC15" s="698" t="s">
        <v>2345</v>
      </c>
      <c r="BE15" s="698">
        <f>'Basis &amp; Credits'!AB55</f>
        <v>2376330.7999999998</v>
      </c>
    </row>
    <row r="16" spans="1:57">
      <c r="A16" s="700"/>
      <c r="B16" s="700"/>
      <c r="BC16" s="698" t="s">
        <v>2346</v>
      </c>
      <c r="BE16" s="698">
        <f>'Basis &amp; Credits'!T11+'Basis &amp; Credits'!AD11</f>
        <v>36181864.604807153</v>
      </c>
    </row>
    <row r="17" spans="1:43">
      <c r="A17" s="700"/>
      <c r="B17" s="700"/>
      <c r="D17" s="698" t="s">
        <v>2347</v>
      </c>
      <c r="I17" s="701"/>
      <c r="K17" s="702"/>
      <c r="U17" s="1763" t="str">
        <f>IF(T13="yes",(BE15/BE16)," ")</f>
        <v xml:space="preserve"> </v>
      </c>
      <c r="V17" s="1763"/>
      <c r="W17" s="1763"/>
      <c r="X17" s="1763"/>
      <c r="Y17" s="1763"/>
    </row>
    <row r="18" spans="1:43">
      <c r="A18" s="700"/>
      <c r="B18" s="700"/>
      <c r="I18" s="701"/>
      <c r="K18" s="702"/>
    </row>
    <row r="19" spans="1:43">
      <c r="A19" s="1764" t="s">
        <v>2348</v>
      </c>
      <c r="B19" s="1764"/>
      <c r="C19" s="1764"/>
      <c r="D19" s="1764"/>
      <c r="E19" s="1764"/>
      <c r="F19" s="1764"/>
      <c r="G19" s="1764"/>
      <c r="H19" s="1764"/>
      <c r="I19" s="1764"/>
      <c r="J19" s="1764"/>
      <c r="K19" s="1764"/>
      <c r="L19" s="1764"/>
      <c r="M19" s="1764"/>
      <c r="N19" s="1764"/>
      <c r="O19" s="1764"/>
      <c r="P19" s="1764"/>
      <c r="Q19" s="1764"/>
      <c r="R19" s="1764"/>
      <c r="S19" s="1764"/>
      <c r="T19" s="1764"/>
      <c r="U19" s="1764"/>
      <c r="V19" s="1764"/>
      <c r="W19" s="1764"/>
      <c r="X19" s="1764"/>
      <c r="Y19" s="1764"/>
      <c r="Z19" s="1764"/>
      <c r="AA19" s="1764"/>
      <c r="AB19" s="1764"/>
      <c r="AC19" s="1764"/>
      <c r="AD19" s="1764"/>
      <c r="AE19" s="1764"/>
      <c r="AF19" s="1764"/>
      <c r="AG19" s="1764"/>
      <c r="AH19" s="1764"/>
      <c r="AI19" s="1764"/>
      <c r="AJ19" s="1764"/>
      <c r="AK19" s="1764"/>
      <c r="AL19" s="1764"/>
      <c r="AM19" s="1764"/>
      <c r="AN19" s="1764"/>
      <c r="AO19" s="1764"/>
      <c r="AP19" s="1764"/>
      <c r="AQ19" s="1764"/>
    </row>
    <row r="20" spans="1:43">
      <c r="C20" s="700"/>
      <c r="D20" s="700"/>
      <c r="K20" s="701"/>
      <c r="M20" s="702"/>
    </row>
    <row r="21" spans="1:43">
      <c r="C21" s="700"/>
      <c r="D21" s="700"/>
      <c r="K21" s="701"/>
      <c r="M21" s="702"/>
    </row>
    <row r="22" spans="1:43">
      <c r="C22" s="703" t="s">
        <v>2093</v>
      </c>
      <c r="D22" s="703"/>
      <c r="E22" s="698" t="s">
        <v>2349</v>
      </c>
      <c r="H22" s="704"/>
      <c r="K22" s="698"/>
      <c r="Q22" s="1766">
        <f>ROUND('Basis &amp; Credits'!AB55,0)</f>
        <v>2376331</v>
      </c>
      <c r="R22" s="1766"/>
      <c r="S22" s="1766"/>
      <c r="T22" s="1766"/>
      <c r="U22" s="1766"/>
      <c r="V22" s="1766"/>
      <c r="W22" s="1766"/>
      <c r="X22" s="1766"/>
      <c r="Y22" s="716"/>
    </row>
    <row r="23" spans="1:43">
      <c r="C23" s="700"/>
      <c r="D23" s="700"/>
      <c r="G23" s="705"/>
      <c r="H23" s="705"/>
      <c r="I23" s="839"/>
      <c r="J23" s="839"/>
      <c r="K23" s="705"/>
      <c r="M23" s="699"/>
    </row>
    <row r="24" spans="1:43">
      <c r="C24" s="706"/>
      <c r="D24" s="706"/>
      <c r="E24" s="707"/>
      <c r="J24" s="839"/>
      <c r="K24" s="698"/>
      <c r="L24" s="1773" t="s">
        <v>2350</v>
      </c>
      <c r="M24" s="1773"/>
      <c r="N24" s="1773"/>
      <c r="P24" s="1769" t="s">
        <v>2351</v>
      </c>
      <c r="Q24" s="1769"/>
      <c r="R24" s="1769"/>
      <c r="S24" s="1769"/>
      <c r="T24" s="1769"/>
      <c r="V24" s="1769" t="s">
        <v>2352</v>
      </c>
      <c r="W24" s="1769"/>
      <c r="X24" s="1769"/>
    </row>
    <row r="25" spans="1:43">
      <c r="C25" s="703" t="s">
        <v>2097</v>
      </c>
      <c r="D25" s="703"/>
      <c r="E25" s="698" t="s">
        <v>2353</v>
      </c>
      <c r="J25" s="839"/>
      <c r="L25" s="1770" t="s">
        <v>2354</v>
      </c>
      <c r="M25" s="1770"/>
      <c r="N25" s="1770"/>
      <c r="P25" s="1770" t="s">
        <v>2355</v>
      </c>
      <c r="Q25" s="1770"/>
      <c r="R25" s="1770"/>
      <c r="S25" s="1770"/>
      <c r="T25" s="1770"/>
      <c r="V25" s="1770" t="s">
        <v>2354</v>
      </c>
      <c r="W25" s="1770"/>
      <c r="X25" s="1770"/>
    </row>
    <row r="26" spans="1:43">
      <c r="C26" s="700"/>
      <c r="D26" s="700"/>
      <c r="E26" s="708" t="s">
        <v>2356</v>
      </c>
      <c r="F26" s="708"/>
      <c r="J26" s="840"/>
      <c r="L26" s="1767">
        <f>Application!BN613</f>
        <v>0</v>
      </c>
      <c r="M26" s="1767"/>
      <c r="N26" s="1767"/>
      <c r="P26" s="1771">
        <v>0.9</v>
      </c>
      <c r="Q26" s="1771"/>
      <c r="R26" s="1771"/>
      <c r="S26" s="1771"/>
      <c r="T26" s="1771"/>
      <c r="V26" s="1771">
        <f>L26*P26</f>
        <v>0</v>
      </c>
      <c r="W26" s="1771"/>
      <c r="X26" s="1771"/>
    </row>
    <row r="27" spans="1:43">
      <c r="C27" s="700"/>
      <c r="D27" s="700"/>
      <c r="E27" s="698" t="s">
        <v>2357</v>
      </c>
      <c r="J27" s="840"/>
      <c r="L27" s="1776">
        <f>Application!BS613</f>
        <v>21</v>
      </c>
      <c r="M27" s="1776">
        <f>Application!BS621+Application!BS630+Application!CX644</f>
        <v>0</v>
      </c>
      <c r="N27" s="1776"/>
      <c r="P27" s="1772">
        <v>1</v>
      </c>
      <c r="Q27" s="1772"/>
      <c r="R27" s="1772"/>
      <c r="S27" s="1772"/>
      <c r="T27" s="1772"/>
      <c r="V27" s="1772">
        <f>L27*P27</f>
        <v>21</v>
      </c>
      <c r="W27" s="1772"/>
      <c r="X27" s="1772"/>
    </row>
    <row r="28" spans="1:43">
      <c r="C28" s="700"/>
      <c r="D28" s="700"/>
      <c r="E28" s="698" t="s">
        <v>2358</v>
      </c>
      <c r="J28" s="840"/>
      <c r="L28" s="1776">
        <f>Application!BX613</f>
        <v>9</v>
      </c>
      <c r="M28" s="1776">
        <f>Application!BX621+Application!BX630+Application!DC644</f>
        <v>0</v>
      </c>
      <c r="N28" s="1776"/>
      <c r="P28" s="1772">
        <v>1.25</v>
      </c>
      <c r="Q28" s="1772"/>
      <c r="R28" s="1772"/>
      <c r="S28" s="1772"/>
      <c r="T28" s="1772"/>
      <c r="V28" s="1772">
        <f>L28*P28</f>
        <v>11.25</v>
      </c>
      <c r="W28" s="1772"/>
      <c r="X28" s="1772"/>
    </row>
    <row r="29" spans="1:43">
      <c r="C29" s="700"/>
      <c r="D29" s="700"/>
      <c r="E29" s="698" t="s">
        <v>2359</v>
      </c>
      <c r="J29" s="840"/>
      <c r="L29" s="1776">
        <f>Application!CC613</f>
        <v>12</v>
      </c>
      <c r="M29" s="1776">
        <f>Application!CC621+Application!CC630+Application!DH644</f>
        <v>0</v>
      </c>
      <c r="N29" s="1776"/>
      <c r="P29" s="1772">
        <v>1.5</v>
      </c>
      <c r="Q29" s="1772"/>
      <c r="R29" s="1772"/>
      <c r="S29" s="1772"/>
      <c r="T29" s="1772"/>
      <c r="V29" s="1772">
        <f>L29*P29</f>
        <v>18</v>
      </c>
      <c r="W29" s="1772"/>
      <c r="X29" s="1772"/>
    </row>
    <row r="30" spans="1:43">
      <c r="C30" s="700"/>
      <c r="D30" s="700"/>
      <c r="E30" s="698" t="s">
        <v>2360</v>
      </c>
      <c r="J30" s="840"/>
      <c r="L30" s="1777">
        <f>Application!CH613+Application!CM613</f>
        <v>0</v>
      </c>
      <c r="M30" s="1777"/>
      <c r="N30" s="1777"/>
      <c r="P30" s="1772">
        <v>1.75</v>
      </c>
      <c r="Q30" s="1772"/>
      <c r="R30" s="1772">
        <f>1.75+0.25*0</f>
        <v>1.75</v>
      </c>
      <c r="S30" s="1772"/>
      <c r="T30" s="1772"/>
      <c r="V30" s="1781">
        <f>L30*P30</f>
        <v>0</v>
      </c>
      <c r="W30" s="1781"/>
      <c r="X30" s="1781"/>
    </row>
    <row r="31" spans="1:43">
      <c r="C31" s="700"/>
      <c r="D31" s="700"/>
      <c r="L31" s="1767">
        <f>SUM(L26:N30)</f>
        <v>42</v>
      </c>
      <c r="M31" s="1768"/>
      <c r="N31" s="1768"/>
      <c r="V31" s="1771">
        <f>SUM(V26:X30)</f>
        <v>50.25</v>
      </c>
      <c r="W31" s="1771"/>
      <c r="X31" s="1771"/>
    </row>
    <row r="32" spans="1:43">
      <c r="C32" s="700"/>
      <c r="D32" s="700"/>
      <c r="K32" s="709"/>
    </row>
    <row r="33" spans="1:27">
      <c r="C33" s="703" t="s">
        <v>2100</v>
      </c>
      <c r="D33" s="703"/>
      <c r="E33" s="700" t="s">
        <v>2361</v>
      </c>
      <c r="H33" s="710"/>
      <c r="I33" s="711"/>
      <c r="J33" s="712"/>
      <c r="K33" s="709"/>
      <c r="M33" s="699"/>
      <c r="V33" s="1778">
        <f>IF(V31&gt;0,V31/Q22," ")</f>
        <v>2.1146044048577408E-5</v>
      </c>
      <c r="W33" s="1779"/>
      <c r="X33" s="1779"/>
      <c r="Y33" s="1779"/>
      <c r="Z33" s="1779"/>
      <c r="AA33" s="1780"/>
    </row>
    <row r="34" spans="1:27">
      <c r="K34" s="698"/>
      <c r="M34" s="699"/>
    </row>
    <row r="35" spans="1:27">
      <c r="E35" s="700" t="s">
        <v>2362</v>
      </c>
      <c r="F35" s="700"/>
      <c r="G35" s="700"/>
      <c r="H35" s="700"/>
      <c r="I35" s="700"/>
      <c r="J35" s="700"/>
      <c r="K35" s="700"/>
      <c r="L35" s="700"/>
      <c r="M35" s="718"/>
      <c r="N35" s="700"/>
      <c r="O35" s="700"/>
      <c r="P35" s="700"/>
      <c r="Q35" s="700"/>
      <c r="R35" s="700"/>
      <c r="V35" s="1759">
        <f>IF(V31&gt;0,1/V33," ")</f>
        <v>47290.169154228854</v>
      </c>
      <c r="W35" s="1760"/>
      <c r="X35" s="1760"/>
      <c r="Y35" s="1760"/>
      <c r="Z35" s="1760"/>
      <c r="AA35" s="1761"/>
    </row>
    <row r="36" spans="1:27" ht="12.75" customHeight="1">
      <c r="B36" s="713"/>
      <c r="C36" s="713"/>
      <c r="D36" s="713"/>
      <c r="E36" s="713"/>
      <c r="F36" s="713"/>
      <c r="G36" s="713"/>
      <c r="H36" s="713"/>
      <c r="I36" s="713"/>
    </row>
    <row r="37" spans="1:27">
      <c r="A37" s="713"/>
      <c r="B37" s="713"/>
      <c r="C37" s="713"/>
      <c r="D37" s="713"/>
      <c r="E37" s="713"/>
      <c r="F37" s="713"/>
      <c r="G37" s="713"/>
      <c r="H37" s="713"/>
      <c r="I37" s="713"/>
    </row>
    <row r="38" spans="1:27">
      <c r="A38" s="713"/>
      <c r="B38" s="713"/>
      <c r="C38" s="713"/>
      <c r="D38" s="713"/>
      <c r="E38" s="713"/>
      <c r="F38" s="713"/>
      <c r="G38" s="713"/>
      <c r="H38" s="713"/>
      <c r="I38" s="713"/>
    </row>
    <row r="39" spans="1:27">
      <c r="A39" s="713"/>
      <c r="B39" s="713"/>
      <c r="C39" s="713"/>
      <c r="D39" s="713"/>
      <c r="E39" s="713"/>
      <c r="F39" s="713"/>
      <c r="G39" s="713"/>
      <c r="H39" s="713"/>
      <c r="I39" s="7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F67FF05736974CBC331AC57C36C676" ma:contentTypeVersion="7" ma:contentTypeDescription="Create a new document." ma:contentTypeScope="" ma:versionID="cae19e315481d8edc38713d1b03da08e">
  <xsd:schema xmlns:xsd="http://www.w3.org/2001/XMLSchema" xmlns:xs="http://www.w3.org/2001/XMLSchema" xmlns:p="http://schemas.microsoft.com/office/2006/metadata/properties" xmlns:ns2="49277c9a-7329-4fdf-806c-7ebc4596bf6d" xmlns:ns3="22aaba99-85b5-4101-8cf7-d8b5bba6454f" targetNamespace="http://schemas.microsoft.com/office/2006/metadata/properties" ma:root="true" ma:fieldsID="5d01d5bc418f722155046f322389d8ea" ns2:_="" ns3:_="">
    <xsd:import namespace="49277c9a-7329-4fdf-806c-7ebc4596bf6d"/>
    <xsd:import namespace="22aaba99-85b5-4101-8cf7-d8b5bba645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277c9a-7329-4fdf-806c-7ebc4596bf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aaba99-85b5-4101-8cf7-d8b5bba645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5562D0-5096-4854-8BA1-3148CBA89C9D}"/>
</file>

<file path=customXml/itemProps2.xml><?xml version="1.0" encoding="utf-8"?>
<ds:datastoreItem xmlns:ds="http://schemas.openxmlformats.org/officeDocument/2006/customXml" ds:itemID="{7804F6D5-27EF-430B-B2B9-E0A9A786BABB}"/>
</file>

<file path=customXml/itemProps3.xml><?xml version="1.0" encoding="utf-8"?>
<ds:datastoreItem xmlns:ds="http://schemas.openxmlformats.org/officeDocument/2006/customXml" ds:itemID="{C8B09970-0216-4425-AF86-C904F05BE20C}"/>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Max Heninger</cp:lastModifiedBy>
  <cp:revision/>
  <dcterms:created xsi:type="dcterms:W3CDTF">2007-12-27T18:26:28Z</dcterms:created>
  <dcterms:modified xsi:type="dcterms:W3CDTF">2023-08-07T23:46:21Z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0x01010022F67FF05736974CBC331AC57C36C676</vt:lpwstr>
  </property>
</Properties>
</file>