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jpeg" ContentType="image/jpeg"/>
  <Default Extension="wmf" ContentType="image/x-wmf"/>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codeName="ThisWorkbook" defaultThemeVersion="124226"/>
  <mc:AlternateContent xmlns:mc="http://schemas.openxmlformats.org/markup-compatibility/2006">
    <mc:Choice Requires="x15">
      <x15ac:absPath xmlns:x15ac="http://schemas.microsoft.com/office/spreadsheetml/2010/11/ac" url="\\fha.org\shares\RED\Pre-Dev\Golden State Triage (fka Parkside Inn)\Finance\TCAC\TCAC 2023\Draft\"/>
    </mc:Choice>
  </mc:AlternateContent>
  <bookViews>
    <workbookView xWindow="0" yWindow="0" windowWidth="28800" windowHeight="12300" tabRatio="821" firstSheet="3" activeTab="12"/>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Final Tie Breaker " sheetId="25"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Application!$872:$1004</definedName>
    <definedName name="Alameda">Application!$BP$675:$BV$732</definedName>
    <definedName name="bedrooms" localSheetId="2">#REF!</definedName>
    <definedName name="bedrooms" localSheetId="9">#REF!</definedName>
    <definedName name="bedrooms">Application!$BP$674:$BV$674</definedName>
    <definedName name="ListofSources">Application!$AZ$514:$AZ$539</definedName>
    <definedName name="PRINT" localSheetId="9">#REF!</definedName>
    <definedName name="PRINT">#REF!</definedName>
    <definedName name="_xlnm.Print_Area" localSheetId="10">'15 Year Pro Forma'!$A$1:$AH$77</definedName>
    <definedName name="_xlnm.Print_Area" localSheetId="5">'Basis &amp; Credits'!$A$1:$AN$81</definedName>
    <definedName name="_xlnm.Print_Area" localSheetId="2">'Checklist Items'!$A$1:$G$1251</definedName>
    <definedName name="_xlnm.Print_Area" localSheetId="15">'FCE Basis and Credits'!$A$1:$AN$81</definedName>
    <definedName name="_xlnm.Print_Area" localSheetId="9">'Final Tie Breaker '!$A$1:$S$110</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1">'Subsidy Contract Calculation'!$A$1:$I$34</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Application!$AX$194:$AX$204</definedName>
    <definedName name="TC_Rent" localSheetId="2">#REF!</definedName>
    <definedName name="TC_Rent" localSheetId="9">#REF!</definedName>
    <definedName name="TC_Rent">Application!$BP$675:$BV$732</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Application!$872:$1004</definedName>
    <definedName name="Z_48A1B9AA_9520_4513_968D_1FB22989E0AF_.wvu.PrintArea" localSheetId="10" hidden="1">'15 Year Pro Forma'!$A$1:$AH$77</definedName>
    <definedName name="Z_48A1B9AA_9520_4513_968D_1FB22989E0AF_.wvu.PrintArea" localSheetId="3" hidden="1">Application!$A$1:$AL$1045</definedName>
    <definedName name="Z_48A1B9AA_9520_4513_968D_1FB22989E0AF_.wvu.PrintArea" localSheetId="5" hidden="1">'Basis &amp; Credits'!$A$1:$AN$81</definedName>
    <definedName name="Z_48A1B9AA_9520_4513_968D_1FB22989E0AF_.wvu.PrintArea" localSheetId="2" hidden="1">'Checklist Items'!$A$1:$G$1252</definedName>
    <definedName name="Z_48A1B9AA_9520_4513_968D_1FB22989E0AF_.wvu.PrintArea" localSheetId="15" hidden="1">'FCE Basis and Credits'!$A$1:$AN$81</definedName>
    <definedName name="Z_48A1B9AA_9520_4513_968D_1FB22989E0AF_.wvu.PrintArea" localSheetId="9" hidden="1">'Final Tie Breaker '!$A:$S</definedName>
    <definedName name="Z_48A1B9AA_9520_4513_968D_1FB22989E0AF_.wvu.PrintArea" localSheetId="0" hidden="1">'Instructions-App Completion'!$A$1:$AL$411</definedName>
    <definedName name="Z_48A1B9AA_9520_4513_968D_1FB22989E0AF_.wvu.PrintArea" localSheetId="7" hidden="1">'Points System'!$A$1:$AM$716</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Application!$1078:$65554</definedName>
    <definedName name="Z_48A1B9AA_9520_4513_968D_1FB22989E0AF_.wvu.Rows" localSheetId="5" hidden="1">'Basis &amp; Credits'!$90:$65525,'Basis &amp; Credits'!$82:$89</definedName>
    <definedName name="Z_48A1B9AA_9520_4513_968D_1FB22989E0AF_.wvu.Rows" localSheetId="2" hidden="1">'Checklist Items'!#REF!,'Checklist Items'!$1252:$1252</definedName>
    <definedName name="Z_48A1B9AA_9520_4513_968D_1FB22989E0AF_.wvu.Rows" localSheetId="15" hidden="1">'FCE Basis and Credits'!$90:$65525,'FCE Basis and Credits'!$82:$89</definedName>
    <definedName name="Z_48A1B9AA_9520_4513_968D_1FB22989E0AF_.wvu.Rows" localSheetId="9" hidden="1">'Final Tie Breaker '!$62:$67,'Final Tie Breaker '!$72:$72</definedName>
    <definedName name="Z_48A1B9AA_9520_4513_968D_1FB22989E0AF_.wvu.Rows" localSheetId="0" hidden="1">'Instructions-App Completion'!#REF!,'Instructions-App Completion'!#REF!</definedName>
    <definedName name="Z_48A1B9AA_9520_4513_968D_1FB22989E0AF_.wvu.Rows" localSheetId="7" hidden="1">'Points System'!$777:$65536,'Points System'!$720:$776</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s>
  <calcPr calcId="162913" iterate="1"/>
  <customWorkbookViews>
    <customWorkbookView name="Chen, Zhuo - Personal View" guid="{48A1B9AA-9520-4513-968D-1FB22989E0AF}" mergeInterval="0" personalView="1" xWindow="-1172" windowWidth="1152" windowHeight="985" tabRatio="78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79" i="4" l="1"/>
  <c r="AF970" i="3"/>
  <c r="AG386" i="3"/>
  <c r="F9" i="4" l="1"/>
  <c r="AB70" i="5" l="1"/>
  <c r="C45" i="4"/>
  <c r="AM548" i="3"/>
  <c r="AM549" i="3"/>
  <c r="AO631" i="3"/>
  <c r="E37" i="4"/>
  <c r="C90" i="25" l="1"/>
  <c r="C93" i="25"/>
  <c r="C92" i="25"/>
  <c r="C91" i="25"/>
  <c r="B42" i="25"/>
  <c r="E93" i="4"/>
  <c r="E92" i="4"/>
  <c r="E91" i="4"/>
  <c r="E89" i="4"/>
  <c r="E88" i="4"/>
  <c r="E86" i="4"/>
  <c r="E85" i="4"/>
  <c r="E84" i="4"/>
  <c r="E83" i="4"/>
  <c r="E82" i="4"/>
  <c r="E79" i="4"/>
  <c r="E78" i="4"/>
  <c r="E68" i="4"/>
  <c r="E64" i="4"/>
  <c r="E57" i="4"/>
  <c r="E52" i="4"/>
  <c r="E51" i="4"/>
  <c r="E50" i="4"/>
  <c r="E49" i="4"/>
  <c r="E46" i="4"/>
  <c r="E45" i="4"/>
  <c r="E43" i="4"/>
  <c r="E40" i="4"/>
  <c r="E32" i="4"/>
  <c r="E31" i="4"/>
  <c r="E30" i="4"/>
  <c r="E29" i="4"/>
  <c r="E27" i="4"/>
  <c r="E5" i="4"/>
  <c r="AO618" i="3"/>
  <c r="E42" i="25" s="1"/>
  <c r="E98" i="4" l="1"/>
  <c r="E9" i="4"/>
  <c r="F4" i="4"/>
  <c r="E4" i="4" s="1"/>
  <c r="Y795" i="3"/>
  <c r="U795" i="3"/>
  <c r="Q795" i="3"/>
  <c r="M795" i="3"/>
  <c r="U64" i="25" l="1"/>
  <c r="U65" i="25"/>
  <c r="BG226" i="3" l="1"/>
  <c r="BG227" i="3"/>
  <c r="BG228" i="3"/>
  <c r="BG229" i="3"/>
  <c r="BG230" i="3"/>
  <c r="BG232" i="3"/>
  <c r="BG233" i="3"/>
  <c r="BG234" i="3"/>
  <c r="BG236" i="3"/>
  <c r="BG237" i="3"/>
  <c r="BG238" i="3"/>
  <c r="BG239" i="3"/>
  <c r="BG240" i="3"/>
  <c r="BG241" i="3"/>
  <c r="AT547" i="3"/>
  <c r="AT548" i="3"/>
  <c r="AT549" i="3"/>
  <c r="AT550" i="3"/>
  <c r="AT551" i="3"/>
  <c r="AT552" i="3"/>
  <c r="AT553" i="3"/>
  <c r="AT554" i="3"/>
  <c r="AT555" i="3"/>
  <c r="AT556" i="3"/>
  <c r="AT557" i="3"/>
  <c r="BE589" i="3"/>
  <c r="BG589" i="3" s="1"/>
  <c r="BE590" i="3"/>
  <c r="BG590" i="3" s="1"/>
  <c r="BE591" i="3"/>
  <c r="BG591" i="3" s="1"/>
  <c r="BE592" i="3"/>
  <c r="BG592" i="3" s="1"/>
  <c r="BE593" i="3"/>
  <c r="BG593" i="3" s="1"/>
  <c r="BE594" i="3"/>
  <c r="BG594" i="3" s="1"/>
  <c r="BE595" i="3"/>
  <c r="BG595" i="3" s="1"/>
  <c r="BE596" i="3"/>
  <c r="BG596" i="3" s="1"/>
  <c r="BE597" i="3"/>
  <c r="BG597" i="3" s="1"/>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AT618" i="3"/>
  <c r="AT619" i="3"/>
  <c r="AT620" i="3"/>
  <c r="AT621" i="3"/>
  <c r="AT622" i="3"/>
  <c r="AT623" i="3"/>
  <c r="AT624" i="3"/>
  <c r="AT625" i="3"/>
  <c r="AT626" i="3"/>
  <c r="AT627" i="3"/>
  <c r="AT628" i="3"/>
  <c r="AT629" i="3"/>
  <c r="BA675" i="3"/>
  <c r="BA676" i="3"/>
  <c r="BG676" i="3"/>
  <c r="BA677" i="3"/>
  <c r="BG677" i="3"/>
  <c r="BA678" i="3"/>
  <c r="BG678" i="3"/>
  <c r="BA679" i="3"/>
  <c r="BG679" i="3"/>
  <c r="BA680" i="3"/>
  <c r="BG680" i="3"/>
  <c r="BA681" i="3"/>
  <c r="BG681" i="3"/>
  <c r="BA682" i="3"/>
  <c r="BG682" i="3"/>
  <c r="BA683" i="3"/>
  <c r="BG683" i="3"/>
  <c r="BA684" i="3"/>
  <c r="BG684" i="3"/>
  <c r="BA685" i="3"/>
  <c r="BG685" i="3"/>
  <c r="BA686" i="3"/>
  <c r="BG686" i="3"/>
  <c r="BA687" i="3"/>
  <c r="BG687" i="3"/>
  <c r="BA688" i="3"/>
  <c r="BG688" i="3"/>
  <c r="BA689" i="3"/>
  <c r="BG689" i="3"/>
  <c r="BA690" i="3"/>
  <c r="BG690" i="3"/>
  <c r="BA691" i="3"/>
  <c r="BG691" i="3"/>
  <c r="BA692" i="3"/>
  <c r="BG692" i="3"/>
  <c r="BA693" i="3"/>
  <c r="BG693" i="3"/>
  <c r="BA694" i="3"/>
  <c r="BG694" i="3"/>
  <c r="BA695" i="3"/>
  <c r="BG695" i="3"/>
  <c r="BA696" i="3"/>
  <c r="BG696" i="3"/>
  <c r="BA697" i="3"/>
  <c r="BG697" i="3"/>
  <c r="BA698" i="3"/>
  <c r="BG698" i="3"/>
  <c r="BA699" i="3"/>
  <c r="BG699" i="3"/>
  <c r="BG700" i="3"/>
  <c r="BG707" i="3"/>
  <c r="BG708" i="3"/>
  <c r="BG709" i="3"/>
  <c r="BG710" i="3"/>
  <c r="BG711" i="3"/>
  <c r="BG712" i="3"/>
  <c r="BG713" i="3"/>
  <c r="BG714" i="3"/>
  <c r="BG715" i="3"/>
  <c r="BG716" i="3"/>
  <c r="BG717" i="3"/>
  <c r="BG718" i="3"/>
  <c r="BG719" i="3"/>
  <c r="BG720" i="3"/>
  <c r="BG721" i="3"/>
  <c r="BG722" i="3"/>
  <c r="BG723" i="3"/>
  <c r="BG724" i="3"/>
  <c r="BG725" i="3"/>
  <c r="BG726" i="3"/>
  <c r="BG727" i="3"/>
  <c r="BG728" i="3"/>
  <c r="BG729" i="3"/>
  <c r="BG730" i="3"/>
  <c r="BG731" i="3"/>
  <c r="AY905" i="3"/>
  <c r="AY906" i="3"/>
  <c r="AY907" i="3"/>
  <c r="AY908" i="3"/>
  <c r="AY909" i="3"/>
  <c r="AY913" i="3"/>
  <c r="BA931" i="3"/>
  <c r="BA932" i="3"/>
  <c r="BA933" i="3"/>
  <c r="BA934" i="3"/>
  <c r="BA935" i="3"/>
  <c r="BA936" i="3"/>
  <c r="BA937" i="3"/>
  <c r="BA938" i="3"/>
  <c r="BA939" i="3"/>
  <c r="AJ31" i="6"/>
  <c r="AJ47" i="6"/>
  <c r="AJ963" i="3"/>
  <c r="C65" i="25"/>
  <c r="AY916" i="3" l="1"/>
  <c r="AY918" i="3"/>
  <c r="AY910" i="3" s="1"/>
  <c r="AY914" i="3" s="1"/>
  <c r="BG614" i="3"/>
  <c r="BG732" i="3"/>
  <c r="BH725" i="3" s="1"/>
  <c r="AZ260" i="3"/>
  <c r="BG701" i="3"/>
  <c r="BH711" i="3" l="1"/>
  <c r="BH710" i="3"/>
  <c r="BH727" i="3"/>
  <c r="BH714" i="3"/>
  <c r="BH724" i="3"/>
  <c r="BH730" i="3"/>
  <c r="BH717" i="3"/>
  <c r="BH722" i="3"/>
  <c r="BH721" i="3"/>
  <c r="BH713" i="3"/>
  <c r="BH709" i="3"/>
  <c r="BH731" i="3"/>
  <c r="BH719" i="3"/>
  <c r="BH723" i="3"/>
  <c r="BH715" i="3"/>
  <c r="BH728" i="3"/>
  <c r="BH707" i="3"/>
  <c r="BH720" i="3"/>
  <c r="BH726" i="3"/>
  <c r="BH729" i="3"/>
  <c r="BH716" i="3"/>
  <c r="BH712" i="3"/>
  <c r="BH708" i="3"/>
  <c r="BH718" i="3"/>
  <c r="BH683" i="3"/>
  <c r="BH691" i="3"/>
  <c r="BH686" i="3"/>
  <c r="BH694" i="3"/>
  <c r="BH697" i="3"/>
  <c r="BH692" i="3"/>
  <c r="BH695" i="3"/>
  <c r="BH699" i="3"/>
  <c r="BH700" i="3"/>
  <c r="BH676" i="3"/>
  <c r="BH679" i="3"/>
  <c r="BH677" i="3"/>
  <c r="BH685" i="3"/>
  <c r="BH693" i="3"/>
  <c r="BH678" i="3"/>
  <c r="BH681" i="3"/>
  <c r="BH689" i="3"/>
  <c r="BH684" i="3"/>
  <c r="BH687" i="3"/>
  <c r="BH688" i="3"/>
  <c r="BH680" i="3"/>
  <c r="BH696" i="3"/>
  <c r="BH682" i="3"/>
  <c r="BH690" i="3"/>
  <c r="BH698" i="3"/>
  <c r="AO650" i="6"/>
  <c r="AO644" i="6"/>
  <c r="AO649" i="6"/>
  <c r="BH732" i="3" l="1"/>
  <c r="BH701" i="3"/>
  <c r="E589" i="6"/>
  <c r="AG796" i="3" l="1"/>
  <c r="AF242" i="3"/>
  <c r="AJ968" i="3" l="1"/>
  <c r="AF969" i="3"/>
  <c r="AF964" i="3"/>
  <c r="AF215" i="3"/>
  <c r="H13" i="10"/>
  <c r="I13" i="10" s="1"/>
  <c r="H14" i="10"/>
  <c r="I14" i="10" s="1"/>
  <c r="H15" i="10"/>
  <c r="I15" i="10" s="1"/>
  <c r="H16" i="10"/>
  <c r="I16" i="10" s="1"/>
  <c r="H17" i="10"/>
  <c r="I17" i="10" s="1"/>
  <c r="H18" i="10"/>
  <c r="I18" i="10" s="1"/>
  <c r="H19" i="10"/>
  <c r="I19" i="10" s="1"/>
  <c r="H20" i="10"/>
  <c r="I20" i="10" s="1"/>
  <c r="H21" i="10"/>
  <c r="I21" i="10" s="1"/>
  <c r="H22" i="10"/>
  <c r="I22" i="10" s="1"/>
  <c r="H23" i="10"/>
  <c r="I23" i="10" s="1"/>
  <c r="H24" i="10"/>
  <c r="I24" i="10" s="1"/>
  <c r="H25" i="10"/>
  <c r="I25" i="10" s="1"/>
  <c r="H26" i="10"/>
  <c r="I26" i="10" s="1"/>
  <c r="H27" i="10"/>
  <c r="I27" i="10" s="1"/>
  <c r="H28" i="10"/>
  <c r="I28" i="10" s="1"/>
  <c r="E16" i="9"/>
  <c r="E19" i="9"/>
  <c r="E26" i="9"/>
  <c r="E27" i="9"/>
  <c r="E28" i="9"/>
  <c r="E29" i="9"/>
  <c r="O29" i="9" s="1"/>
  <c r="E30" i="9"/>
  <c r="E32" i="9"/>
  <c r="E33" i="9"/>
  <c r="G33" i="9" s="1"/>
  <c r="I33" i="9" s="1"/>
  <c r="K33" i="9" s="1"/>
  <c r="M33" i="9" s="1"/>
  <c r="O33" i="9" s="1"/>
  <c r="Q33" i="9" s="1"/>
  <c r="S33" i="9" s="1"/>
  <c r="U33" i="9" s="1"/>
  <c r="W33" i="9" s="1"/>
  <c r="Y33" i="9" s="1"/>
  <c r="AA33" i="9" s="1"/>
  <c r="AC33" i="9" s="1"/>
  <c r="AE33" i="9" s="1"/>
  <c r="AG33" i="9" s="1"/>
  <c r="AJ124" i="6"/>
  <c r="AD66" i="5"/>
  <c r="Y66" i="5"/>
  <c r="T25" i="5"/>
  <c r="AI7" i="5" s="1"/>
  <c r="AG434" i="3"/>
  <c r="E40" i="9"/>
  <c r="A40" i="9"/>
  <c r="T696" i="6"/>
  <c r="BJ525" i="6"/>
  <c r="Q581" i="6" s="1"/>
  <c r="W581" i="6" s="1"/>
  <c r="E31" i="9"/>
  <c r="BO805" i="3"/>
  <c r="R933" i="3" s="1"/>
  <c r="BN588" i="3"/>
  <c r="BN589" i="3"/>
  <c r="BN590" i="3"/>
  <c r="BN591" i="3"/>
  <c r="BN592" i="3"/>
  <c r="BN593" i="3"/>
  <c r="BN594" i="3"/>
  <c r="BN595" i="3"/>
  <c r="BN596" i="3"/>
  <c r="BN597" i="3"/>
  <c r="BN598" i="3"/>
  <c r="BN599" i="3"/>
  <c r="BN600" i="3"/>
  <c r="BN601" i="3"/>
  <c r="BN602" i="3"/>
  <c r="BN603" i="3"/>
  <c r="BN604" i="3"/>
  <c r="BN605" i="3"/>
  <c r="BN606" i="3"/>
  <c r="BN607" i="3"/>
  <c r="BN608" i="3"/>
  <c r="BN609" i="3"/>
  <c r="BN610" i="3"/>
  <c r="BN611" i="3"/>
  <c r="BN612" i="3"/>
  <c r="BN616" i="3"/>
  <c r="BN617" i="3"/>
  <c r="BN618" i="3"/>
  <c r="BN619" i="3"/>
  <c r="BN622" i="3"/>
  <c r="BN623" i="3"/>
  <c r="BN624" i="3"/>
  <c r="BN625" i="3"/>
  <c r="BN626" i="3"/>
  <c r="BN627" i="3"/>
  <c r="BN628" i="3"/>
  <c r="BN629" i="3"/>
  <c r="BN630" i="3"/>
  <c r="BN631" i="3"/>
  <c r="BS588" i="3"/>
  <c r="BS589" i="3"/>
  <c r="BS590" i="3"/>
  <c r="BS591" i="3"/>
  <c r="BS592" i="3"/>
  <c r="BS593" i="3"/>
  <c r="BS594" i="3"/>
  <c r="BS595" i="3"/>
  <c r="BS596" i="3"/>
  <c r="BS597" i="3"/>
  <c r="BS598" i="3"/>
  <c r="BS599" i="3"/>
  <c r="BS600" i="3"/>
  <c r="BS601" i="3"/>
  <c r="BS602" i="3"/>
  <c r="BS603" i="3"/>
  <c r="BS604" i="3"/>
  <c r="BS605" i="3"/>
  <c r="BS606" i="3"/>
  <c r="BS607" i="3"/>
  <c r="BS608" i="3"/>
  <c r="BS609" i="3"/>
  <c r="BS610" i="3"/>
  <c r="BS611" i="3"/>
  <c r="BS612" i="3"/>
  <c r="BS616" i="3"/>
  <c r="BS617" i="3"/>
  <c r="BS618" i="3"/>
  <c r="BS619" i="3"/>
  <c r="BS622" i="3"/>
  <c r="BS623" i="3"/>
  <c r="BS624" i="3"/>
  <c r="BS625" i="3"/>
  <c r="BS626" i="3"/>
  <c r="BS627" i="3"/>
  <c r="BS628" i="3"/>
  <c r="BS629" i="3"/>
  <c r="BS630" i="3"/>
  <c r="M27" i="28" s="1"/>
  <c r="BS631" i="3"/>
  <c r="R935" i="3"/>
  <c r="BX588" i="3"/>
  <c r="BX589" i="3"/>
  <c r="BX590" i="3"/>
  <c r="BX591" i="3"/>
  <c r="BX592" i="3"/>
  <c r="BX593" i="3"/>
  <c r="BX594" i="3"/>
  <c r="BX595" i="3"/>
  <c r="BX596" i="3"/>
  <c r="BX597" i="3"/>
  <c r="BX598" i="3"/>
  <c r="BX599" i="3"/>
  <c r="BX600" i="3"/>
  <c r="BX601" i="3"/>
  <c r="BX602" i="3"/>
  <c r="BX603" i="3"/>
  <c r="BX604" i="3"/>
  <c r="BX605" i="3"/>
  <c r="BX606" i="3"/>
  <c r="BX607" i="3"/>
  <c r="BX608" i="3"/>
  <c r="BX609" i="3"/>
  <c r="BX610" i="3"/>
  <c r="BX611" i="3"/>
  <c r="BX612" i="3"/>
  <c r="BX616" i="3"/>
  <c r="BX617" i="3"/>
  <c r="BX618" i="3"/>
  <c r="BX619" i="3"/>
  <c r="BX622" i="3"/>
  <c r="BX623" i="3"/>
  <c r="BX624" i="3"/>
  <c r="BX625" i="3"/>
  <c r="BX626" i="3"/>
  <c r="BX627" i="3"/>
  <c r="BX628" i="3"/>
  <c r="BX629" i="3"/>
  <c r="BX630" i="3"/>
  <c r="M28" i="28" s="1"/>
  <c r="BX631" i="3"/>
  <c r="CC588" i="3"/>
  <c r="CC589" i="3"/>
  <c r="CC590" i="3"/>
  <c r="CC591" i="3"/>
  <c r="CC592" i="3"/>
  <c r="CC593" i="3"/>
  <c r="CC594" i="3"/>
  <c r="CC595" i="3"/>
  <c r="CC596" i="3"/>
  <c r="CC597" i="3"/>
  <c r="CC598" i="3"/>
  <c r="CC599" i="3"/>
  <c r="CC600" i="3"/>
  <c r="CC601" i="3"/>
  <c r="CC602" i="3"/>
  <c r="CC603" i="3"/>
  <c r="CC604" i="3"/>
  <c r="CC605" i="3"/>
  <c r="CC606" i="3"/>
  <c r="CC607" i="3"/>
  <c r="CC608" i="3"/>
  <c r="CC609" i="3"/>
  <c r="CC610" i="3"/>
  <c r="CC611" i="3"/>
  <c r="CC612" i="3"/>
  <c r="CC616" i="3"/>
  <c r="CC617" i="3"/>
  <c r="CC618" i="3"/>
  <c r="CC619" i="3"/>
  <c r="CC622" i="3"/>
  <c r="CC623" i="3"/>
  <c r="CC624" i="3"/>
  <c r="CC625" i="3"/>
  <c r="CC626" i="3"/>
  <c r="CC627" i="3"/>
  <c r="CC628" i="3"/>
  <c r="CC629" i="3"/>
  <c r="CC630" i="3"/>
  <c r="M29" i="28" s="1"/>
  <c r="CC631" i="3"/>
  <c r="CM622" i="3"/>
  <c r="CM623" i="3"/>
  <c r="CM624" i="3"/>
  <c r="CM625" i="3"/>
  <c r="CM626" i="3"/>
  <c r="CM627" i="3"/>
  <c r="CM628" i="3"/>
  <c r="CM629" i="3"/>
  <c r="CM630" i="3"/>
  <c r="CM631" i="3"/>
  <c r="CM616" i="3"/>
  <c r="CM617" i="3"/>
  <c r="CM618" i="3"/>
  <c r="CM619" i="3"/>
  <c r="CM588" i="3"/>
  <c r="CM589" i="3"/>
  <c r="CM590" i="3"/>
  <c r="CM591" i="3"/>
  <c r="CM592" i="3"/>
  <c r="CM593" i="3"/>
  <c r="CM594" i="3"/>
  <c r="CM595" i="3"/>
  <c r="CM596" i="3"/>
  <c r="CM597" i="3"/>
  <c r="CM598" i="3"/>
  <c r="CM599" i="3"/>
  <c r="CM600" i="3"/>
  <c r="CM601" i="3"/>
  <c r="CM602" i="3"/>
  <c r="CM603" i="3"/>
  <c r="CM604" i="3"/>
  <c r="CM605" i="3"/>
  <c r="CM606" i="3"/>
  <c r="CM607" i="3"/>
  <c r="CM608" i="3"/>
  <c r="CM609" i="3"/>
  <c r="CM610" i="3"/>
  <c r="CM611" i="3"/>
  <c r="CM612" i="3"/>
  <c r="CH588" i="3"/>
  <c r="CH589" i="3"/>
  <c r="CH590" i="3"/>
  <c r="CH591" i="3"/>
  <c r="CH592" i="3"/>
  <c r="CH593" i="3"/>
  <c r="CH594" i="3"/>
  <c r="CH595" i="3"/>
  <c r="CH596" i="3"/>
  <c r="CH597" i="3"/>
  <c r="CH598" i="3"/>
  <c r="CH599" i="3"/>
  <c r="CH600" i="3"/>
  <c r="CH601" i="3"/>
  <c r="CH602" i="3"/>
  <c r="CH603" i="3"/>
  <c r="CH604" i="3"/>
  <c r="CH605" i="3"/>
  <c r="CH606" i="3"/>
  <c r="CH607" i="3"/>
  <c r="CH608" i="3"/>
  <c r="CH609" i="3"/>
  <c r="CH610" i="3"/>
  <c r="CH611" i="3"/>
  <c r="CH612" i="3"/>
  <c r="CH616" i="3"/>
  <c r="CH617" i="3"/>
  <c r="CH618" i="3"/>
  <c r="CH619" i="3"/>
  <c r="CH622" i="3"/>
  <c r="CH623" i="3"/>
  <c r="CH624" i="3"/>
  <c r="CH625" i="3"/>
  <c r="CH626" i="3"/>
  <c r="CH627" i="3"/>
  <c r="CH628" i="3"/>
  <c r="CH629" i="3"/>
  <c r="CH630" i="3"/>
  <c r="CH631" i="3"/>
  <c r="AJ944" i="3"/>
  <c r="AJ950" i="3"/>
  <c r="AJ954" i="3"/>
  <c r="AJ956" i="3"/>
  <c r="AJ959" i="3"/>
  <c r="AJ972" i="3"/>
  <c r="AJ975" i="3"/>
  <c r="AJ979" i="3"/>
  <c r="AJ984" i="3"/>
  <c r="AG437" i="3"/>
  <c r="AO630" i="3"/>
  <c r="AB47" i="5" s="1"/>
  <c r="W811" i="3"/>
  <c r="E15" i="9" s="1"/>
  <c r="W819" i="3"/>
  <c r="E17" i="9" s="1"/>
  <c r="G17" i="9" s="1"/>
  <c r="I17" i="9" s="1"/>
  <c r="K17" i="9" s="1"/>
  <c r="M17" i="9" s="1"/>
  <c r="O17" i="9" s="1"/>
  <c r="Q17" i="9" s="1"/>
  <c r="S17" i="9" s="1"/>
  <c r="U17" i="9" s="1"/>
  <c r="W17" i="9" s="1"/>
  <c r="Y17" i="9" s="1"/>
  <c r="AA17" i="9" s="1"/>
  <c r="AC17" i="9" s="1"/>
  <c r="AE17" i="9" s="1"/>
  <c r="AG17" i="9" s="1"/>
  <c r="W826" i="3"/>
  <c r="E18" i="9" s="1"/>
  <c r="G18" i="9" s="1"/>
  <c r="I18" i="9" s="1"/>
  <c r="K18" i="9" s="1"/>
  <c r="M18" i="9" s="1"/>
  <c r="O18" i="9" s="1"/>
  <c r="Q18" i="9" s="1"/>
  <c r="S18" i="9" s="1"/>
  <c r="U18" i="9" s="1"/>
  <c r="W18" i="9" s="1"/>
  <c r="Y18" i="9" s="1"/>
  <c r="AA18" i="9" s="1"/>
  <c r="AC18" i="9" s="1"/>
  <c r="AE18" i="9" s="1"/>
  <c r="AG18" i="9" s="1"/>
  <c r="W836" i="3"/>
  <c r="W843" i="3"/>
  <c r="E21" i="9" s="1"/>
  <c r="G21" i="9" s="1"/>
  <c r="I21" i="9" s="1"/>
  <c r="K21" i="9" s="1"/>
  <c r="M21" i="9" s="1"/>
  <c r="O21" i="9" s="1"/>
  <c r="Q21" i="9" s="1"/>
  <c r="S21" i="9" s="1"/>
  <c r="U21" i="9" s="1"/>
  <c r="W21" i="9" s="1"/>
  <c r="Y21" i="9" s="1"/>
  <c r="AA21" i="9" s="1"/>
  <c r="AC21" i="9" s="1"/>
  <c r="AE21" i="9" s="1"/>
  <c r="AG21" i="9" s="1"/>
  <c r="Z781" i="3"/>
  <c r="E8" i="9" s="1"/>
  <c r="T692" i="3"/>
  <c r="T693" i="3"/>
  <c r="T694" i="3"/>
  <c r="T695" i="3"/>
  <c r="T696" i="3"/>
  <c r="T697" i="3"/>
  <c r="T698" i="3"/>
  <c r="T699" i="3"/>
  <c r="T700" i="3"/>
  <c r="T701" i="3"/>
  <c r="T702" i="3"/>
  <c r="T703" i="3"/>
  <c r="T704" i="3"/>
  <c r="T705" i="3"/>
  <c r="T706" i="3"/>
  <c r="T707" i="3"/>
  <c r="T708" i="3"/>
  <c r="T709" i="3"/>
  <c r="T710" i="3"/>
  <c r="T711" i="3"/>
  <c r="T712" i="3"/>
  <c r="T713" i="3"/>
  <c r="T714" i="3"/>
  <c r="T715" i="3"/>
  <c r="T716" i="3"/>
  <c r="AC738" i="3"/>
  <c r="AC739" i="3"/>
  <c r="AC740" i="3"/>
  <c r="AC741" i="3"/>
  <c r="AC752" i="3"/>
  <c r="AC753" i="3"/>
  <c r="AC754" i="3"/>
  <c r="AC755" i="3"/>
  <c r="AC756" i="3"/>
  <c r="AC757" i="3"/>
  <c r="AC758" i="3"/>
  <c r="AC759" i="3"/>
  <c r="AC760" i="3"/>
  <c r="AC761" i="3"/>
  <c r="M235" i="3"/>
  <c r="AG443" i="3"/>
  <c r="O762" i="3"/>
  <c r="O742" i="3"/>
  <c r="G717" i="3"/>
  <c r="U368" i="6"/>
  <c r="U17" i="28"/>
  <c r="R9" i="4"/>
  <c r="R4" i="4"/>
  <c r="R10" i="4"/>
  <c r="S10" i="4"/>
  <c r="E10" i="18" s="1"/>
  <c r="R30" i="28"/>
  <c r="AC692" i="3"/>
  <c r="AM692" i="3" s="1"/>
  <c r="AC693" i="3"/>
  <c r="AM693" i="3" s="1"/>
  <c r="AC694" i="3"/>
  <c r="AM694" i="3" s="1"/>
  <c r="AC695" i="3"/>
  <c r="AM695" i="3" s="1"/>
  <c r="AC696" i="3"/>
  <c r="AM696" i="3" s="1"/>
  <c r="AC697" i="3"/>
  <c r="AM697" i="3" s="1"/>
  <c r="AC698" i="3"/>
  <c r="AM698" i="3" s="1"/>
  <c r="AC699" i="3"/>
  <c r="AM699" i="3" s="1"/>
  <c r="AC700" i="3"/>
  <c r="AC701" i="3"/>
  <c r="AM701" i="3" s="1"/>
  <c r="AC702" i="3"/>
  <c r="AM702" i="3" s="1"/>
  <c r="AC703" i="3"/>
  <c r="AM703" i="3" s="1"/>
  <c r="AC704" i="3"/>
  <c r="AM704" i="3" s="1"/>
  <c r="H35" i="18"/>
  <c r="E35" i="18"/>
  <c r="B35" i="18"/>
  <c r="A35" i="18"/>
  <c r="AK641" i="6"/>
  <c r="T705" i="6" s="1"/>
  <c r="DR590" i="3"/>
  <c r="DR591" i="3"/>
  <c r="DR592" i="3"/>
  <c r="DR593" i="3"/>
  <c r="DR594" i="3"/>
  <c r="DR595" i="3"/>
  <c r="DR596" i="3"/>
  <c r="DR597" i="3"/>
  <c r="DR598" i="3"/>
  <c r="DR599" i="3"/>
  <c r="DR600" i="3"/>
  <c r="DR601" i="3"/>
  <c r="DR602" i="3"/>
  <c r="DR603" i="3"/>
  <c r="DR604" i="3"/>
  <c r="DR605" i="3"/>
  <c r="DR606" i="3"/>
  <c r="DR607" i="3"/>
  <c r="DR608" i="3"/>
  <c r="DR609" i="3"/>
  <c r="DR610" i="3"/>
  <c r="DR611" i="3"/>
  <c r="DR612" i="3"/>
  <c r="DR613" i="3"/>
  <c r="DR589" i="3"/>
  <c r="DM590" i="3"/>
  <c r="DM591" i="3"/>
  <c r="DM592" i="3"/>
  <c r="DM593" i="3"/>
  <c r="DM594" i="3"/>
  <c r="DM595" i="3"/>
  <c r="DM596" i="3"/>
  <c r="DM597" i="3"/>
  <c r="DM598" i="3"/>
  <c r="DM599" i="3"/>
  <c r="DM600" i="3"/>
  <c r="DM601" i="3"/>
  <c r="DM602" i="3"/>
  <c r="DM603" i="3"/>
  <c r="DM604" i="3"/>
  <c r="DM605" i="3"/>
  <c r="DM606" i="3"/>
  <c r="DM607" i="3"/>
  <c r="DM608" i="3"/>
  <c r="DM609" i="3"/>
  <c r="DM610" i="3"/>
  <c r="DM611" i="3"/>
  <c r="DM612" i="3"/>
  <c r="DM613" i="3"/>
  <c r="DM589" i="3"/>
  <c r="DH590" i="3"/>
  <c r="DH591" i="3"/>
  <c r="DH592" i="3"/>
  <c r="DH593" i="3"/>
  <c r="DH594" i="3"/>
  <c r="DH595" i="3"/>
  <c r="DH596" i="3"/>
  <c r="DH597" i="3"/>
  <c r="DH598" i="3"/>
  <c r="DH599" i="3"/>
  <c r="DH600" i="3"/>
  <c r="DH601" i="3"/>
  <c r="DH602" i="3"/>
  <c r="DH603" i="3"/>
  <c r="DH604" i="3"/>
  <c r="DH605" i="3"/>
  <c r="DH606" i="3"/>
  <c r="DH607" i="3"/>
  <c r="DH608" i="3"/>
  <c r="DH609" i="3"/>
  <c r="DH610" i="3"/>
  <c r="DH611" i="3"/>
  <c r="DH612" i="3"/>
  <c r="DH613" i="3"/>
  <c r="DH589" i="3"/>
  <c r="DC590" i="3"/>
  <c r="DC591" i="3"/>
  <c r="DC592" i="3"/>
  <c r="DC593" i="3"/>
  <c r="DC594" i="3"/>
  <c r="DC595" i="3"/>
  <c r="DC596" i="3"/>
  <c r="DC597" i="3"/>
  <c r="DC598" i="3"/>
  <c r="DC599" i="3"/>
  <c r="DC600" i="3"/>
  <c r="DC601" i="3"/>
  <c r="DC602" i="3"/>
  <c r="DC603" i="3"/>
  <c r="DC604" i="3"/>
  <c r="DC605" i="3"/>
  <c r="DC606" i="3"/>
  <c r="DC607" i="3"/>
  <c r="DC608" i="3"/>
  <c r="DC609" i="3"/>
  <c r="DC610" i="3"/>
  <c r="DC611" i="3"/>
  <c r="DC612" i="3"/>
  <c r="DC613" i="3"/>
  <c r="DC589" i="3"/>
  <c r="CX590" i="3"/>
  <c r="CX591" i="3"/>
  <c r="CX592" i="3"/>
  <c r="CX593" i="3"/>
  <c r="CX594" i="3"/>
  <c r="CX595" i="3"/>
  <c r="CX596" i="3"/>
  <c r="CX597" i="3"/>
  <c r="CX598" i="3"/>
  <c r="CX599" i="3"/>
  <c r="CX600" i="3"/>
  <c r="CX601" i="3"/>
  <c r="CX602" i="3"/>
  <c r="CX603" i="3"/>
  <c r="CX604" i="3"/>
  <c r="CX605" i="3"/>
  <c r="CX606" i="3"/>
  <c r="CX607" i="3"/>
  <c r="CX608" i="3"/>
  <c r="CX609" i="3"/>
  <c r="CX610" i="3"/>
  <c r="CX611" i="3"/>
  <c r="CX612" i="3"/>
  <c r="CX613" i="3"/>
  <c r="CX589" i="3"/>
  <c r="CS590" i="3"/>
  <c r="CS591" i="3"/>
  <c r="CS592" i="3"/>
  <c r="CS593" i="3"/>
  <c r="CS594" i="3"/>
  <c r="CS595" i="3"/>
  <c r="CS596" i="3"/>
  <c r="CS597" i="3"/>
  <c r="CS598" i="3"/>
  <c r="CS599" i="3"/>
  <c r="CS600" i="3"/>
  <c r="CS601" i="3"/>
  <c r="CS602" i="3"/>
  <c r="CS603" i="3"/>
  <c r="CS604" i="3"/>
  <c r="CS605" i="3"/>
  <c r="CS606" i="3"/>
  <c r="CS607" i="3"/>
  <c r="CS608" i="3"/>
  <c r="CS609" i="3"/>
  <c r="CS610" i="3"/>
  <c r="CS611" i="3"/>
  <c r="CS612" i="3"/>
  <c r="CS613" i="3"/>
  <c r="CS589" i="3"/>
  <c r="BI590" i="3"/>
  <c r="BI591" i="3"/>
  <c r="BI592" i="3"/>
  <c r="BK592" i="3" s="1"/>
  <c r="BI593" i="3"/>
  <c r="BK593" i="3" s="1"/>
  <c r="BI594" i="3"/>
  <c r="BK594" i="3" s="1"/>
  <c r="BI595" i="3"/>
  <c r="BK595" i="3" s="1"/>
  <c r="BI596" i="3"/>
  <c r="BK596" i="3" s="1"/>
  <c r="BI597" i="3"/>
  <c r="BK597" i="3" s="1"/>
  <c r="BI598" i="3"/>
  <c r="BK598" i="3" s="1"/>
  <c r="BI599" i="3"/>
  <c r="BK599" i="3" s="1"/>
  <c r="BI600" i="3"/>
  <c r="BI601" i="3"/>
  <c r="BK601" i="3" s="1"/>
  <c r="BI602" i="3"/>
  <c r="BK602" i="3" s="1"/>
  <c r="BI603" i="3"/>
  <c r="BK603" i="3" s="1"/>
  <c r="BI604" i="3"/>
  <c r="BK604" i="3" s="1"/>
  <c r="BI605" i="3"/>
  <c r="BI606" i="3"/>
  <c r="BI607" i="3"/>
  <c r="BK607" i="3" s="1"/>
  <c r="BI608" i="3"/>
  <c r="BI609" i="3"/>
  <c r="BK609" i="3" s="1"/>
  <c r="BI610" i="3"/>
  <c r="BK610" i="3" s="1"/>
  <c r="BI611" i="3"/>
  <c r="BK611" i="3" s="1"/>
  <c r="BI612" i="3"/>
  <c r="BI613" i="3"/>
  <c r="BI589" i="3"/>
  <c r="BK589" i="3" s="1"/>
  <c r="J107" i="4"/>
  <c r="K107" i="4"/>
  <c r="L107" i="4"/>
  <c r="M107" i="4"/>
  <c r="N107" i="4"/>
  <c r="O107" i="4"/>
  <c r="P107" i="4"/>
  <c r="Q107" i="4"/>
  <c r="I107" i="4"/>
  <c r="H107" i="4"/>
  <c r="G107" i="4"/>
  <c r="F107" i="4"/>
  <c r="E107" i="4"/>
  <c r="B100" i="15"/>
  <c r="C100" i="15"/>
  <c r="E100" i="15" s="1"/>
  <c r="D100" i="15"/>
  <c r="B101" i="15"/>
  <c r="C101" i="15"/>
  <c r="E101" i="15" s="1"/>
  <c r="D101" i="15"/>
  <c r="B102" i="15"/>
  <c r="C102" i="15"/>
  <c r="E102" i="15" s="1"/>
  <c r="D102" i="15"/>
  <c r="B103" i="15"/>
  <c r="C103" i="15"/>
  <c r="E103" i="15" s="1"/>
  <c r="D103" i="15"/>
  <c r="D99" i="15"/>
  <c r="C99" i="15"/>
  <c r="B99" i="15"/>
  <c r="B84" i="15"/>
  <c r="C84" i="15"/>
  <c r="E84" i="15" s="1"/>
  <c r="D84" i="15"/>
  <c r="B85" i="15"/>
  <c r="C85" i="15"/>
  <c r="D85" i="15"/>
  <c r="B86" i="15"/>
  <c r="C86" i="15"/>
  <c r="D86" i="15"/>
  <c r="B87" i="15"/>
  <c r="C87" i="15"/>
  <c r="E87" i="15" s="1"/>
  <c r="D87" i="15"/>
  <c r="B88" i="15"/>
  <c r="C88" i="15"/>
  <c r="E88" i="15" s="1"/>
  <c r="D88" i="15"/>
  <c r="B89" i="15"/>
  <c r="C89" i="15"/>
  <c r="E89" i="15" s="1"/>
  <c r="D89" i="15"/>
  <c r="B90" i="15"/>
  <c r="C90" i="15"/>
  <c r="D90" i="15"/>
  <c r="B91" i="15"/>
  <c r="C91" i="15"/>
  <c r="D91" i="15"/>
  <c r="B92" i="15"/>
  <c r="E92" i="15" s="1"/>
  <c r="C92" i="15"/>
  <c r="D92" i="15"/>
  <c r="B93" i="15"/>
  <c r="C93" i="15"/>
  <c r="D93" i="15"/>
  <c r="B94" i="15"/>
  <c r="C94" i="15"/>
  <c r="D94" i="15"/>
  <c r="B95" i="15"/>
  <c r="C95" i="15"/>
  <c r="E95" i="15" s="1"/>
  <c r="D95" i="15"/>
  <c r="D83" i="15"/>
  <c r="C83" i="15"/>
  <c r="B83" i="15"/>
  <c r="B80" i="15"/>
  <c r="C80" i="15"/>
  <c r="D80" i="15"/>
  <c r="D79" i="15"/>
  <c r="C79" i="15"/>
  <c r="B79" i="15"/>
  <c r="B73" i="15"/>
  <c r="E73" i="15" s="1"/>
  <c r="C73" i="15"/>
  <c r="D73" i="15"/>
  <c r="B74" i="15"/>
  <c r="C74" i="15"/>
  <c r="E74" i="15" s="1"/>
  <c r="D74" i="15"/>
  <c r="D72" i="15"/>
  <c r="C72" i="15"/>
  <c r="B72" i="15"/>
  <c r="B66" i="15"/>
  <c r="C66" i="15"/>
  <c r="E66" i="15" s="1"/>
  <c r="D66" i="15"/>
  <c r="B67" i="15"/>
  <c r="E67" i="15" s="1"/>
  <c r="C67" i="15"/>
  <c r="D67" i="15"/>
  <c r="B68" i="15"/>
  <c r="C68" i="15"/>
  <c r="E68" i="15" s="1"/>
  <c r="D68" i="15"/>
  <c r="B69" i="15"/>
  <c r="E69" i="15" s="1"/>
  <c r="C69" i="15"/>
  <c r="D69" i="15"/>
  <c r="D65" i="15"/>
  <c r="C65" i="15"/>
  <c r="B65" i="15"/>
  <c r="B57" i="15"/>
  <c r="C57" i="15"/>
  <c r="D57" i="15"/>
  <c r="B58" i="15"/>
  <c r="C58" i="15"/>
  <c r="D58" i="15"/>
  <c r="B59" i="15"/>
  <c r="C59" i="15"/>
  <c r="E59" i="15" s="1"/>
  <c r="D59" i="15"/>
  <c r="B60" i="15"/>
  <c r="C60" i="15"/>
  <c r="E60" i="15" s="1"/>
  <c r="D60" i="15"/>
  <c r="B61" i="15"/>
  <c r="C61" i="15"/>
  <c r="D61" i="15"/>
  <c r="D56" i="15"/>
  <c r="C56" i="15"/>
  <c r="B56" i="15"/>
  <c r="E56" i="15" s="1"/>
  <c r="B47" i="15"/>
  <c r="C47" i="15"/>
  <c r="D47" i="15"/>
  <c r="B48" i="15"/>
  <c r="C48" i="15"/>
  <c r="D48" i="15"/>
  <c r="B49" i="15"/>
  <c r="C49" i="15"/>
  <c r="E49" i="15"/>
  <c r="D49" i="15"/>
  <c r="B50" i="15"/>
  <c r="C50" i="15"/>
  <c r="D50" i="15"/>
  <c r="B51" i="15"/>
  <c r="C51" i="15"/>
  <c r="D51" i="15"/>
  <c r="B52" i="15"/>
  <c r="C52" i="15"/>
  <c r="D52" i="15"/>
  <c r="B53" i="15"/>
  <c r="C53" i="15"/>
  <c r="D53" i="15"/>
  <c r="D46" i="15"/>
  <c r="C46" i="15"/>
  <c r="B46" i="15"/>
  <c r="B44" i="15"/>
  <c r="C44" i="15"/>
  <c r="E44" i="15" s="1"/>
  <c r="D44" i="15"/>
  <c r="B42" i="15"/>
  <c r="C42" i="15"/>
  <c r="D42" i="15"/>
  <c r="D41" i="15"/>
  <c r="C41" i="15"/>
  <c r="B41" i="15"/>
  <c r="B38" i="15"/>
  <c r="C38" i="15"/>
  <c r="D38" i="15"/>
  <c r="B31" i="15"/>
  <c r="E31" i="15" s="1"/>
  <c r="C31" i="15"/>
  <c r="D31" i="15"/>
  <c r="B32" i="15"/>
  <c r="C32" i="15"/>
  <c r="D32" i="15"/>
  <c r="B33" i="15"/>
  <c r="C33" i="15"/>
  <c r="D33" i="15"/>
  <c r="B34" i="15"/>
  <c r="C34" i="15"/>
  <c r="D34" i="15"/>
  <c r="B35" i="15"/>
  <c r="C35" i="15"/>
  <c r="E35" i="15" s="1"/>
  <c r="D35" i="15"/>
  <c r="B36" i="15"/>
  <c r="C36" i="15"/>
  <c r="D36" i="15"/>
  <c r="B37" i="15"/>
  <c r="C37" i="15"/>
  <c r="E37" i="15" s="1"/>
  <c r="D37" i="15"/>
  <c r="D30" i="15"/>
  <c r="C30" i="15"/>
  <c r="B30" i="15"/>
  <c r="B19" i="15"/>
  <c r="C19" i="15"/>
  <c r="D19" i="15"/>
  <c r="B20" i="15"/>
  <c r="E20" i="15" s="1"/>
  <c r="C20" i="15"/>
  <c r="D20" i="15"/>
  <c r="B21" i="15"/>
  <c r="C21" i="15"/>
  <c r="D21" i="15"/>
  <c r="B22" i="15"/>
  <c r="C22" i="15"/>
  <c r="E22" i="15" s="1"/>
  <c r="D22" i="15"/>
  <c r="B23" i="15"/>
  <c r="C23" i="15"/>
  <c r="D23" i="15"/>
  <c r="B24" i="15"/>
  <c r="C24" i="15"/>
  <c r="E24" i="15"/>
  <c r="D24" i="15"/>
  <c r="B25" i="15"/>
  <c r="C25" i="15"/>
  <c r="E25" i="15" s="1"/>
  <c r="D25" i="15"/>
  <c r="B26" i="15"/>
  <c r="C26" i="15"/>
  <c r="E26" i="15" s="1"/>
  <c r="D26" i="15"/>
  <c r="B28" i="15"/>
  <c r="C28" i="15"/>
  <c r="E28" i="15" s="1"/>
  <c r="D28" i="15"/>
  <c r="B5" i="15"/>
  <c r="C5" i="15"/>
  <c r="B6" i="15"/>
  <c r="E6" i="15" s="1"/>
  <c r="C6" i="15"/>
  <c r="B7" i="15"/>
  <c r="C7" i="15"/>
  <c r="B8" i="15"/>
  <c r="C8" i="15"/>
  <c r="E8" i="15" s="1"/>
  <c r="B10" i="15"/>
  <c r="C10" i="15"/>
  <c r="B11" i="15"/>
  <c r="C11" i="15"/>
  <c r="B14" i="15"/>
  <c r="C14" i="15"/>
  <c r="B15" i="15"/>
  <c r="C15" i="15"/>
  <c r="E15" i="15" s="1"/>
  <c r="B16" i="15"/>
  <c r="E16" i="15" s="1"/>
  <c r="C16" i="15"/>
  <c r="B18" i="15"/>
  <c r="C18" i="15"/>
  <c r="E18" i="15"/>
  <c r="C28" i="10"/>
  <c r="C5" i="10"/>
  <c r="H5" i="10" s="1"/>
  <c r="C6" i="10"/>
  <c r="H6" i="10" s="1"/>
  <c r="C7" i="10"/>
  <c r="H7" i="10" s="1"/>
  <c r="C8" i="10"/>
  <c r="H8" i="10" s="1"/>
  <c r="C9" i="10"/>
  <c r="H9" i="10" s="1"/>
  <c r="C10" i="10"/>
  <c r="H10" i="10" s="1"/>
  <c r="C11" i="10"/>
  <c r="H11" i="10" s="1"/>
  <c r="C12" i="10"/>
  <c r="H12" i="10" s="1"/>
  <c r="C13" i="10"/>
  <c r="C14" i="10"/>
  <c r="C15" i="10"/>
  <c r="C16" i="10"/>
  <c r="C17" i="10"/>
  <c r="C18" i="10"/>
  <c r="C19" i="10"/>
  <c r="C20" i="10"/>
  <c r="C21" i="10"/>
  <c r="C22" i="10"/>
  <c r="C23" i="10"/>
  <c r="C24" i="10"/>
  <c r="C25" i="10"/>
  <c r="C26" i="10"/>
  <c r="C27" i="10"/>
  <c r="C4" i="10"/>
  <c r="H4" i="10" s="1"/>
  <c r="E34" i="15"/>
  <c r="E7" i="15"/>
  <c r="E57" i="15"/>
  <c r="E21" i="15"/>
  <c r="E19" i="15"/>
  <c r="E42" i="15"/>
  <c r="E11" i="15"/>
  <c r="E36" i="15"/>
  <c r="E30" i="15"/>
  <c r="AM706" i="3"/>
  <c r="AM707" i="3"/>
  <c r="AM708" i="3"/>
  <c r="AM709" i="3"/>
  <c r="AM710" i="3"/>
  <c r="AM711" i="3"/>
  <c r="AM712" i="3"/>
  <c r="AM713" i="3"/>
  <c r="AM714" i="3"/>
  <c r="AM715" i="3"/>
  <c r="AM716" i="3"/>
  <c r="AC716" i="3"/>
  <c r="AC715" i="3"/>
  <c r="AC714" i="3"/>
  <c r="AC713" i="3"/>
  <c r="AC712" i="3"/>
  <c r="AC711" i="3"/>
  <c r="AC710" i="3"/>
  <c r="AC709" i="3"/>
  <c r="AC708" i="3"/>
  <c r="AC707" i="3"/>
  <c r="AC706" i="3"/>
  <c r="AC705" i="3"/>
  <c r="AM705" i="3" s="1"/>
  <c r="AM558" i="3"/>
  <c r="H64" i="18"/>
  <c r="H65" i="18"/>
  <c r="H66" i="18"/>
  <c r="E64" i="18"/>
  <c r="E65" i="18"/>
  <c r="E66" i="18"/>
  <c r="B64" i="18"/>
  <c r="B65" i="18"/>
  <c r="B66" i="18"/>
  <c r="B101" i="4"/>
  <c r="R101" i="4"/>
  <c r="R67" i="4"/>
  <c r="R66" i="4"/>
  <c r="R65" i="4"/>
  <c r="B67" i="4"/>
  <c r="B66" i="4"/>
  <c r="B65" i="4"/>
  <c r="B36" i="4"/>
  <c r="R36" i="4"/>
  <c r="R24" i="4"/>
  <c r="B24" i="4"/>
  <c r="G55" i="9"/>
  <c r="I55" i="9"/>
  <c r="K55" i="9" s="1"/>
  <c r="M55" i="9" s="1"/>
  <c r="O55" i="9" s="1"/>
  <c r="Q55" i="9" s="1"/>
  <c r="S55" i="9" s="1"/>
  <c r="U55" i="9" s="1"/>
  <c r="W55" i="9" s="1"/>
  <c r="Y55" i="9" s="1"/>
  <c r="AA55" i="9" s="1"/>
  <c r="AC55" i="9" s="1"/>
  <c r="AE55" i="9" s="1"/>
  <c r="AG55" i="9" s="1"/>
  <c r="G56" i="9"/>
  <c r="I56" i="9" s="1"/>
  <c r="K56" i="9" s="1"/>
  <c r="M56" i="9" s="1"/>
  <c r="O56" i="9" s="1"/>
  <c r="Q56" i="9" s="1"/>
  <c r="S56" i="9" s="1"/>
  <c r="U56" i="9" s="1"/>
  <c r="W56" i="9" s="1"/>
  <c r="Y56" i="9" s="1"/>
  <c r="AA56" i="9" s="1"/>
  <c r="AC56" i="9" s="1"/>
  <c r="AE56" i="9" s="1"/>
  <c r="AG56" i="9" s="1"/>
  <c r="G57" i="9"/>
  <c r="I57" i="9" s="1"/>
  <c r="K57" i="9" s="1"/>
  <c r="M57" i="9" s="1"/>
  <c r="O57" i="9" s="1"/>
  <c r="Q57" i="9" s="1"/>
  <c r="S57" i="9" s="1"/>
  <c r="U57" i="9" s="1"/>
  <c r="W57" i="9" s="1"/>
  <c r="Y57" i="9" s="1"/>
  <c r="AA57" i="9" s="1"/>
  <c r="AC57" i="9" s="1"/>
  <c r="AE57" i="9" s="1"/>
  <c r="AG57" i="9" s="1"/>
  <c r="G24" i="9"/>
  <c r="I24" i="9" s="1"/>
  <c r="K24" i="9" s="1"/>
  <c r="M24" i="9" s="1"/>
  <c r="O24" i="9" s="1"/>
  <c r="Q24" i="9" s="1"/>
  <c r="S24" i="9" s="1"/>
  <c r="U24" i="9" s="1"/>
  <c r="W24" i="9" s="1"/>
  <c r="Y24" i="9" s="1"/>
  <c r="AA24" i="9" s="1"/>
  <c r="AC24" i="9" s="1"/>
  <c r="AE24" i="9" s="1"/>
  <c r="AG24" i="9" s="1"/>
  <c r="AG489" i="6"/>
  <c r="AG487" i="6"/>
  <c r="AG500" i="6"/>
  <c r="AG498" i="6"/>
  <c r="AG494" i="6"/>
  <c r="AG525" i="6"/>
  <c r="AD20" i="5"/>
  <c r="AD22" i="5" s="1"/>
  <c r="G90" i="25"/>
  <c r="G91" i="25"/>
  <c r="G92" i="25"/>
  <c r="G93" i="25"/>
  <c r="G94" i="25"/>
  <c r="G95" i="25"/>
  <c r="G96" i="25"/>
  <c r="G97" i="25"/>
  <c r="Q91" i="25"/>
  <c r="Q93" i="25" s="1"/>
  <c r="B15" i="4"/>
  <c r="E50" i="25" s="1"/>
  <c r="Q48" i="25"/>
  <c r="D8" i="4"/>
  <c r="D11" i="4"/>
  <c r="D12" i="4" s="1"/>
  <c r="D26" i="4"/>
  <c r="D38" i="4"/>
  <c r="D42" i="4"/>
  <c r="D53" i="4"/>
  <c r="D61" i="4"/>
  <c r="B61" i="4" s="1"/>
  <c r="D69" i="4"/>
  <c r="D76" i="4"/>
  <c r="D80" i="4"/>
  <c r="D95" i="4"/>
  <c r="D103" i="4"/>
  <c r="C8" i="4"/>
  <c r="B8" i="18" s="1"/>
  <c r="C11" i="4"/>
  <c r="B11" i="18" s="1"/>
  <c r="C26" i="4"/>
  <c r="B25" i="18" s="1"/>
  <c r="C38" i="4"/>
  <c r="C42" i="4"/>
  <c r="D43" i="15" s="1"/>
  <c r="C53" i="4"/>
  <c r="D54" i="15" s="1"/>
  <c r="C61" i="4"/>
  <c r="C69" i="4"/>
  <c r="B68" i="18" s="1"/>
  <c r="C80" i="4"/>
  <c r="C81" i="15" s="1"/>
  <c r="C95" i="4"/>
  <c r="C96" i="15" s="1"/>
  <c r="C103" i="4"/>
  <c r="C104" i="15" s="1"/>
  <c r="C66" i="25"/>
  <c r="Y20" i="5"/>
  <c r="Y22" i="5" s="1"/>
  <c r="AI20" i="5"/>
  <c r="AI22" i="5" s="1"/>
  <c r="S26" i="4"/>
  <c r="S53" i="4"/>
  <c r="F25" i="18"/>
  <c r="F37" i="18"/>
  <c r="F41" i="18"/>
  <c r="F52" i="18"/>
  <c r="F68" i="18"/>
  <c r="F79" i="18"/>
  <c r="F94" i="18"/>
  <c r="F102" i="18"/>
  <c r="T20" i="5"/>
  <c r="T26" i="4"/>
  <c r="T38" i="4"/>
  <c r="T42" i="4"/>
  <c r="H41" i="18" s="1"/>
  <c r="T53" i="4"/>
  <c r="H52" i="18" s="1"/>
  <c r="T11" i="4"/>
  <c r="T69" i="4"/>
  <c r="H68" i="18" s="1"/>
  <c r="T80" i="4"/>
  <c r="H79" i="18" s="1"/>
  <c r="T95" i="4"/>
  <c r="H94" i="18" s="1"/>
  <c r="T103" i="4"/>
  <c r="H102" i="18" s="1"/>
  <c r="I11" i="18"/>
  <c r="I25" i="18"/>
  <c r="I37" i="18"/>
  <c r="I41" i="18"/>
  <c r="I52" i="18"/>
  <c r="I68" i="18"/>
  <c r="I79" i="18"/>
  <c r="I94" i="18"/>
  <c r="I102" i="18"/>
  <c r="U66" i="25"/>
  <c r="U67" i="25"/>
  <c r="U68" i="25"/>
  <c r="R83" i="4"/>
  <c r="S83" i="4" s="1"/>
  <c r="AP375" i="6"/>
  <c r="AP374" i="6"/>
  <c r="AP373" i="6"/>
  <c r="AP370" i="6"/>
  <c r="AP368" i="6"/>
  <c r="AP366" i="6"/>
  <c r="AP363" i="6"/>
  <c r="AP362" i="6"/>
  <c r="AP361" i="6"/>
  <c r="AP359" i="6"/>
  <c r="AP358" i="6"/>
  <c r="AP356" i="6"/>
  <c r="AP355" i="6"/>
  <c r="AP353" i="6"/>
  <c r="AP351" i="6"/>
  <c r="BD522" i="6"/>
  <c r="J11" i="18"/>
  <c r="J25" i="18"/>
  <c r="J37" i="18"/>
  <c r="J41" i="18"/>
  <c r="J52" i="18"/>
  <c r="J68" i="18"/>
  <c r="J79" i="18"/>
  <c r="J94" i="18"/>
  <c r="J102" i="18"/>
  <c r="AD39"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C19" i="26"/>
  <c r="T13" i="26"/>
  <c r="Y13" i="26"/>
  <c r="Y14" i="26"/>
  <c r="Y15" i="26"/>
  <c r="Y16" i="26"/>
  <c r="Y17" i="26"/>
  <c r="Y18" i="26"/>
  <c r="Y19" i="26"/>
  <c r="AD13" i="26"/>
  <c r="AI13" i="26"/>
  <c r="T14" i="26"/>
  <c r="AD14" i="26"/>
  <c r="AI14" i="26"/>
  <c r="T15" i="26"/>
  <c r="AD15" i="26"/>
  <c r="AI15" i="26"/>
  <c r="T16" i="26"/>
  <c r="AD16" i="26"/>
  <c r="AI16" i="26"/>
  <c r="T17" i="26"/>
  <c r="AD17" i="26"/>
  <c r="AI17" i="26"/>
  <c r="T18" i="26"/>
  <c r="AD18" i="26"/>
  <c r="AI18" i="26"/>
  <c r="T19" i="26"/>
  <c r="AD19" i="26"/>
  <c r="AI19" i="26"/>
  <c r="AD67" i="26"/>
  <c r="I38" i="4"/>
  <c r="I8" i="4"/>
  <c r="I11" i="4"/>
  <c r="I26" i="4"/>
  <c r="I42" i="4"/>
  <c r="I53" i="4"/>
  <c r="I61" i="4"/>
  <c r="I80" i="4"/>
  <c r="I69" i="4"/>
  <c r="I76" i="4"/>
  <c r="I95" i="4"/>
  <c r="J80" i="4"/>
  <c r="J8" i="4"/>
  <c r="J11" i="4"/>
  <c r="J26" i="4"/>
  <c r="J38" i="4"/>
  <c r="J42" i="4"/>
  <c r="J53" i="4"/>
  <c r="J61" i="4"/>
  <c r="J69" i="4"/>
  <c r="J76" i="4"/>
  <c r="J95" i="4"/>
  <c r="K8" i="4"/>
  <c r="K11" i="4"/>
  <c r="K26" i="4"/>
  <c r="K38" i="4"/>
  <c r="K42" i="4"/>
  <c r="K53" i="4"/>
  <c r="K61" i="4"/>
  <c r="K69" i="4"/>
  <c r="K76" i="4"/>
  <c r="K80" i="4"/>
  <c r="K95" i="4"/>
  <c r="L8" i="4"/>
  <c r="L11" i="4"/>
  <c r="L62" i="4" s="1"/>
  <c r="L26" i="4"/>
  <c r="L38" i="4"/>
  <c r="L42" i="4"/>
  <c r="L53" i="4"/>
  <c r="L61" i="4"/>
  <c r="L69" i="4"/>
  <c r="L76" i="4"/>
  <c r="L80" i="4"/>
  <c r="L95" i="4"/>
  <c r="M8" i="4"/>
  <c r="M11" i="4"/>
  <c r="M26" i="4"/>
  <c r="M38" i="4"/>
  <c r="M42" i="4"/>
  <c r="M53" i="4"/>
  <c r="M61" i="4"/>
  <c r="M69" i="4"/>
  <c r="M76" i="4"/>
  <c r="M80" i="4"/>
  <c r="M95" i="4"/>
  <c r="N8" i="4"/>
  <c r="N11" i="4"/>
  <c r="N62" i="4" s="1"/>
  <c r="N96" i="4" s="1"/>
  <c r="N104" i="4" s="1"/>
  <c r="N26" i="4"/>
  <c r="N38" i="4"/>
  <c r="N42" i="4"/>
  <c r="N53" i="4"/>
  <c r="N61" i="4"/>
  <c r="N69" i="4"/>
  <c r="N76" i="4"/>
  <c r="N80" i="4"/>
  <c r="N95" i="4"/>
  <c r="O8" i="4"/>
  <c r="O11" i="4"/>
  <c r="O26" i="4"/>
  <c r="O38" i="4"/>
  <c r="O42" i="4"/>
  <c r="O53" i="4"/>
  <c r="O61" i="4"/>
  <c r="O69" i="4"/>
  <c r="O76" i="4"/>
  <c r="O80" i="4"/>
  <c r="O95" i="4"/>
  <c r="P8" i="4"/>
  <c r="P11" i="4"/>
  <c r="P12" i="4"/>
  <c r="P26" i="4"/>
  <c r="P38" i="4"/>
  <c r="P42" i="4"/>
  <c r="P53" i="4"/>
  <c r="P61" i="4"/>
  <c r="P69" i="4"/>
  <c r="P76" i="4"/>
  <c r="P80" i="4"/>
  <c r="P95" i="4"/>
  <c r="Q8" i="4"/>
  <c r="Q11" i="4"/>
  <c r="Q12" i="4" s="1"/>
  <c r="Q26" i="4"/>
  <c r="Q38" i="4"/>
  <c r="Q42" i="4"/>
  <c r="Q53" i="4"/>
  <c r="Q61" i="4"/>
  <c r="Q69" i="4"/>
  <c r="Q76" i="4"/>
  <c r="Q80" i="4"/>
  <c r="Q95" i="4"/>
  <c r="G79" i="18"/>
  <c r="D79" i="18"/>
  <c r="C79" i="18"/>
  <c r="R71" i="4"/>
  <c r="R72" i="4"/>
  <c r="R73" i="4"/>
  <c r="E80" i="4"/>
  <c r="F80" i="4"/>
  <c r="G80" i="4"/>
  <c r="H80" i="4"/>
  <c r="G76" i="4"/>
  <c r="F76" i="4"/>
  <c r="B78" i="18"/>
  <c r="H78" i="18"/>
  <c r="B79" i="4"/>
  <c r="B78" i="4"/>
  <c r="R79" i="4"/>
  <c r="S79" i="4" s="1"/>
  <c r="E78" i="18" s="1"/>
  <c r="R78" i="4"/>
  <c r="S78" i="4" s="1"/>
  <c r="B102" i="4"/>
  <c r="G25" i="18"/>
  <c r="G61" i="18" s="1"/>
  <c r="G95" i="18" s="1"/>
  <c r="G103" i="18" s="1"/>
  <c r="G105" i="18" s="1"/>
  <c r="G37" i="18"/>
  <c r="G41" i="18"/>
  <c r="G52" i="18"/>
  <c r="G68" i="18"/>
  <c r="G94" i="18"/>
  <c r="G102" i="18"/>
  <c r="A5" i="10"/>
  <c r="B5" i="10"/>
  <c r="F5" i="10" s="1"/>
  <c r="A6" i="10"/>
  <c r="B6" i="10"/>
  <c r="F6" i="10" s="1"/>
  <c r="A7" i="10"/>
  <c r="B7" i="10"/>
  <c r="F7" i="10" s="1"/>
  <c r="A8" i="10"/>
  <c r="B8" i="10"/>
  <c r="F8" i="10" s="1"/>
  <c r="A9" i="10"/>
  <c r="B9" i="10"/>
  <c r="F9" i="10" s="1"/>
  <c r="A10" i="10"/>
  <c r="B10" i="10"/>
  <c r="F10" i="10" s="1"/>
  <c r="A11" i="10"/>
  <c r="B11" i="10"/>
  <c r="F11" i="10" s="1"/>
  <c r="A12" i="10"/>
  <c r="B12" i="10"/>
  <c r="F12" i="10" s="1"/>
  <c r="A13" i="10"/>
  <c r="B13" i="10"/>
  <c r="F13" i="10" s="1"/>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s="1"/>
  <c r="A22" i="10"/>
  <c r="B22" i="10"/>
  <c r="F22" i="10" s="1"/>
  <c r="A23" i="10"/>
  <c r="B23" i="10"/>
  <c r="F23" i="10" s="1"/>
  <c r="A24" i="10"/>
  <c r="B24" i="10"/>
  <c r="F24" i="10" s="1"/>
  <c r="A25" i="10"/>
  <c r="B25" i="10"/>
  <c r="F25" i="10" s="1"/>
  <c r="A26" i="10"/>
  <c r="B26" i="10"/>
  <c r="F26" i="10" s="1"/>
  <c r="A27" i="10"/>
  <c r="B27" i="10"/>
  <c r="F27" i="10" s="1"/>
  <c r="A28" i="10"/>
  <c r="B28" i="10"/>
  <c r="F28" i="10" s="1"/>
  <c r="B4" i="10"/>
  <c r="F4" i="10" s="1"/>
  <c r="A4" i="10"/>
  <c r="AJ278" i="6"/>
  <c r="R5" i="4"/>
  <c r="A101" i="18"/>
  <c r="A92" i="18"/>
  <c r="A93" i="18"/>
  <c r="A91" i="18"/>
  <c r="A74" i="18"/>
  <c r="A67" i="18"/>
  <c r="A59" i="18"/>
  <c r="A51" i="18"/>
  <c r="A36" i="18"/>
  <c r="A24" i="18"/>
  <c r="W574"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3" i="18"/>
  <c r="E92" i="18"/>
  <c r="E91" i="18"/>
  <c r="E89" i="18"/>
  <c r="E88" i="18"/>
  <c r="E87" i="18"/>
  <c r="E85" i="18"/>
  <c r="E84" i="18"/>
  <c r="E82" i="18"/>
  <c r="E77" i="18"/>
  <c r="E63" i="18"/>
  <c r="E51" i="18"/>
  <c r="E50" i="18"/>
  <c r="E49" i="18"/>
  <c r="E48" i="18"/>
  <c r="E47" i="18"/>
  <c r="E46" i="18"/>
  <c r="E45" i="18"/>
  <c r="E44" i="18"/>
  <c r="E42" i="18"/>
  <c r="E40" i="18"/>
  <c r="E39" i="18"/>
  <c r="E34" i="18"/>
  <c r="E33" i="18"/>
  <c r="E32" i="18"/>
  <c r="E29" i="18"/>
  <c r="E28" i="18"/>
  <c r="E26" i="18"/>
  <c r="E24" i="18"/>
  <c r="E23" i="18"/>
  <c r="E22" i="18"/>
  <c r="E21" i="18"/>
  <c r="E20" i="18"/>
  <c r="E19" i="18"/>
  <c r="E18" i="18"/>
  <c r="E17" i="18"/>
  <c r="E14" i="18"/>
  <c r="E15" i="18"/>
  <c r="E13" i="18"/>
  <c r="B101" i="18"/>
  <c r="B100" i="18"/>
  <c r="B99" i="18"/>
  <c r="B98" i="18"/>
  <c r="B97" i="18"/>
  <c r="B93" i="18"/>
  <c r="B92" i="18"/>
  <c r="B91" i="18"/>
  <c r="B90" i="18"/>
  <c r="B89" i="18"/>
  <c r="B88" i="18"/>
  <c r="B87" i="18"/>
  <c r="B86" i="18"/>
  <c r="B85" i="18"/>
  <c r="B84" i="18"/>
  <c r="B83" i="18"/>
  <c r="B82" i="18"/>
  <c r="B81" i="18"/>
  <c r="B77" i="18"/>
  <c r="B72" i="18"/>
  <c r="B71" i="18"/>
  <c r="B70" i="18"/>
  <c r="B67" i="18"/>
  <c r="B63" i="18"/>
  <c r="B59" i="18"/>
  <c r="B58" i="18"/>
  <c r="B57" i="18"/>
  <c r="B56" i="18"/>
  <c r="B55" i="18"/>
  <c r="B54" i="18"/>
  <c r="B51" i="18"/>
  <c r="B50" i="18"/>
  <c r="B49" i="18"/>
  <c r="B48" i="18"/>
  <c r="B47" i="18"/>
  <c r="B46" i="18"/>
  <c r="B45" i="18"/>
  <c r="B44" i="18"/>
  <c r="B42" i="18"/>
  <c r="B40" i="18"/>
  <c r="B39" i="18"/>
  <c r="B36" i="18"/>
  <c r="B34" i="18"/>
  <c r="B33" i="18"/>
  <c r="B32" i="18"/>
  <c r="B31" i="18"/>
  <c r="B30" i="18"/>
  <c r="B29" i="18"/>
  <c r="B28" i="18"/>
  <c r="B26" i="18"/>
  <c r="B24" i="18"/>
  <c r="B23" i="18"/>
  <c r="B22" i="18"/>
  <c r="B21" i="18"/>
  <c r="B20" i="18"/>
  <c r="B19" i="18"/>
  <c r="B18" i="18"/>
  <c r="B17" i="18"/>
  <c r="B4" i="18"/>
  <c r="D102" i="18"/>
  <c r="C102" i="18"/>
  <c r="D94" i="18"/>
  <c r="C94" i="18"/>
  <c r="D75" i="18"/>
  <c r="C75" i="18"/>
  <c r="D68" i="18"/>
  <c r="C68" i="18"/>
  <c r="D60" i="18"/>
  <c r="C60" i="18"/>
  <c r="D52" i="18"/>
  <c r="C52" i="18"/>
  <c r="D41" i="18"/>
  <c r="C41" i="18"/>
  <c r="D37" i="18"/>
  <c r="C37" i="18"/>
  <c r="D25" i="18"/>
  <c r="D61" i="18" s="1"/>
  <c r="D95" i="18" s="1"/>
  <c r="D103" i="18" s="1"/>
  <c r="C25" i="18"/>
  <c r="D11" i="18"/>
  <c r="C11" i="18"/>
  <c r="D8" i="18"/>
  <c r="C8" i="18"/>
  <c r="AG514" i="6"/>
  <c r="AO648" i="6"/>
  <c r="AO647" i="6"/>
  <c r="AO646" i="6"/>
  <c r="AO645" i="6"/>
  <c r="AJ268" i="6"/>
  <c r="AJ253" i="6"/>
  <c r="AJ241" i="6"/>
  <c r="AJ227" i="6"/>
  <c r="AJ215" i="6"/>
  <c r="AJ203" i="6"/>
  <c r="AJ184" i="6"/>
  <c r="AJ139" i="6"/>
  <c r="AK68" i="6"/>
  <c r="AG521" i="6"/>
  <c r="AG517" i="6"/>
  <c r="AG510" i="6"/>
  <c r="AG505" i="6"/>
  <c r="AG482" i="6"/>
  <c r="R98" i="4"/>
  <c r="S98" i="4" s="1"/>
  <c r="E97" i="18" s="1"/>
  <c r="R94" i="4"/>
  <c r="R82" i="4"/>
  <c r="R84" i="4"/>
  <c r="S84" i="4" s="1"/>
  <c r="E83" i="18" s="1"/>
  <c r="R85" i="4"/>
  <c r="S85" i="4" s="1"/>
  <c r="R86" i="4"/>
  <c r="S86" i="4" s="1"/>
  <c r="R87" i="4"/>
  <c r="R88" i="4"/>
  <c r="S88" i="4" s="1"/>
  <c r="R89" i="4"/>
  <c r="R90" i="4"/>
  <c r="R91" i="4"/>
  <c r="S91" i="4" s="1"/>
  <c r="E90" i="18" s="1"/>
  <c r="R92" i="4"/>
  <c r="R93" i="4"/>
  <c r="R60" i="4"/>
  <c r="R59" i="4"/>
  <c r="R58" i="4"/>
  <c r="R57" i="4"/>
  <c r="R56" i="4"/>
  <c r="R52" i="4"/>
  <c r="R51" i="4"/>
  <c r="S51" i="4" s="1"/>
  <c r="R50" i="4"/>
  <c r="S50" i="4" s="1"/>
  <c r="R49" i="4"/>
  <c r="S49" i="4" s="1"/>
  <c r="R48" i="4"/>
  <c r="R47" i="4"/>
  <c r="R46" i="4"/>
  <c r="R45" i="4"/>
  <c r="R43" i="4"/>
  <c r="S43" i="4" s="1"/>
  <c r="R41" i="4"/>
  <c r="R40" i="4"/>
  <c r="S40" i="4" s="1"/>
  <c r="S42" i="4" s="1"/>
  <c r="E41" i="18" s="1"/>
  <c r="R37" i="4"/>
  <c r="S37" i="4" s="1"/>
  <c r="E36" i="18" s="1"/>
  <c r="R35" i="4"/>
  <c r="R34" i="4"/>
  <c r="R33" i="4"/>
  <c r="R32" i="4"/>
  <c r="S32" i="4" s="1"/>
  <c r="E31" i="18" s="1"/>
  <c r="R30" i="4"/>
  <c r="S30" i="4" s="1"/>
  <c r="R31" i="4"/>
  <c r="S31" i="4" s="1"/>
  <c r="E30" i="18" s="1"/>
  <c r="R29" i="4"/>
  <c r="S29" i="4" s="1"/>
  <c r="R27" i="4"/>
  <c r="R25" i="4"/>
  <c r="R23" i="4"/>
  <c r="R22" i="4"/>
  <c r="R26" i="4" s="1"/>
  <c r="R21" i="4"/>
  <c r="R20" i="4"/>
  <c r="R19" i="4"/>
  <c r="R18" i="4"/>
  <c r="R17" i="4"/>
  <c r="R15" i="4"/>
  <c r="R14" i="4"/>
  <c r="R7" i="4"/>
  <c r="R6" i="4"/>
  <c r="D5" i="15"/>
  <c r="D6" i="15"/>
  <c r="D7" i="15"/>
  <c r="D8" i="15"/>
  <c r="D10" i="15"/>
  <c r="D11" i="15"/>
  <c r="D12" i="15" s="1"/>
  <c r="D14" i="15"/>
  <c r="D15" i="15"/>
  <c r="D16" i="15"/>
  <c r="D18" i="15"/>
  <c r="E52" i="18"/>
  <c r="H25" i="18"/>
  <c r="H37" i="18"/>
  <c r="B37" i="18"/>
  <c r="B102" i="18"/>
  <c r="G16" i="9"/>
  <c r="A32" i="9"/>
  <c r="A33" i="9"/>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AO105" i="6"/>
  <c r="AJ151" i="6"/>
  <c r="BJ524" i="6"/>
  <c r="BM534" i="6"/>
  <c r="BY547" i="6"/>
  <c r="AZ585" i="6"/>
  <c r="AP568" i="6"/>
  <c r="AP569" i="6"/>
  <c r="AP570" i="6"/>
  <c r="AP571" i="6"/>
  <c r="AP572" i="6"/>
  <c r="AP573" i="6"/>
  <c r="AP574" i="6"/>
  <c r="K584" i="6"/>
  <c r="K585" i="6"/>
  <c r="U698" i="6"/>
  <c r="V698" i="6"/>
  <c r="W698" i="6"/>
  <c r="X698" i="6"/>
  <c r="Y698" i="6"/>
  <c r="T704" i="6"/>
  <c r="AF707" i="6"/>
  <c r="F2" i="4"/>
  <c r="G2" i="4"/>
  <c r="H2" i="4"/>
  <c r="I2" i="4"/>
  <c r="J2" i="4"/>
  <c r="K2" i="4"/>
  <c r="L2" i="4"/>
  <c r="M2" i="4"/>
  <c r="N2" i="4"/>
  <c r="O2" i="4"/>
  <c r="P2" i="4"/>
  <c r="Q2" i="4"/>
  <c r="B4" i="4"/>
  <c r="B5" i="4"/>
  <c r="B6" i="4"/>
  <c r="B7" i="4"/>
  <c r="E8" i="4"/>
  <c r="E11" i="4"/>
  <c r="E12" i="4" s="1"/>
  <c r="F8" i="4"/>
  <c r="G8" i="4"/>
  <c r="G12" i="4" s="1"/>
  <c r="H8" i="4"/>
  <c r="H62" i="4" s="1"/>
  <c r="H11" i="4"/>
  <c r="B9" i="4"/>
  <c r="B10" i="4"/>
  <c r="F11" i="4"/>
  <c r="G11" i="4"/>
  <c r="I12" i="4"/>
  <c r="O12" i="4"/>
  <c r="B13" i="4"/>
  <c r="F13" i="4" s="1"/>
  <c r="E13" i="4" s="1"/>
  <c r="R13" i="4" s="1"/>
  <c r="B14" i="4"/>
  <c r="B17" i="4"/>
  <c r="B18" i="4"/>
  <c r="B19" i="4"/>
  <c r="B20" i="4"/>
  <c r="B21" i="4"/>
  <c r="B22" i="4"/>
  <c r="B23" i="4"/>
  <c r="B25" i="4"/>
  <c r="E26" i="4"/>
  <c r="F26" i="4"/>
  <c r="G26" i="4"/>
  <c r="H26" i="4"/>
  <c r="M103" i="4"/>
  <c r="Q103" i="4"/>
  <c r="B27" i="4"/>
  <c r="B29" i="4"/>
  <c r="B30" i="4"/>
  <c r="B31" i="4"/>
  <c r="B32" i="4"/>
  <c r="B33" i="4"/>
  <c r="B34" i="4"/>
  <c r="B35" i="4"/>
  <c r="B37" i="4"/>
  <c r="E38" i="4"/>
  <c r="F38" i="4"/>
  <c r="G38" i="4"/>
  <c r="H38" i="4"/>
  <c r="O103" i="4"/>
  <c r="B40" i="4"/>
  <c r="B41" i="4"/>
  <c r="E42" i="4"/>
  <c r="F42" i="4"/>
  <c r="G42" i="4"/>
  <c r="H42" i="4"/>
  <c r="B43" i="4"/>
  <c r="B45" i="4"/>
  <c r="B46" i="4"/>
  <c r="B47" i="4"/>
  <c r="B48" i="4"/>
  <c r="B49" i="4"/>
  <c r="B50" i="4"/>
  <c r="B51" i="4"/>
  <c r="B52" i="4"/>
  <c r="E53" i="4"/>
  <c r="F53" i="4"/>
  <c r="F61" i="4"/>
  <c r="F95" i="4"/>
  <c r="F69" i="4"/>
  <c r="F103" i="4"/>
  <c r="G53" i="4"/>
  <c r="H53" i="4"/>
  <c r="B55" i="4"/>
  <c r="R55" i="4"/>
  <c r="B56" i="4"/>
  <c r="B57" i="4"/>
  <c r="B58" i="4"/>
  <c r="B59" i="4"/>
  <c r="B60" i="4"/>
  <c r="E61" i="4"/>
  <c r="G61" i="4"/>
  <c r="H61" i="4"/>
  <c r="B64" i="4"/>
  <c r="R64" i="4"/>
  <c r="B68" i="4"/>
  <c r="R68" i="4"/>
  <c r="S68" i="4" s="1"/>
  <c r="E67" i="18" s="1"/>
  <c r="E69" i="4"/>
  <c r="G69" i="4"/>
  <c r="H69" i="4"/>
  <c r="B71" i="4"/>
  <c r="B72" i="4"/>
  <c r="B73" i="4"/>
  <c r="H76" i="4"/>
  <c r="B82" i="4"/>
  <c r="B83" i="4"/>
  <c r="B84" i="4"/>
  <c r="B85" i="4"/>
  <c r="B86" i="4"/>
  <c r="B87" i="4"/>
  <c r="B88" i="4"/>
  <c r="B89" i="4"/>
  <c r="B90" i="4"/>
  <c r="B91" i="4"/>
  <c r="B92" i="4"/>
  <c r="B93" i="4"/>
  <c r="B94" i="4"/>
  <c r="E95" i="4"/>
  <c r="G95" i="4"/>
  <c r="H95" i="4"/>
  <c r="B98" i="4"/>
  <c r="B99" i="4"/>
  <c r="R99" i="4"/>
  <c r="B100" i="4"/>
  <c r="R100" i="4"/>
  <c r="R102" i="4"/>
  <c r="E103" i="4"/>
  <c r="G103" i="4"/>
  <c r="H103" i="4"/>
  <c r="I103" i="4"/>
  <c r="J103" i="4"/>
  <c r="K103" i="4"/>
  <c r="L103" i="4"/>
  <c r="N103" i="4"/>
  <c r="P103" i="4"/>
  <c r="B131" i="4"/>
  <c r="I184" i="3"/>
  <c r="W411" i="3"/>
  <c r="AF411" i="3" s="1"/>
  <c r="G560" i="3"/>
  <c r="Z560" i="3"/>
  <c r="G568" i="3"/>
  <c r="Z568" i="3"/>
  <c r="G576" i="3"/>
  <c r="Z576" i="3"/>
  <c r="G584" i="3"/>
  <c r="Z584" i="3"/>
  <c r="BK590" i="3"/>
  <c r="BK591" i="3"/>
  <c r="G592" i="3"/>
  <c r="Z592" i="3"/>
  <c r="BK600" i="3"/>
  <c r="G600" i="3"/>
  <c r="Z600" i="3"/>
  <c r="BK605" i="3"/>
  <c r="BK606" i="3"/>
  <c r="BK608" i="3"/>
  <c r="BK612" i="3"/>
  <c r="BK613" i="3"/>
  <c r="G634" i="3"/>
  <c r="Z634" i="3"/>
  <c r="G642" i="3"/>
  <c r="Z642" i="3"/>
  <c r="G650" i="3"/>
  <c r="Z650" i="3"/>
  <c r="G658" i="3"/>
  <c r="Z658" i="3"/>
  <c r="G666" i="3"/>
  <c r="Z666" i="3"/>
  <c r="G674" i="3"/>
  <c r="Z674" i="3"/>
  <c r="M796" i="3"/>
  <c r="Q796" i="3"/>
  <c r="U796" i="3"/>
  <c r="Y796" i="3"/>
  <c r="AC796" i="3"/>
  <c r="Z865" i="3"/>
  <c r="B60" i="18"/>
  <c r="E25" i="18"/>
  <c r="B26" i="4"/>
  <c r="C39" i="15"/>
  <c r="D39" i="15"/>
  <c r="B39" i="15"/>
  <c r="B27" i="15"/>
  <c r="D27" i="15"/>
  <c r="C27" i="15"/>
  <c r="B8" i="4"/>
  <c r="T62" i="4"/>
  <c r="H61" i="18" s="1"/>
  <c r="C62" i="15"/>
  <c r="D62" i="15"/>
  <c r="B62" i="15"/>
  <c r="G52" i="25"/>
  <c r="AM700" i="3"/>
  <c r="AB47" i="26"/>
  <c r="I61" i="18"/>
  <c r="K12" i="4"/>
  <c r="J12" i="4"/>
  <c r="H11" i="18"/>
  <c r="Q62" i="4"/>
  <c r="Q96" i="4" s="1"/>
  <c r="R42" i="4"/>
  <c r="D12" i="18"/>
  <c r="B69" i="4"/>
  <c r="B38" i="4"/>
  <c r="S28" i="9"/>
  <c r="AC28" i="9"/>
  <c r="G19" i="9"/>
  <c r="I19" i="9" s="1"/>
  <c r="K19" i="9" s="1"/>
  <c r="M19" i="9" s="1"/>
  <c r="O19" i="9" s="1"/>
  <c r="Q19" i="9" s="1"/>
  <c r="S19" i="9" s="1"/>
  <c r="U19" i="9" s="1"/>
  <c r="W19" i="9" s="1"/>
  <c r="Y19" i="9" s="1"/>
  <c r="AA19" i="9" s="1"/>
  <c r="AC19" i="9" s="1"/>
  <c r="AE19" i="9" s="1"/>
  <c r="AG19" i="9" s="1"/>
  <c r="AD67" i="5"/>
  <c r="T7" i="5"/>
  <c r="T24" i="27"/>
  <c r="T24" i="26"/>
  <c r="Q580" i="6"/>
  <c r="W580" i="6" s="1"/>
  <c r="F12" i="4" l="1"/>
  <c r="P62" i="4"/>
  <c r="P96" i="4" s="1"/>
  <c r="P104" i="4" s="1"/>
  <c r="O62" i="4"/>
  <c r="O96" i="4" s="1"/>
  <c r="O104" i="4" s="1"/>
  <c r="L96" i="4"/>
  <c r="L104" i="4" s="1"/>
  <c r="K62" i="4"/>
  <c r="K96" i="4" s="1"/>
  <c r="K104" i="4" s="1"/>
  <c r="S103" i="4"/>
  <c r="E102" i="18" s="1"/>
  <c r="Q104" i="4"/>
  <c r="H96" i="4"/>
  <c r="H104" i="4" s="1"/>
  <c r="S69" i="4"/>
  <c r="E68" i="18" s="1"/>
  <c r="R61" i="4"/>
  <c r="E14" i="15"/>
  <c r="N12" i="4"/>
  <c r="E62" i="4"/>
  <c r="I95" i="18"/>
  <c r="I103" i="18" s="1"/>
  <c r="I105" i="18" s="1"/>
  <c r="F61" i="18"/>
  <c r="F95" i="18" s="1"/>
  <c r="F103" i="18" s="1"/>
  <c r="F105" i="18" s="1"/>
  <c r="E72" i="15"/>
  <c r="E91" i="15"/>
  <c r="AB47" i="27"/>
  <c r="C12" i="18"/>
  <c r="M12" i="4"/>
  <c r="J62" i="4"/>
  <c r="J96" i="4" s="1"/>
  <c r="J104" i="4" s="1"/>
  <c r="J61" i="18"/>
  <c r="J95" i="18" s="1"/>
  <c r="J103" i="18" s="1"/>
  <c r="J105" i="18" s="1"/>
  <c r="AO651" i="6"/>
  <c r="AK684" i="6" s="1"/>
  <c r="T706" i="6" s="1"/>
  <c r="I62" i="4"/>
  <c r="I96" i="4" s="1"/>
  <c r="I104" i="4" s="1"/>
  <c r="B12" i="15"/>
  <c r="E23" i="15"/>
  <c r="E61" i="15"/>
  <c r="E90" i="15"/>
  <c r="F62" i="4"/>
  <c r="F96" i="4" s="1"/>
  <c r="F104" i="4" s="1"/>
  <c r="S80" i="4"/>
  <c r="E79" i="18" s="1"/>
  <c r="S95" i="4"/>
  <c r="E94" i="18" s="1"/>
  <c r="C12" i="4"/>
  <c r="B12" i="18" s="1"/>
  <c r="R11" i="4"/>
  <c r="S38" i="4"/>
  <c r="B42" i="4"/>
  <c r="C43" i="15"/>
  <c r="B43" i="15"/>
  <c r="E43" i="15" s="1"/>
  <c r="E93" i="15"/>
  <c r="E85" i="15"/>
  <c r="E65" i="15"/>
  <c r="B9" i="15"/>
  <c r="B13" i="15" s="1"/>
  <c r="E53" i="15"/>
  <c r="E32" i="15"/>
  <c r="E41" i="15"/>
  <c r="E52" i="15"/>
  <c r="E47" i="15"/>
  <c r="E58" i="15"/>
  <c r="E86" i="15"/>
  <c r="E83" i="15"/>
  <c r="R69" i="4"/>
  <c r="D62" i="4"/>
  <c r="D96" i="4" s="1"/>
  <c r="D104" i="4" s="1"/>
  <c r="E38" i="15"/>
  <c r="E50" i="15"/>
  <c r="E48" i="15"/>
  <c r="E80" i="15"/>
  <c r="H12" i="4"/>
  <c r="C62" i="4"/>
  <c r="C63" i="15" s="1"/>
  <c r="C54" i="15"/>
  <c r="B41" i="18"/>
  <c r="R80" i="4"/>
  <c r="M62" i="4"/>
  <c r="M96" i="4" s="1"/>
  <c r="M104" i="4" s="1"/>
  <c r="G62" i="4"/>
  <c r="G96" i="4" s="1"/>
  <c r="G104" i="4" s="1"/>
  <c r="B54" i="15"/>
  <c r="B12" i="4"/>
  <c r="AI20" i="26"/>
  <c r="G98" i="25"/>
  <c r="D100" i="25" s="1"/>
  <c r="D102" i="25" s="1"/>
  <c r="D104" i="25" s="1"/>
  <c r="D110" i="25" s="1"/>
  <c r="G38" i="25" s="1"/>
  <c r="G53" i="25" s="1"/>
  <c r="C61" i="18"/>
  <c r="C95" i="18" s="1"/>
  <c r="C103" i="18" s="1"/>
  <c r="T96" i="4"/>
  <c r="B11" i="4"/>
  <c r="B52" i="18"/>
  <c r="R103" i="4"/>
  <c r="L12" i="4"/>
  <c r="R95" i="4"/>
  <c r="AP378" i="6"/>
  <c r="AQ378" i="6" s="1"/>
  <c r="E62" i="15"/>
  <c r="D9" i="15"/>
  <c r="D13" i="15" s="1"/>
  <c r="AO632" i="3"/>
  <c r="E51" i="15"/>
  <c r="E10" i="15"/>
  <c r="C9" i="15"/>
  <c r="E33" i="15"/>
  <c r="E94" i="15"/>
  <c r="E99" i="15"/>
  <c r="E79" i="15"/>
  <c r="E46" i="15"/>
  <c r="R53" i="4"/>
  <c r="T697" i="6"/>
  <c r="AF697" i="6" s="1"/>
  <c r="R38" i="4"/>
  <c r="R8" i="4"/>
  <c r="B79" i="18"/>
  <c r="B96" i="15"/>
  <c r="E96" i="15" s="1"/>
  <c r="C70" i="15"/>
  <c r="D70" i="15"/>
  <c r="B70" i="15"/>
  <c r="B53" i="4"/>
  <c r="D81" i="15"/>
  <c r="B80" i="4"/>
  <c r="B81" i="15"/>
  <c r="E81" i="15" s="1"/>
  <c r="B95" i="4"/>
  <c r="B94" i="18"/>
  <c r="D96" i="15"/>
  <c r="E39" i="15"/>
  <c r="C12" i="15"/>
  <c r="E12" i="15" s="1"/>
  <c r="E5" i="15"/>
  <c r="CM620" i="3"/>
  <c r="I12" i="10"/>
  <c r="BN620" i="3"/>
  <c r="I11" i="10"/>
  <c r="I4" i="10"/>
  <c r="I10" i="10"/>
  <c r="I9" i="10"/>
  <c r="I8" i="10"/>
  <c r="I7" i="10"/>
  <c r="I6" i="10"/>
  <c r="I5" i="10"/>
  <c r="U69" i="25"/>
  <c r="AC847" i="3"/>
  <c r="AC850" i="3" s="1"/>
  <c r="C74" i="4" s="1"/>
  <c r="C75" i="4" s="1"/>
  <c r="AC742" i="3"/>
  <c r="CH620" i="3"/>
  <c r="G67" i="25"/>
  <c r="E20" i="9"/>
  <c r="G20" i="9" s="1"/>
  <c r="I20" i="9" s="1"/>
  <c r="K20" i="9" s="1"/>
  <c r="M20" i="9" s="1"/>
  <c r="O20" i="9" s="1"/>
  <c r="Q20" i="9" s="1"/>
  <c r="S20" i="9" s="1"/>
  <c r="U20" i="9" s="1"/>
  <c r="W20" i="9" s="1"/>
  <c r="Y20" i="9" s="1"/>
  <c r="AA20" i="9" s="1"/>
  <c r="AC20" i="9" s="1"/>
  <c r="AE20" i="9" s="1"/>
  <c r="AG20" i="9" s="1"/>
  <c r="BX620" i="3"/>
  <c r="AF705" i="6"/>
  <c r="Q578" i="6"/>
  <c r="W578" i="6" s="1"/>
  <c r="U40" i="9"/>
  <c r="U43" i="9" s="1"/>
  <c r="G31" i="9"/>
  <c r="I31" i="9" s="1"/>
  <c r="K31" i="9" s="1"/>
  <c r="M31" i="9" s="1"/>
  <c r="O31" i="9" s="1"/>
  <c r="Q31" i="9" s="1"/>
  <c r="S31" i="9" s="1"/>
  <c r="U31" i="9" s="1"/>
  <c r="W31" i="9" s="1"/>
  <c r="Y31" i="9" s="1"/>
  <c r="AA31" i="9" s="1"/>
  <c r="AC31" i="9" s="1"/>
  <c r="AE31" i="9" s="1"/>
  <c r="AG31" i="9" s="1"/>
  <c r="Q586" i="6"/>
  <c r="W586" i="6" s="1"/>
  <c r="G32" i="9"/>
  <c r="I32" i="9" s="1"/>
  <c r="K32" i="9" s="1"/>
  <c r="G30" i="9"/>
  <c r="I30" i="9" s="1"/>
  <c r="K30" i="9" s="1"/>
  <c r="M30" i="9" s="1"/>
  <c r="O30" i="9" s="1"/>
  <c r="Q30" i="9" s="1"/>
  <c r="S30" i="9" s="1"/>
  <c r="U30" i="9" s="1"/>
  <c r="W30" i="9" s="1"/>
  <c r="Y30" i="9" s="1"/>
  <c r="AA30" i="9" s="1"/>
  <c r="AC30" i="9" s="1"/>
  <c r="AE30" i="9" s="1"/>
  <c r="AG30" i="9" s="1"/>
  <c r="AG438" i="3"/>
  <c r="Y20" i="27"/>
  <c r="Y22" i="27" s="1"/>
  <c r="AD20" i="27"/>
  <c r="AD22" i="27" s="1"/>
  <c r="G15" i="9"/>
  <c r="I15" i="9" s="1"/>
  <c r="K15" i="9" s="1"/>
  <c r="M15" i="9" s="1"/>
  <c r="O15" i="9" s="1"/>
  <c r="Q15" i="9" s="1"/>
  <c r="AC762" i="3"/>
  <c r="BX613" i="3"/>
  <c r="O607" i="6" s="1"/>
  <c r="AU571" i="6" s="1"/>
  <c r="BI686" i="3"/>
  <c r="CM613" i="3"/>
  <c r="CQ614" i="3" s="1"/>
  <c r="BS632" i="3"/>
  <c r="BW633" i="3" s="1"/>
  <c r="CH613" i="3"/>
  <c r="CL614" i="3" s="1"/>
  <c r="T717" i="3"/>
  <c r="C30" i="10" s="1"/>
  <c r="CC632" i="3"/>
  <c r="CG633" i="3" s="1"/>
  <c r="CM632" i="3"/>
  <c r="CQ633" i="3" s="1"/>
  <c r="CC620" i="3"/>
  <c r="BS620" i="3"/>
  <c r="BN632" i="3"/>
  <c r="BR633" i="3" s="1"/>
  <c r="R937" i="3"/>
  <c r="R934" i="3"/>
  <c r="CH632" i="3"/>
  <c r="CL633" i="3" s="1"/>
  <c r="BX632" i="3"/>
  <c r="CB633" i="3" s="1"/>
  <c r="CC613" i="3"/>
  <c r="O606" i="6" s="1"/>
  <c r="AU570" i="6" s="1"/>
  <c r="BO245" i="3"/>
  <c r="T269" i="3" s="1"/>
  <c r="R936" i="3"/>
  <c r="BI699" i="3"/>
  <c r="AC848" i="3"/>
  <c r="Q583" i="6"/>
  <c r="W583" i="6" s="1"/>
  <c r="Q587" i="6"/>
  <c r="W587" i="6" s="1"/>
  <c r="Q588" i="6"/>
  <c r="W588" i="6" s="1"/>
  <c r="BI717" i="3"/>
  <c r="BI710" i="3"/>
  <c r="BI726" i="3"/>
  <c r="CX614" i="3"/>
  <c r="T608" i="6" s="1"/>
  <c r="AZ572" i="6" s="1"/>
  <c r="DH614" i="3"/>
  <c r="T606" i="6" s="1"/>
  <c r="BK614" i="3"/>
  <c r="BI709" i="3"/>
  <c r="BI691" i="3"/>
  <c r="BI676" i="3"/>
  <c r="BN613" i="3"/>
  <c r="BI680" i="3"/>
  <c r="BI700" i="3"/>
  <c r="BI695" i="3"/>
  <c r="BI730" i="3"/>
  <c r="BI693" i="3"/>
  <c r="BI685" i="3"/>
  <c r="BI684" i="3"/>
  <c r="BI681" i="3"/>
  <c r="BI715" i="3"/>
  <c r="BI678" i="3"/>
  <c r="BI688" i="3"/>
  <c r="BI696" i="3"/>
  <c r="BI692" i="3"/>
  <c r="BI683" i="3"/>
  <c r="BI687" i="3"/>
  <c r="BI682" i="3"/>
  <c r="BI712" i="3"/>
  <c r="BI697" i="3"/>
  <c r="BI690" i="3"/>
  <c r="BS613" i="3"/>
  <c r="O608" i="6" s="1"/>
  <c r="AU572" i="6" s="1"/>
  <c r="DM614" i="3"/>
  <c r="T605" i="6" s="1"/>
  <c r="AZ569" i="6" s="1"/>
  <c r="DR614" i="3"/>
  <c r="T604" i="6" s="1"/>
  <c r="Y604" i="6" s="1"/>
  <c r="BE568" i="6" s="1"/>
  <c r="AP578" i="6" s="1"/>
  <c r="BJ568" i="6" s="1"/>
  <c r="BJ574" i="6" s="1"/>
  <c r="CS614" i="3"/>
  <c r="T609" i="6" s="1"/>
  <c r="CC527" i="6" s="1"/>
  <c r="CC528" i="6" s="1"/>
  <c r="DC614" i="3"/>
  <c r="T607" i="6" s="1"/>
  <c r="BU525" i="6" s="1"/>
  <c r="BU528" i="6" s="1"/>
  <c r="AK280" i="6"/>
  <c r="T699" i="6" s="1"/>
  <c r="AO690" i="6" s="1"/>
  <c r="AK537" i="6"/>
  <c r="Q584" i="6"/>
  <c r="W584" i="6" s="1"/>
  <c r="Q579" i="6"/>
  <c r="W579" i="6" s="1"/>
  <c r="AP365" i="6"/>
  <c r="AQ365" i="6" s="1"/>
  <c r="AS352" i="6" s="1"/>
  <c r="BD521" i="6"/>
  <c r="Q28" i="9"/>
  <c r="I28" i="9"/>
  <c r="Y28" i="9"/>
  <c r="W28" i="9"/>
  <c r="U28" i="9"/>
  <c r="S40" i="9"/>
  <c r="S43" i="9" s="1"/>
  <c r="O28" i="9"/>
  <c r="G28" i="9"/>
  <c r="M28" i="9"/>
  <c r="K28" i="9"/>
  <c r="AE28" i="9"/>
  <c r="AG28" i="9"/>
  <c r="AA28" i="9"/>
  <c r="G27" i="9"/>
  <c r="I27" i="9" s="1"/>
  <c r="K27" i="9" s="1"/>
  <c r="M27" i="9" s="1"/>
  <c r="O27" i="9" s="1"/>
  <c r="Q27" i="9" s="1"/>
  <c r="S27" i="9" s="1"/>
  <c r="U27" i="9" s="1"/>
  <c r="W27" i="9" s="1"/>
  <c r="Y27" i="9" s="1"/>
  <c r="AA27" i="9" s="1"/>
  <c r="AC27" i="9" s="1"/>
  <c r="AE27" i="9" s="1"/>
  <c r="AG27" i="9" s="1"/>
  <c r="G26" i="9"/>
  <c r="I26" i="9" s="1"/>
  <c r="K26" i="9" s="1"/>
  <c r="M26" i="9" s="1"/>
  <c r="O26" i="9" s="1"/>
  <c r="Q26" i="9" s="1"/>
  <c r="S26" i="9" s="1"/>
  <c r="U26" i="9" s="1"/>
  <c r="W26" i="9" s="1"/>
  <c r="Y26" i="9" s="1"/>
  <c r="AA26" i="9" s="1"/>
  <c r="AC26" i="9" s="1"/>
  <c r="AE26" i="9" s="1"/>
  <c r="AG26" i="9" s="1"/>
  <c r="AC580" i="6"/>
  <c r="AG29" i="9"/>
  <c r="AC581" i="6"/>
  <c r="W40" i="9"/>
  <c r="W43" i="9" s="1"/>
  <c r="Q582" i="6"/>
  <c r="W582" i="6" s="1"/>
  <c r="Q585" i="6"/>
  <c r="W585" i="6" s="1"/>
  <c r="T20" i="27"/>
  <c r="T20" i="26"/>
  <c r="T22" i="26" s="1"/>
  <c r="Y20" i="26"/>
  <c r="Y22" i="26" s="1"/>
  <c r="AD20" i="26"/>
  <c r="AD22" i="26" s="1"/>
  <c r="AD7" i="5"/>
  <c r="AI20" i="27"/>
  <c r="AI22" i="27" s="1"/>
  <c r="AD63" i="5"/>
  <c r="B103" i="4"/>
  <c r="D104" i="15"/>
  <c r="B104" i="15"/>
  <c r="E104" i="15" s="1"/>
  <c r="E27" i="15"/>
  <c r="U29" i="9"/>
  <c r="AE29" i="9"/>
  <c r="AK61" i="6"/>
  <c r="G29" i="9"/>
  <c r="W29" i="9"/>
  <c r="AA29" i="9"/>
  <c r="I29" i="9"/>
  <c r="S29" i="9"/>
  <c r="Y29" i="9"/>
  <c r="K29" i="9"/>
  <c r="M29" i="9"/>
  <c r="Q29" i="9"/>
  <c r="AC29" i="9"/>
  <c r="Y40" i="9"/>
  <c r="Y43" i="9" s="1"/>
  <c r="O40" i="9"/>
  <c r="O43" i="9" s="1"/>
  <c r="AA40" i="9"/>
  <c r="AA43" i="9" s="1"/>
  <c r="F30" i="10"/>
  <c r="AG40" i="9"/>
  <c r="AG43" i="9" s="1"/>
  <c r="K40" i="9"/>
  <c r="K43" i="9" s="1"/>
  <c r="I40" i="9"/>
  <c r="I43" i="9" s="1"/>
  <c r="G40" i="9"/>
  <c r="G43" i="9" s="1"/>
  <c r="M40" i="9"/>
  <c r="M43" i="9" s="1"/>
  <c r="AE40" i="9"/>
  <c r="AE43" i="9" s="1"/>
  <c r="Q40" i="9"/>
  <c r="Q43" i="9" s="1"/>
  <c r="AC40" i="9"/>
  <c r="AC43" i="9" s="1"/>
  <c r="E43" i="9"/>
  <c r="C67" i="25"/>
  <c r="I16" i="9"/>
  <c r="T695" i="6"/>
  <c r="Y7" i="5"/>
  <c r="G8" i="9"/>
  <c r="E9" i="9"/>
  <c r="E9" i="15" l="1"/>
  <c r="C13" i="15"/>
  <c r="R62" i="4"/>
  <c r="E54" i="15"/>
  <c r="E74" i="4"/>
  <c r="B75" i="15"/>
  <c r="C75" i="15"/>
  <c r="E75" i="15" s="1"/>
  <c r="D75" i="15"/>
  <c r="B73" i="18"/>
  <c r="C76" i="4"/>
  <c r="C96" i="4" s="1"/>
  <c r="C97" i="15" s="1"/>
  <c r="B74" i="4"/>
  <c r="S62" i="4"/>
  <c r="E37" i="18"/>
  <c r="E13" i="15"/>
  <c r="B63" i="15"/>
  <c r="E63" i="15" s="1"/>
  <c r="R12" i="4"/>
  <c r="B61" i="18"/>
  <c r="D63" i="15"/>
  <c r="B62" i="4"/>
  <c r="E70" i="15"/>
  <c r="H95" i="18"/>
  <c r="T104" i="4"/>
  <c r="BN638" i="3"/>
  <c r="AB933" i="3" s="1"/>
  <c r="AJ933" i="3" s="1"/>
  <c r="I30" i="10"/>
  <c r="Z773" i="3" s="1"/>
  <c r="AS354" i="6"/>
  <c r="AK471" i="6" s="1"/>
  <c r="T700" i="6" s="1"/>
  <c r="CS620" i="3"/>
  <c r="L29" i="28"/>
  <c r="V29" i="28" s="1"/>
  <c r="CH638" i="3"/>
  <c r="O605" i="6"/>
  <c r="AU569" i="6" s="1"/>
  <c r="CG614" i="3"/>
  <c r="Y606" i="6"/>
  <c r="CH544" i="6" s="1"/>
  <c r="Y765" i="3"/>
  <c r="E4" i="9" s="1"/>
  <c r="G4" i="9" s="1"/>
  <c r="I4" i="9" s="1"/>
  <c r="I5" i="9" s="1"/>
  <c r="L30" i="28"/>
  <c r="V30" i="28" s="1"/>
  <c r="CM638" i="3"/>
  <c r="L28" i="28"/>
  <c r="V28" i="28" s="1"/>
  <c r="Y764" i="3"/>
  <c r="CB614" i="3"/>
  <c r="AC849" i="3"/>
  <c r="CQ634" i="3"/>
  <c r="AD27" i="26"/>
  <c r="BX638" i="3"/>
  <c r="AB935" i="3" s="1"/>
  <c r="AJ935" i="3" s="1"/>
  <c r="CC638" i="3"/>
  <c r="AB936" i="3" s="1"/>
  <c r="AJ936" i="3" s="1"/>
  <c r="O604" i="6"/>
  <c r="AU568" i="6" s="1"/>
  <c r="BI698" i="3"/>
  <c r="BI694" i="3"/>
  <c r="BI677" i="3"/>
  <c r="AD27" i="27"/>
  <c r="AF706" i="6"/>
  <c r="E22" i="9"/>
  <c r="E35" i="9" s="1"/>
  <c r="G22" i="9"/>
  <c r="G35" i="9" s="1"/>
  <c r="AC578" i="6"/>
  <c r="AC584" i="6"/>
  <c r="AC583" i="6"/>
  <c r="AC579" i="6"/>
  <c r="AI27" i="27"/>
  <c r="Y27" i="5"/>
  <c r="Y27" i="27"/>
  <c r="AD27" i="5"/>
  <c r="T27" i="27"/>
  <c r="AI27" i="26"/>
  <c r="T27" i="26"/>
  <c r="Y27" i="26"/>
  <c r="AI27" i="5"/>
  <c r="T27" i="5"/>
  <c r="BI689" i="3"/>
  <c r="BI721" i="3"/>
  <c r="BI679" i="3"/>
  <c r="BI713" i="3"/>
  <c r="BI720" i="3"/>
  <c r="BI725" i="3"/>
  <c r="BI728" i="3"/>
  <c r="BI729" i="3"/>
  <c r="BI708" i="3"/>
  <c r="BI716" i="3"/>
  <c r="BI724" i="3"/>
  <c r="BI718" i="3"/>
  <c r="BI719" i="3"/>
  <c r="BI727" i="3"/>
  <c r="BI731" i="3"/>
  <c r="BI722" i="3"/>
  <c r="BI711" i="3"/>
  <c r="BI714" i="3"/>
  <c r="BI723" i="3"/>
  <c r="BR614" i="3"/>
  <c r="AZ570" i="6"/>
  <c r="Y607" i="6"/>
  <c r="BE571" i="6" s="1"/>
  <c r="AP581" i="6" s="1"/>
  <c r="BQ524" i="6"/>
  <c r="BQ528" i="6" s="1"/>
  <c r="BY526" i="6"/>
  <c r="BY528" i="6" s="1"/>
  <c r="Y608" i="6"/>
  <c r="CH546" i="6" s="1"/>
  <c r="L26" i="28"/>
  <c r="V26" i="28" s="1"/>
  <c r="O609" i="6"/>
  <c r="AU573" i="6" s="1"/>
  <c r="BI707" i="3"/>
  <c r="AZ573" i="6"/>
  <c r="BM523" i="6"/>
  <c r="BM528" i="6" s="1"/>
  <c r="Y605" i="6"/>
  <c r="BE569" i="6" s="1"/>
  <c r="AP579" i="6" s="1"/>
  <c r="BS638" i="3"/>
  <c r="AB934" i="3" s="1"/>
  <c r="AJ934" i="3" s="1"/>
  <c r="BW614" i="3"/>
  <c r="AP534" i="6"/>
  <c r="BN584" i="6" s="1"/>
  <c r="BN585" i="6" s="1"/>
  <c r="BK562" i="6"/>
  <c r="L27" i="28"/>
  <c r="AP545" i="6"/>
  <c r="AZ568" i="6"/>
  <c r="AZ571" i="6"/>
  <c r="AP533" i="6"/>
  <c r="BP583" i="6" s="1"/>
  <c r="T610" i="6"/>
  <c r="AP532" i="6"/>
  <c r="BP582" i="6" s="1"/>
  <c r="AP531" i="6"/>
  <c r="BH581" i="6" s="1"/>
  <c r="AP530" i="6"/>
  <c r="AX580" i="6" s="1"/>
  <c r="AX585" i="6" s="1"/>
  <c r="AX586" i="6" s="1"/>
  <c r="AC585" i="6"/>
  <c r="AC582" i="6"/>
  <c r="T694" i="6"/>
  <c r="K16" i="9"/>
  <c r="I22" i="9"/>
  <c r="I35" i="9" s="1"/>
  <c r="S15" i="9"/>
  <c r="M32" i="9"/>
  <c r="I8" i="9"/>
  <c r="G9" i="9"/>
  <c r="E6" i="9" l="1"/>
  <c r="L908" i="3"/>
  <c r="L909" i="3" s="1"/>
  <c r="C77" i="15"/>
  <c r="D77" i="15"/>
  <c r="B75" i="18"/>
  <c r="B77" i="15"/>
  <c r="E77" i="15" s="1"/>
  <c r="B76" i="4"/>
  <c r="R74" i="4"/>
  <c r="E75" i="4"/>
  <c r="R75" i="4" s="1"/>
  <c r="B75" i="4"/>
  <c r="B74" i="18"/>
  <c r="B76" i="15"/>
  <c r="C76" i="15"/>
  <c r="E76" i="15" s="1"/>
  <c r="D76" i="15"/>
  <c r="B97" i="15"/>
  <c r="E97" i="15" s="1"/>
  <c r="B96" i="4"/>
  <c r="S96" i="4"/>
  <c r="E61" i="18"/>
  <c r="C104" i="4"/>
  <c r="D97" i="15"/>
  <c r="H103" i="18"/>
  <c r="T106" i="4"/>
  <c r="H105" i="18" s="1"/>
  <c r="B95" i="18"/>
  <c r="BS524" i="6"/>
  <c r="BS528" i="6" s="1"/>
  <c r="BQ529" i="6" s="1"/>
  <c r="BE570" i="6"/>
  <c r="AP580" i="6" s="1"/>
  <c r="AB937" i="3"/>
  <c r="AJ937" i="3" s="1"/>
  <c r="AJ939" i="3" s="1"/>
  <c r="Z782" i="3"/>
  <c r="E5" i="9"/>
  <c r="BI701" i="3"/>
  <c r="AH717" i="3" s="1"/>
  <c r="Y609" i="6"/>
  <c r="CH547" i="6" s="1"/>
  <c r="BI732" i="3"/>
  <c r="AM717" i="3" s="1"/>
  <c r="AO691" i="6"/>
  <c r="G5" i="9"/>
  <c r="K4" i="9"/>
  <c r="M4" i="9" s="1"/>
  <c r="O4" i="9" s="1"/>
  <c r="AC589" i="6"/>
  <c r="CQ615" i="3"/>
  <c r="CQ636" i="3" s="1"/>
  <c r="U367" i="6" s="1"/>
  <c r="CH545" i="6"/>
  <c r="BW525" i="6"/>
  <c r="BW528" i="6" s="1"/>
  <c r="BU529" i="6" s="1"/>
  <c r="BO569" i="6"/>
  <c r="BO574" i="6" s="1"/>
  <c r="BH580" i="6"/>
  <c r="BH585" i="6" s="1"/>
  <c r="AY538" i="6"/>
  <c r="BF562" i="6"/>
  <c r="BK565" i="6" s="1"/>
  <c r="AU543" i="6" s="1"/>
  <c r="AX543" i="6" s="1"/>
  <c r="O610" i="6"/>
  <c r="CA526" i="6"/>
  <c r="CA528" i="6" s="1"/>
  <c r="BY529" i="6" s="1"/>
  <c r="BE572" i="6"/>
  <c r="AP582" i="6" s="1"/>
  <c r="BD580" i="6"/>
  <c r="BD585" i="6" s="1"/>
  <c r="BP580" i="6"/>
  <c r="BB581" i="6"/>
  <c r="BB585" i="6" s="1"/>
  <c r="V27" i="28"/>
  <c r="V31" i="28" s="1"/>
  <c r="L31" i="28"/>
  <c r="BJ583" i="6"/>
  <c r="BJ585" i="6" s="1"/>
  <c r="CH543" i="6"/>
  <c r="BE542" i="6" s="1"/>
  <c r="BI543" i="6" s="1"/>
  <c r="BO523" i="6"/>
  <c r="BO528" i="6" s="1"/>
  <c r="BM529" i="6" s="1"/>
  <c r="BF582" i="6"/>
  <c r="BF585" i="6" s="1"/>
  <c r="BL580" i="6"/>
  <c r="BL581" i="6"/>
  <c r="BP581" i="6"/>
  <c r="BL582" i="6"/>
  <c r="AF694" i="6"/>
  <c r="E7" i="9"/>
  <c r="G6" i="9"/>
  <c r="M16" i="9"/>
  <c r="K22" i="9"/>
  <c r="K35" i="9" s="1"/>
  <c r="U15" i="9"/>
  <c r="O32" i="9"/>
  <c r="I9" i="9"/>
  <c r="K8" i="9"/>
  <c r="AC448" i="3" l="1"/>
  <c r="R76" i="4"/>
  <c r="R96" i="4" s="1"/>
  <c r="R104" i="4" s="1"/>
  <c r="E76" i="4"/>
  <c r="E96" i="4" s="1"/>
  <c r="E104" i="4" s="1"/>
  <c r="B103" i="18"/>
  <c r="E95" i="18"/>
  <c r="S104" i="4"/>
  <c r="D105" i="15"/>
  <c r="B105" i="15"/>
  <c r="C105" i="15"/>
  <c r="B104" i="4"/>
  <c r="AC447" i="3" s="1"/>
  <c r="AD11" i="5"/>
  <c r="AD23" i="5" s="1"/>
  <c r="AD26" i="5" s="1"/>
  <c r="AD28" i="5" s="1"/>
  <c r="AI11" i="26"/>
  <c r="AI11" i="5"/>
  <c r="AI23" i="5" s="1"/>
  <c r="AI26" i="5" s="1"/>
  <c r="AI28" i="5" s="1"/>
  <c r="AI11" i="27"/>
  <c r="AI23" i="27" s="1"/>
  <c r="AI26" i="27" s="1"/>
  <c r="AI28" i="27" s="1"/>
  <c r="AD63" i="27" s="1"/>
  <c r="AD11" i="27"/>
  <c r="AD23" i="27" s="1"/>
  <c r="AD26" i="27" s="1"/>
  <c r="AD28" i="27" s="1"/>
  <c r="AD11" i="26"/>
  <c r="AD23" i="26" s="1"/>
  <c r="AD26" i="26" s="1"/>
  <c r="AD28" i="26" s="1"/>
  <c r="AJ941" i="3"/>
  <c r="AJ988" i="3" s="1"/>
  <c r="AB46" i="5"/>
  <c r="AB48" i="5" s="1"/>
  <c r="AB53" i="5" s="1"/>
  <c r="AB54" i="5" s="1"/>
  <c r="E11" i="9"/>
  <c r="E37" i="9" s="1"/>
  <c r="E45" i="9" s="1"/>
  <c r="AB938" i="3"/>
  <c r="AU531" i="6"/>
  <c r="AU533" i="6"/>
  <c r="AU530" i="6"/>
  <c r="AU532" i="6"/>
  <c r="BE573" i="6"/>
  <c r="AP583" i="6" s="1"/>
  <c r="AU534" i="6"/>
  <c r="CE527" i="6"/>
  <c r="CE528" i="6" s="1"/>
  <c r="CC529" i="6" s="1"/>
  <c r="CC530" i="6" s="1"/>
  <c r="P414" i="3"/>
  <c r="O720" i="3"/>
  <c r="AO689" i="6"/>
  <c r="T698" i="6" s="1"/>
  <c r="AF698" i="6" s="1"/>
  <c r="K5" i="9"/>
  <c r="T703" i="6"/>
  <c r="AK615" i="6"/>
  <c r="M5" i="9"/>
  <c r="AS539" i="6"/>
  <c r="BY530" i="6"/>
  <c r="BY531" i="6"/>
  <c r="BU530" i="6"/>
  <c r="BY532" i="6"/>
  <c r="BT570" i="6"/>
  <c r="BT574" i="6" s="1"/>
  <c r="BP585" i="6"/>
  <c r="BN586" i="6" s="1"/>
  <c r="BB586" i="6"/>
  <c r="BQ530" i="6"/>
  <c r="BQ534" i="6" s="1"/>
  <c r="BU531" i="6"/>
  <c r="BE547" i="6"/>
  <c r="AU546" i="6"/>
  <c r="BL585" i="6"/>
  <c r="BJ586" i="6" s="1"/>
  <c r="BF586" i="6"/>
  <c r="O16" i="9"/>
  <c r="M22" i="9"/>
  <c r="M35" i="9" s="1"/>
  <c r="O5" i="9"/>
  <c r="Q4" i="9"/>
  <c r="I6" i="9"/>
  <c r="G7" i="9"/>
  <c r="G11" i="9" s="1"/>
  <c r="G37" i="9" s="1"/>
  <c r="BI547" i="6"/>
  <c r="BM544" i="6"/>
  <c r="W15" i="9"/>
  <c r="Q32" i="9"/>
  <c r="M8" i="9"/>
  <c r="K9" i="9"/>
  <c r="AB46" i="26" l="1"/>
  <c r="AB48" i="26" s="1"/>
  <c r="AB53" i="26" s="1"/>
  <c r="AB54" i="26" s="1"/>
  <c r="E48" i="9"/>
  <c r="E54" i="9"/>
  <c r="E53" i="9" s="1"/>
  <c r="E58" i="9" s="1"/>
  <c r="E60" i="9" s="1"/>
  <c r="E66" i="9" s="1"/>
  <c r="E105" i="15"/>
  <c r="E103" i="18"/>
  <c r="S106" i="4"/>
  <c r="AB46" i="27"/>
  <c r="AB48" i="27" s="1"/>
  <c r="AB53" i="27" s="1"/>
  <c r="AB54" i="27" s="1"/>
  <c r="J58" i="25"/>
  <c r="G71" i="25" s="1"/>
  <c r="G72" i="25" s="1"/>
  <c r="B75" i="25" s="1"/>
  <c r="T24" i="5"/>
  <c r="E49" i="9"/>
  <c r="E47" i="9"/>
  <c r="CC533" i="6"/>
  <c r="CC532" i="6"/>
  <c r="T702" i="6"/>
  <c r="AO694" i="6"/>
  <c r="AF702" i="6" s="1"/>
  <c r="AF708" i="6" s="1"/>
  <c r="CC531" i="6"/>
  <c r="BY534" i="6"/>
  <c r="BU534" i="6"/>
  <c r="BJ587" i="6"/>
  <c r="AV551" i="6" s="1"/>
  <c r="BY571" i="6"/>
  <c r="K6" i="9"/>
  <c r="I7" i="9"/>
  <c r="I11" i="9" s="1"/>
  <c r="I37" i="9" s="1"/>
  <c r="Q16" i="9"/>
  <c r="O22" i="9"/>
  <c r="O35" i="9" s="1"/>
  <c r="Q5" i="9"/>
  <c r="S4" i="9"/>
  <c r="G49" i="9"/>
  <c r="G45" i="9"/>
  <c r="Y15" i="9"/>
  <c r="BM547" i="6"/>
  <c r="BQ545" i="6"/>
  <c r="S32" i="9"/>
  <c r="M9" i="9"/>
  <c r="O8" i="9"/>
  <c r="G54" i="9" l="1"/>
  <c r="G53" i="9" s="1"/>
  <c r="G58" i="9" s="1"/>
  <c r="G60" i="9" s="1"/>
  <c r="G66" i="9" s="1"/>
  <c r="B76" i="25"/>
  <c r="O76" i="25" s="1"/>
  <c r="X992" i="3"/>
  <c r="X993" i="3" s="1"/>
  <c r="D994" i="3" s="1"/>
  <c r="E105" i="18"/>
  <c r="AC449" i="3"/>
  <c r="E67" i="9"/>
  <c r="E70" i="9" s="1"/>
  <c r="E72" i="9" s="1"/>
  <c r="CC534" i="6"/>
  <c r="CG534" i="6" s="1"/>
  <c r="CD572" i="6"/>
  <c r="BY574" i="6"/>
  <c r="BQ547" i="6"/>
  <c r="BU546" i="6"/>
  <c r="BU547" i="6" s="1"/>
  <c r="S16" i="9"/>
  <c r="Q22" i="9"/>
  <c r="Q35" i="9" s="1"/>
  <c r="AA15" i="9"/>
  <c r="G47" i="9"/>
  <c r="G48" i="9"/>
  <c r="I49" i="9"/>
  <c r="I45" i="9"/>
  <c r="I54" i="9" s="1"/>
  <c r="I53" i="9" s="1"/>
  <c r="I58" i="9" s="1"/>
  <c r="U4" i="9"/>
  <c r="S5" i="9"/>
  <c r="K7" i="9"/>
  <c r="K11" i="9" s="1"/>
  <c r="M6" i="9"/>
  <c r="U32" i="9"/>
  <c r="Q8" i="9"/>
  <c r="O9" i="9"/>
  <c r="Y11" i="27" l="1"/>
  <c r="Y23" i="27" s="1"/>
  <c r="Y26" i="27" s="1"/>
  <c r="Y28" i="27" s="1"/>
  <c r="Y63" i="27" s="1"/>
  <c r="Y67" i="27" s="1"/>
  <c r="T11" i="26"/>
  <c r="T23" i="26" s="1"/>
  <c r="T11" i="27"/>
  <c r="T11" i="5"/>
  <c r="T21" i="5" s="1"/>
  <c r="Y11" i="5"/>
  <c r="Y23" i="5" s="1"/>
  <c r="Y26" i="5" s="1"/>
  <c r="Y28" i="5" s="1"/>
  <c r="Y11" i="26"/>
  <c r="Y23" i="26" s="1"/>
  <c r="Y26" i="26" s="1"/>
  <c r="Y28" i="26" s="1"/>
  <c r="Y63" i="26" s="1"/>
  <c r="Y67" i="26" s="1"/>
  <c r="CD574" i="6"/>
  <c r="CI573" i="6"/>
  <c r="CI574" i="6" s="1"/>
  <c r="CC547" i="6"/>
  <c r="K37" i="9"/>
  <c r="K49" i="9" s="1"/>
  <c r="U16" i="9"/>
  <c r="S22" i="9"/>
  <c r="S35" i="9" s="1"/>
  <c r="W4" i="9"/>
  <c r="U5" i="9"/>
  <c r="AC15" i="9"/>
  <c r="I47" i="9"/>
  <c r="I48" i="9"/>
  <c r="I60" i="9"/>
  <c r="I66" i="9" s="1"/>
  <c r="G67" i="9"/>
  <c r="G62" i="9"/>
  <c r="G69" i="9"/>
  <c r="G68" i="9"/>
  <c r="O6" i="9"/>
  <c r="M7" i="9"/>
  <c r="M11" i="9" s="1"/>
  <c r="M37" i="9" s="1"/>
  <c r="W32" i="9"/>
  <c r="S8" i="9"/>
  <c r="Q9" i="9"/>
  <c r="AI21" i="26" l="1"/>
  <c r="AI22" i="26" s="1"/>
  <c r="AI23" i="26" s="1"/>
  <c r="AI26" i="26" s="1"/>
  <c r="AI28" i="26" s="1"/>
  <c r="AD63" i="26" s="1"/>
  <c r="T21" i="27"/>
  <c r="T22" i="27" s="1"/>
  <c r="T23" i="27" s="1"/>
  <c r="T22" i="5"/>
  <c r="T23" i="5" s="1"/>
  <c r="BE16" i="28"/>
  <c r="T26" i="26"/>
  <c r="T28" i="26" s="1"/>
  <c r="K45" i="9"/>
  <c r="CN574" i="6"/>
  <c r="BD555" i="6" s="1"/>
  <c r="AT557" i="6" s="1"/>
  <c r="Q6" i="9"/>
  <c r="O7" i="9"/>
  <c r="O11" i="9" s="1"/>
  <c r="O37" i="9" s="1"/>
  <c r="Y4" i="9"/>
  <c r="W5" i="9"/>
  <c r="I62" i="9"/>
  <c r="I67" i="9"/>
  <c r="I69" i="9"/>
  <c r="I68" i="9"/>
  <c r="AE15" i="9"/>
  <c r="G70" i="9"/>
  <c r="G72" i="9" s="1"/>
  <c r="M45" i="9"/>
  <c r="M49" i="9"/>
  <c r="W16" i="9"/>
  <c r="U22" i="9"/>
  <c r="U35" i="9" s="1"/>
  <c r="Y32" i="9"/>
  <c r="U8" i="9"/>
  <c r="S9" i="9"/>
  <c r="Y38" i="27" l="1"/>
  <c r="Y40" i="27" s="1"/>
  <c r="T26" i="27"/>
  <c r="T28" i="27" s="1"/>
  <c r="T29" i="27" s="1"/>
  <c r="AD38" i="27"/>
  <c r="AD40" i="27" s="1"/>
  <c r="T29" i="26"/>
  <c r="AD38" i="26"/>
  <c r="AD40" i="26" s="1"/>
  <c r="Y38" i="26"/>
  <c r="Y40" i="26" s="1"/>
  <c r="K54" i="9"/>
  <c r="K53" i="9" s="1"/>
  <c r="K58" i="9" s="1"/>
  <c r="K60" i="9" s="1"/>
  <c r="M54" i="9"/>
  <c r="M53" i="9" s="1"/>
  <c r="M58" i="9" s="1"/>
  <c r="M60" i="9" s="1"/>
  <c r="M66" i="9" s="1"/>
  <c r="Q71" i="25"/>
  <c r="O75" i="25" s="1"/>
  <c r="R75" i="25" s="1"/>
  <c r="Y63" i="5"/>
  <c r="Y67" i="5" s="1"/>
  <c r="AD38" i="5"/>
  <c r="AD40" i="5" s="1"/>
  <c r="T26" i="5"/>
  <c r="T28" i="5" s="1"/>
  <c r="T29" i="5" s="1"/>
  <c r="K48" i="9"/>
  <c r="K47" i="9"/>
  <c r="AW559" i="6"/>
  <c r="M48" i="9"/>
  <c r="M47" i="9"/>
  <c r="O49" i="9"/>
  <c r="O45" i="9"/>
  <c r="O54" i="9" s="1"/>
  <c r="O53" i="9" s="1"/>
  <c r="O58" i="9" s="1"/>
  <c r="AA4" i="9"/>
  <c r="Y5" i="9"/>
  <c r="I70" i="9"/>
  <c r="I72" i="9" s="1"/>
  <c r="AG15" i="9"/>
  <c r="Y16" i="9"/>
  <c r="W22" i="9"/>
  <c r="W35" i="9" s="1"/>
  <c r="S6" i="9"/>
  <c r="Q7" i="9"/>
  <c r="Q11" i="9" s="1"/>
  <c r="Q37" i="9" s="1"/>
  <c r="AA32" i="9"/>
  <c r="W8" i="9"/>
  <c r="U9" i="9"/>
  <c r="Y41" i="26" l="1"/>
  <c r="AB55" i="26" s="1"/>
  <c r="AB56" i="26" s="1"/>
  <c r="AB58" i="26" s="1"/>
  <c r="Y41" i="27"/>
  <c r="AB55" i="27" s="1"/>
  <c r="AB56" i="27" s="1"/>
  <c r="AB58" i="27" s="1"/>
  <c r="K67" i="9"/>
  <c r="K62" i="9"/>
  <c r="K66" i="9"/>
  <c r="K69" i="9"/>
  <c r="K68" i="9"/>
  <c r="K70" i="9" s="1"/>
  <c r="K72" i="9" s="1"/>
  <c r="Y38" i="5"/>
  <c r="Y40" i="5" s="1"/>
  <c r="AR42" i="5" s="1"/>
  <c r="Y41" i="5" s="1"/>
  <c r="AB55" i="5" s="1"/>
  <c r="AB75" i="26"/>
  <c r="AB76" i="26" s="1"/>
  <c r="AB77" i="26" s="1"/>
  <c r="AB79" i="26" s="1"/>
  <c r="J80" i="26" s="1"/>
  <c r="F59" i="26"/>
  <c r="Q45" i="9"/>
  <c r="Q49" i="9"/>
  <c r="AC4" i="9"/>
  <c r="AA5" i="9"/>
  <c r="O48" i="9"/>
  <c r="O60" i="9"/>
  <c r="O66" i="9" s="1"/>
  <c r="O47" i="9"/>
  <c r="U6" i="9"/>
  <c r="S7" i="9"/>
  <c r="S11" i="9" s="1"/>
  <c r="S37" i="9" s="1"/>
  <c r="AA16" i="9"/>
  <c r="Y22" i="9"/>
  <c r="Y35" i="9" s="1"/>
  <c r="M62" i="9"/>
  <c r="M68" i="9"/>
  <c r="M69" i="9"/>
  <c r="M67" i="9"/>
  <c r="AC32" i="9"/>
  <c r="W9" i="9"/>
  <c r="Y8" i="9"/>
  <c r="AB75" i="27" l="1"/>
  <c r="AB76" i="27" s="1"/>
  <c r="AB77" i="27" s="1"/>
  <c r="AB79" i="27" s="1"/>
  <c r="J80" i="27" s="1"/>
  <c r="F59" i="27"/>
  <c r="AR43" i="5"/>
  <c r="Q54" i="9"/>
  <c r="Q53" i="9"/>
  <c r="Q58" i="9" s="1"/>
  <c r="Q22" i="28"/>
  <c r="V33" i="28" s="1"/>
  <c r="V35" i="28" s="1"/>
  <c r="M25" i="3"/>
  <c r="P203" i="3" s="1"/>
  <c r="AB56" i="5"/>
  <c r="AB58" i="5" s="1"/>
  <c r="BE15" i="28"/>
  <c r="M70" i="9"/>
  <c r="M72" i="9" s="1"/>
  <c r="W6" i="9"/>
  <c r="U7" i="9"/>
  <c r="U11" i="9" s="1"/>
  <c r="U37" i="9" s="1"/>
  <c r="O68" i="9"/>
  <c r="O62" i="9"/>
  <c r="O69" i="9"/>
  <c r="O67" i="9"/>
  <c r="AC16" i="9"/>
  <c r="AA22" i="9"/>
  <c r="AA35" i="9" s="1"/>
  <c r="S45" i="9"/>
  <c r="S54" i="9" s="1"/>
  <c r="S53" i="9" s="1"/>
  <c r="S58" i="9" s="1"/>
  <c r="S49" i="9"/>
  <c r="AC5" i="9"/>
  <c r="AE4" i="9"/>
  <c r="Q48" i="9"/>
  <c r="Q60" i="9"/>
  <c r="Q66" i="9" s="1"/>
  <c r="Q47" i="9"/>
  <c r="AE32" i="9"/>
  <c r="Y9" i="9"/>
  <c r="AA8" i="9"/>
  <c r="F59" i="5" l="1"/>
  <c r="AB75" i="5"/>
  <c r="AB76" i="5" s="1"/>
  <c r="AE5" i="9"/>
  <c r="AG4" i="9"/>
  <c r="O70" i="9"/>
  <c r="O72" i="9" s="1"/>
  <c r="S47" i="9"/>
  <c r="S48" i="9"/>
  <c r="S60" i="9"/>
  <c r="S66" i="9" s="1"/>
  <c r="W7" i="9"/>
  <c r="W11" i="9" s="1"/>
  <c r="W37" i="9" s="1"/>
  <c r="Y6" i="9"/>
  <c r="U49" i="9"/>
  <c r="U45" i="9"/>
  <c r="U54" i="9" s="1"/>
  <c r="U53" i="9" s="1"/>
  <c r="U58" i="9" s="1"/>
  <c r="Q68" i="9"/>
  <c r="Q69" i="9"/>
  <c r="Q67" i="9"/>
  <c r="Q62" i="9"/>
  <c r="AE16" i="9"/>
  <c r="AC22" i="9"/>
  <c r="AC35" i="9" s="1"/>
  <c r="AG32" i="9"/>
  <c r="AA9" i="9"/>
  <c r="AC8" i="9"/>
  <c r="AB77" i="5" l="1"/>
  <c r="AB79" i="5" s="1"/>
  <c r="J80" i="5" s="1"/>
  <c r="M27" i="3"/>
  <c r="AG5" i="9"/>
  <c r="Q70" i="9"/>
  <c r="Q72" i="9" s="1"/>
  <c r="W45" i="9"/>
  <c r="W49" i="9"/>
  <c r="AG16" i="9"/>
  <c r="AG22" i="9" s="1"/>
  <c r="AG35" i="9" s="1"/>
  <c r="AE22" i="9"/>
  <c r="AE35" i="9" s="1"/>
  <c r="S67" i="9"/>
  <c r="S68" i="9"/>
  <c r="S69" i="9"/>
  <c r="S62" i="9"/>
  <c r="U48" i="9"/>
  <c r="U60" i="9"/>
  <c r="U66" i="9" s="1"/>
  <c r="U47" i="9"/>
  <c r="Y7" i="9"/>
  <c r="Y11" i="9" s="1"/>
  <c r="Y37" i="9" s="1"/>
  <c r="AA6" i="9"/>
  <c r="AC9" i="9"/>
  <c r="AE8" i="9"/>
  <c r="W54" i="9" l="1"/>
  <c r="W53" i="9" s="1"/>
  <c r="W58" i="9" s="1"/>
  <c r="W60" i="9" s="1"/>
  <c r="W66" i="9" s="1"/>
  <c r="W203" i="3"/>
  <c r="D203" i="3"/>
  <c r="Y45" i="9"/>
  <c r="Y54" i="9" s="1"/>
  <c r="Y53" i="9" s="1"/>
  <c r="Y58" i="9" s="1"/>
  <c r="Y49" i="9"/>
  <c r="S70" i="9"/>
  <c r="S72" i="9" s="1"/>
  <c r="AA7" i="9"/>
  <c r="AA11" i="9" s="1"/>
  <c r="AA37" i="9" s="1"/>
  <c r="AC6" i="9"/>
  <c r="U69" i="9"/>
  <c r="U67" i="9"/>
  <c r="U62" i="9"/>
  <c r="U68" i="9"/>
  <c r="W47" i="9"/>
  <c r="W48" i="9"/>
  <c r="AG8" i="9"/>
  <c r="AE9" i="9"/>
  <c r="AA49" i="9" l="1"/>
  <c r="AA45" i="9"/>
  <c r="AA54" i="9" s="1"/>
  <c r="AA53" i="9" s="1"/>
  <c r="AA58" i="9" s="1"/>
  <c r="W68" i="9"/>
  <c r="W67" i="9"/>
  <c r="W69" i="9"/>
  <c r="W62" i="9"/>
  <c r="AE6" i="9"/>
  <c r="AC7" i="9"/>
  <c r="AC11" i="9" s="1"/>
  <c r="AC37" i="9" s="1"/>
  <c r="U70" i="9"/>
  <c r="U72" i="9" s="1"/>
  <c r="Y48" i="9"/>
  <c r="Y60" i="9"/>
  <c r="Y66" i="9" s="1"/>
  <c r="Y47" i="9"/>
  <c r="AG9" i="9"/>
  <c r="AG6" i="9" l="1"/>
  <c r="AE7" i="9"/>
  <c r="AE11" i="9" s="1"/>
  <c r="AE37" i="9" s="1"/>
  <c r="Y69" i="9"/>
  <c r="Y62" i="9"/>
  <c r="Y68" i="9"/>
  <c r="Y67" i="9"/>
  <c r="AC49" i="9"/>
  <c r="AC45" i="9"/>
  <c r="AA47" i="9"/>
  <c r="AA48" i="9"/>
  <c r="AA60" i="9"/>
  <c r="AA66" i="9" s="1"/>
  <c r="W70" i="9"/>
  <c r="W72" i="9" s="1"/>
  <c r="AC54" i="9" l="1"/>
  <c r="AC53" i="9" s="1"/>
  <c r="AC58" i="9" s="1"/>
  <c r="AC60" i="9" s="1"/>
  <c r="AC66" i="9" s="1"/>
  <c r="AG7" i="9"/>
  <c r="AG11" i="9" s="1"/>
  <c r="AG37" i="9" s="1"/>
  <c r="AG49" i="9" s="1"/>
  <c r="AA68" i="9"/>
  <c r="AA69" i="9"/>
  <c r="AA67" i="9"/>
  <c r="AA62" i="9"/>
  <c r="Y70" i="9"/>
  <c r="Y72" i="9" s="1"/>
  <c r="AE49" i="9"/>
  <c r="AE45" i="9"/>
  <c r="AE54" i="9" s="1"/>
  <c r="AE53" i="9" s="1"/>
  <c r="AE58" i="9" s="1"/>
  <c r="AC48" i="9"/>
  <c r="AC47" i="9"/>
  <c r="AG45" i="9" l="1"/>
  <c r="AE60" i="9"/>
  <c r="AE66" i="9" s="1"/>
  <c r="AE47" i="9"/>
  <c r="AE48" i="9"/>
  <c r="AC69" i="9"/>
  <c r="AC68" i="9"/>
  <c r="AC62" i="9"/>
  <c r="AC67" i="9"/>
  <c r="AA70" i="9"/>
  <c r="AA72" i="9" s="1"/>
  <c r="AG54" i="9" l="1"/>
  <c r="AG53" i="9"/>
  <c r="AG58" i="9" s="1"/>
  <c r="AG60" i="9" s="1"/>
  <c r="AG66" i="9" s="1"/>
  <c r="AG47" i="9"/>
  <c r="AG48" i="9"/>
  <c r="AC70" i="9"/>
  <c r="AC72" i="9" s="1"/>
  <c r="AE62" i="9"/>
  <c r="AE68" i="9"/>
  <c r="AE67" i="9"/>
  <c r="AE69" i="9"/>
  <c r="AG62" i="9" l="1"/>
  <c r="AG67" i="9"/>
  <c r="AG69" i="9"/>
  <c r="AG68" i="9"/>
  <c r="AE70" i="9"/>
  <c r="AE72" i="9" s="1"/>
  <c r="AG70" i="9" l="1"/>
  <c r="AG72" i="9" s="1"/>
</calcChain>
</file>

<file path=xl/comments1.xml><?xml version="1.0" encoding="utf-8"?>
<comments xmlns="http://schemas.openxmlformats.org/spreadsheetml/2006/main">
  <authors>
    <author>*DS</author>
    <author>State Treasurer's Office</author>
  </authors>
  <commentList>
    <comment ref="Z773" authorId="0" shapeId="0">
      <text>
        <r>
          <rPr>
            <sz val="9"/>
            <color rgb="FF000000"/>
            <rFont val="Tahoma"/>
            <family val="2"/>
          </rPr>
          <t>Complete the Subsidy Contract Calculation tab, the annual rental subsidy overhang amount will automatically populate</t>
        </r>
      </text>
    </comment>
    <comment ref="R933" authorId="1" shapeId="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authors>
    <author>State Treasurer's Office</author>
    <author>Chen, Zhuo</author>
    <author>*DS</author>
  </authors>
  <commentList>
    <comment ref="B4" authorId="0" shapeId="0">
      <text>
        <r>
          <rPr>
            <sz val="10"/>
            <rFont val="Arial"/>
            <family val="2"/>
          </rPr>
          <t xml:space="preserve">Rehabilitation projects: Lower of appraised "as-is" value or purchase price
</t>
        </r>
      </text>
    </comment>
    <comment ref="B15" authorId="1" shapeId="0">
      <text>
        <r>
          <rPr>
            <sz val="9"/>
            <color indexed="81"/>
            <rFont val="Tahoma"/>
            <family val="2"/>
          </rPr>
          <t>If the purchase price exceeds appraised value, input the overage amount in this row, unless a waiver has been obtained pursuant to TCAC regulations Section 10327(c)(6)</t>
        </r>
      </text>
    </comment>
    <comment ref="B27" authorId="0" shapeId="0">
      <text>
        <r>
          <rPr>
            <sz val="10"/>
            <color rgb="FF000000"/>
            <rFont val="Arial"/>
            <family val="2"/>
          </rPr>
          <t xml:space="preserve">Relocation costs should correlate to the costs approved by either the local agency or federal agency. 
</t>
        </r>
        <r>
          <rPr>
            <sz val="10"/>
            <color rgb="FF000000"/>
            <rFont val="Arial"/>
            <family val="2"/>
          </rPr>
          <t xml:space="preserve">
</t>
        </r>
      </text>
    </comment>
    <comment ref="B73" authorId="2" shapeId="0">
      <text>
        <r>
          <rPr>
            <sz val="9"/>
            <color indexed="81"/>
            <rFont val="Tahoma"/>
            <family val="2"/>
          </rPr>
          <t>For projects subject to a TCAC Capital Needs Covenant</t>
        </r>
      </text>
    </comment>
    <comment ref="B100" authorId="0" shapeId="0">
      <text>
        <r>
          <rPr>
            <sz val="10"/>
            <rFont val="Arial"/>
            <family val="2"/>
          </rPr>
          <t xml:space="preserve">Any project fees paid as brokerage to a related party are part of developer fee.
</t>
        </r>
      </text>
    </comment>
    <comment ref="B101" authorId="0" shapeId="0">
      <text>
        <r>
          <rPr>
            <sz val="10"/>
            <rFont val="Arial"/>
            <family val="2"/>
          </rPr>
          <t xml:space="preserve">Any construction management oversight paid to developer or related party are part of developer fees.
</t>
        </r>
      </text>
    </comment>
    <comment ref="S103" authorId="0" shapeId="0">
      <text>
        <r>
          <rPr>
            <sz val="10"/>
            <rFont val="Arial"/>
            <family val="2"/>
          </rPr>
          <t>Cannot exceed the lesser of 15% of cell S96 or the amount allowed in cost. See TCAC reg. section 10327(c)(2)(A) for complete requirements and limitations.</t>
        </r>
      </text>
    </comment>
    <comment ref="T103" authorId="0" shapeId="0">
      <text>
        <r>
          <rPr>
            <sz val="10"/>
            <rFont val="Arial"/>
            <family val="2"/>
          </rPr>
          <t>For Acq. Credit Only:  cannot exceed 5% of cell T96.</t>
        </r>
      </text>
    </comment>
  </commentList>
</comments>
</file>

<file path=xl/comments3.xml><?xml version="1.0" encoding="utf-8"?>
<comments xmlns="http://schemas.openxmlformats.org/spreadsheetml/2006/main">
  <authors>
    <author>Chen, Zhuo</author>
    <author>State Treasurer's Office</author>
    <author>*DS</author>
  </authors>
  <commentList>
    <comment ref="B21" authorId="0" shapeId="0">
      <text>
        <r>
          <rPr>
            <sz val="9"/>
            <color rgb="FF000000"/>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text>
        <r>
          <rPr>
            <sz val="9"/>
            <color indexed="81"/>
            <rFont val="Tahoma"/>
            <family val="2"/>
          </rPr>
          <t>The Total Requested Unadjusted Eligible Basis must not exceed the Total Adjusted Threshold Basis Limit.</t>
        </r>
      </text>
    </comment>
    <comment ref="T25" authorId="1" shapeId="0">
      <text>
        <r>
          <rPr>
            <sz val="10"/>
            <rFont val="Arial"/>
            <family val="2"/>
          </rPr>
          <t>130% adjustment only for sites located in a DDA/QCT. Unless, project is proposing SpNs housing type, or receiving disaster credits</t>
        </r>
      </text>
    </comment>
    <comment ref="Y25" authorId="2" shapeId="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authors>
    <author>State Treasurer's Office</author>
    <author>Chen, Zhuo</author>
  </authors>
  <commentList>
    <comment ref="H266" authorId="0" shapeId="0">
      <text>
        <r>
          <rPr>
            <sz val="10"/>
            <rFont val="Arial"/>
            <family val="2"/>
          </rPr>
          <t>Do not select item (ii) unless the project is applying under the Rural set-aside.</t>
        </r>
        <r>
          <rPr>
            <sz val="10"/>
            <rFont val="Arial"/>
            <family val="2"/>
          </rPr>
          <t xml:space="preserve">
</t>
        </r>
      </text>
    </comment>
    <comment ref="S556" authorId="0" shapeId="0">
      <text>
        <r>
          <rPr>
            <sz val="8"/>
            <color indexed="81"/>
            <rFont val="Arial"/>
            <family val="2"/>
          </rPr>
          <t>Available only to Rural set-aside projects.</t>
        </r>
      </text>
    </comment>
    <comment ref="U563" authorId="0" shapeId="0">
      <text>
        <r>
          <rPr>
            <sz val="8"/>
            <color indexed="81"/>
            <rFont val="Arial"/>
            <family val="2"/>
          </rPr>
          <t>Available only to Rural set-aside projects.</t>
        </r>
      </text>
    </comment>
    <comment ref="U564" authorId="0" shapeId="0">
      <text>
        <r>
          <rPr>
            <sz val="8"/>
            <color indexed="81"/>
            <rFont val="Arial"/>
            <family val="2"/>
          </rPr>
          <t>Available only to Rural set-aside projects.</t>
        </r>
      </text>
    </comment>
    <comment ref="S565" authorId="1" shapeId="0">
      <text>
        <r>
          <rPr>
            <sz val="8"/>
            <color indexed="81"/>
            <rFont val="Tahoma"/>
            <family val="2"/>
          </rPr>
          <t>Available only to Rural set-aside projects.</t>
        </r>
      </text>
    </comment>
    <comment ref="S566" authorId="1" shapeId="0">
      <text>
        <r>
          <rPr>
            <sz val="8"/>
            <color indexed="81"/>
            <rFont val="Tahoma"/>
            <family val="2"/>
          </rPr>
          <t>Available only to Rural set-aside projects.</t>
        </r>
      </text>
    </comment>
    <comment ref="S567" authorId="1" shapeId="0">
      <text>
        <r>
          <rPr>
            <sz val="8"/>
            <color indexed="81"/>
            <rFont val="Tahoma"/>
            <family val="2"/>
          </rPr>
          <t>Available only to Rural set-aside projects.</t>
        </r>
      </text>
    </comment>
    <comment ref="S568" authorId="1" shapeId="0">
      <text>
        <r>
          <rPr>
            <sz val="8"/>
            <color indexed="81"/>
            <rFont val="Tahoma"/>
            <family val="2"/>
          </rPr>
          <t>Available only to Rural set-aside projects.</t>
        </r>
      </text>
    </comment>
    <comment ref="S569" authorId="1" shapeId="0">
      <text>
        <r>
          <rPr>
            <sz val="8"/>
            <color indexed="81"/>
            <rFont val="Tahoma"/>
            <family val="2"/>
          </rPr>
          <t>Available only to Rural set-aside projects.</t>
        </r>
      </text>
    </comment>
    <comment ref="S570" authorId="1" shapeId="0">
      <text>
        <r>
          <rPr>
            <sz val="8"/>
            <color indexed="81"/>
            <rFont val="Tahoma"/>
            <family val="2"/>
          </rPr>
          <t>Available only to Rural set-aside projects.</t>
        </r>
      </text>
    </comment>
    <comment ref="S571" authorId="1" shapeId="0">
      <text>
        <r>
          <rPr>
            <sz val="8"/>
            <color indexed="81"/>
            <rFont val="Tahoma"/>
            <family val="2"/>
          </rPr>
          <t>Available only to Rural set-aside projects.</t>
        </r>
      </text>
    </comment>
    <comment ref="E583" authorId="0" shapeId="0">
      <text>
        <r>
          <rPr>
            <sz val="9"/>
            <color indexed="81"/>
            <rFont val="Arial"/>
            <family val="2"/>
          </rPr>
          <t xml:space="preserve">DO NOT USE if Rural set-aside projects:  </t>
        </r>
      </text>
    </comment>
    <comment ref="E584" authorId="1" shapeId="0">
      <text>
        <r>
          <rPr>
            <sz val="9"/>
            <color indexed="81"/>
            <rFont val="Tahoma"/>
            <family val="2"/>
          </rPr>
          <t xml:space="preserve">ONLY for Rural set-aside projects.
</t>
        </r>
      </text>
    </comment>
    <comment ref="E585" authorId="1" shapeId="0">
      <text>
        <r>
          <rPr>
            <sz val="9"/>
            <color indexed="81"/>
            <rFont val="Tahoma"/>
            <family val="2"/>
          </rPr>
          <t>ONLY for Rural set-aside projects.</t>
        </r>
      </text>
    </comment>
  </commentList>
</comments>
</file>

<file path=xl/comments5.xml><?xml version="1.0" encoding="utf-8"?>
<comments xmlns="http://schemas.openxmlformats.org/spreadsheetml/2006/main">
  <authors>
    <author>Chen, Zhuo</author>
  </authors>
  <commentList>
    <comment ref="E50" authorId="0" shapeId="0">
      <text>
        <r>
          <rPr>
            <sz val="11"/>
            <color indexed="81"/>
            <rFont val="Arial"/>
            <family val="2"/>
          </rPr>
          <t>Excess over appraisal will be automatically subtracted from the TOTAL soft financing</t>
        </r>
      </text>
    </comment>
    <comment ref="E51" authorId="0" shapeId="0">
      <text>
        <r>
          <rPr>
            <sz val="11"/>
            <color indexed="81"/>
            <rFont val="Arial"/>
            <family val="2"/>
          </rPr>
          <t>Ineligible offsites will be automatically subtracted from the TOTAL soft financing</t>
        </r>
      </text>
    </comment>
    <comment ref="B65" authorId="0" shapeId="0">
      <text>
        <r>
          <rPr>
            <sz val="9"/>
            <color indexed="81"/>
            <rFont val="Tahoma"/>
            <family val="2"/>
          </rPr>
          <t>Includes Adaptive Reuse projects</t>
        </r>
      </text>
    </comment>
  </commentList>
</comments>
</file>

<file path=xl/comments6.xml><?xml version="1.0" encoding="utf-8"?>
<comments xmlns="http://schemas.openxmlformats.org/spreadsheetml/2006/main">
  <authors>
    <author>Chen, Zhuo</author>
    <author>State Treasurer's Office</author>
  </authors>
  <commentList>
    <comment ref="B21" authorId="0" shapeId="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text>
        <r>
          <rPr>
            <sz val="9"/>
            <color indexed="81"/>
            <rFont val="Tahoma"/>
            <family val="2"/>
          </rPr>
          <t>The Total Requested Unadjusted Eligible Basis must not exceed the Total Adjusted Threshold Basis Limit.</t>
        </r>
      </text>
    </comment>
    <comment ref="T25" authorId="1" shapeId="0">
      <text>
        <r>
          <rPr>
            <sz val="10"/>
            <rFont val="Arial"/>
            <family val="2"/>
          </rPr>
          <t>No 130% adjustment when exchanging Fed for State</t>
        </r>
      </text>
    </comment>
  </commentList>
</comments>
</file>

<file path=xl/comments7.xml><?xml version="1.0" encoding="utf-8"?>
<comments xmlns="http://schemas.openxmlformats.org/spreadsheetml/2006/main">
  <authors>
    <author>Chen, Zhuo</author>
    <author>State Treasurer's Office</author>
  </authors>
  <commentList>
    <comment ref="B21" authorId="0" shapeId="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text>
        <r>
          <rPr>
            <sz val="9"/>
            <color indexed="81"/>
            <rFont val="Tahoma"/>
            <family val="2"/>
          </rPr>
          <t>The Total Requested Unadjusted Eligible Basis must not exceed the Total Adjusted Threshold Basis Limit.</t>
        </r>
      </text>
    </comment>
    <comment ref="T25" authorId="1" shapeId="0">
      <text>
        <r>
          <rPr>
            <sz val="10"/>
            <rFont val="Arial"/>
            <family val="2"/>
          </rPr>
          <t>No 130% adjustment when exchanging State for Fed</t>
        </r>
      </text>
    </comment>
  </commentList>
</comments>
</file>

<file path=xl/sharedStrings.xml><?xml version="1.0" encoding="utf-8"?>
<sst xmlns="http://schemas.openxmlformats.org/spreadsheetml/2006/main" count="4709" uniqueCount="2507">
  <si>
    <t xml:space="preserve">If yes, are any of the units to be occupied by the owner or </t>
  </si>
  <si>
    <t>SUTTER</t>
  </si>
  <si>
    <t>TEHAMA</t>
  </si>
  <si>
    <t>TRINITY</t>
  </si>
  <si>
    <t>TULARE</t>
  </si>
  <si>
    <t>VENTURA</t>
  </si>
  <si>
    <t>YOLO</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</si>
  <si>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</si>
  <si>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B.</t>
  </si>
  <si>
    <t>Project Information</t>
  </si>
  <si>
    <t>Project Name:</t>
  </si>
  <si>
    <r>
      <t>(e.g.. commercial, market rate, etc..)</t>
    </r>
    <r>
      <rPr>
        <b/>
        <sz val="10"/>
        <rFont val="Arial"/>
        <family val="2"/>
      </rPr>
      <t xml:space="preserve"> Total Number of Non-Qualifying Units:</t>
    </r>
  </si>
  <si>
    <t>Ext.</t>
  </si>
  <si>
    <t>Total Utilities:</t>
  </si>
  <si>
    <t>Total Payroll / Payroll Taxes:</t>
  </si>
  <si>
    <t>Total Insurance:</t>
  </si>
  <si>
    <t>Total Maintenance:</t>
  </si>
  <si>
    <t>Total Other Expenses:</t>
  </si>
  <si>
    <t>Total Annual Residential Operating Expenses:</t>
  </si>
  <si>
    <t>Historical Property/Site:</t>
  </si>
  <si>
    <t>If yes, broker fee amount to affiliate?</t>
  </si>
  <si>
    <t>TUOLUMNE</t>
  </si>
  <si>
    <t>Tuolumne</t>
  </si>
  <si>
    <t xml:space="preserve">Tax Credits.  Both Federal law and the state law require that various requirements be met on an ongoing basis.  I </t>
  </si>
  <si>
    <t>related to the Credit programs.</t>
  </si>
  <si>
    <t>Subtotal Annual Federal Credit:</t>
  </si>
  <si>
    <t>Total Credits Necessary for Feasibility</t>
  </si>
  <si>
    <t>agree that compliance with these requirements is the responsibility of the applicant.</t>
  </si>
  <si>
    <t xml:space="preserve">Real Estate Tax Rate:  </t>
  </si>
  <si>
    <t>b) Public Park</t>
  </si>
  <si>
    <t>f) Senior Developments: Daily Operated Senior Center</t>
  </si>
  <si>
    <t>Alameda</t>
  </si>
  <si>
    <t>Alpine</t>
  </si>
  <si>
    <t xml:space="preserve">complete the application. For threshold omissions other than reproduction or assembly errors, the Executive </t>
  </si>
  <si>
    <t>Percent of 
Area Median Income (AMI)</t>
  </si>
  <si>
    <t>4 BR</t>
  </si>
  <si>
    <t>11)</t>
  </si>
  <si>
    <t>12)</t>
  </si>
  <si>
    <t>Total Points for Site Amenities:</t>
  </si>
  <si>
    <t>General Contractor:</t>
  </si>
  <si>
    <t>Investor:</t>
  </si>
  <si>
    <t>Market Analyst:</t>
  </si>
  <si>
    <t>Appraiser:</t>
  </si>
  <si>
    <t>CNA Consultant:</t>
  </si>
  <si>
    <t xml:space="preserve">New Construction </t>
  </si>
  <si>
    <t>Acquisition</t>
  </si>
  <si>
    <t>a person related to the owner (IRC Sec. 42(i)(3)(c))?</t>
  </si>
  <si>
    <t>Fill in all highlighted lines.  Totals will be auto-populated as the highlighted items are entered.</t>
  </si>
  <si>
    <t>Fill in the appropriate information by unit type in ascending order similar to the low-income units.</t>
  </si>
  <si>
    <t>Fill in the appropriate information by unit type in ascending order similar to the low-income units</t>
  </si>
  <si>
    <t>(if applicable).</t>
  </si>
  <si>
    <t>Complete as appropriate.  Amounts should be verifiable from information in the application and/or</t>
  </si>
  <si>
    <t>e)</t>
  </si>
  <si>
    <t>f)</t>
  </si>
  <si>
    <t>Fill in the annual operating expense amounts for the following line items as appropriate:</t>
  </si>
  <si>
    <t>Complete the highlighted cells in the table.  Totals will auto-populate as the highlighted cells are</t>
  </si>
  <si>
    <t>completed.</t>
  </si>
  <si>
    <t>(if yes, explain here)</t>
  </si>
  <si>
    <t>(a)
Bedroom Type(s)</t>
  </si>
  <si>
    <t>Maintenance</t>
  </si>
  <si>
    <t>Amount</t>
  </si>
  <si>
    <t>Indicate By Percent Of Units Affected, Any Rental Subsidy Expected To Be Available To The Project.</t>
  </si>
  <si>
    <t>6 Points</t>
  </si>
  <si>
    <t>5 Points</t>
  </si>
  <si>
    <t>4 Points</t>
  </si>
  <si>
    <t>3 Points</t>
  </si>
  <si>
    <t>If address is not established, enter detailed description (i.e. NW corner of 26th and Elm)</t>
  </si>
  <si>
    <t>Project is a Scattered Site Project:</t>
  </si>
  <si>
    <t xml:space="preserve">No. of Stories  </t>
  </si>
  <si>
    <t xml:space="preserve">Current Use:  </t>
  </si>
  <si>
    <t>Purchase Information</t>
  </si>
  <si>
    <t xml:space="preserve">I certify that I believe that the project can be completed within the development budget and the development </t>
  </si>
  <si>
    <r>
      <t>1</t>
    </r>
    <r>
      <rPr>
        <sz val="9"/>
        <rFont val="Arial"/>
        <family val="2"/>
      </rPr>
      <t>Land Cost or Value</t>
    </r>
  </si>
  <si>
    <r>
      <t>2</t>
    </r>
    <r>
      <rPr>
        <sz val="9"/>
        <rFont val="Arial"/>
        <family val="2"/>
      </rPr>
      <t>Demolition</t>
    </r>
  </si>
  <si>
    <r>
      <t>2</t>
    </r>
    <r>
      <rPr>
        <sz val="9"/>
        <rFont val="Arial"/>
        <family val="2"/>
      </rPr>
      <t>Off-Site Improvements</t>
    </r>
  </si>
  <si>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</si>
  <si>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Cooking:</t>
  </si>
  <si>
    <t>b)</t>
  </si>
  <si>
    <t>AMADOR</t>
  </si>
  <si>
    <t>San Francisco County</t>
  </si>
  <si>
    <t>BUTTE</t>
  </si>
  <si>
    <t>CALAVERAS</t>
  </si>
  <si>
    <t>COLUSA</t>
  </si>
  <si>
    <t>Total Points for Pharmacy:</t>
  </si>
  <si>
    <t>(select one)</t>
  </si>
  <si>
    <t xml:space="preserve">Do any buildings have 4 or fewer units? </t>
  </si>
  <si>
    <t xml:space="preserve">seq. and California Revenue and Taxation Code Sections 12206, 17058, and 23610.5 pertaining to the State Tax </t>
  </si>
  <si>
    <t xml:space="preserve">Credit program.  I understand that the Federal and State Tax Credit programs are complex and involve long-term </t>
  </si>
  <si>
    <t>I seek advice from my own tax attorney or tax advisor.</t>
  </si>
  <si>
    <t>Assessor's Parcel Number(s):</t>
  </si>
  <si>
    <t>Lender/Source:</t>
  </si>
  <si>
    <t>HUD Section 8:</t>
  </si>
  <si>
    <t>HUD SHP:</t>
  </si>
  <si>
    <t>Basis &amp; Credits</t>
  </si>
  <si>
    <r>
      <t>Pre-Existing Subsidies</t>
    </r>
    <r>
      <rPr>
        <sz val="8"/>
        <rFont val="Arial"/>
        <family val="2"/>
      </rPr>
      <t xml:space="preserve"> (Acq./Rehab. or Rehab-Only projects)</t>
    </r>
  </si>
  <si>
    <t>Site Amenity Contact List:</t>
  </si>
  <si>
    <t>Amenity Type:</t>
  </si>
  <si>
    <t>Amenity Name:</t>
  </si>
  <si>
    <t>Website:</t>
  </si>
  <si>
    <t>Transit Station/Transit Stop</t>
  </si>
  <si>
    <t>Public Park</t>
  </si>
  <si>
    <t>Book-Lending Public Library</t>
  </si>
  <si>
    <t>c) Book-Lending Public Library</t>
  </si>
  <si>
    <t>Medical Clinic/Hospital</t>
  </si>
  <si>
    <t>Pharmacy</t>
  </si>
  <si>
    <t>Senior Center</t>
  </si>
  <si>
    <t>Specific Service Oriented Facility</t>
  </si>
  <si>
    <t>City, Zip</t>
  </si>
  <si>
    <t>Public Elementary/Middle/High School</t>
  </si>
  <si>
    <t>Distance in miles:</t>
  </si>
  <si>
    <t>Joint-use agreement (if yes, please provide a copy)</t>
  </si>
  <si>
    <t>2 Points</t>
  </si>
  <si>
    <t>State Credit Necessary for Feasibility</t>
  </si>
  <si>
    <t>Maximum State Credit</t>
  </si>
  <si>
    <t>Remaining Funding Gap</t>
  </si>
  <si>
    <t>Equity Raised From Federal Credit</t>
  </si>
  <si>
    <t>Yes</t>
  </si>
  <si>
    <t>Riverside</t>
  </si>
  <si>
    <t>Sacramento</t>
  </si>
  <si>
    <t>San Benito</t>
  </si>
  <si>
    <t>San Bernardino</t>
  </si>
  <si>
    <t>San Diego</t>
  </si>
  <si>
    <t>San Francisco</t>
  </si>
  <si>
    <t>San Joaquin</t>
  </si>
  <si>
    <t>San Luis Obispo</t>
  </si>
  <si>
    <t>San Mateo</t>
  </si>
  <si>
    <t>Project is located in a Qualified Census Tract:</t>
  </si>
  <si>
    <t>C.</t>
  </si>
  <si>
    <t>*Federal Only:</t>
  </si>
  <si>
    <t>Federal and State:</t>
  </si>
  <si>
    <t>D.</t>
  </si>
  <si>
    <t>E.</t>
  </si>
  <si>
    <t>N/A</t>
  </si>
  <si>
    <t>F.</t>
  </si>
  <si>
    <t>III. PROJECT FINANCING - SECTION 2:  PERMANENT FINANCING</t>
  </si>
  <si>
    <t>III. PROJECT FINANCING - SECTION 3:  INCOME INFORMATION</t>
  </si>
  <si>
    <t>III. PROJECT FINANCING - SECTION 4:  LOAN AND GRANT SUBSIDIES</t>
  </si>
  <si>
    <t>III. PROJECT FINANCING - SECTION 5:  THRESHOLD BASIS LIMIT</t>
  </si>
  <si>
    <t>Local Reviewing Agency for the Tax Credit Allocation Committee.  I agree that it is also my responsibility to provide</t>
  </si>
  <si>
    <t>or allocation of Credit is made as a result of this application, I will also furnish promptly such other supporting</t>
  </si>
  <si>
    <t>22.5*</t>
  </si>
  <si>
    <t>IV. SOURCES AND USES BUDGET - SECTION 1: SOURCES AND USES BUDGET</t>
  </si>
  <si>
    <t xml:space="preserve">Annual Residential Operating Expenses </t>
  </si>
  <si>
    <t>Expense categories should begin with the placed-in-service date and year.</t>
  </si>
  <si>
    <t>Residential Buildings:</t>
  </si>
  <si>
    <t>Community Buildings:</t>
  </si>
  <si>
    <t>Total Annual Services Amenities Budget (from project expenses):</t>
  </si>
  <si>
    <t>South and West Bay Region: San Mateo and Santa Clara Counties</t>
  </si>
  <si>
    <t>=</t>
  </si>
  <si>
    <t>+</t>
  </si>
  <si>
    <t>Final Tie Breaker Formula:</t>
  </si>
  <si>
    <t>Service Amenities Budget</t>
  </si>
  <si>
    <t xml:space="preserve">This sheet is required for applicants requesting service amenity points. </t>
  </si>
  <si>
    <t>as applicable.</t>
  </si>
  <si>
    <t>VII</t>
  </si>
  <si>
    <t>Final Tie Breaker Self Score</t>
  </si>
  <si>
    <t>*(Federal I.D. No. must be obtained prior to submitting carryover allocation package)</t>
  </si>
  <si>
    <t>Select one:</t>
  </si>
  <si>
    <t>c</t>
  </si>
  <si>
    <t>Total Expenses</t>
  </si>
  <si>
    <t>Income Information</t>
  </si>
  <si>
    <t>Low Income Units</t>
  </si>
  <si>
    <t>Rental Subsidy Income/Operating Subsidy</t>
  </si>
  <si>
    <t>H.</t>
  </si>
  <si>
    <t>Loan and Grant Subsidies</t>
  </si>
  <si>
    <t>Threshold Basis Limit</t>
  </si>
  <si>
    <t>Basis and Credits</t>
  </si>
  <si>
    <t>Taxable bond financing</t>
  </si>
  <si>
    <t>McKinney-Vento Homeless Assistance Program</t>
  </si>
  <si>
    <r>
      <t xml:space="preserve">HOME Investment Partnership Act </t>
    </r>
    <r>
      <rPr>
        <sz val="8"/>
        <rFont val="Arial"/>
        <family val="2"/>
      </rPr>
      <t>(HOME)</t>
    </r>
  </si>
  <si>
    <t>RHS 538</t>
  </si>
  <si>
    <r>
      <t xml:space="preserve">Community Development Block Grant </t>
    </r>
    <r>
      <rPr>
        <sz val="8"/>
        <rFont val="Arial"/>
        <family val="2"/>
      </rPr>
      <t>(CDBG)</t>
    </r>
  </si>
  <si>
    <t>HOPE VI</t>
  </si>
  <si>
    <t>Acquisition (Part II - Application - Section 5 - B)</t>
  </si>
  <si>
    <t>Rehabilitation (Part II - Application - Section 5 - B)</t>
  </si>
  <si>
    <t>Site and Project Information (Part II - Application - Section 5 - D through G)</t>
  </si>
  <si>
    <t>Market Analysis</t>
  </si>
  <si>
    <t>Total Annual Commercial/Non-Residential Revenue:</t>
  </si>
  <si>
    <t>Total Annual Commercial/Non-Residential Expenses:</t>
  </si>
  <si>
    <t>Purchased from Affiliate:</t>
  </si>
  <si>
    <t>Holding Costs per Month:</t>
  </si>
  <si>
    <t>Total Projected Holding Costs:</t>
  </si>
  <si>
    <t>5)</t>
  </si>
  <si>
    <t>Project Unit Number and Square Footage</t>
  </si>
  <si>
    <t>Readiness to Proceed</t>
  </si>
  <si>
    <t>10)</t>
  </si>
  <si>
    <t>(federal)</t>
  </si>
  <si>
    <t>(state)</t>
  </si>
  <si>
    <t>*Applicants that selected the option for State credit substitution can still elect to mark Federal only Credits.</t>
  </si>
  <si>
    <t>Lighting:</t>
  </si>
  <si>
    <t>Total Points For Sustainable Building Methods:</t>
  </si>
  <si>
    <t>Total Points for Lowest Income:</t>
  </si>
  <si>
    <t>Total Points for Readiness to Proceed:</t>
  </si>
  <si>
    <t>50 Points</t>
  </si>
  <si>
    <t xml:space="preserve">Lowest Income </t>
  </si>
  <si>
    <t>Permanent Sources</t>
  </si>
  <si>
    <t>Contact Person During Application Process</t>
  </si>
  <si>
    <t>Participatory Role:</t>
  </si>
  <si>
    <t>(e.g., General Partner, Consultant, etc.)</t>
  </si>
  <si>
    <t>Indicate and List All Development Team Members</t>
  </si>
  <si>
    <t>Developer:</t>
  </si>
  <si>
    <t>(2)</t>
  </si>
  <si>
    <t>(3)</t>
  </si>
  <si>
    <t>(4)</t>
  </si>
  <si>
    <t>(5)</t>
  </si>
  <si>
    <t>(6)</t>
  </si>
  <si>
    <t>a.</t>
  </si>
  <si>
    <t>Instructions</t>
  </si>
  <si>
    <t>(ii)</t>
  </si>
  <si>
    <t>analyze materials submitted as well as conduct its own investigation to evaluate the application. I recognize that I</t>
  </si>
  <si>
    <t>Factor Amount</t>
  </si>
  <si>
    <t>h) Medical Clinic or Hospital</t>
  </si>
  <si>
    <t>i) Pharmacy</t>
  </si>
  <si>
    <t>j) In-unit High Speed Internet Service</t>
  </si>
  <si>
    <t>Total Points for Internet Service:</t>
  </si>
  <si>
    <t>If irregular, specify measurements in feet, acres, and square feet:</t>
  </si>
  <si>
    <t xml:space="preserve">for the purpose of providing low-income rental housing as herein described.  I understand that Credit amount(s) </t>
  </si>
  <si>
    <t xml:space="preserve">I acknowledge that if I receive a reservation of Tax Credits, I will be required to submit requisite documentation at </t>
  </si>
  <si>
    <t>*55%</t>
  </si>
  <si>
    <t>*Total Number of Unrestricted Units:</t>
  </si>
  <si>
    <t>Determination of Eligible and Qualified Basis</t>
  </si>
  <si>
    <t>Determination of Federal Credit</t>
  </si>
  <si>
    <t>Total commercial/ retail space square footage:</t>
  </si>
  <si>
    <t>Sponsor Characteristics</t>
  </si>
  <si>
    <t>A(1)</t>
  </si>
  <si>
    <t>Project Participants</t>
  </si>
  <si>
    <t>Tenant Population Data</t>
  </si>
  <si>
    <t>Transitional housing</t>
  </si>
  <si>
    <t>Persons with physical, mental, development disabilities</t>
  </si>
  <si>
    <t>attachments.</t>
  </si>
  <si>
    <t>Persons with HIV/AIDS</t>
  </si>
  <si>
    <t>Indicate the number of units anticipated for the following populations:</t>
  </si>
  <si>
    <r>
      <t xml:space="preserve">Completion of this section is required.  </t>
    </r>
    <r>
      <rPr>
        <b/>
        <sz val="10"/>
        <rFont val="Arial"/>
        <family val="2"/>
      </rPr>
      <t>The information requested in this section is for national</t>
    </r>
  </si>
  <si>
    <t>however, the completed table should be consistent with information provided in the application and</t>
  </si>
  <si>
    <t>Farmworker</t>
  </si>
  <si>
    <r>
      <t xml:space="preserve">If Commercial/ Retail Space, explain: </t>
    </r>
    <r>
      <rPr>
        <i/>
        <sz val="8"/>
        <rFont val="Arial"/>
        <family val="2"/>
      </rPr>
      <t>(include use, size, location, and purpose)</t>
    </r>
  </si>
  <si>
    <t>Total Rehabilitation Costs</t>
  </si>
  <si>
    <t>5br .10</t>
  </si>
  <si>
    <t>0br .10</t>
  </si>
  <si>
    <t>5 BR</t>
  </si>
  <si>
    <t xml:space="preserve"> If yes enter amount:</t>
  </si>
  <si>
    <t>Other amount:</t>
  </si>
  <si>
    <t>In corresponding order, list the required lender information.</t>
  </si>
  <si>
    <t xml:space="preserve"> </t>
  </si>
  <si>
    <t>If yes, enter application number:</t>
  </si>
  <si>
    <t>CA -</t>
  </si>
  <si>
    <t>-</t>
  </si>
  <si>
    <t>MAXIMUM POINTS</t>
  </si>
  <si>
    <t>APPLICANT POINTS</t>
  </si>
  <si>
    <t>TOTAL
POINTS</t>
  </si>
  <si>
    <t>General Partner Experience</t>
  </si>
  <si>
    <t xml:space="preserve">Management Company Experience </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</si>
  <si>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</si>
  <si>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</si>
  <si>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</si>
  <si>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</si>
  <si>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</si>
  <si>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</si>
  <si>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</si>
  <si>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</si>
  <si>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</si>
  <si>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</si>
  <si>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</si>
  <si>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</si>
  <si>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</si>
  <si>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Answer the questions in the cells indicated.  If the question does not apply, answer with "N/A"</t>
  </si>
  <si>
    <t>g)</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</si>
  <si>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</si>
  <si>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</si>
  <si>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</si>
  <si>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</si>
  <si>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</si>
  <si>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</si>
  <si>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</si>
  <si>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</si>
  <si>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</si>
  <si>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</si>
  <si>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</si>
  <si>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</si>
  <si>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</si>
  <si>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</si>
  <si>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General Partner(s) or Principal Owner(s) Type</t>
  </si>
  <si>
    <t>Company Name:</t>
  </si>
  <si>
    <t>10% of Units Restricted @ 30% AMI</t>
  </si>
  <si>
    <t xml:space="preserve">General Partner &amp; Management Company Experience </t>
  </si>
  <si>
    <t xml:space="preserve">Housing Needs </t>
  </si>
  <si>
    <t xml:space="preserve">Site &amp; Service Amenities </t>
  </si>
  <si>
    <t>70% PVC for New Const/Rehab</t>
  </si>
  <si>
    <t xml:space="preserve">Purchase Price:  </t>
  </si>
  <si>
    <t xml:space="preserve">Name of Seller: </t>
  </si>
  <si>
    <t>F</t>
  </si>
  <si>
    <t>Section 1</t>
  </si>
  <si>
    <t>Section 2</t>
  </si>
  <si>
    <t>Has credit previously been awarded?</t>
  </si>
  <si>
    <t>(vi)</t>
  </si>
  <si>
    <t>(vii)</t>
  </si>
  <si>
    <t>Land Lease Rent Prepayment</t>
  </si>
  <si>
    <t>Other:</t>
  </si>
  <si>
    <t>Lender Legal Paid by Applicant</t>
  </si>
  <si>
    <t>RESERVES</t>
  </si>
  <si>
    <t>Rent Reserves</t>
  </si>
  <si>
    <t>Capitalized Rent Reserves</t>
  </si>
  <si>
    <t>3-Month Operating Reserve</t>
  </si>
  <si>
    <t>Total Reserve Costs</t>
  </si>
  <si>
    <t>Fill in the appropriate information for each section.</t>
  </si>
  <si>
    <t xml:space="preserve"> if yes, enter number of stories:</t>
  </si>
  <si>
    <t xml:space="preserve">applying for State Tax Credits, I represent I have also read California Health and Safety Code Sections 50199.4 et </t>
  </si>
  <si>
    <t xml:space="preserve">Large Family Projects </t>
  </si>
  <si>
    <t xml:space="preserve">Senior Projects </t>
  </si>
  <si>
    <t xml:space="preserve">Site Amenities </t>
  </si>
  <si>
    <t xml:space="preserve">Service Amenities </t>
  </si>
  <si>
    <t>NO MAX</t>
  </si>
  <si>
    <t>*Negative Points (if any, please enter amount:)</t>
  </si>
  <si>
    <t xml:space="preserve">I acknowledge that neither the Federal nor the State Tax Credit programs are entitlement programs and that my </t>
  </si>
  <si>
    <t xml:space="preserve">application will be evaluated based on the Credit statutes, regulations, and the Qualified Allocation Plan adopted </t>
  </si>
  <si>
    <t>NC/Rehab</t>
  </si>
  <si>
    <t>Management Company Name:</t>
  </si>
  <si>
    <t>California Tax Credit Allocation Committee</t>
  </si>
  <si>
    <t>County</t>
  </si>
  <si>
    <t>Project 100% Rents:</t>
  </si>
  <si>
    <t>b.</t>
  </si>
  <si>
    <t xml:space="preserve">I represent that I have read and understand the requirements set forth in Regulation Section 10322(j) pertaining to </t>
  </si>
  <si>
    <t>re-applications for Credit.</t>
  </si>
  <si>
    <t>Overview</t>
  </si>
  <si>
    <t>Total Points for Daily Operated Senior Center Amenity:</t>
  </si>
  <si>
    <t>Total Points for Population Specific Service Oriented Facility Amenity:</t>
  </si>
  <si>
    <t>Calculate Maximum Developer Fee using the eligible basis subtotals.</t>
  </si>
  <si>
    <t>d) Full-Scale Grocery Store, Supermarket, Neighborhood Market, or Farmers' Market</t>
  </si>
  <si>
    <t xml:space="preserve">Indicate/identify the operating and/or rental subsidies that are proposed for the project. </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</si>
  <si>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</si>
  <si>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</si>
  <si>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</si>
  <si>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If "Yes", will relocation of existing tenants be involved?</t>
  </si>
  <si>
    <t>Rehabilitation-Only</t>
  </si>
  <si>
    <t>Acquisition &amp; Rehabilitation</t>
  </si>
  <si>
    <t xml:space="preserve">If yes, applicants must submit an explanation of relocation requirements, a detailed relocation plan including a budget with an identified funding source (see Checklist). </t>
  </si>
  <si>
    <t xml:space="preserve">Toggle to select the appropriate answers. </t>
  </si>
  <si>
    <t>The site is within 1/2 mile of a pharmacy (1 mile for Rural Set-aside). (This category may be combined with the other site amenities above).</t>
  </si>
  <si>
    <t>1 Point</t>
  </si>
  <si>
    <t>5 points</t>
  </si>
  <si>
    <t>total</t>
  </si>
  <si>
    <t>Gas:</t>
  </si>
  <si>
    <t>Fuel:</t>
  </si>
  <si>
    <t>Security:</t>
  </si>
  <si>
    <t>Accounting/Audit:</t>
  </si>
  <si>
    <t>Legal:</t>
  </si>
  <si>
    <t>Advertising:</t>
  </si>
  <si>
    <t>Number of Units Receiving Assistance:</t>
  </si>
  <si>
    <r>
      <t>Length of Contract</t>
    </r>
    <r>
      <rPr>
        <sz val="8"/>
        <rFont val="Arial"/>
        <family val="2"/>
      </rPr>
      <t xml:space="preserve"> (years):</t>
    </r>
  </si>
  <si>
    <t>debt service amount.</t>
  </si>
  <si>
    <t>Section 3</t>
  </si>
  <si>
    <t>Section 4</t>
  </si>
  <si>
    <t>Section 5</t>
  </si>
  <si>
    <t>Section  6</t>
  </si>
  <si>
    <t>III</t>
  </si>
  <si>
    <t>Instructions for preparing the electronic version</t>
  </si>
  <si>
    <t>Application General Information</t>
  </si>
  <si>
    <r>
      <t>(excluding managers' units)</t>
    </r>
    <r>
      <rPr>
        <b/>
        <sz val="10"/>
        <rFont val="Arial"/>
        <family val="2"/>
      </rPr>
      <t xml:space="preserve"> Total Number of Low Income Units:</t>
    </r>
  </si>
  <si>
    <t xml:space="preserve">There Needs to be a Total of </t>
  </si>
  <si>
    <t>Units in this Table</t>
  </si>
  <si>
    <t>You Have a Current Total of</t>
  </si>
  <si>
    <t>Maximum Annual Federal Credits</t>
  </si>
  <si>
    <t xml:space="preserve">I acknowledge that if I obtain an allocation of Federal and/or State Tax Credits, I will be required to enter into a </t>
  </si>
  <si>
    <t>LAND COST/ACQUISITION</t>
  </si>
  <si>
    <t>Legal</t>
  </si>
  <si>
    <t>5 Bedrooms</t>
  </si>
  <si>
    <t>Included in Eligible Basis
Yes/No</t>
  </si>
  <si>
    <t>Total Annual Operating Expenses Per Unit:</t>
  </si>
  <si>
    <t>Grocery/Farmers' Market</t>
  </si>
  <si>
    <t>In-unit High Speed Internet Service</t>
  </si>
  <si>
    <t xml:space="preserve">Complete the low-income section by completing the rows by unit type and affordability levels.  </t>
  </si>
  <si>
    <t xml:space="preserve">Where different affordability levels exist for the same unit type, place this information in ascending </t>
  </si>
  <si>
    <t>50-36</t>
  </si>
  <si>
    <t>&lt;=35</t>
  </si>
  <si>
    <t>representation regarding the ability to claim any Credit which may be allocated.</t>
  </si>
  <si>
    <t xml:space="preserve">In carrying out the development and operation of the project, I agree to comply with all applicable federal and state </t>
  </si>
  <si>
    <t xml:space="preserve">laws regarding unlawful discrimination and will abide by all Credit program requirements, rules, and regulations. </t>
  </si>
  <si>
    <t>Maximum 2 Points</t>
  </si>
  <si>
    <t>Manager Units</t>
  </si>
  <si>
    <t xml:space="preserve">Monthly Resident Utility Allowance by Unit Size </t>
  </si>
  <si>
    <t>Total number of units:</t>
  </si>
  <si>
    <t>Total Funds For Construction:</t>
  </si>
  <si>
    <t>Total Permanent Financing:</t>
  </si>
  <si>
    <t>Total Tax Credit Equity:</t>
  </si>
  <si>
    <t>Commercial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</si>
  <si>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</si>
  <si>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</si>
  <si>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</si>
  <si>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Maximum 10 Points</t>
  </si>
  <si>
    <t>Maximum 52 Points</t>
  </si>
  <si>
    <t xml:space="preserve">The applicant must select at least one housing type. </t>
  </si>
  <si>
    <t>G.</t>
  </si>
  <si>
    <t>9%</t>
  </si>
  <si>
    <t>Please select your geographic area:</t>
  </si>
  <si>
    <t>4%</t>
  </si>
  <si>
    <t>Applicant Name:</t>
  </si>
  <si>
    <t>Street Address:</t>
  </si>
  <si>
    <t>State:</t>
  </si>
  <si>
    <t>Contact Person:</t>
  </si>
  <si>
    <t>Phone:</t>
  </si>
  <si>
    <t>Fax:</t>
  </si>
  <si>
    <t xml:space="preserve">Email: </t>
  </si>
  <si>
    <t>Funding Gap</t>
  </si>
  <si>
    <t>II. APPLICATION - SECTION 2: GENERAL AND SUMMARY INFORMATION</t>
  </si>
  <si>
    <t xml:space="preserve">regulatory agreement which will contain, among other things, all the conditions under which the Credits were </t>
  </si>
  <si>
    <t>provided including the selection criteria delineated in this application.</t>
  </si>
  <si>
    <t>I declare under penalty of perjury that the information contained in the application, exhibits, attachments, and any</t>
  </si>
  <si>
    <t>Answer the questions as shown.</t>
  </si>
  <si>
    <t>General Instructions</t>
  </si>
  <si>
    <t>for a reservation of Federal, or Federal and State Low-Income Housing Tax Credits (“Credits”) in the amount(s) of:</t>
  </si>
  <si>
    <t>Identify the participatory role of the contact person.</t>
  </si>
  <si>
    <t xml:space="preserve">Type of Credit Requested </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</si>
  <si>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</si>
  <si>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</si>
  <si>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</si>
  <si>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</si>
  <si>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</si>
  <si>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</si>
  <si>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</si>
  <si>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</si>
  <si>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</si>
  <si>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</si>
  <si>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</si>
  <si>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</si>
  <si>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</si>
  <si>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</si>
  <si>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</si>
  <si>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</si>
  <si>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</si>
  <si>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</si>
  <si>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</si>
  <si>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</si>
  <si>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</si>
  <si>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</si>
  <si>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</si>
  <si>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</si>
  <si>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</si>
  <si>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</si>
  <si>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Indicate The Subsidy Amount For Any Of The Following Currently Utilized By The Project.</t>
  </si>
  <si>
    <t xml:space="preserve">Dated this      </t>
  </si>
  <si>
    <t xml:space="preserve"> day of  </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</si>
  <si>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</si>
  <si>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</si>
  <si>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</si>
  <si>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</si>
  <si>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</si>
  <si>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</si>
  <si>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</si>
  <si>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</si>
  <si>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</si>
  <si>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</si>
  <si>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</si>
  <si>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</si>
  <si>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</si>
  <si>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</si>
  <si>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</si>
  <si>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A(2)</t>
  </si>
  <si>
    <t>Site Address:</t>
  </si>
  <si>
    <t>City:</t>
  </si>
  <si>
    <t>4)</t>
  </si>
  <si>
    <t>County:</t>
  </si>
  <si>
    <t>Zip Code:</t>
  </si>
  <si>
    <t>6)</t>
  </si>
  <si>
    <t>Census Tract:</t>
  </si>
  <si>
    <t>Project is located in a DDA:</t>
  </si>
  <si>
    <t>Application type:</t>
  </si>
  <si>
    <t>Prior application was submitted but not selected?</t>
  </si>
  <si>
    <t>Attorney:</t>
  </si>
  <si>
    <r>
      <t xml:space="preserve">Term </t>
    </r>
    <r>
      <rPr>
        <sz val="8"/>
        <rFont val="Arial"/>
        <family val="2"/>
      </rPr>
      <t>(months)</t>
    </r>
  </si>
  <si>
    <t>SRO/Studio</t>
  </si>
  <si>
    <t>1 Bedroom</t>
  </si>
  <si>
    <t>YUBA</t>
  </si>
  <si>
    <t xml:space="preserve">                      </t>
  </si>
  <si>
    <t>Bridge Loan Expense During Construction:</t>
  </si>
  <si>
    <t xml:space="preserve"> Total Eligible Basis:</t>
  </si>
  <si>
    <t>Ineligible Amounts</t>
  </si>
  <si>
    <t>V</t>
  </si>
  <si>
    <t>All applicable cells must be completed by the applicant</t>
  </si>
  <si>
    <t>For any question response areas, if not applicable, select  "N/A".</t>
  </si>
  <si>
    <t>Total Number of Buildings:</t>
  </si>
  <si>
    <t>Federal Credit Amount and State Credit Amount requested</t>
  </si>
  <si>
    <t>Status of Ownership Entity</t>
  </si>
  <si>
    <t>to be formed</t>
  </si>
  <si>
    <t>rank units</t>
  </si>
  <si>
    <t>rank %</t>
  </si>
  <si>
    <t>If Commercial Space, explain the use, size, location, purpose, and reasoning behind the use</t>
  </si>
  <si>
    <t>Indicate if buildings are on a contiguous site.</t>
  </si>
  <si>
    <t>d)</t>
  </si>
  <si>
    <t>Maintenance Personnel:</t>
  </si>
  <si>
    <t>On-site Manager:</t>
  </si>
  <si>
    <t>Water/Sewer:</t>
  </si>
  <si>
    <t>Rental Subsidy Anticipated</t>
  </si>
  <si>
    <t>II</t>
  </si>
  <si>
    <t>B</t>
  </si>
  <si>
    <t>Total  Administrative:</t>
  </si>
  <si>
    <t xml:space="preserve"> Administrative</t>
  </si>
  <si>
    <t>Management</t>
  </si>
  <si>
    <t>Total Management:</t>
  </si>
  <si>
    <t xml:space="preserve">Payroll / </t>
  </si>
  <si>
    <t>Certain areas, when selected, will only allow the applicant to respond to the</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</si>
  <si>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</si>
  <si>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</si>
  <si>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</si>
  <si>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</si>
  <si>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CONTRA COSTA</t>
  </si>
  <si>
    <t>DEL NORTE</t>
  </si>
  <si>
    <t>EL DORADO</t>
  </si>
  <si>
    <t>Yes/No</t>
  </si>
  <si>
    <t>FRESNO</t>
  </si>
  <si>
    <t>(a)</t>
  </si>
  <si>
    <t>No</t>
  </si>
  <si>
    <t>GLENN</t>
  </si>
  <si>
    <t>HUMBOLDT</t>
  </si>
  <si>
    <t>(b)</t>
  </si>
  <si>
    <t>IMPERIAL</t>
  </si>
  <si>
    <t>INYO</t>
  </si>
  <si>
    <t>KERN</t>
  </si>
  <si>
    <t>(c)</t>
  </si>
  <si>
    <t>KINGS</t>
  </si>
  <si>
    <t>LAKE</t>
  </si>
  <si>
    <t>(d)</t>
  </si>
  <si>
    <t>Rent Sup / RAP:</t>
  </si>
  <si>
    <t>Nonprofit Organization</t>
  </si>
  <si>
    <t>II. APPLICATION - SECTION 3: APPLICANT INFORMATION</t>
  </si>
  <si>
    <t>II. APPLICATION - SECTION 4: DEVELOPMENT TEAM INFORMATION</t>
  </si>
  <si>
    <t>II. APPLICATION - SECTION 5: PROJECT INFORMATION</t>
  </si>
  <si>
    <t>III. PROJECT FINANCING - SECTION 1: CONSTRUCTION FINANCING</t>
  </si>
  <si>
    <t>Other</t>
  </si>
  <si>
    <t>Total Permanent Financing Costs</t>
  </si>
  <si>
    <t>Subtotals Forward</t>
  </si>
  <si>
    <t>g</t>
  </si>
  <si>
    <t>h</t>
  </si>
  <si>
    <t>E</t>
  </si>
  <si>
    <t>Toggle the desired set-aside election, if project is applying under one of these set-asides.</t>
  </si>
  <si>
    <t>Toggle the selected housing type.</t>
  </si>
  <si>
    <t>Preliminary Reservation</t>
  </si>
  <si>
    <t>COM'L. COST</t>
  </si>
  <si>
    <t>RES. COST</t>
  </si>
  <si>
    <t>Total Eligible Basis:</t>
  </si>
  <si>
    <t xml:space="preserve">Determination of State Credit </t>
  </si>
  <si>
    <t>Local Jurisdiction</t>
  </si>
  <si>
    <t>General and Summary Information</t>
  </si>
  <si>
    <t>Applicant Information</t>
  </si>
  <si>
    <t>General Partner(s) or Principal Owner(s) Type?</t>
  </si>
  <si>
    <t>Development Team Information</t>
  </si>
  <si>
    <t>OTHER PROJECT COSTS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</si>
  <si>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</si>
  <si>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</si>
  <si>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</si>
  <si>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</si>
  <si>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</si>
  <si>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</si>
  <si>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</si>
  <si>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</si>
  <si>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</si>
  <si>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</si>
  <si>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</si>
  <si>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</si>
  <si>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</si>
  <si>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</si>
  <si>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</si>
  <si>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</si>
  <si>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Project Type</t>
  </si>
  <si>
    <t>Other: (Specify)</t>
  </si>
  <si>
    <t>Total Number of Managers' Units:</t>
  </si>
  <si>
    <t>c)</t>
  </si>
  <si>
    <t xml:space="preserve">                        </t>
  </si>
  <si>
    <t>Checklist Items</t>
  </si>
  <si>
    <t>Soft Cost Contingency</t>
  </si>
  <si>
    <t>SUBTOTAL</t>
  </si>
  <si>
    <t xml:space="preserve">Sustainable Building Methods </t>
  </si>
  <si>
    <t>Lowest Income &amp; 10% of Units Restricted @ 30% AMI</t>
  </si>
  <si>
    <t xml:space="preserve">Readiness to Proceed </t>
  </si>
  <si>
    <t>City Manager:</t>
  </si>
  <si>
    <t>Title:</t>
  </si>
  <si>
    <t>City Manager</t>
  </si>
  <si>
    <t>9)</t>
  </si>
  <si>
    <t>Administrative Expenses</t>
  </si>
  <si>
    <t>Payroll/Payroll Taxes</t>
  </si>
  <si>
    <t>Inclusion/Exclusion From Eligible Basis</t>
  </si>
  <si>
    <t>Indicate/identify the loan type and grant subsidies that are proposed for the project.  Identify the</t>
  </si>
  <si>
    <t>All cells will be auto-populated after highlighted cells have been completed in this section and</t>
  </si>
  <si>
    <t>previous sections.</t>
  </si>
  <si>
    <t>previous sections (if applicable).</t>
  </si>
  <si>
    <t xml:space="preserve">Date of Purchase Contract or Option:  </t>
  </si>
  <si>
    <t xml:space="preserve">Expiration Date of Option:  </t>
  </si>
  <si>
    <t>APPLICANT:</t>
  </si>
  <si>
    <t>*Federal Congressional District:</t>
  </si>
  <si>
    <t>*State Assembly District:</t>
  </si>
  <si>
    <t>*State Senate District:</t>
  </si>
  <si>
    <t>*Accurate information is essential; the following website is provided for reference:</t>
  </si>
  <si>
    <t>Annual Federal Credit Necessary for Feasibility</t>
  </si>
  <si>
    <t>(specify here)</t>
  </si>
  <si>
    <t>( ) BR</t>
  </si>
  <si>
    <t>At-Risk</t>
  </si>
  <si>
    <t>Will the subsidy continue?:</t>
  </si>
  <si>
    <r>
      <t xml:space="preserve">RHS 521 </t>
    </r>
    <r>
      <rPr>
        <sz val="8"/>
        <rFont val="Arial"/>
        <family val="2"/>
      </rPr>
      <t>(rent subsidy):</t>
    </r>
  </si>
  <si>
    <t>State / Local:</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</si>
  <si>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</si>
  <si>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</si>
  <si>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</si>
  <si>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</si>
  <si>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MONTEREY</t>
  </si>
  <si>
    <t>(g)</t>
  </si>
  <si>
    <t>NAPA</t>
  </si>
  <si>
    <t>NEVADA</t>
  </si>
  <si>
    <t>ORANGE</t>
  </si>
  <si>
    <t>PLACER</t>
  </si>
  <si>
    <t>(h)</t>
  </si>
  <si>
    <t>PLUMAS</t>
  </si>
  <si>
    <t>RIVERSIDE</t>
  </si>
  <si>
    <t>(i)</t>
  </si>
  <si>
    <t>SAN BENITO</t>
  </si>
  <si>
    <t>SAN BERNARDINO</t>
  </si>
  <si>
    <t>SAN DIEGO</t>
  </si>
  <si>
    <t>Existing Improvements Value</t>
  </si>
  <si>
    <t>Total Acquisition Cost</t>
  </si>
  <si>
    <t xml:space="preserve">It is recommended that a back-up copy of the application be created for future use. </t>
  </si>
  <si>
    <t>Total Points for Housing Needs:</t>
  </si>
  <si>
    <t>a</t>
  </si>
  <si>
    <t>b</t>
  </si>
  <si>
    <t>d</t>
  </si>
  <si>
    <t>e</t>
  </si>
  <si>
    <t>f</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</si>
  <si>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</si>
  <si>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</si>
  <si>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</si>
  <si>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</si>
  <si>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 xml:space="preserve">No. of Existing Units  </t>
  </si>
  <si>
    <t>LASSEN</t>
  </si>
  <si>
    <t>LOS ANGELES</t>
  </si>
  <si>
    <t>(e)</t>
  </si>
  <si>
    <t>MADERA</t>
  </si>
  <si>
    <t>MARIN</t>
  </si>
  <si>
    <t>MARIPOSA</t>
  </si>
  <si>
    <t>MENDOCINO</t>
  </si>
  <si>
    <t>(f)</t>
  </si>
  <si>
    <t>MERCED</t>
  </si>
  <si>
    <t>MODOC</t>
  </si>
  <si>
    <t>MONO</t>
  </si>
  <si>
    <t>Total Points Requested:</t>
  </si>
  <si>
    <t>pass?</t>
  </si>
  <si>
    <t>OVERALL PASS?</t>
  </si>
  <si>
    <t>test # 3</t>
  </si>
  <si>
    <t>if &gt; 0 = failed</t>
  </si>
  <si>
    <t>sum</t>
  </si>
  <si>
    <t>10% of units=</t>
  </si>
  <si>
    <t>sum of total num of units</t>
  </si>
  <si>
    <t>test # 2</t>
  </si>
  <si>
    <t>test # 1</t>
  </si>
  <si>
    <t>SRO</t>
  </si>
  <si>
    <t>4+ BR</t>
  </si>
  <si>
    <t>Total Combined Annual Federal Credit:</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</si>
  <si>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</si>
  <si>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</si>
  <si>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</si>
  <si>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</si>
  <si>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</si>
  <si>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</si>
  <si>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</si>
  <si>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</si>
  <si>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</si>
  <si>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</si>
  <si>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</si>
  <si>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</si>
  <si>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</si>
  <si>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</si>
  <si>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</si>
  <si>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</si>
  <si>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</si>
  <si>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</si>
  <si>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</si>
  <si>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</si>
  <si>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</si>
  <si>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Annual Residential Operating Expenses</t>
  </si>
  <si>
    <t xml:space="preserve"> Total 3-Month Operating Reserve:</t>
  </si>
  <si>
    <t xml:space="preserve">Special Needs Projects </t>
  </si>
  <si>
    <t xml:space="preserve">At-Risk Projects </t>
  </si>
  <si>
    <t>Total Points for General Partner Experience:</t>
  </si>
  <si>
    <t>Total Points for Management Company Experience:</t>
  </si>
  <si>
    <t>Total Points for Public Park Amenity:</t>
  </si>
  <si>
    <t>Total Points for Public Library Amenity:</t>
  </si>
  <si>
    <t xml:space="preserve">Mailing Address: </t>
  </si>
  <si>
    <t xml:space="preserve">City: </t>
  </si>
  <si>
    <t xml:space="preserve">Zip Code: </t>
  </si>
  <si>
    <t>Phone Number:</t>
  </si>
  <si>
    <t xml:space="preserve">FAX Number: </t>
  </si>
  <si>
    <t xml:space="preserve">E-mail: </t>
  </si>
  <si>
    <t>A.</t>
  </si>
  <si>
    <t>Application Type</t>
  </si>
  <si>
    <t>Total Annual Potential Gross Income:</t>
  </si>
  <si>
    <t>Local Jurisdiction:</t>
  </si>
  <si>
    <t xml:space="preserve"> ***RURAL***  Percent of 
Area Median Income (AMI)</t>
  </si>
  <si>
    <t>SANTA CRUZ</t>
  </si>
  <si>
    <t>SHASTA</t>
  </si>
  <si>
    <t>SIERRA</t>
  </si>
  <si>
    <t>SISKIYOU</t>
  </si>
  <si>
    <t>SOLANO</t>
  </si>
  <si>
    <t>Large Family</t>
  </si>
  <si>
    <t>Special Needs</t>
  </si>
  <si>
    <t>Senior</t>
  </si>
  <si>
    <t>(Select one)</t>
  </si>
  <si>
    <t>(8)</t>
  </si>
  <si>
    <t>(9)</t>
  </si>
  <si>
    <t xml:space="preserve">Amenities may include, but are not limited to: </t>
  </si>
  <si>
    <t>(7)</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</si>
  <si>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</si>
  <si>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</si>
  <si>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</si>
  <si>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</si>
  <si>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</si>
  <si>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</si>
  <si>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</si>
  <si>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</si>
  <si>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</si>
  <si>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</si>
  <si>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</si>
  <si>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</si>
  <si>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</si>
  <si>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</si>
  <si>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</si>
  <si>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</si>
  <si>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</si>
  <si>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</si>
  <si>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Expiration Date of Contract:</t>
  </si>
  <si>
    <t>Annual Income from Laundry Facilities:</t>
  </si>
  <si>
    <t>Annual Income from Vending Machines:</t>
  </si>
  <si>
    <t>Annual Interest Income:</t>
  </si>
  <si>
    <t>Other Annual Income:</t>
  </si>
  <si>
    <t>Space Heating:</t>
  </si>
  <si>
    <t>Water Heating:</t>
  </si>
  <si>
    <t xml:space="preserve">data collection purposes, and is not intended for threshold and competitive scoring use; </t>
  </si>
  <si>
    <t>(Part II - Application - Section 2 - F)</t>
  </si>
  <si>
    <t>Total Number of Units in the Project:</t>
  </si>
  <si>
    <t>Address:</t>
  </si>
  <si>
    <t>City, State, Zip:</t>
  </si>
  <si>
    <t>City, State, Zip</t>
  </si>
  <si>
    <t>Email:</t>
  </si>
  <si>
    <t>Tax Professional:</t>
  </si>
  <si>
    <r>
      <t>1</t>
    </r>
    <r>
      <rPr>
        <b/>
        <sz val="9"/>
        <rFont val="Arial"/>
        <family val="2"/>
      </rPr>
      <t>Total Land Cost or Value</t>
    </r>
  </si>
  <si>
    <t>Total Points for Full-Scale Grocery Store/Supermarket or Convenience Market Amenity:</t>
  </si>
  <si>
    <t>Name of PHA or California Energy Commission Providing Utility Allowances:</t>
  </si>
  <si>
    <t>Total Annual Reserve for Replacement:</t>
  </si>
  <si>
    <t>Total Annual Real Estate Taxes:</t>
  </si>
  <si>
    <t>*</t>
  </si>
  <si>
    <t>Signatory of Seller:</t>
  </si>
  <si>
    <t>Total Land Cost / Acquisition Cost</t>
  </si>
  <si>
    <t>10% of units per bedroom at 30% ami?</t>
  </si>
  <si>
    <t>test 3 / 4</t>
  </si>
  <si>
    <t>TOTAL:</t>
  </si>
  <si>
    <t>"snake test"</t>
  </si>
  <si>
    <t>4br .10</t>
  </si>
  <si>
    <t>3br .10</t>
  </si>
  <si>
    <t>2br .10</t>
  </si>
  <si>
    <t>1br .10</t>
  </si>
  <si>
    <t>fill in yellow fields only</t>
  </si>
  <si>
    <t>Total Points:</t>
  </si>
  <si>
    <t>VI. POINTS SYSTEM - SECTION 2:  POINTS SYSTEM SUMMARY</t>
  </si>
  <si>
    <t>Total Points for Service Amenities:</t>
  </si>
  <si>
    <t>Submission Requirements</t>
  </si>
  <si>
    <t>Painting:</t>
  </si>
  <si>
    <t>Commercial/ Retail Space:</t>
  </si>
  <si>
    <t>H</t>
  </si>
  <si>
    <t>(1)</t>
  </si>
  <si>
    <t>I</t>
  </si>
  <si>
    <t>G</t>
  </si>
  <si>
    <t>(iv)</t>
  </si>
  <si>
    <t>(v)</t>
  </si>
  <si>
    <t>If no, will it meet the waiver conditions of IRC Sec. 42(d)(6)?</t>
  </si>
  <si>
    <t>Utilities</t>
  </si>
  <si>
    <t>10% of Costs Incurred</t>
  </si>
  <si>
    <t>Construction Start</t>
  </si>
  <si>
    <t>Construction Completion</t>
  </si>
  <si>
    <t>Placed In Service</t>
  </si>
  <si>
    <t>Construction Financing</t>
  </si>
  <si>
    <t>Interest Rate</t>
  </si>
  <si>
    <t>Amount of Funds</t>
  </si>
  <si>
    <t>7)</t>
  </si>
  <si>
    <t>8)</t>
  </si>
  <si>
    <t>Joint Venture</t>
  </si>
  <si>
    <t>Architect:</t>
  </si>
  <si>
    <t>The site is within 1/2 mile of a full scale grocery store/supermarket of at least 25,000 gross interior square feet where staples, fresh meat, and fresh produce are sold (1 mile for Rural set-aside projects).</t>
  </si>
  <si>
    <t>preliminarily reserved for this project, if any, may be adjusted over time based upon changing project costs and</t>
  </si>
  <si>
    <t>TOTAL UNADJUSTED THRESHOLD BASIS LIMIT:</t>
  </si>
  <si>
    <t>TOTAL ADJUSTED THRESHOLD BASIS LIMIT:</t>
  </si>
  <si>
    <t>D</t>
  </si>
  <si>
    <t>IV</t>
  </si>
  <si>
    <t>VI</t>
  </si>
  <si>
    <t>and commercial income should not support the residential portion (Sections 10322(h)(14), (22); 10327(g)(7)).</t>
  </si>
  <si>
    <t>SAN FRANCISCO</t>
  </si>
  <si>
    <t>SAN JOAQUIN</t>
  </si>
  <si>
    <t>SAN LUIS OBISPO</t>
  </si>
  <si>
    <t>SAN MATEO</t>
  </si>
  <si>
    <t>SANTA BARBARA</t>
  </si>
  <si>
    <t>SANTA CLARA</t>
  </si>
  <si>
    <t>Complete the highlighted cell for the federal tax credit factor.</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</si>
  <si>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</si>
  <si>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</si>
  <si>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</si>
  <si>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</si>
  <si>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</si>
  <si>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*Applicable Percentage:</t>
  </si>
  <si>
    <r>
      <t xml:space="preserve">Applicants </t>
    </r>
    <r>
      <rPr>
        <b/>
        <u/>
        <sz val="10"/>
        <color indexed="10"/>
        <rFont val="Arial"/>
        <family val="2"/>
      </rPr>
      <t>must</t>
    </r>
    <r>
      <rPr>
        <sz val="10"/>
        <rFont val="Arial"/>
        <family val="2"/>
      </rPr>
      <t xml:space="preserve"> submit the following:</t>
    </r>
  </si>
  <si>
    <t>Federal Minimum Set-Aside Election  (IRC Section 42 (g)(1))</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</si>
  <si>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</si>
  <si>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</si>
  <si>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</si>
  <si>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</si>
  <si>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</si>
  <si>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</si>
  <si>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</si>
  <si>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zero or &gt;=.10</t>
  </si>
  <si>
    <t>Total Projected Annual Rental Subsidy:</t>
  </si>
  <si>
    <t>Total Miscellaneous Income:</t>
  </si>
  <si>
    <t>Aggregate Monthly Rents For All Units:</t>
  </si>
  <si>
    <t>Aggregate Annual Rents For All Units:</t>
  </si>
  <si>
    <t>2 Bedrooms</t>
  </si>
  <si>
    <t>3 Bedrooms</t>
  </si>
  <si>
    <t>4 Bedrooms</t>
  </si>
  <si>
    <t>Threshold Basis Limit Increases and Certifications</t>
  </si>
  <si>
    <t xml:space="preserve">makes no representation regarding the effect of any tax Credit which may be allocated and makes no </t>
  </si>
  <si>
    <t>Income categories should begin with the placed-in-service date and year.</t>
  </si>
  <si>
    <t>Manager Unit(s)</t>
  </si>
  <si>
    <t>Total Annual Commercial/Non-Residential Debt Service:</t>
  </si>
  <si>
    <t>Total Annual Commercial/Non-Residential Net Income:</t>
  </si>
  <si>
    <t>Residual</t>
  </si>
  <si>
    <t>Deferred</t>
  </si>
  <si>
    <t>Electricity:</t>
  </si>
  <si>
    <t>4+ Bedrooms</t>
  </si>
  <si>
    <t>CALIFORNIA TAX CREDIT ALLOCATION COMMITTEE</t>
  </si>
  <si>
    <t>PROJECT NAME:</t>
  </si>
  <si>
    <t>row tests</t>
  </si>
  <si>
    <t>Bedroom Selection</t>
  </si>
  <si>
    <t xml:space="preserve">I acknowledge that a reservation of Federal or State Tax Credits does not guarantee that the project will qualify for </t>
  </si>
  <si>
    <t>Sources and Uses Budget</t>
  </si>
  <si>
    <t>TOTAL PROJECT
COST</t>
  </si>
  <si>
    <t>TAX CREDIT EQUITY</t>
  </si>
  <si>
    <t>30% PVC for Acquisition</t>
  </si>
  <si>
    <t>an exact copy of the application.  I agree that I have included a letter from the local government and the appropriate</t>
  </si>
  <si>
    <t>Local Reviewing Agency of the jurisdiction in which the project is located identifying the agency designated as the</t>
  </si>
  <si>
    <t>Pre-Existing Subsidies (Acquisition and Rehabilitation/Rehabilitation-only Projects)</t>
  </si>
  <si>
    <t>Federal Identification Number MUST be provided at Carryover Allocation.</t>
  </si>
  <si>
    <r>
      <t>Federal Minimum Set-Aside Election</t>
    </r>
    <r>
      <rPr>
        <sz val="8"/>
        <rFont val="Arial"/>
        <family val="2"/>
      </rPr>
      <t xml:space="preserve"> (IRC Section 42(g)(1))</t>
    </r>
  </si>
  <si>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</si>
  <si>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</si>
  <si>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</si>
  <si>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</si>
  <si>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</si>
  <si>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</si>
  <si>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</si>
  <si>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</si>
  <si>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</si>
  <si>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</si>
  <si>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</si>
  <si>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</si>
  <si>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</si>
  <si>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</si>
  <si>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</si>
  <si>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</si>
  <si>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</si>
  <si>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 Name</t>
  </si>
  <si>
    <t>a)</t>
  </si>
  <si>
    <t>Fill in the name of the general partner or the entity which is applying for; and receiving</t>
  </si>
  <si>
    <t xml:space="preserve">the requested tax credits. </t>
  </si>
  <si>
    <t>Project Name</t>
  </si>
  <si>
    <t>Fill in the proposed name of the project.</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</si>
  <si>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</si>
  <si>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</si>
  <si>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</si>
  <si>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</si>
  <si>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</si>
  <si>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</si>
  <si>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</si>
  <si>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</si>
  <si>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</si>
  <si>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</si>
  <si>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</si>
  <si>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</si>
  <si>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Legal status of the applicant</t>
  </si>
  <si>
    <t>Nevada</t>
  </si>
  <si>
    <t>Orange</t>
  </si>
  <si>
    <t>Placer</t>
  </si>
  <si>
    <t>Plumas</t>
  </si>
  <si>
    <t>Qualified Basis:</t>
  </si>
  <si>
    <t>annual Federal Credits, and</t>
  </si>
  <si>
    <t>Sonoma</t>
  </si>
  <si>
    <t>VI. POINTS SYSTEM - SECTION 1: POINTS SYSTEM</t>
  </si>
  <si>
    <t>Sec 221(d)(3) BMIR:</t>
  </si>
  <si>
    <t>HUD Sec 236:</t>
  </si>
  <si>
    <t>RHS 538:</t>
  </si>
  <si>
    <t>C</t>
  </si>
  <si>
    <t>or</t>
  </si>
  <si>
    <t>Project Financing</t>
  </si>
  <si>
    <t>Points System</t>
  </si>
  <si>
    <t>7 Points</t>
  </si>
  <si>
    <t>Two or More Story With an Elevator:</t>
  </si>
  <si>
    <t>Two or More Story Without an Elevator:</t>
  </si>
  <si>
    <t>One or More Levels of Subterranean Parking:</t>
  </si>
  <si>
    <t>Are Buildings on a Contiguous Site?</t>
  </si>
  <si>
    <t>If not Contiguous, do buildings meet the requirements of IRC Sec. 42(g)(7)?</t>
  </si>
  <si>
    <t>Orange County</t>
  </si>
  <si>
    <t>San Diego County</t>
  </si>
  <si>
    <t>Total Points for Medical Clinic or Hospital Amenity:</t>
  </si>
  <si>
    <t>low income</t>
  </si>
  <si>
    <t>manager(s)</t>
  </si>
  <si>
    <t>market rate</t>
  </si>
  <si>
    <t>total sum for threshold basis limit</t>
  </si>
  <si>
    <t>Payroll Taxes</t>
  </si>
  <si>
    <t>Credit Amounts Requested</t>
  </si>
  <si>
    <t>Identify if each is either nonprofit or for profit entities.</t>
  </si>
  <si>
    <t>Financing Information (Part III - Project Financing - Section 1&amp;2 - A)</t>
  </si>
  <si>
    <t>(Part III - Project Financing - Section 5 - A)</t>
  </si>
  <si>
    <t xml:space="preserve">Federal Tax Credit Factor </t>
  </si>
  <si>
    <t>State Tax Credit Factor</t>
  </si>
  <si>
    <t>3.</t>
  </si>
  <si>
    <t>TOTAL</t>
  </si>
  <si>
    <t>Total:</t>
  </si>
  <si>
    <t>Total # Units:</t>
  </si>
  <si>
    <t>SRO / STUDIO</t>
  </si>
  <si>
    <t>Applicable Fraction:</t>
  </si>
  <si>
    <t>Fill in the highlighted cells with the appropriate amounts.</t>
  </si>
  <si>
    <t>Acquisition and Rehabilitation/Rehabilitation-only Projects</t>
  </si>
  <si>
    <t>The project site is located within 1 mile of a facility that operates to serve the population living in the development.</t>
  </si>
  <si>
    <t>If Yes, select type:</t>
  </si>
  <si>
    <t>lowest income</t>
  </si>
  <si>
    <t>Point System Summary</t>
  </si>
  <si>
    <t>Provide the lender name, the percentage rate, the amortizing term, and the loan amount.</t>
  </si>
  <si>
    <t>Provide the lender name, the percentage rate, the amortizing term, the loan amount and the annual</t>
  </si>
  <si>
    <t xml:space="preserve">I represent I have read Section 42 of the Internal Revenue Code (IRC) pertaining to Federal Tax Credits, and if </t>
  </si>
  <si>
    <t>Use this spreadsheet with Microsoft Excel 97 or above.</t>
  </si>
  <si>
    <t>Complete only the highlighted cells.</t>
  </si>
  <si>
    <t>(iii)</t>
  </si>
  <si>
    <t>If to be formed, enter date:</t>
  </si>
  <si>
    <t>currently exists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</si>
  <si>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</si>
  <si>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</si>
  <si>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</si>
  <si>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</si>
  <si>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the manner proposed within the operating budget set forth.</t>
  </si>
  <si>
    <t xml:space="preserve">I further certify that more than 10% of the project's total reasonably expected basis cost will be incurred and the </t>
  </si>
  <si>
    <t>SONOMA</t>
  </si>
  <si>
    <t>STANISLAUS</t>
  </si>
  <si>
    <t>Project, Land, Building and Unit Information</t>
  </si>
  <si>
    <t>1)</t>
  </si>
  <si>
    <t>2)</t>
  </si>
  <si>
    <t>Land</t>
  </si>
  <si>
    <t>x</t>
  </si>
  <si>
    <t>Feet</t>
  </si>
  <si>
    <t>Acres</t>
  </si>
  <si>
    <t>Square Feet</t>
  </si>
  <si>
    <t>3)</t>
  </si>
  <si>
    <t>Building Information</t>
  </si>
  <si>
    <t>REHABILITATION</t>
  </si>
  <si>
    <t>Site Work</t>
  </si>
  <si>
    <t>Structures</t>
  </si>
  <si>
    <t>General Requirements</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</si>
  <si>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</si>
  <si>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</si>
  <si>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</si>
  <si>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</si>
  <si>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</si>
  <si>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</si>
  <si>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</si>
  <si>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</si>
  <si>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</si>
  <si>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</si>
  <si>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</si>
  <si>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</si>
  <si>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</si>
  <si>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</si>
  <si>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</si>
  <si>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</si>
  <si>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</si>
  <si>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</si>
  <si>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</si>
  <si>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</si>
  <si>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</si>
  <si>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</si>
  <si>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test # 4</t>
  </si>
  <si>
    <t>The site is within 1/2 mile of a book-lending public library that also allows for inter-branch</t>
  </si>
  <si>
    <t>lending when in a multi-branch system (1 mile for Rural set-aside projects).</t>
  </si>
  <si>
    <t>10 Points</t>
  </si>
  <si>
    <t>Consolidate your units before entering your information into the table
Do not enter any non-qualifying units into the table</t>
  </si>
  <si>
    <t>Total Sources of Project Funds:</t>
  </si>
  <si>
    <t>Maximum Total State Credit</t>
  </si>
  <si>
    <t>Equity Raised from State Credit</t>
  </si>
  <si>
    <t>Water:*</t>
  </si>
  <si>
    <t>*PROJECTS PROPOSING UNITS WITH INDIVIDUAL WATER METERS MUST INCLUDE A WATER</t>
  </si>
  <si>
    <t>ALLOWANCE.</t>
  </si>
  <si>
    <t>RHS 514</t>
  </si>
  <si>
    <t>RHS 515</t>
  </si>
  <si>
    <t>RHS 516</t>
  </si>
  <si>
    <t>RHS 515:</t>
  </si>
  <si>
    <t>RHS 514:</t>
  </si>
  <si>
    <t>ORIGINAL APPLICATION TOTAL PROJECT
COST - RESIDENTIAL</t>
  </si>
  <si>
    <t>SOURCES AND USES BUDGET COMPARISON</t>
  </si>
  <si>
    <t>NOTES</t>
  </si>
  <si>
    <t>PLACED IN SERVICE TOTAL PROJECT
COST - RESIDENTIAL</t>
  </si>
  <si>
    <t>COST VARIANCE</t>
  </si>
  <si>
    <t>Land Cost or Value</t>
  </si>
  <si>
    <t>Demolition</t>
  </si>
  <si>
    <t>Total Land Cost or Value</t>
  </si>
  <si>
    <t>Off-Site Improvements</t>
  </si>
  <si>
    <t>TOTAL UNITS:</t>
  </si>
  <si>
    <t>Funding Sources</t>
  </si>
  <si>
    <t>3 points</t>
  </si>
  <si>
    <t>7 points</t>
  </si>
  <si>
    <t xml:space="preserve">Minimum of 60 hours of services per year for each 100 bedrooms.  </t>
  </si>
  <si>
    <t>Minimum of 6 hours per week, offered weekdays throughout the school year.</t>
  </si>
  <si>
    <t>(12)</t>
  </si>
  <si>
    <t>(10)</t>
  </si>
  <si>
    <t>(11)</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</si>
  <si>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</si>
  <si>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</si>
  <si>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</si>
  <si>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Develop the project in accordance with the minimum requirements with any one of the following programs:</t>
  </si>
  <si>
    <t>Low Rise (1-3 habitable stories)</t>
  </si>
  <si>
    <t>Points</t>
  </si>
  <si>
    <t>LOW</t>
  </si>
  <si>
    <t>HIGH</t>
  </si>
  <si>
    <t>Maximum 15 Points</t>
  </si>
  <si>
    <t>Improvement over current:</t>
  </si>
  <si>
    <t>Additional rehabilitation project measures (chose one or more of the following three categories):</t>
  </si>
  <si>
    <t>CONTAIN ABBREVIATED DESCRIPTIONS OF THE REQUIREMENTS FOR THIS SECTION.</t>
  </si>
  <si>
    <t>PV generation that offsets either 50% of common area load or 90% of solar accessible roof area</t>
  </si>
  <si>
    <t>Solar hot water for all tenants with individual water meters</t>
  </si>
  <si>
    <t>INDIVIDUALLY METER (OR SUB-METER CURRENT MASTER-METERED) GAS, ELECTRICITY, OR CENTRAL HOT WATER SYSTEMS FOR ALL TENANTS</t>
  </si>
  <si>
    <t>Historic Preservation.  The project proposes to incorporate historic tax credits.</t>
  </si>
  <si>
    <t>Miscellaneous Federal and State Policies</t>
  </si>
  <si>
    <t>Unit Type</t>
  </si>
  <si>
    <t># of Units</t>
  </si>
  <si>
    <t>Less Vacancy</t>
  </si>
  <si>
    <t>ITEM (e) Features</t>
  </si>
  <si>
    <t>REVIEW REGULATION SECTION 10327(c)(5)(B) PRIOR TO COMPLETING THIS SECTION.</t>
  </si>
  <si>
    <t>THE OPTIONS BELOW ARE PRESENTED WITH ABRIDGED LANGUAGE.</t>
  </si>
  <si>
    <t>((</t>
  </si>
  <si>
    <t>Calculated</t>
  </si>
  <si>
    <t>h)</t>
  </si>
  <si>
    <t>Final Tie Breaker Self-Score</t>
  </si>
  <si>
    <t>i)</t>
  </si>
  <si>
    <t>j)</t>
  </si>
  <si>
    <t>Applicant Notes</t>
  </si>
  <si>
    <t>k)</t>
  </si>
  <si>
    <t>Post Award Project Cost Changes</t>
  </si>
  <si>
    <t>Provide the current information for the applicant.</t>
  </si>
  <si>
    <t>No depreciation or amortization expenses are included.</t>
  </si>
  <si>
    <t>here and NOT included in the "Annual Residential Operating Expenses" line items.</t>
  </si>
  <si>
    <t>inclusion/exclusion from eligible basis for each subsidy.  Funds must be listed according to the</t>
  </si>
  <si>
    <t>Cells will be auto-populated after highlighted cells have been completed in this section and</t>
  </si>
  <si>
    <t xml:space="preserve">Annual Internet Expense (point category only), Service Amenities Budget, </t>
  </si>
  <si>
    <t>CDBG funds, the funding must be listed separately for each source and amount.</t>
  </si>
  <si>
    <t>MHSA</t>
  </si>
  <si>
    <t>MHP</t>
  </si>
  <si>
    <t>both for-profit</t>
  </si>
  <si>
    <t>Columns (a)-(g) should be completed in ascending order (i.e. Studio, 1 bdrm, 2 bdrm, etc.)</t>
  </si>
  <si>
    <t>order also (i.e. 1 bdrm @30%, 1 bdrm @35% etc.).</t>
  </si>
  <si>
    <t>Subtract Photovoltaic Credit (as applicable):</t>
  </si>
  <si>
    <t>Architect certification of Universal Design</t>
  </si>
  <si>
    <t xml:space="preserve">      </t>
  </si>
  <si>
    <t>APPLICANTS WILL BE HELD TO REGULATORY REQUIREMENTS.  THE APPLICATION MAY</t>
  </si>
  <si>
    <t>OR</t>
  </si>
  <si>
    <t>Net Rental Income</t>
  </si>
  <si>
    <t xml:space="preserve">Please refer to the following visual as a guide: </t>
  </si>
  <si>
    <t>FHA Risk Sharing loan?</t>
  </si>
  <si>
    <t>Total Points for Miscellaneous Federal and State Policies:</t>
  </si>
  <si>
    <t>For Special Needs housing type projects applying through the Nonprofit or Special Needs set-asides only:</t>
  </si>
  <si>
    <t>Copy of approval letter from Executive Director granting any waivers or exemptions</t>
  </si>
  <si>
    <t>l)</t>
  </si>
  <si>
    <t>State Credit Exchange Basis and Credits</t>
  </si>
  <si>
    <t>http://www.treasurer.ca.gov/ctcac/assignments.pdf</t>
  </si>
  <si>
    <t>Required Approvals and Development Timetable</t>
  </si>
  <si>
    <t>Required Approvals Necessary to Begin Construction</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</si>
  <si>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</si>
  <si>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</si>
  <si>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</si>
  <si>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</si>
  <si>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both federal and state tax credits are being requested.</t>
  </si>
  <si>
    <t>state tax credits when they are being requested.</t>
  </si>
  <si>
    <t>Do not create multiple "NA" PDF sheets or folders within folders unnecessarily for non-applicable items.</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</si>
  <si>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</si>
  <si>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Director may request additional clarifying information from other government entities.</t>
  </si>
  <si>
    <t>land acquired by the date specified in the reservation preliminary or final letter.</t>
  </si>
  <si>
    <t>Total Project Cost per Unit</t>
  </si>
  <si>
    <t>Total Residential Project Cost per Unit</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</si>
  <si>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</si>
  <si>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</si>
  <si>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 xml:space="preserve">Total Eligible Basis  </t>
  </si>
  <si>
    <t>ONE COPY OF THE APPLICATION AND ATTACHMENTS TO THE LOCAL REVIEWING AGENCY</t>
  </si>
  <si>
    <t xml:space="preserve">      ATTACHMENT 5: Legal Status Questionnaire</t>
  </si>
  <si>
    <t>Percentage of the Adjusted Threshold Basis Limit</t>
  </si>
  <si>
    <t>Total Eligible Basis per Unit</t>
  </si>
  <si>
    <t>HIGH COST TEST</t>
  </si>
  <si>
    <t>For those numbered amounts that are not applicable, insert a "0" (zero).</t>
  </si>
  <si>
    <t xml:space="preserve">choices provided in the "pull-down" menu for that item.  </t>
  </si>
  <si>
    <t>15 Year Pro Forma</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</si>
  <si>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</si>
  <si>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</si>
  <si>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</si>
  <si>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</si>
  <si>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</si>
  <si>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The total ineligible amounts will be auto-populated as the highlighted cells are completed.</t>
  </si>
  <si>
    <t>Insert the desired amount of Eligible Basis that is being voluntarily deducted.</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</si>
  <si>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</si>
  <si>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</si>
  <si>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</si>
  <si>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</si>
  <si>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</si>
  <si>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</si>
  <si>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</si>
  <si>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</si>
  <si>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</si>
  <si>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</si>
  <si>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</si>
  <si>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</si>
  <si>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</si>
  <si>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</si>
  <si>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</si>
  <si>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</si>
  <si>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</si>
  <si>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</si>
  <si>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</si>
  <si>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</si>
  <si>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</si>
  <si>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</si>
  <si>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</si>
  <si>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</si>
  <si>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Total Operating Expenses</t>
  </si>
  <si>
    <t>Service Amenities</t>
  </si>
  <si>
    <t>Replacement Reserve</t>
  </si>
  <si>
    <t>Real Estate Taxes</t>
  </si>
  <si>
    <t>Cash Flow Prior to Debt Service</t>
  </si>
  <si>
    <t>MUST PAY DEBT SERVICE</t>
  </si>
  <si>
    <t>Total Debt Service</t>
  </si>
  <si>
    <t>Cash Flow After Debt Service</t>
  </si>
  <si>
    <t>Percent of Gross Revenue</t>
  </si>
  <si>
    <t>25% Debt Service Test</t>
  </si>
  <si>
    <t>Debt Coverage Ratio</t>
  </si>
  <si>
    <t>OTHER FEES**</t>
  </si>
  <si>
    <t>GP Partnership Management Fee</t>
  </si>
  <si>
    <t>LP Asset Management Fee</t>
  </si>
  <si>
    <t>Incentive Management Fee</t>
  </si>
  <si>
    <t>Total Other Fees</t>
  </si>
  <si>
    <t>Remaining Cash Flow</t>
  </si>
  <si>
    <t>Deferred Developer Fee**</t>
  </si>
  <si>
    <t>Residual or Soft Debt Payments**</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</si>
  <si>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</si>
  <si>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BASIS AND CREDITS - EXCHANGE OF FEDERAL CREDIT FOR STATE CREDIT (SCE)</t>
  </si>
  <si>
    <t>PLEASE INCLUDE APPLICATION FEE WITH APPLICATION SUBMISSION</t>
  </si>
  <si>
    <t>Special Needs housing type project opting for 11 project experience category:</t>
  </si>
  <si>
    <t>City of Los Angeles</t>
  </si>
  <si>
    <t>Balance of Los Angeles County</t>
  </si>
  <si>
    <t>Energy Consultant:</t>
  </si>
  <si>
    <t>Prop. Mgmt. Co.:</t>
  </si>
  <si>
    <t>DOUBLE CHECK AGAINST PERMANENT FINANCING TOTALS:</t>
  </si>
  <si>
    <t>If Section 8:</t>
  </si>
  <si>
    <t>Transition age youth</t>
  </si>
  <si>
    <t>Predevelopment Interest/Holding Cost</t>
  </si>
  <si>
    <t xml:space="preserve">Provide evidence of eligibility and include: </t>
  </si>
  <si>
    <t>Legal status questionnaire</t>
  </si>
  <si>
    <t>A narrative description of the current use of the subject property</t>
  </si>
  <si>
    <t>Evidence of public housing waiting lists from the local housing authority</t>
  </si>
  <si>
    <t>Market analyst’s resume</t>
  </si>
  <si>
    <t>Evidence from the assessing entity of impact fees to be charged</t>
  </si>
  <si>
    <t>FACILITY SERVING TENANT POPULATION OF SRO OR SPECIAL NEEDS PROJECT</t>
  </si>
  <si>
    <t>Current Tenant Information (Part II - Application - Section 5 - B)</t>
  </si>
  <si>
    <t>(select one if applicable)</t>
  </si>
  <si>
    <t>Select from ONE of the following two options:</t>
  </si>
  <si>
    <t>Total Points for General Partner &amp; Management Company Experience:</t>
  </si>
  <si>
    <t>Please refer to Checklist Items for supporting documentation requirements</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</si>
  <si>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</si>
  <si>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</si>
  <si>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</si>
  <si>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TEST #1, #2</t>
  </si>
  <si>
    <t>TEST #4</t>
  </si>
  <si>
    <t>TEST #3</t>
  </si>
  <si>
    <t>LINKED TO 10% TABLE</t>
  </si>
  <si>
    <t xml:space="preserve">Eventual Tenant Ownership.  The project proposes to make tax credit units available for </t>
  </si>
  <si>
    <t>eventual tenant ownership.</t>
  </si>
  <si>
    <t>Eventual tenant ownership</t>
  </si>
  <si>
    <t>further or supplemental documentation is true and correct to the best of my knowledge and belief.  I certify and</t>
  </si>
  <si>
    <r>
      <t xml:space="preserve">Provide evidence of eligibility and include </t>
    </r>
    <r>
      <rPr>
        <u/>
        <sz val="10"/>
        <rFont val="Arial"/>
        <family val="2"/>
      </rPr>
      <t>signed</t>
    </r>
    <r>
      <rPr>
        <sz val="10"/>
        <rFont val="Arial"/>
        <family val="2"/>
      </rPr>
      <t>:</t>
    </r>
  </si>
  <si>
    <r>
      <t xml:space="preserve">Provide evidence of eligibility and include </t>
    </r>
    <r>
      <rPr>
        <u/>
        <sz val="10"/>
        <rFont val="Arial"/>
        <family val="2"/>
      </rPr>
      <t>signed</t>
    </r>
    <r>
      <rPr>
        <sz val="10"/>
        <rFont val="Arial"/>
        <family val="2"/>
      </rPr>
      <t xml:space="preserve">: </t>
    </r>
  </si>
  <si>
    <r>
      <t xml:space="preserve">AVERAGE AFFORDABILITY BY AMI </t>
    </r>
    <r>
      <rPr>
        <b/>
        <u/>
        <sz val="10"/>
        <rFont val="Arial"/>
        <family val="2"/>
      </rPr>
      <t>TARGETING</t>
    </r>
  </si>
  <si>
    <t>UNITS</t>
  </si>
  <si>
    <t>UNIT % OF TOTAL</t>
  </si>
  <si>
    <t>PRO RATA TARGET %</t>
  </si>
  <si>
    <t>Average:</t>
  </si>
  <si>
    <t>If Section 236, IRP?</t>
  </si>
  <si>
    <t>Assumed, Accrued Interest on Existing Debt (Rehab/Acq)</t>
  </si>
  <si>
    <t xml:space="preserve">If you have questions, please contact your regional analyst at (916) 654-6340 or via email: </t>
  </si>
  <si>
    <t>http://www.treasurer.ca.gov/ctcac/contacts.asp</t>
  </si>
  <si>
    <t>Parent Company:</t>
  </si>
  <si>
    <t>2nd Prop. Mgmt Co.:</t>
  </si>
  <si>
    <t>CPA:</t>
  </si>
  <si>
    <t>Consultant:</t>
  </si>
  <si>
    <r>
      <t xml:space="preserve">Set-Aside Selection </t>
    </r>
    <r>
      <rPr>
        <sz val="8"/>
        <rFont val="Arial"/>
        <family val="2"/>
      </rPr>
      <t>(Reg. Section 10315(a)-(e))</t>
    </r>
  </si>
  <si>
    <r>
      <t xml:space="preserve">Credit Amount Requested </t>
    </r>
    <r>
      <rPr>
        <sz val="8"/>
        <rFont val="Arial"/>
        <family val="2"/>
      </rPr>
      <t>(If State Credit Request, Reg. Sects. 10317 &amp; 10322(h)(33))</t>
    </r>
  </si>
  <si>
    <t>Nonprofit (qualified nonprofit organization)</t>
  </si>
  <si>
    <t>Rural</t>
  </si>
  <si>
    <t>Rural apportionment (Section 514)</t>
  </si>
  <si>
    <t>Rural apportionment (Section 515)</t>
  </si>
  <si>
    <t>Rural (Native American apportionment)</t>
  </si>
  <si>
    <t>Special Needs with 130% basis &amp; State Credits:</t>
  </si>
  <si>
    <t>TOTAL PROJECT COST</t>
  </si>
  <si>
    <t>GreenPoint Rated Existing Home Multifamily Program</t>
  </si>
  <si>
    <t>Rehabilitate to improve energy efficiency; points awarded based on percentage decrease in estimated Time Dependent Valuation energy use post-rehabilitation:</t>
  </si>
  <si>
    <t>Enhanced Accessibility and Visitability.  Project design incorporates California Building Code</t>
  </si>
  <si>
    <t>in at least half of the project's units.</t>
  </si>
  <si>
    <t>Chapter 11(B) and the principles of Universal Designed listed in Reg. Section 10325(c)(9)(B)</t>
  </si>
  <si>
    <t>* Applicants are required to use these percentages in calculating credit at the application stage.</t>
  </si>
  <si>
    <t>Bedroom Type</t>
  </si>
  <si>
    <t>Subsidy Contract Monthly Rent in Excess of Tax Credit Proposed Monthly Rent</t>
  </si>
  <si>
    <r>
      <t xml:space="preserve">Proposed Monthly Rent per Unit                            </t>
    </r>
    <r>
      <rPr>
        <b/>
        <sz val="11"/>
        <rFont val="Arial"/>
        <family val="2"/>
      </rPr>
      <t xml:space="preserve"> </t>
    </r>
    <r>
      <rPr>
        <b/>
        <sz val="10"/>
        <rFont val="Arial"/>
        <family val="2"/>
      </rPr>
      <t>Less Utility Allowance*</t>
    </r>
  </si>
  <si>
    <t>Total Subsidy Contract Monthly Rent   (b x e)</t>
  </si>
  <si>
    <t>Subsidy Contract Total Rent in Excess of Tax Credit Proposed Monthly Rent</t>
  </si>
  <si>
    <t>ANNUAL TOTAL RENT</t>
  </si>
  <si>
    <t>Rental Subsidy Contract by Unit</t>
  </si>
  <si>
    <t xml:space="preserve">*This spreadsheet assumes a subsidy contract with a utility allowance.  </t>
  </si>
  <si>
    <t>Complete spreadsheet "Subsidy Contract Calculation"</t>
  </si>
  <si>
    <t>If the project's subsidy contract is gross, please adjust the column headings and cells accordingly.</t>
  </si>
  <si>
    <t>Architect's certification of threshold basis limit increases/exceptions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</si>
  <si>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</si>
  <si>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</si>
  <si>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READINESS TOTAL PROJECT
COST - RESIDENTIAL</t>
  </si>
  <si>
    <t>after the project is placed-in-service.</t>
  </si>
  <si>
    <t xml:space="preserve">shall be given up to five (5) business days from the date of receipt of staff notification, to submit said documents to </t>
  </si>
  <si>
    <t>is a clear reproduction or application assembly error, or an obviously transposed number.  In such cases, applicants</t>
  </si>
  <si>
    <t>https://www.govtrack.us/congress/members/map</t>
  </si>
  <si>
    <t>http://findyourrep.legislature.ca.gov/</t>
  </si>
  <si>
    <t xml:space="preserve">The annual federal credit amount and the total state credit amount will auto-populate after </t>
  </si>
  <si>
    <t>Applicant Statement</t>
  </si>
  <si>
    <t>Provide the requested information.</t>
  </si>
  <si>
    <t>If the legal status is "Other," provide a detailed statement as to the organization type.</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</si>
  <si>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</si>
  <si>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</si>
  <si>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</si>
  <si>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</si>
  <si>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Toggle and select the appropriate ownership entity type.</t>
  </si>
  <si>
    <t>If not yet formed, enter the estimated formation date.</t>
  </si>
  <si>
    <t>Check applicable boxes.</t>
  </si>
  <si>
    <t>Identify all buildings with and/or without an elevator.</t>
  </si>
  <si>
    <t>Indicate parcel size and any irregularity.</t>
  </si>
  <si>
    <t>Indicate the total number of commercial, rental and community service buildings.</t>
  </si>
  <si>
    <t>Indicate if any of the proposed buildings consist of four or fewer units.</t>
  </si>
  <si>
    <t>If "No", indicate whether or not they meet the requirements of IRC Sec. 42(g)(7).</t>
  </si>
  <si>
    <t>Income information must correlate to the 15-year pro forma.</t>
  </si>
  <si>
    <t>Checklist attachments.</t>
  </si>
  <si>
    <t>Management Fee (must be supported by contract document)</t>
  </si>
  <si>
    <t>Complete all highlighted cells.</t>
  </si>
  <si>
    <t>Complete as appropriate.  Amounts should be verifiable from information in the application and</t>
  </si>
  <si>
    <t xml:space="preserve">The public housing authority (PHA) or the California Energy Commission (CEC) utility allowance </t>
  </si>
  <si>
    <t>actual source of funds.  For example, if an agency is providing a loan that includes HOME and</t>
  </si>
  <si>
    <t>Indicate/identify any threshold boosts by selecting either "Yes" or "No" for (a)-(h).</t>
  </si>
  <si>
    <t>For each service point category indicated in the points section, complete columns D through J</t>
  </si>
  <si>
    <t>Total points achieved is auto-populated by the previous sections in the Points System sheet.</t>
  </si>
  <si>
    <t>credits have been calculated in the Basis and Credits sheet.</t>
  </si>
  <si>
    <t>Amounts must be consistent with totals shown in the Sources and Uses Budget sheet.</t>
  </si>
  <si>
    <t xml:space="preserve">I certify that I have read and understand the provisions of Sections 10322(a) through (h).  No additional documents in </t>
  </si>
  <si>
    <t>select funding sources for line item costs if they have a dedicated source of payment.</t>
  </si>
  <si>
    <t>Other (Specify):</t>
  </si>
  <si>
    <t>applicant is pursuing a property tax exemption</t>
  </si>
  <si>
    <t>Reg. Section 10327(g)(2) - "TBD" not sufficient</t>
  </si>
  <si>
    <t>General Partner Name:*</t>
  </si>
  <si>
    <t>*If Joint Venture, 2nd GP must be included if</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</si>
  <si>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</si>
  <si>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</si>
  <si>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</si>
  <si>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</si>
  <si>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</si>
  <si>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</si>
  <si>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GreenPoint Rated Program</t>
  </si>
  <si>
    <t>EITHER:</t>
  </si>
  <si>
    <t>OR:</t>
  </si>
  <si>
    <t xml:space="preserve">Replacement Reserves, Real Estate Taxes, and Other Expenses must be entered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</si>
  <si>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</si>
  <si>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</si>
  <si>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</si>
  <si>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</si>
  <si>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</si>
  <si>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</si>
  <si>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Please review Instructions sheet before completing.</t>
  </si>
  <si>
    <t xml:space="preserve">support of the basic thresholds or point selection categories shall be accepted from the applicant beyond the </t>
  </si>
  <si>
    <r>
      <t xml:space="preserve">If a Resyndication Project, complete the </t>
    </r>
    <r>
      <rPr>
        <b/>
        <sz val="10"/>
        <rFont val="Arial"/>
        <family val="2"/>
      </rPr>
      <t>Resyndication Projects</t>
    </r>
    <r>
      <rPr>
        <sz val="10"/>
        <rFont val="Arial"/>
        <family val="2"/>
      </rPr>
      <t xml:space="preserve"> section below.  </t>
    </r>
  </si>
  <si>
    <t>If re-applying and returning credit, enter the current application number and the amount being returned:</t>
  </si>
  <si>
    <t>Returned Federal Credit:</t>
  </si>
  <si>
    <t>Resyndication Projects</t>
  </si>
  <si>
    <t>First year of credit:</t>
  </si>
  <si>
    <t>See Checklist, Tab 8 for documentation requirements.</t>
  </si>
  <si>
    <t>Is the project subject to hold harmless rent limits?</t>
  </si>
  <si>
    <t>If yes, see page 18 and Checklist, Tab 8.</t>
  </si>
  <si>
    <t>Required Capitalized Replacement Reserve</t>
  </si>
  <si>
    <t>Construction Oversight by Developer</t>
  </si>
  <si>
    <t>State Credit Basis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</si>
  <si>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</si>
  <si>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</si>
  <si>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</si>
  <si>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3 Special Needs projects in service more than 3 years, including 1 California LIHTC project</t>
  </si>
  <si>
    <t>4 or more Special Needs projects in service more than 3 years, including 1 California LIHTC project</t>
  </si>
  <si>
    <t xml:space="preserve">11 or more projects managed more than 3 years, including 2 California LIHTC projects </t>
  </si>
  <si>
    <t xml:space="preserve">6-10 projects managed more than 3 years, including 2 California LIHTC projects </t>
  </si>
  <si>
    <t xml:space="preserve">The project site is within 1/3 mile of a bus rapid transit station, light rail station, commuter rail station, </t>
  </si>
  <si>
    <t xml:space="preserve">The project site is within 1/2 mile of a bus rapid transit station, light rail station, commuter rail station, </t>
  </si>
  <si>
    <t>The site is within 3/4 mile (1.5 miles for Rural set-aside).</t>
  </si>
  <si>
    <t>The site is within 1 mile of a book-lending public library that also allows for inter-branch</t>
  </si>
  <si>
    <t>lending when in a multi-branch system (2 miles for Rural set-aside projects).</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</si>
  <si>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</si>
  <si>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</si>
  <si>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The site is within 1 mile of a pharmacy (2 miles for Rural Set-aside). (This category may be combined with the other site amenities above).</t>
  </si>
  <si>
    <t>Maximum 5 Points</t>
  </si>
  <si>
    <t>Undertake formal building systems commissioning, retro-commissioning, or re-commissioning</t>
  </si>
  <si>
    <t>Develop project-specific maintenance manual, including information on all energy and green building features</t>
  </si>
  <si>
    <t>c.</t>
  </si>
  <si>
    <t>d.</t>
  </si>
  <si>
    <t>1.   PHOTOVOLTAIC / SOLAR</t>
  </si>
  <si>
    <t>2.  SUSTAINABLE BUILDING MANAGEMENT PRACTICES, INCLUDING BOTH OF THE FOLLOWING:</t>
  </si>
  <si>
    <t>MIXED USE PROJECTS</t>
  </si>
  <si>
    <t>Project with desk or security staff in lieu of on-site manager unit(s)</t>
  </si>
  <si>
    <t>RESYNDICATION PROJECTS</t>
  </si>
  <si>
    <t>Amenities may include:</t>
  </si>
  <si>
    <t>Smoke Free Residence.  The proposed project will have at least 1 nonsmoking building and</t>
  </si>
  <si>
    <t xml:space="preserve">Revitalization Area Project.  The project is located within a QCT, a census tract in which </t>
  </si>
  <si>
    <t xml:space="preserve">at least 50% of the households have an income of less than 60% AMI, or a federal Promise Zone.  </t>
  </si>
  <si>
    <t xml:space="preserve">a letter from a local government official.  </t>
  </si>
  <si>
    <t xml:space="preserve"> The development will contribute to a concerted community revitalization plan as demonstrated by </t>
  </si>
  <si>
    <t>For Revitalization Area Projects</t>
  </si>
  <si>
    <t>Documentation of location in a federal Promise Zone</t>
  </si>
  <si>
    <t>AND</t>
  </si>
  <si>
    <t xml:space="preserve">http://qct.huduser.gov/tables/data_request.odb </t>
  </si>
  <si>
    <t>2-3 Special Needs projects managed more than 3 years, including 1 California LIHTC project</t>
  </si>
  <si>
    <t>4 or more Special Needs projects managed more than 3 years, including 1 California LIHTC project</t>
  </si>
  <si>
    <t>Total Points for Transit Amenity:</t>
  </si>
  <si>
    <t>a) Transit</t>
  </si>
  <si>
    <t>incorporate prohibition of smoking into the lease agreements for the affected units.  If a single</t>
  </si>
  <si>
    <t>building project, the project will designate contiguous units as nonsmoking.</t>
  </si>
  <si>
    <t>Total donated land value</t>
  </si>
  <si>
    <t>Total fee waivers</t>
  </si>
  <si>
    <t>If so, has the Short Term Work been completed?</t>
  </si>
  <si>
    <t>http://www.treasurer.ca.gov/ctcac/assignments.asp</t>
  </si>
  <si>
    <t xml:space="preserve">http://www.treasurer.ca.gov/ctcac/contacts.asp </t>
  </si>
  <si>
    <t xml:space="preserve">http://www.treasurer.ca.gov/ctcac/assignments.asp </t>
  </si>
  <si>
    <t>Rehabilitation or new construction basis only (no acquisition basis), except in rare cases of At-Risk projects eligible for State Credit on the acquisition basis at the 0.13 factor when no 130% basis increase is used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</si>
  <si>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</si>
  <si>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</si>
  <si>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</si>
  <si>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</si>
  <si>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</si>
  <si>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</si>
  <si>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</si>
  <si>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</si>
  <si>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</si>
  <si>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</si>
  <si>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</si>
  <si>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</si>
  <si>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</si>
  <si>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</si>
  <si>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Signature of Project CPA/Tax Professional</t>
  </si>
  <si>
    <t>FOR PLACED IN SERVICE APPLICATION SUBMISSIONS:</t>
  </si>
  <si>
    <r>
      <t>Provide the name and contact information of the local jurisdiction's City Manager or equivalent</t>
    </r>
    <r>
      <rPr>
        <sz val="10"/>
        <rFont val="Arial"/>
        <family val="2"/>
      </rPr>
      <t>.</t>
    </r>
  </si>
  <si>
    <t xml:space="preserve">Answer the questions regarding resyndication, if applicable. </t>
  </si>
  <si>
    <t>Family Reunification</t>
  </si>
  <si>
    <t>Units w/ tenants of multiple disability type or subsidy layers (explain)</t>
  </si>
  <si>
    <r>
      <t>1</t>
    </r>
    <r>
      <rPr>
        <b/>
        <sz val="10"/>
        <rFont val="Arial"/>
        <family val="2"/>
      </rPr>
      <t xml:space="preserve"> Required:  evidence of land value (see Tab 1).   Land value must be included in Total Project Cost and Sources and Uses Budget (includes donated or leased land).  </t>
    </r>
  </si>
  <si>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</si>
  <si>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</si>
  <si>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</si>
  <si>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</si>
  <si>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Accounting/Reimbursable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</si>
  <si>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</si>
  <si>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 xml:space="preserve">scored in the aggregate </t>
  </si>
  <si>
    <t>scored proportionately</t>
  </si>
  <si>
    <t xml:space="preserve">Select one if project is a scattered site acquisition and/or rehabilitation : </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</si>
  <si>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</si>
  <si>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</si>
  <si>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</si>
  <si>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</si>
  <si>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</si>
  <si>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</si>
  <si>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</si>
  <si>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ferry terminal, bus station, or public bus stop with service at least every 30 minutes during the hours of</t>
  </si>
  <si>
    <t xml:space="preserve">ferry terminal, bus station, or public bus stop.  (For rural set-aside projects, these points may be awarded </t>
  </si>
  <si>
    <t>where van or dial-a-ride service is provided to tenants.)</t>
  </si>
  <si>
    <t xml:space="preserve">ferry terminal, bus station, or public bus stop.  </t>
  </si>
  <si>
    <t>Passive House</t>
  </si>
  <si>
    <t>Living Building Challenge</t>
  </si>
  <si>
    <t>National Green Building Standard ICC / ASRAE – 700 silver or higher rating</t>
  </si>
  <si>
    <t>WELL (when not combined with any program above)</t>
  </si>
  <si>
    <t>Passive House Institute US (PHIUS)</t>
  </si>
  <si>
    <t>project tenants' energy loads:</t>
  </si>
  <si>
    <t xml:space="preserve">Energy efficiency with renewable energy that provides the following percentages of </t>
  </si>
  <si>
    <t xml:space="preserve">If the local building department has determined that building permit applications submitted </t>
  </si>
  <si>
    <t>ENERGY EFFICIENCY</t>
  </si>
  <si>
    <t>Better than the 2016 Standards</t>
  </si>
  <si>
    <t>PV generation that offsets 30% tenant loads or 90% of available solar accessible roof area</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</si>
  <si>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</si>
  <si>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</si>
  <si>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   5. When submitting the placed in service application, change the Cost Variance formula cells to a D-B formula (example: the formula in E5 becomes D5-B5).</t>
  </si>
  <si>
    <t>6. Make any necessary notes detailing reasons for changes to the costs in the “NOTES” column.</t>
  </si>
  <si>
    <t>Less: Ineligible Offsites</t>
  </si>
  <si>
    <t>Use no irrigation at all</t>
  </si>
  <si>
    <t>Irrigate only with reclaimed water, greywater, or rainwater (excepting water used for Community Gardens)</t>
  </si>
  <si>
    <t xml:space="preserve">WATER EFFICIENCY: </t>
  </si>
  <si>
    <t>Irrigate with reclaimed water, greywater, or rainwater in an amount that annually equals or exceeds 10,000 gallons or 150 gallons per unit, whichever is less</t>
  </si>
  <si>
    <t>total State Credits</t>
  </si>
  <si>
    <t>(CHECK ONLY)</t>
  </si>
  <si>
    <t>each of the following stages: for a carryover allocation; for readiness to proceed requirements if applicable; and</t>
  </si>
  <si>
    <t xml:space="preserve">immediate needs listed in the report, will be performed (unless a waiver is granted) prior to the project's rehabilitation </t>
  </si>
  <si>
    <t xml:space="preserve">I understand that any misrepresentation may result in cancellation of Tax Credit reservation, notification of the Internal </t>
  </si>
  <si>
    <t xml:space="preserve">California Health and Safety Code Section 50199.22, issuance of fines pursuant to California Health and Safety Code </t>
  </si>
  <si>
    <t xml:space="preserve">Section 50199.10, and negative points per Regulation Section 10325(c)(3) or under general authority of state law. </t>
  </si>
  <si>
    <t>or promulgation of regulations.</t>
  </si>
  <si>
    <t>I acknowledge that all materials and requirements are subject to change by enactment of federal or state legislation</t>
  </si>
  <si>
    <t xml:space="preserve">Election to sell ("certificate') state credits: </t>
  </si>
  <si>
    <t xml:space="preserve">By selecting "Yes" or "No" in the box immediately before, I hereby </t>
  </si>
  <si>
    <t xml:space="preserve">Revenue and Taxation Code Sections 12206(o), 17058(q), and 23610.5(r). I further certify that the applicant is a </t>
  </si>
  <si>
    <t xml:space="preserve">Federal tax credit factor must be at least $1.00 for self-syndication projects or at least $0.85 for all other projects.  </t>
  </si>
  <si>
    <t>BASIS AND CREDITS - EXCHANGE OF STATE CREDIT FOR FEDERAL CREDIT (FCE)</t>
  </si>
  <si>
    <t>TOTAL
RESIDENTIAL
COST</t>
  </si>
  <si>
    <t>SUBTOTAL RESIDENTIAL COST</t>
  </si>
  <si>
    <t>TOTAL RESIDENTIAL COST</t>
  </si>
  <si>
    <t>TOTAL
30% PVC for Acquisition</t>
  </si>
  <si>
    <t>TOTAL
70% PVC for New Const/
Rehabilitation</t>
  </si>
  <si>
    <t>30% PVC for Acquisition
DDA/QCT SITES</t>
  </si>
  <si>
    <t>Transit Pass/Tenant Internet Expense*</t>
  </si>
  <si>
    <t xml:space="preserve">*9% and 4% + state credit applications shall include the cost of transit passes and tenant internet service if requested in the Points System site amenity section. </t>
  </si>
  <si>
    <t>Number of Units**</t>
  </si>
  <si>
    <t>Subtract Ineligible Basis related to Excess Parking:</t>
  </si>
  <si>
    <t>Occupancy of All Tax Credit Units</t>
  </si>
  <si>
    <t>Total number of Low Income Units:</t>
  </si>
  <si>
    <t>Total square footage of Low Income Units:</t>
  </si>
  <si>
    <r>
      <t xml:space="preserve">Total square footage of all residential units </t>
    </r>
    <r>
      <rPr>
        <sz val="9"/>
        <rFont val="Arial"/>
        <family val="2"/>
      </rPr>
      <t>(excluding managers’ units):</t>
    </r>
  </si>
  <si>
    <r>
      <t xml:space="preserve">Total number of non-Tax Credit Units </t>
    </r>
    <r>
      <rPr>
        <sz val="9"/>
        <rFont val="Arial"/>
        <family val="2"/>
      </rPr>
      <t>(excluding managers' units) (i.e. market rate units):</t>
    </r>
  </si>
  <si>
    <r>
      <t xml:space="preserve">Total number of units </t>
    </r>
    <r>
      <rPr>
        <sz val="9"/>
        <rFont val="Arial"/>
        <family val="2"/>
      </rPr>
      <t>(excluding managers’ units):</t>
    </r>
  </si>
  <si>
    <r>
      <t xml:space="preserve">Ratio of Low Income Units to total units </t>
    </r>
    <r>
      <rPr>
        <sz val="9"/>
        <rFont val="Arial"/>
        <family val="2"/>
      </rPr>
      <t>(excluding managers’ units):</t>
    </r>
  </si>
  <si>
    <r>
      <t>Applicable fraction, smaller of unit or square footage ratio (</t>
    </r>
    <r>
      <rPr>
        <sz val="9"/>
        <rFont val="Arial"/>
        <family val="2"/>
      </rPr>
      <t>used on "Basis &amp; Credits"):</t>
    </r>
  </si>
  <si>
    <r>
      <t xml:space="preserve">Total parking structure square footage </t>
    </r>
    <r>
      <rPr>
        <sz val="9"/>
        <rFont val="Arial"/>
        <family val="2"/>
      </rPr>
      <t>(excludes car-ports and "tuck under" parking):</t>
    </r>
  </si>
  <si>
    <r>
      <t xml:space="preserve">Ratio of low-income residential to total residential square footage </t>
    </r>
    <r>
      <rPr>
        <sz val="9"/>
        <rFont val="Arial"/>
        <family val="2"/>
      </rPr>
      <t>(excluding managers’ units):</t>
    </r>
  </si>
  <si>
    <r>
      <rPr>
        <b/>
        <sz val="10"/>
        <rFont val="Arial"/>
        <family val="2"/>
      </rPr>
      <t>*Total square footage of all project structures</t>
    </r>
    <r>
      <rPr>
        <sz val="10"/>
        <rFont val="Arial"/>
        <family val="2"/>
      </rPr>
      <t xml:space="preserve"> </t>
    </r>
    <r>
      <rPr>
        <sz val="9"/>
        <rFont val="Arial"/>
        <family val="2"/>
      </rPr>
      <t>(excluding commercial/retail):</t>
    </r>
  </si>
  <si>
    <t>At-Risk and Special Needs</t>
  </si>
  <si>
    <t xml:space="preserve">Provided </t>
  </si>
  <si>
    <t xml:space="preserve">TAB 8 Rehabilitation </t>
  </si>
  <si>
    <t xml:space="preserve">TAB 9 Current Tenant Information </t>
  </si>
  <si>
    <t xml:space="preserve">TAB 10 Minimum Construction Standards </t>
  </si>
  <si>
    <t>TAB 2 Financial Feasibility</t>
  </si>
  <si>
    <t>Financial Feasibility (Part III - Application - Sections 1-4; Part IV)</t>
  </si>
  <si>
    <t>Set-Aside Designation (Part II - Application - Section 2 - E)</t>
  </si>
  <si>
    <t>TAB 3 Set-Aside Designation</t>
  </si>
  <si>
    <t>Housing Type -Additional Threshold Requirements</t>
  </si>
  <si>
    <t>TAB 4 Housing Type</t>
  </si>
  <si>
    <t>Applicant / Development Team (Part II - Application - Section 3)</t>
  </si>
  <si>
    <t xml:space="preserve">TAB 5 Applicant / Development Team </t>
  </si>
  <si>
    <t>Development Team Information (Part II - Application - Section 4 - A)</t>
  </si>
  <si>
    <t xml:space="preserve">TAB 6 Development Team Information </t>
  </si>
  <si>
    <t>TAB 7 Acquisition and Rehabilitation Credit Applicants</t>
  </si>
  <si>
    <t>TAB 11 Project Size Limitations</t>
  </si>
  <si>
    <t>Need to Provide</t>
  </si>
  <si>
    <t>TAB 13 Market Analysis</t>
  </si>
  <si>
    <t>Required Approvals (Part II - Application - Section 6)</t>
  </si>
  <si>
    <t>TAB 14 Required Approvals</t>
  </si>
  <si>
    <t>Enforceable Financing Commitments</t>
  </si>
  <si>
    <t>TAB 15 Enforceable Financing Commitments</t>
  </si>
  <si>
    <t>TAB 16 Syndication</t>
  </si>
  <si>
    <t>Evidence of Subsidies (Part III - Project Financing - Section 4)</t>
  </si>
  <si>
    <t xml:space="preserve">TAB 17 Evidence of Subsidies </t>
  </si>
  <si>
    <t>TAB 18 Threshold Basis Limit Increases and Certifications</t>
  </si>
  <si>
    <t>TAB 22 Management Company Experience</t>
  </si>
  <si>
    <t>TAB 23 Site Amenities</t>
  </si>
  <si>
    <t>TAB 24 Service Amenities</t>
  </si>
  <si>
    <t>TAB 26 Readiness to Proceed</t>
  </si>
  <si>
    <t>Miscellaneous Federal and State Credit Policies</t>
  </si>
  <si>
    <t>TAB 27 Miscellaneous Federal and State Credit Policies</t>
  </si>
  <si>
    <t>For tribal trust land, a title status report (TSR) or an attorney's opinion regarding chain of title and current title status.</t>
  </si>
  <si>
    <t>Reg. §§ 10325(g)(1)(A) through (I)</t>
  </si>
  <si>
    <t>Reg. §§ 10325(g)(2)(A) through (J)</t>
  </si>
  <si>
    <t>Reg. §§ 10325(g)(3)(A) through (L)</t>
  </si>
  <si>
    <t>Reg. §§ 10322(h)(27), 10322(h)(28), and 1022(h)(29)</t>
  </si>
  <si>
    <t>Reg. § 10325(c)(8)</t>
  </si>
  <si>
    <t>Reg. §§ 10325(f)(2), 10322(h)(9), 10327(c)(6)</t>
  </si>
  <si>
    <t xml:space="preserve">IRC § 42(g)(1); California Health and Safety Code §§ 50199.20, 50199.21 </t>
  </si>
  <si>
    <t>Reg. § 10325(g)</t>
  </si>
  <si>
    <t>Reg. § 10325(f)(6)</t>
  </si>
  <si>
    <t>Reg. § 10322(h)(26)</t>
  </si>
  <si>
    <t>Documentation of any waivers of the requirements of § 10320(b).</t>
  </si>
  <si>
    <t>Project Size Limitations  Reg. § 10325(f)(9)</t>
  </si>
  <si>
    <t>Reg. § 10325(f)(4)</t>
  </si>
  <si>
    <t>Syndication (Part III - Project Financing - § 2 - A)</t>
  </si>
  <si>
    <t>Reg. § 10322(h)(22)</t>
  </si>
  <si>
    <t>Seniors</t>
  </si>
  <si>
    <r>
      <t xml:space="preserve">Housing Type Selection </t>
    </r>
    <r>
      <rPr>
        <sz val="8"/>
        <rFont val="Arial"/>
        <family val="2"/>
      </rPr>
      <t>(Reg. Sections 10315(h) &amp; 10325(g))</t>
    </r>
  </si>
  <si>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</si>
  <si>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 xml:space="preserve">Please do not rely solely on this checklist when completing your application.  </t>
  </si>
  <si>
    <t>Please verify that all requirements in the regulations have been met.</t>
  </si>
  <si>
    <t xml:space="preserve">TAB 12 Site and Project Information </t>
  </si>
  <si>
    <t xml:space="preserve">TAB 19 Eligible Basis Certification </t>
  </si>
  <si>
    <t>At least 20% 1-bedroom units and 10% larger than 1-bedroom units</t>
  </si>
  <si>
    <t>At least 90% SRO units</t>
  </si>
  <si>
    <t xml:space="preserve">     </t>
  </si>
  <si>
    <t xml:space="preserve">   </t>
  </si>
  <si>
    <t>If less than 75% special needs units, specify the standards the non-special needs units will meet:</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</si>
  <si>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</si>
  <si>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East Bay Region: Alameda and Contra Costa Counties</t>
  </si>
  <si>
    <t>Northern Region: Butte, Marin, Napa, Shasta, Solano, and Sonoma Counties</t>
  </si>
  <si>
    <t>Inland Empire Region: San Bernardino, Riverside, and Imperial Counties</t>
  </si>
  <si>
    <t>Capital Region: El Dorado, Placer, Sacramento, Sutter, Yuba, and Yolo Counties</t>
  </si>
  <si>
    <t xml:space="preserve">TAB 28 State Farmworker Credit Application </t>
  </si>
  <si>
    <t xml:space="preserve">State Farmworker Credit Application </t>
  </si>
  <si>
    <t>OPTIONAL DOCUMENTATION:  SUBSIDY LAYERING REVIEW</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</si>
  <si>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</si>
  <si>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</si>
  <si>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</si>
  <si>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</si>
  <si>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</si>
  <si>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</si>
  <si>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Waiver approval of the market study value ratio requirement.
Reg. § 10325(f)(1)</t>
  </si>
  <si>
    <t>Eligible Basis Certification (Part V - Basis and Credits - Section 1 - A)</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</si>
  <si>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</si>
  <si>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If the project involves rehabilitation of existing buildings, the tax professional must determine that project meets the minimum requirement outlined in Reg. § 10325(f)(10).</t>
  </si>
  <si>
    <t>Reg. §§ 10322(h)(17) through (20), &amp; (34)</t>
  </si>
  <si>
    <t>Reg. §§ 10302(p) &amp; 10317(h)</t>
  </si>
  <si>
    <t>Mixed Housing Type</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</si>
  <si>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</si>
  <si>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</si>
  <si>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</si>
  <si>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ONLY IF THIS COMPANY IS DIFFERENT FROM THE PROJECT'S PRIMARY PROPERTY MANAGEMENT COMPANY:  provide written documentation that the 2nd property management company has agreed to negotiate a contract with the applicant to fulfill this regulatory requirement.</t>
  </si>
  <si>
    <t>A.  General Partner and Management Company Characteristics</t>
  </si>
  <si>
    <t>A(1) General Partner Experience</t>
  </si>
  <si>
    <t>A(2) Management Company Experience</t>
  </si>
  <si>
    <t>B.  Housing Needs</t>
  </si>
  <si>
    <t>C.  Site &amp; Service Amenities</t>
  </si>
  <si>
    <t>C(1) Site Amenities</t>
  </si>
  <si>
    <t>C(2) Service Amenities</t>
  </si>
  <si>
    <t xml:space="preserve">D.  Sustainable Building Methods  </t>
  </si>
  <si>
    <t>D(1)  New Construction and Adaptive Reuse projects select from the following features:</t>
  </si>
  <si>
    <t>D(2)  Rehabilitation projects select from the following features:</t>
  </si>
  <si>
    <t>C(1)</t>
  </si>
  <si>
    <t>C(2)</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</si>
  <si>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</si>
  <si>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At least one pass per Low-Income Unit  (3 points)</t>
  </si>
  <si>
    <t>At least one pass per each 2 Low-Income Units (2 points)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</si>
  <si>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</si>
  <si>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</si>
  <si>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Reg. § 10325(c)(4)(A)</t>
  </si>
  <si>
    <t>Provide Management Company experience documentation, including signed:</t>
  </si>
  <si>
    <t xml:space="preserve">    </t>
  </si>
  <si>
    <t>PARK/RECREATIONAL FACILITY  Reg. § 10325(c)(4)(A)(2)</t>
  </si>
  <si>
    <t>PUBLIC LIBRARY  Reg. § 10325(c)(4)(A)(3)</t>
  </si>
  <si>
    <t>GROCERY  Reg. § 10325(c)(4)(A)(4)</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</si>
  <si>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</si>
  <si>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</si>
  <si>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t>PUBLIC SCHOOL  Reg. § 10325(c)(4)(A)(5)</t>
  </si>
  <si>
    <t>SENIOR CENTER  Reg. § 10325(c)(4)(A)(6)</t>
  </si>
  <si>
    <t>Reg. § 10325(c)(4)(A)(7)</t>
  </si>
  <si>
    <t>MEDICAL CLINIC  Reg. § 10325(c)(4)(A)(8)</t>
  </si>
  <si>
    <t>PHARMACY  Reg. § 10325(c)(4)(A)(9)</t>
  </si>
  <si>
    <t>TENANT INTERNET SERVICE  Reg. § 10325(c)(4)(A)(10)</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</si>
  <si>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</si>
  <si>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</si>
  <si>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r>
      <t xml:space="preserve">No more than 10 points will be awarded in this category. </t>
    </r>
    <r>
      <rPr>
        <b/>
        <sz val="8"/>
        <rFont val="Arial"/>
        <family val="2"/>
      </rPr>
      <t xml:space="preserve">The service budget spreadsheet must be completed. </t>
    </r>
  </si>
  <si>
    <t>Reg. § 10325(c)(4)(B)</t>
  </si>
  <si>
    <t>b) Special Needs projects:</t>
  </si>
  <si>
    <t>REVIEW REG. SECTION 10325(c)(5) BEFORE PROCEEDING</t>
  </si>
  <si>
    <t>Energy efficiency as indicated in Reg. Section 10325(c)(5)(B) beyond the requirements in</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</si>
  <si>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</si>
  <si>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</si>
  <si>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</si>
  <si>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Percent of Low-Income Units (exclusive of manager’s units)</t>
  </si>
  <si>
    <t>RESYNDICATION PROJECTS CHOOSING HOLD HARMLESS RENTS CANNOT RECEIVE LOWEST INCOME POINTS FOR HOLD HARMLESS RENTS. CURRENT RENT LIMITS MUST BE USED FOR LOWEST INCOME POINT SCORING.</t>
  </si>
  <si>
    <t>Percent of Area Median Income (AMI)</t>
  </si>
  <si>
    <t>10.0*</t>
  </si>
  <si>
    <t>25.0*</t>
  </si>
  <si>
    <t>*Available to Rural set-aside projects only.</t>
  </si>
  <si>
    <t>Percentage of Low-Income Units
(before rounding down)</t>
  </si>
  <si>
    <t>Total Number of Low-Income Units per Bedroom Size</t>
  </si>
  <si>
    <t>Percentage of Low-Income Units (by bedroom size)</t>
  </si>
  <si>
    <t>Points Earned</t>
  </si>
  <si>
    <r>
      <t>Number</t>
    </r>
    <r>
      <rPr>
        <b/>
        <sz val="8"/>
        <rFont val="Arial"/>
        <family val="2"/>
      </rPr>
      <t xml:space="preserve"> of Targeted Low-Income Units</t>
    </r>
  </si>
  <si>
    <t>Lowest Income for 10% of Total Low-Income Units at 30% AMI Points:</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</si>
  <si>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</si>
  <si>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</si>
  <si>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Readiness Points  (Part VI - Points System - Section 1 - E)</t>
  </si>
  <si>
    <t>Enforceable financing commitments for all construction financing</t>
  </si>
  <si>
    <t>Letter from a local government official describing neighborhood revitalization plan, delineating the various community revitalization efforts, funds committed or expended in the previous 5 years, how the project would contribute to the community's revitalization.</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</si>
  <si>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</si>
  <si>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Management Company Experience (Part VI - Points System - Section 1 - A(2))</t>
  </si>
  <si>
    <t>General Partner Experience (Part VI - Points System - Section 1 - A(1))</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</si>
  <si>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</si>
  <si>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</si>
  <si>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</si>
  <si>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</si>
  <si>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</si>
  <si>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</si>
  <si>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</si>
  <si>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</si>
  <si>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</si>
  <si>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</si>
  <si>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rehabilitation project buildings having an 80% decrease in estimated annual energy use (or improvement in energy efficiency) in the HERS II post rehabilitation, provide a Sustainable Building Method Workbook.</t>
  </si>
  <si>
    <t>http://www.treasurer.ca.gov/ctcac/opportunity.asp</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</si>
  <si>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</si>
  <si>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</si>
  <si>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</si>
  <si>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A narrative description of all adjacent property land uses, surrounding neighborhood identification and proximity of services, including transportation.</t>
  </si>
  <si>
    <t>Reg. § 10322(h)(8)</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</si>
  <si>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</si>
  <si>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</si>
  <si>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</si>
  <si>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</si>
  <si>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</si>
  <si>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</si>
  <si>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</si>
  <si>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Projects with a lease. Provide an executed lease agreement or lease option for the length of time the project will be regulated under this program connecting the applicant and the owner of the subject property.</t>
  </si>
  <si>
    <t>Demonstrate Site Control (Part II - Application - Section 5 - C) and 
Land Cost (Sources and Uses Budget)</t>
  </si>
  <si>
    <t>TAB 1 Site Control and Land Cost</t>
  </si>
  <si>
    <t>Reg. §§ 10325(f)(5), 10327(c), and 10322(h)(16)</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</si>
  <si>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</si>
  <si>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</si>
  <si>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</si>
  <si>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</si>
  <si>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Evidence of Homeless Assistance Apportionment. Reg. § 10315(b)</t>
  </si>
  <si>
    <t>Verification of Rural set-aside application. Reg. § 10322(h)(31) 
All applicants within the Rural set-aside, including those applying under the RHS and Native American apportionments, must provide evidence that the proposed project site is located in an eligible rural area.</t>
  </si>
  <si>
    <t>Evidence of RHS/HOME set-aside Apportionment. Reg. § 10322(h)(32)</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</si>
  <si>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</si>
  <si>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</si>
  <si>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Reg. § 10325(f)(3) &amp; 10325(f)(8)</t>
  </si>
  <si>
    <t xml:space="preserve">Evidence of commitments. Reg. § 10325(f)(3) </t>
  </si>
  <si>
    <t xml:space="preserve">For third party commitments defraying non-residential costs for tie breaker purposes under Reg. § 10325(c)(10)(A), provide evidence of commitment(s). </t>
  </si>
  <si>
    <t>Applicant Resources - audited certification of available resources. Reg. Sect. 10327(c)(8)</t>
  </si>
  <si>
    <t>Third party tax credit factor certification, if credits are not to be syndicated.
Reg. § 10322(h)(20)</t>
  </si>
  <si>
    <t>Use of tax benefits, if credits are not to be syndicated. Reg. § 10322(h)(18)</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</si>
  <si>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</si>
  <si>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Provide evidence of eligibility and include signed:</t>
  </si>
  <si>
    <t>Identities of Interest/Related Parties Disclosure for applicant entity and all general partners. Reg. § 10322(h)(6)</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</si>
  <si>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</si>
  <si>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</si>
  <si>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</si>
  <si>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</si>
  <si>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</si>
  <si>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Appraisal. Reg. §§ 10322(h)(9) and (26)(A)  </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</si>
  <si>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</si>
  <si>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</si>
  <si>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Reg. §§ 10325(f)(11)(C), 10327(g)(8), 10320(b), 10302(ff), 10322(k)</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</si>
  <si>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</si>
  <si>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</si>
  <si>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t>The unit rents in this application must maintain the rent and income targeting levels of the existing regulatory agreement, unless approved by the Executive Director.</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</si>
  <si>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</si>
  <si>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</si>
  <si>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</si>
  <si>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</si>
  <si>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</si>
  <si>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 xml:space="preserve">Provide income, rent and family size information for the current tenant population. 
Provide information about current tenant rent subsidies. </t>
  </si>
  <si>
    <t>Owner-occupied housing application</t>
  </si>
  <si>
    <t>Evidence that the relocation plan has been submitted to the appropriate local agency.</t>
  </si>
  <si>
    <t>Evidence that the relocation plan is consistent with the Uniform Relocation Assistance and Real Property Acquisition Policy Act, if applicable</t>
  </si>
  <si>
    <t>If proposing Rehabilitation, see minimum requirements in Reg. § 10326(g)(7).</t>
  </si>
  <si>
    <t xml:space="preserve">Must match the Utility Allowances provided by the public housing authority (PHA) or </t>
  </si>
  <si>
    <r>
      <t xml:space="preserve">List </t>
    </r>
    <r>
      <rPr>
        <b/>
        <u/>
        <sz val="10"/>
        <color indexed="10"/>
        <rFont val="Arial"/>
        <family val="2"/>
      </rPr>
      <t>annual</t>
    </r>
    <r>
      <rPr>
        <b/>
        <sz val="10"/>
        <color indexed="10"/>
        <rFont val="Arial"/>
        <family val="2"/>
      </rPr>
      <t xml:space="preserve"> expenses </t>
    </r>
  </si>
  <si>
    <r>
      <t xml:space="preserve">List </t>
    </r>
    <r>
      <rPr>
        <b/>
        <u/>
        <sz val="10"/>
        <color indexed="10"/>
        <rFont val="Arial"/>
        <family val="2"/>
      </rPr>
      <t>annual</t>
    </r>
    <r>
      <rPr>
        <b/>
        <sz val="10"/>
        <color indexed="10"/>
        <rFont val="Arial"/>
        <family val="2"/>
      </rPr>
      <t xml:space="preserve"> income </t>
    </r>
  </si>
  <si>
    <t xml:space="preserve">All of the cells except for the highlighted cells, are auto-populated after the </t>
  </si>
  <si>
    <t>"Income Information" in Section 3 is completed.</t>
  </si>
  <si>
    <t>Funding sources and costs should be aligned appropriately. For example, public funding sources for</t>
  </si>
  <si>
    <t xml:space="preserve">land purchase or construction costs should be shown as paying for these costs. Do not randomly </t>
  </si>
  <si>
    <t>See Basis and Credits tab for the tax credit factor minimum and maximum range.</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</si>
  <si>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</si>
  <si>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</si>
  <si>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</si>
  <si>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</si>
  <si>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</si>
  <si>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For public contributions of off-site costs, provide: 
● documentation of fee/waiver/reduction pursuant to a nexus study and relevant state government code provisions, OR 
● documentation that the off-sites must be developed as a condition of local approval.</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</si>
  <si>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</si>
  <si>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For tribal applicants with donated land value and land-purchase funding,
● see § 10325(c)(9) for eligibility.</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</si>
  <si>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</si>
  <si>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projects located in San Francisco or the City of Los Angeles,
● provide a formal letter of support.</t>
  </si>
  <si>
    <t>LEVERAGED SOFT FINANCING</t>
  </si>
  <si>
    <t>Size Factor:</t>
  </si>
  <si>
    <t>For mixed-use projects, the permanent Leveraged Soft Financing numerator must be discounted/reduced by the Mixed-Use Ratio below.</t>
  </si>
  <si>
    <t xml:space="preserve">Sample formula (commercial costs) for numerator Committed Permanent Leveraged Soft Financing defraying residential costs  = G44*(1-J49) </t>
  </si>
  <si>
    <t>New Const/
Rehab</t>
  </si>
  <si>
    <t>70% PVC for New Const/
Rehab
DDA/QCT SITES</t>
  </si>
  <si>
    <t>New Construction:</t>
  </si>
  <si>
    <t>Committed Permanent Leveraged Soft Financing defraying Residential Costs 
X Size Factor</t>
  </si>
  <si>
    <t>Total Leveraged Soft Financing excluding donated land and fee waivers</t>
  </si>
  <si>
    <t>CAPITALIZED VALUE OF RENT DIFFERENTIALS ATTRIBUTABLE TO PUBLIC RENT OR PUBLIC OPERATING SUBSIDIES CALCULATION</t>
  </si>
  <si>
    <t>FINALTIE BREAKER CALCULATION</t>
  </si>
  <si>
    <t>Total Residential Project Development Costs</t>
  </si>
  <si>
    <r>
      <t xml:space="preserve">List Leveraged Soft Financing </t>
    </r>
    <r>
      <rPr>
        <b/>
        <u/>
        <sz val="11"/>
        <rFont val="Arial"/>
        <family val="2"/>
      </rPr>
      <t>excluding</t>
    </r>
    <r>
      <rPr>
        <u/>
        <sz val="11"/>
        <rFont val="Arial"/>
        <family val="2"/>
      </rPr>
      <t xml:space="preserve"> donated land and fee waivers:</t>
    </r>
  </si>
  <si>
    <t>SIZE FACTOR CALCULATION</t>
  </si>
  <si>
    <t>Leveraged Soft Financing less commercial proration</t>
  </si>
  <si>
    <t xml:space="preserve">Leveraged Soft Financing times Size Factor </t>
  </si>
  <si>
    <t>Requested Unadjusted Eligible Basis</t>
  </si>
  <si>
    <t>Capitalized Value of Rent Differentials of Public Rent/operating Subsidies</t>
  </si>
  <si>
    <t>Available for Debt Service</t>
  </si>
  <si>
    <t>Loan Term (years)</t>
  </si>
  <si>
    <t>Interest Rate (annual)</t>
  </si>
  <si>
    <t>Capitalized Value of Rent Differentials</t>
  </si>
  <si>
    <t>If the contract does not specify an annual subsidy amount, enter:</t>
  </si>
  <si>
    <t>Annual Operating Subsidy Amount in Year 1:</t>
  </si>
  <si>
    <t>Aggregate Subsidy Amount:</t>
  </si>
  <si>
    <t>Number of Years in the Subsidy Contract:</t>
  </si>
  <si>
    <t>Total Rent Differentials</t>
  </si>
  <si>
    <t xml:space="preserve"> @ 1.15 Debt Coverage Ratio:</t>
  </si>
  <si>
    <t>Average Annual Operating Subsidy Amount:</t>
  </si>
  <si>
    <t>Annual Public Operating Subsidies:</t>
  </si>
  <si>
    <t>If a scattered site, provide a brief description of how the application meets the definition of Scattered Site Project. Reg. § 10302(ll).</t>
  </si>
  <si>
    <t>k) Highest or High Resources Area</t>
  </si>
  <si>
    <t>8 Points</t>
  </si>
  <si>
    <t xml:space="preserve">SITE  AMENITIES (Part VI - Points System - Section 1 - C(1)) </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</si>
  <si>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</si>
  <si>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</si>
  <si>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TRANSIT  Reg.  § 10325(c)(4)(A)(1)</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</si>
  <si>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</si>
  <si>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</si>
  <si>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</si>
  <si>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Documentation that includes a budget and operating schedule of van or dial-a-ride service for rural set-aside projects.</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</si>
  <si>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</si>
  <si>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</si>
  <si>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</si>
  <si>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</si>
  <si>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</si>
  <si>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</si>
  <si>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</si>
  <si>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</si>
  <si>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</si>
  <si>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</si>
  <si>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</si>
  <si>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</si>
  <si>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</si>
  <si>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</si>
  <si>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If a public school is under construction at application, please include evidence of this, as well as evidence from a third party, such as the school district, that the school will be completed and available to the residents prior to the project's completion.</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</si>
  <si>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</si>
  <si>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</si>
  <si>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</si>
  <si>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</si>
  <si>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</si>
  <si>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</si>
  <si>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1/2 mile (1 mile for Rural set-aside projects) of a pharmacy.</t>
  </si>
  <si>
    <t>A scaled for distance map evidencing the project site is within 1 mile (2 miles for Rural set-aside projects) of a pharmacy.</t>
  </si>
  <si>
    <t>Will-serve letter or comparable documentation of internet service availability.</t>
  </si>
  <si>
    <t>Certification from applicant of the high speed capacity of internet service being provided and a commitment to provide in-unit internet free of charge for 15 years.</t>
  </si>
  <si>
    <t>Service Amenities (Part VI - Points System - Section 1 - C(2))</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</si>
  <si>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</si>
  <si>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</si>
  <si>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</si>
  <si>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</si>
  <si>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</si>
  <si>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</si>
  <si>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</si>
  <si>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</si>
  <si>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Highest or High Resources Area  Reg. § 10325(c)(4)(A)(11)</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</si>
  <si>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</si>
  <si>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See Regulation Section 10322(h)(21) for type of projects that are allowed to use CUAC.</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</si>
  <si>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</si>
  <si>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Total Annual Transit Pass / Internet Expense (site amenity election):</t>
  </si>
  <si>
    <t>Management companies requesting experience points that manage less than 2 active California low income housing tax credit projects in service more than 3 years:</t>
  </si>
  <si>
    <t>Excess Purchase Price Over Appraisal</t>
  </si>
  <si>
    <t>Purchase price over appraisal</t>
  </si>
  <si>
    <t>9% Tax Credit Units:</t>
  </si>
  <si>
    <t>Total Tax Credit Units:</t>
  </si>
  <si>
    <t>If annual operating subsidy amount are similar in each year, enter:</t>
  </si>
  <si>
    <t xml:space="preserve">a) </t>
  </si>
  <si>
    <t xml:space="preserve">Many of the required calculations in the application are automatically performed by the spreadsheet program.  </t>
  </si>
  <si>
    <t>The electronic version is partitioned into the following categories:</t>
  </si>
  <si>
    <t>The electronic version is prepared using an Excel format. The application is divided into separate worksheets. To access a desired section of the application, simply click on the worksheet tab.</t>
  </si>
  <si>
    <t xml:space="preserve">This section provides overall guidance for the preparation of the electronic version. 
Each Attachment to the application contains detailed, specific instructions for that particular attachment. </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</si>
  <si>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</si>
  <si>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</si>
  <si>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should click on each highlighted item, selecting either the automatic "pull-down" option or entering appropriate amounts. </t>
  </si>
  <si>
    <t>In this section, the applicant must complete the yellow cells.  This section is completed as part of the requirements listed under Attachment 24.</t>
  </si>
  <si>
    <t xml:space="preserve">For projects with commercial/non-residential costs, the committed public funds will be discounted by the percentage of the commercial/non-residential portion.  </t>
  </si>
  <si>
    <t>Less: Excess Purchase Price Over Appraised Value</t>
  </si>
  <si>
    <t>Seller carryback financing and any portion of a loan from a public seller or related party that is less than or equal to sale proceeds due the seller, except for a public land loan to a new construction project, must be excluded from leveraged soft financing.</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</si>
  <si>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</si>
  <si>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</si>
  <si>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</si>
  <si>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A blank sheet has been included for any supplemental information the applicant wishes to provide.</t>
  </si>
  <si>
    <t>In this section, the applicant provides updated Sources and Uses Budget information over the course or the project development.  Separate instructions exist for this section at the end of this Excel file.</t>
  </si>
  <si>
    <t xml:space="preserve">To be completed post-award if a state credit exchange is required or requested. Please contact your regional analyst if you have questions about this section: </t>
  </si>
  <si>
    <t>The remaining instructions pertain to each particular section of the application. Although many of the items may appear obvious, follow instructions provided in this section.</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</si>
  <si>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</si>
  <si>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</si>
  <si>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The credit type, the annual federal credit amount and the total state credit amount will all be auto-populated after credits have been calculated in the Basis and Credits sheet.</t>
  </si>
  <si>
    <t>If Special Needs portion is between 50% and 75%, specify other housing type construction standards to be met.</t>
  </si>
  <si>
    <t>If "Yes", indicate if any of the proposed buildings of four or fewer units will be occupied by the owner (IRC 42 (i)(3)(C)).</t>
  </si>
  <si>
    <t>Fill in all highlighted lines.  These should be consistent with Attachment 14: Verification of Zoning and Attachment 26: Approvals Necessary to Begin Construction.</t>
  </si>
  <si>
    <t>Complete the highlighted line for the estimated timetable for the development and completion of the project.</t>
  </si>
  <si>
    <t>Total Eligible Basis Voluntarily Excluded:</t>
  </si>
  <si>
    <t>Subtract All Grant Proceeds to Finance Costs in Eligible Basis: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</si>
  <si>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</si>
  <si>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</si>
  <si>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</si>
  <si>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</si>
  <si>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Annual Rent Differential for Public Rent Subsidies:</t>
  </si>
  <si>
    <t>A. Submit a Qualified Capital Needs Assessment (Qualified CNA). If a third-party lender is providing financing, the Qualified CNA must be commissioned by said third-party lender.</t>
  </si>
  <si>
    <t>The “Percent of Area Median Income” category may be used only once. For instance, 50% of Low-Income Units at 50% of Area Median Income (AMI) cannot be used twice for 100% at 50% and receive 50 points, nor can 50% of Low-Income Units at 50% of Area Median Income for 25 points and 40% of Low-Income Units at 50% of Area Median Income be used for an additional 20 points. However, the “Percent of Low-Income Units” may be used multiple times. For example, 50% of Low-Income Units at 50% of Area Median Income for 25 points may be combined with another 50% of Low-Income Units at 45% of Area Median Income to achieve the maximum points. All projects must score at least 45 points in this category to be eligible for 9% Tax Credit.</t>
  </si>
  <si>
    <t>Existing Improvements Cost or Value</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</si>
  <si>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</si>
  <si>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Total Points for Highest or High Resources Area:</t>
  </si>
  <si>
    <t>TOTAL LI BEDROOMS</t>
  </si>
  <si>
    <t>TOTAL LI BRs</t>
  </si>
  <si>
    <t>TOTAL Market BRs</t>
  </si>
  <si>
    <t>TOTAL Market BEDROOMS</t>
  </si>
  <si>
    <t>TOTAL LI &amp; Market BRs</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</si>
  <si>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</si>
  <si>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</si>
  <si>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 xml:space="preserve">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
</t>
  </si>
  <si>
    <t xml:space="preserve">(https://www.treasurer.ca.gov/ctcac/cuac/index.asp) </t>
  </si>
  <si>
    <t>If project is subject to state prevailing wage law, include certification that contractors and subcontractors will comply with § 1725.5 of the Labor Code.</t>
  </si>
  <si>
    <t>Evidence of Non-profit set-aside application. Reg. §§ 10322(h)(30)(A) through (E)</t>
  </si>
  <si>
    <t>Project in DDA/QCT but not requesting 130% boost:</t>
  </si>
  <si>
    <t>Project Type:</t>
  </si>
  <si>
    <r>
      <t>Total common area square footage (including managers’ units)</t>
    </r>
    <r>
      <rPr>
        <sz val="9"/>
        <rFont val="Arial"/>
        <family val="2"/>
      </rPr>
      <t>:</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</si>
  <si>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</si>
  <si>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</si>
  <si>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</si>
  <si>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Appraisal Costs</t>
  </si>
  <si>
    <t xml:space="preserve">Construction Hard Cost Contingency </t>
  </si>
  <si>
    <t>Total Contingency Costs</t>
  </si>
  <si>
    <t>CONTINGENCY COSTS</t>
  </si>
  <si>
    <t>Construction Hard Cost Contingency</t>
  </si>
  <si>
    <t>State tax credit factor must be at least $0.80 for "certified" state credits; at least $0.79 for self-syndication projects; or at least $0.70 for all other projects</t>
  </si>
  <si>
    <t xml:space="preserve">V. BASIS AND CREDITS </t>
  </si>
  <si>
    <t>**QCT or DDA Adjustment:</t>
  </si>
  <si>
    <t>70% PVC for New Const/
Rehab
NON-DDA/
NON-QCT SITES*</t>
  </si>
  <si>
    <t>30% PVC for Acquisition
NON-DDA/
NON-QCT SITES*</t>
  </si>
  <si>
    <t>If Applying For State Credit Complete Section (D) &amp; (E).</t>
  </si>
  <si>
    <t>Toggle the desired option: 20%/50%, 40%/60%, or 40%/60% Average Income</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</si>
  <si>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</si>
  <si>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</si>
  <si>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An applicant proposing a project to include senior housing in combination with non-senior housing shall provide a third party legal opinion stating that the project complies with fair housing law. Reg. § 10322(h)(34).</t>
  </si>
  <si>
    <t>If the applicant requests basis for a community service facility, must submit a third party tax attorney’s opinion stating that the community service facility meets the requirements of IRC § 42(d)(4)(C). Reg. § 10322(h)(33)</t>
  </si>
  <si>
    <t>Scattered site projects. A scattered site more than 1 mile (1.5 miles for Rural set-aside) from the nearest other site with services must provide services independently.</t>
  </si>
  <si>
    <t>Central Coast Region: Monterey, San Benito, San Luis Obispo, Santa Barbara, Santa Cruz, and Ventura Counties</t>
  </si>
  <si>
    <r>
      <t xml:space="preserve">Geographic Area </t>
    </r>
    <r>
      <rPr>
        <sz val="8"/>
        <rFont val="Arial"/>
        <family val="2"/>
      </rPr>
      <t>(Reg. Section 10315(i))</t>
    </r>
  </si>
  <si>
    <t>Applicant Resources - If the applicant intends to finance part or all of the project from its own resources (other than deferred fees), provide audited certification of available resources. Reg. § 10327(c)(8)</t>
  </si>
  <si>
    <r>
      <t>Percent</t>
    </r>
    <r>
      <rPr>
        <b/>
        <sz val="8"/>
        <rFont val="Arial"/>
        <family val="2"/>
      </rPr>
      <t xml:space="preserve"> of 
Area Median Income (AMI)
(20% -  55%)*</t>
    </r>
  </si>
  <si>
    <t>**60-80% AMI is included as a place-holder and will not receive any points.</t>
  </si>
  <si>
    <t>**60-80%</t>
  </si>
  <si>
    <t>Projects electing the "40%/60% Average Income" federal set-aside must choose targeting in 10% increments of Area Median Income (i.e. 20% AMI, 30% AMI, 40% AMI, etc.).</t>
  </si>
  <si>
    <t>8.8*</t>
  </si>
  <si>
    <t>7.5*</t>
  </si>
  <si>
    <t>6.3*</t>
  </si>
  <si>
    <t>3.8*</t>
  </si>
  <si>
    <t>2.5*</t>
  </si>
  <si>
    <t>5.0*</t>
  </si>
  <si>
    <t>Number of Low-Income Units @ no greater than 30% AMI</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</si>
  <si>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</si>
  <si>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</si>
  <si>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</si>
  <si>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</si>
  <si>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</si>
  <si>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</si>
  <si>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</si>
  <si>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Special Needs, Number of Bedrooms =</t>
  </si>
  <si>
    <t>Single Housing Type</t>
  </si>
  <si>
    <t>Minimum ratio of 1 Full Time Equivalent (FTE) Service Coordinator to 600 bedrooms.</t>
  </si>
  <si>
    <t>Minimum ratio of 1 FTE Services Specialist to 600 bedrooms.</t>
  </si>
  <si>
    <t>*small developments = 20 units or less</t>
  </si>
  <si>
    <t xml:space="preserve">Minimum of 84 hours instruction each year (42 hours for small developments*).  </t>
  </si>
  <si>
    <t xml:space="preserve">Minimum of 60 hours instruction each year (30 hours for small developments*).  </t>
  </si>
  <si>
    <t xml:space="preserve">Minimum of 100 hours of services per year for each 100 bedrooms.  </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</si>
  <si>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</si>
  <si>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</si>
  <si>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</si>
  <si>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of 10 hours per week, offered weekdays throughout the school year.</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</si>
  <si>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</si>
  <si>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Minimum ratio of 1 Full Time Equivalent (FTE) Case Manager to 100 bedrooms.</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</si>
  <si>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</si>
  <si>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</si>
  <si>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</si>
  <si>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</si>
  <si>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 xml:space="preserve">Minimum of 84 hours of instruction each year (42 hours for small developments*).  </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</si>
  <si>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</si>
  <si>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and whether each source listed in the Sources and Uses Budget workbook (Row 104) matches that of Permanent Financing in the Application workbook (Row 107).  </t>
  </si>
  <si>
    <t>Non-rural project, Census Tract is Highest Resource (20 percentage points)</t>
  </si>
  <si>
    <t>Non-rural project, Census Tract is High Resource (10 percentage points)</t>
  </si>
  <si>
    <t>Rural project, Census Tract is Highest Resource (10 percentage points)</t>
  </si>
  <si>
    <t>Rural project, Census Tract is High Resource (5 percentage points)</t>
  </si>
  <si>
    <t>Bonus</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</si>
  <si>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</si>
  <si>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</si>
  <si>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Public Subsidy</t>
  </si>
  <si>
    <t>Use 40% AMI for ALL OTHERS</t>
  </si>
  <si>
    <t>*Rent Limit Underwriting:</t>
  </si>
  <si>
    <t>*Rent Limit:</t>
  </si>
  <si>
    <t>Annual Rent</t>
  </si>
  <si>
    <t xml:space="preserve">Special Needs Units in Special Needs Projects subject to the 40% average AMI requirement </t>
  </si>
  <si>
    <t>Proportional Scoring 2 housing types</t>
  </si>
  <si>
    <t>Projects receiving reservation under the first or second priority:</t>
  </si>
  <si>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</si>
  <si>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Acquisition and Rehabilitation/Rehabilitation-only Projects (including Resyndication projects)</t>
  </si>
  <si>
    <t>Architect's certification of High-Rise project, if applicable.</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</si>
  <si>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</si>
  <si>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**Applicable Percentage:</t>
  </si>
  <si>
    <t>**Applicants are required to use these percentages in calculating credit at the application stage.</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</si>
  <si>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</si>
  <si>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</si>
  <si>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</si>
  <si>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</si>
  <si>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</si>
  <si>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</si>
  <si>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IV. SOURCES AND USES BUDGET - SECTION 2: SOURCES AND BASIS BREAKDOWN BY DDA/QCT AND NON-DDA/NON-QCT</t>
  </si>
  <si>
    <t>DDA/QCT
Building(s)
COST</t>
  </si>
  <si>
    <t>NON-DDA/
NON-QCT Building(s)
COST</t>
  </si>
  <si>
    <t>70% PVC for New Const/
Rehabilitation
DDA/QCT
Building(s)</t>
  </si>
  <si>
    <t>70% PVC for New Const/
Rehabilitation
NON-DDA/
NON-QCT Building(s)</t>
  </si>
  <si>
    <t>30% PVC for Acquisition
DDA/QCT Building(s)</t>
  </si>
  <si>
    <t>30% PVC for Acquisition
NON-DDA/
NON-QCT Building(s)</t>
  </si>
  <si>
    <t>Projects w/ building(s) located in DDA/QCT areas &amp; Non-DDA/Non-QCT areas, bifurcate accordingly.</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</si>
  <si>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</si>
  <si>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</si>
  <si>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D(3)  New Construction and Rehabilitation projects:</t>
  </si>
  <si>
    <t>Evidence of streamlined, ministerial approval (SB35) – provide written documentation from the local planning department or entity providing final approval.</t>
  </si>
  <si>
    <t xml:space="preserve"> need not be one of the 'Special Needs projects.</t>
  </si>
  <si>
    <t>To qualify for this option, all projects must qualify as Special Needs.  The California LIHTC project</t>
  </si>
  <si>
    <t>In addition to meeting one of the categories above (i through v), points are available to applicants committing to provide</t>
  </si>
  <si>
    <t xml:space="preserve">residents free transit passes or discounted passes to each rent restricted unit for at least 15 years. (For item (iv) </t>
  </si>
  <si>
    <t xml:space="preserve">Rural set-aside projects, points not available for projects with van services. Only available to projects with dial-a-ride </t>
  </si>
  <si>
    <t>service for free or discounted dial-a-ride passes):</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</si>
  <si>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</si>
  <si>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</si>
  <si>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</si>
  <si>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projects. Items 1 through 12 are mutually exclusive. One proposed service may not receive points under two different categories, except in the case of proportionately-scored services for special needs projects.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</si>
  <si>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</si>
  <si>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</si>
  <si>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</si>
  <si>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 xml:space="preserve">To qualify for this option, all projects must qualify as Special Needs.  The California LIHTC project </t>
  </si>
  <si>
    <t>need not be one of the Special Needs projects.</t>
  </si>
  <si>
    <t xml:space="preserve"> The Service Budget worksheet must be completed.</t>
  </si>
  <si>
    <t>-Rural only*</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</si>
  <si>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</si>
  <si>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</si>
  <si>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 xml:space="preserve">4% Development Project Costs: </t>
  </si>
  <si>
    <t>Residential Project Development Cost</t>
  </si>
  <si>
    <t>Commercial Project Development Cost</t>
  </si>
  <si>
    <t>Total 4% Project Cost</t>
  </si>
  <si>
    <t xml:space="preserve">HYBRID (NEW CONSTRUCTION) </t>
  </si>
  <si>
    <t xml:space="preserve">HYBRID PROJECT (NEW CONSTRUCTION) </t>
  </si>
  <si>
    <t>4% Development Units</t>
  </si>
  <si>
    <t xml:space="preserve"> Amount of 4% Tax Credit Units:</t>
  </si>
  <si>
    <t>efficiency and sustainability features' quality when replacing systems and materials. When requesting a threshold</t>
  </si>
  <si>
    <t xml:space="preserve">basis increase for a prevailing wage requirement, if the project is subject to state prevailing wages, I certify that </t>
  </si>
  <si>
    <t>contractors and subcontractors will comply with California Labor Code Section 1725.5. In an application proposing</t>
  </si>
  <si>
    <t xml:space="preserve">rehabilitation work, I certify that all necessary work identified in the Capital Needs Assessment, including the </t>
  </si>
  <si>
    <t>provided to tenants for a period of at least 15 years, free of charge (except child care).</t>
  </si>
  <si>
    <t xml:space="preserve">will be available within 6 months of the project's placed in service date, will be of a regular and ongoing nature and </t>
  </si>
  <si>
    <t xml:space="preserve">Include the questionnaire and any documents required within the questions in Tab 8.
Include documentation associated with the any exemption or waiver.  </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</si>
  <si>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</si>
  <si>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</si>
  <si>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</si>
  <si>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**Contract Rent Underwriting:</t>
  </si>
  <si>
    <t>**Contract Rent</t>
  </si>
  <si>
    <t>VII. TIE BREAKER SYSTEM - PROJECT FINAL TIE BREAKER SELF-SCORE</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</si>
  <si>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</si>
  <si>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</si>
  <si>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</si>
  <si>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Other Operating</t>
  </si>
  <si>
    <t>Expenses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</si>
  <si>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</si>
  <si>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Applicants must submit the application on a flash drive.</t>
  </si>
  <si>
    <t>I. INSTRUCTIONS - SECTION 1: INSTRUCTIONS</t>
  </si>
  <si>
    <t xml:space="preserve">Applicant Statement and Certification </t>
  </si>
  <si>
    <t>an originally signed applicant certification.</t>
  </si>
  <si>
    <t xml:space="preserve">II. APPLICATION - SECTION 1: APPLICANT STATEMENT AND CERTIFICATION </t>
  </si>
  <si>
    <t>https://www.treasurer.ca.gov/ctcac/forms/reserve-certification.docx</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</si>
  <si>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</si>
  <si>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https://www.treasurer.ca.gov/ctcac/guidance.asp</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</si>
  <si>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</si>
  <si>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</si>
  <si>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Reg. § 10325(c)(1)(A)</t>
  </si>
  <si>
    <t>Reg. § 10325(c)(1)(B)</t>
  </si>
  <si>
    <t>If additional contact information for project participants not identified in "Part II - Application - Section 4 - A" of this application, please provide in this section. 
Reg. § 10322(h)(5)</t>
  </si>
  <si>
    <t>TAB 21 General Partner Experience</t>
  </si>
  <si>
    <t>An enforceable management agreement executed by both parties for the subject application.</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</si>
  <si>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</si>
  <si>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 xml:space="preserve">make an election to sell ("certificate") or not sell all or any portion of the state credit, as allowed pursuant to </t>
  </si>
  <si>
    <t xml:space="preserve">I acknowledge that if I elect to sell ("certificate") all or any portion of the state credit, I may, only once, revoke </t>
  </si>
  <si>
    <t>an election to sell at any time before CTCAC issues the Form(s) 3521A for the project.</t>
  </si>
  <si>
    <t xml:space="preserve">non-profit entity, and that the state credit price will not be less than eighty (80) cents per dollar of credit. </t>
  </si>
  <si>
    <t>C(3)</t>
  </si>
  <si>
    <t xml:space="preserve">Year DDA: </t>
  </si>
  <si>
    <t>State Farmworker Credit?</t>
  </si>
  <si>
    <t>Adaptive Reuse</t>
  </si>
  <si>
    <t>Plus (+) 20% basis adjustment - Prevailing Wages</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</si>
  <si>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</si>
  <si>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</si>
  <si>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</si>
  <si>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</si>
  <si>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</si>
  <si>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</si>
  <si>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</si>
  <si>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</si>
  <si>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</si>
  <si>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</si>
  <si>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</si>
  <si>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</si>
  <si>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 xml:space="preserve">National Housing Trust Fund (HTF) </t>
  </si>
  <si>
    <t xml:space="preserve">Qualified Opportunity Zone Investment </t>
  </si>
  <si>
    <t>MIP</t>
  </si>
  <si>
    <t>*Total Requested Unadjusted Eligible Basis:</t>
  </si>
  <si>
    <t xml:space="preserve">*Voluntary exclusion of eligible basis from acquisition eligible basis shall be the entire amount of acquisition total eligible basis or Zero.
</t>
  </si>
  <si>
    <r>
      <t xml:space="preserve">**130% Adjustment for DDA, QCT, or Reg. </t>
    </r>
    <r>
      <rPr>
        <sz val="8.8000000000000007"/>
        <rFont val="Arial"/>
        <family val="2"/>
      </rPr>
      <t>§</t>
    </r>
    <r>
      <rPr>
        <sz val="8"/>
        <rFont val="Arial"/>
        <family val="2"/>
      </rPr>
      <t>10317(d):</t>
    </r>
  </si>
  <si>
    <t>**Boost is auto calculated from your selection in: II. APPLICATION - SECTION 2: GENERAL AND SUMMARY INFORMATION - B</t>
  </si>
  <si>
    <t>Factor Amount based on selection in: II. APPLICATION - SECTION 2: GENERAL AND SUMMARY INFORMATION - B</t>
  </si>
  <si>
    <t xml:space="preserve">on or before December 31, 2019 are complete, then energy efficiency beyond the </t>
  </si>
  <si>
    <t>requirements in the 2016 Title 24, Part 6 of the California Building Code (2016 Standards)</t>
  </si>
  <si>
    <t>5 EDR Pts.</t>
  </si>
  <si>
    <t>8 EDR Pts.</t>
  </si>
  <si>
    <t>2015 Enterprise Green Communities</t>
  </si>
  <si>
    <t>§12206(c)(4) of Rev. and Tax Code for 95% eligible basis:</t>
  </si>
  <si>
    <t>Reg. Section 10325(c)(7)(A)&amp;(B)</t>
  </si>
  <si>
    <t>Reg. §10325(c)(7)(A)</t>
  </si>
  <si>
    <t xml:space="preserve">Complete as appropriate.  Amounts should be consistent and verifiable  with information in the </t>
  </si>
  <si>
    <t>application and Checklist attachments.</t>
  </si>
  <si>
    <t xml:space="preserve">tiebreaker. </t>
  </si>
  <si>
    <t>Deferred-payment financing, residual receipts payment financing, grants and subsidies. Reg. § 10325(f)(8)</t>
  </si>
  <si>
    <t>If claiming threshold basis limit increase based on new construction project buildings more energy efficient than applicable Energy Efficiency Standards, provide a Sustainable Building Method Workbook.</t>
  </si>
  <si>
    <t>https://www.treasurer.ca.gov/ctcac/2018/lra/contact.pdf</t>
  </si>
  <si>
    <t>the 2019 Title 24, Part 6 of the California Building Code (2019 Standards):</t>
  </si>
  <si>
    <t xml:space="preserve">If not requesting General Partner Experience points under Tab 21, Provide evidence that a general partner meets the minimum scoring standards of Section 10325(c)(1)(A) and include a signed: </t>
  </si>
  <si>
    <t xml:space="preserve">If not requesting Management Company Experience points under Tab 22, provide evidence that the property management company meets the minimum scoring standards of Section 10325(c)(1)(B) and include a signed: </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</si>
  <si>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</si>
  <si>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High-Rise (4+ habitable stories)</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</si>
  <si>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</si>
  <si>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 xml:space="preserve">SRO Projects </t>
  </si>
  <si>
    <t>Reg. §§ 10325(g)(4)(A) &amp; (B)</t>
  </si>
  <si>
    <t>Reg. §§ 10325(g)(5)(A) through (J)</t>
  </si>
  <si>
    <t>Large Family, Senior, SRO, At-Risk, Number of Bedrooms =</t>
  </si>
  <si>
    <t>a) Large Family, Senior, SRO, At-Risk projects:</t>
  </si>
  <si>
    <t>Number of Staff:</t>
  </si>
  <si>
    <t>Number of Rent-Free Units:</t>
  </si>
  <si>
    <t>Specialty Locality Taxes (community facilities district, mello roos, etc.:</t>
  </si>
  <si>
    <t>Total Annual Monitoring Fees:</t>
  </si>
  <si>
    <t>Ground Lease Payment (if applicable)</t>
  </si>
  <si>
    <t>Monitoring Fees</t>
  </si>
  <si>
    <t>Specialty Local Taxes</t>
  </si>
  <si>
    <t>Cash Flow</t>
  </si>
  <si>
    <t>) /2)</t>
  </si>
  <si>
    <t>Total Possible Points: 109, Minimum Point Threshold: 93</t>
  </si>
  <si>
    <t>Native American Apportionment: Total Possible Points: 94, Minimum Point Threshold: 80</t>
  </si>
  <si>
    <t>D.  Lowest Income</t>
  </si>
  <si>
    <t>D(1) Lowest Income Restriction for All Units</t>
  </si>
  <si>
    <t>D(2) Lowest Income for 10% of Total Low-Income Units at no greater than 30% AMI</t>
  </si>
  <si>
    <t>E.  Readiness to Proceed</t>
  </si>
  <si>
    <t>F.  Miscellaneous Federal and State Policies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</si>
  <si>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</si>
  <si>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</si>
  <si>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</si>
  <si>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*A development wherein at least 25% of the tax credit units are 3-bedroom or larger; or, for special needs housing type, at least 25% of the large family tax credit units are 3-bedroom or larger.</t>
  </si>
  <si>
    <t xml:space="preserve">Federal tax credit factor must be at least $1.00 for self-syndication projects or at least $0.80 for all other projects.  </t>
  </si>
  <si>
    <t>Third-party Construction Management</t>
  </si>
  <si>
    <t>LEGAL FEES AND 
THIRD-PARTY CONSULTING FEES</t>
  </si>
  <si>
    <t>Financial Consulting, 
Application Preparation/Review</t>
  </si>
  <si>
    <t>Entitlement Services, Building Permit Expediting</t>
  </si>
  <si>
    <t>Tenant File Review Services</t>
  </si>
  <si>
    <t>Total Legal and Consulting Costs</t>
  </si>
  <si>
    <t>Processing Agent</t>
  </si>
  <si>
    <t>If Senior, identify the minimum age requirement:</t>
  </si>
  <si>
    <t>If At-Risk, identify when the longest term existing restriction(s) will expire:</t>
  </si>
  <si>
    <t>Will demolition of an existing structure be involved?</t>
  </si>
  <si>
    <t>If demolition of housing units, how many units demolished?</t>
  </si>
  <si>
    <t>Will relocation of existing tenants be involved?</t>
  </si>
  <si>
    <t>Seller Principal:</t>
  </si>
  <si>
    <t>Seller Address:</t>
  </si>
  <si>
    <t>Expected escrow closing date:</t>
  </si>
  <si>
    <t>Amount of SOFT perm financing covering the excess purchase price over appraised value</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</si>
  <si>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</si>
  <si>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</si>
  <si>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</si>
  <si>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</si>
  <si>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</si>
  <si>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</si>
  <si>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</si>
  <si>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</si>
  <si>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</si>
  <si>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</si>
  <si>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</si>
  <si>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Net Acres</t>
  </si>
  <si>
    <t>Bedrooms per Net Acre</t>
  </si>
  <si>
    <t>TOTAL Manager BRs</t>
  </si>
  <si>
    <t>Total Number of Parking Spaces</t>
  </si>
  <si>
    <t>Covered Spaces</t>
  </si>
  <si>
    <t>Uncovered Spaces</t>
  </si>
  <si>
    <t>Plans and designs submitted to locality for plan check?</t>
  </si>
  <si>
    <t>If yes, list the number of rounds</t>
  </si>
  <si>
    <t>Percentage of construction documents that the proposed</t>
  </si>
  <si>
    <t>hard cost budget is based on:</t>
  </si>
  <si>
    <r>
      <t xml:space="preserve">Amort. Term </t>
    </r>
    <r>
      <rPr>
        <sz val="8"/>
        <rFont val="Arial"/>
        <family val="2"/>
      </rPr>
      <t>(months)</t>
    </r>
  </si>
  <si>
    <t>Lien Position</t>
  </si>
  <si>
    <t>Fixed/ Variable</t>
  </si>
  <si>
    <t>Required Payment</t>
  </si>
  <si>
    <t>Average Square Feet</t>
  </si>
  <si>
    <t>(g)
% of Area Median Income</t>
  </si>
  <si>
    <t>(h)        
% of Actual AMI</t>
  </si>
  <si>
    <r>
      <t xml:space="preserve">AVERAGE AFFORDABILITY BY AMI </t>
    </r>
    <r>
      <rPr>
        <b/>
        <u/>
        <sz val="10"/>
        <rFont val="Arial"/>
        <family val="2"/>
      </rPr>
      <t>ACTUAL RENTS</t>
    </r>
  </si>
  <si>
    <t>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List source(s) or labor-affiliated organization(s):</t>
  </si>
  <si>
    <t xml:space="preserve">Plus (+) 5% basis adjustment </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</si>
  <si>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</si>
  <si>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</si>
  <si>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 xml:space="preserve">For projects applying under Section 10325 or Section 10326 of these regulations that include one or more of the energy efficiency/resource conservation/indoor air quality items </t>
  </si>
  <si>
    <r>
      <t>Local development impact fees required to be paid to local government entities.  Certification from local entities assessing fees also required.</t>
    </r>
    <r>
      <rPr>
        <b/>
        <sz val="10"/>
        <rFont val="Arial"/>
        <family val="2"/>
      </rPr>
      <t xml:space="preserve">  
WAIVED IMPACT FEES ARE INELIGIBLE</t>
    </r>
  </si>
  <si>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</si>
  <si>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</si>
  <si>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</si>
  <si>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</si>
  <si>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</si>
  <si>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</si>
  <si>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</si>
  <si>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Outstanding principal balances for projects subject to an existing CTCAC regulatory agreement shall not be considered public funds if such loans were funded less than 30 years prior to the application deadline.</t>
  </si>
  <si>
    <t>TAB 25 LEAVE BLANK</t>
  </si>
  <si>
    <t>sum item e</t>
  </si>
  <si>
    <t>Processing Agent Fees</t>
  </si>
  <si>
    <t>Construction Management by Developer</t>
  </si>
  <si>
    <t>Other: Borrower Attorney</t>
  </si>
  <si>
    <t>Please contact Sarah.Gullikson@treasurer.ca.gov if you find any errors in the electronic application. For general application questions, please contact the regional analyst.</t>
  </si>
  <si>
    <t xml:space="preserve">Attachments may be completed and signed using electronic format utilizing electronic signatures.  </t>
  </si>
  <si>
    <t>Install bamboo, stained concrete, cork, salvaged or FSC-Certified wood, natural linoleum, natural rubber, or ceramic tile in all interior floor space other than units (where no VOC adhesives or backing is also used). Threshold Basis Limit increase 2%.</t>
  </si>
  <si>
    <t>Highest Resource</t>
  </si>
  <si>
    <t>High Resource</t>
  </si>
  <si>
    <t>Moderate Resource (Rapidly Changing)</t>
  </si>
  <si>
    <t>Moderate Resource</t>
  </si>
  <si>
    <t>Low Resource</t>
  </si>
  <si>
    <t>High Segregation &amp; Poverty</t>
  </si>
  <si>
    <t>https://www.treasurer.ca.gov/ctcac/opportunity.asp</t>
  </si>
  <si>
    <t>Missing/Insufficient Data</t>
  </si>
  <si>
    <t>Total</t>
  </si>
  <si>
    <t>Adjustment</t>
  </si>
  <si>
    <t>Adjusted</t>
  </si>
  <si>
    <t>Units</t>
  </si>
  <si>
    <t>Factor</t>
  </si>
  <si>
    <t>Studio/SRO</t>
  </si>
  <si>
    <t>1-Bedroom</t>
  </si>
  <si>
    <t>2-Bedroom</t>
  </si>
  <si>
    <t>3-Bedroom</t>
  </si>
  <si>
    <t>4-Bedroom or larger</t>
  </si>
  <si>
    <t>DISASTER CREDIT TIE BREAKER</t>
  </si>
  <si>
    <t>First Tie Breaker</t>
  </si>
  <si>
    <t>2017 (FCAA)</t>
  </si>
  <si>
    <t>2018 (FCAA)</t>
  </si>
  <si>
    <t>Project is located in a disaster area fire perimeter:</t>
  </si>
  <si>
    <t>https://www.treasurer.ca.gov/ctcac/2020/applications/maps-and-perimeters.asp</t>
  </si>
  <si>
    <t>2020 (CAA)</t>
  </si>
  <si>
    <t>Second Tie Breaker</t>
  </si>
  <si>
    <t>Enforceable financing commitment from HCD?</t>
  </si>
  <si>
    <t>Amount of commitment:</t>
  </si>
  <si>
    <t>Federal Tax Credit Request / Total Eligible Basis:</t>
  </si>
  <si>
    <t>Rehabilitated project buildings shall have an 80% decrease in estimated TDV energy use (or improvement in energy efficiency) post rehabilitation as demonstrated using the appropriate performance module of CEC approved software. Threshold Basis Limit increase 4%.</t>
  </si>
  <si>
    <t>Third Tie Breaker</t>
  </si>
  <si>
    <t>Annual Federal Credit Request</t>
  </si>
  <si>
    <t>Bedroom-Adjusted Units per Federal Credit</t>
  </si>
  <si>
    <t>HCD Program Name:</t>
  </si>
  <si>
    <t xml:space="preserve">If yes, select fire perimeter year: </t>
  </si>
  <si>
    <t xml:space="preserve">If no, continue to Second Tie Breaker. </t>
  </si>
  <si>
    <t>Annual Fed Credit</t>
  </si>
  <si>
    <t>Total Eligible Basis</t>
  </si>
  <si>
    <t>Federal Credits Per Bedroom-Adjusted Unit</t>
  </si>
  <si>
    <t>Rural apportionment (HOME)</t>
  </si>
  <si>
    <t>Central Valley Region: Fresno, Kern, Kings, Madera, Merced, San Joaquin, Stanislaus, and Tulare Counties</t>
  </si>
  <si>
    <t xml:space="preserve">Hold harmless rents cannot exceed the federal set-aside current tax credit rent limits. Must use current rent limits for units included in the lowest income point category. </t>
  </si>
  <si>
    <t>Resyndication project using hold harmless rent limits in the above table?</t>
  </si>
  <si>
    <t>If you are a Special Needs Project, please enter the number of Special Needs Bedrooms:</t>
  </si>
  <si>
    <t>Total # Low Income Bedrooms</t>
  </si>
  <si>
    <t>Total # Special Needs Bedrooms</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</si>
  <si>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</si>
  <si>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</si>
  <si>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</si>
  <si>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</si>
  <si>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Applicants must provide evidence that the property is within control of the application.
May be evidenced by one of the options listed in Reg. § 10325(f)(2).
Provide details 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</si>
  <si>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</si>
  <si>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</si>
  <si>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</si>
  <si>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</si>
  <si>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</si>
  <si>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Attachments - Exhibit B: GP Exp tab</t>
  </si>
  <si>
    <t>Attachments - Exhibit B: LSQ tab</t>
  </si>
  <si>
    <t>Attachments - Exhibit B: MC Exp tab</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</si>
  <si>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</si>
  <si>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</si>
  <si>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Attachments - Exhibit A: Resyndication tab</t>
  </si>
  <si>
    <t>All resyndication projects must complete the ownership transfer questionnaire on:</t>
  </si>
  <si>
    <t xml:space="preserve">Complete: </t>
  </si>
  <si>
    <t>Attachments - Exhibit A: Min. Const. Stds. tab</t>
  </si>
  <si>
    <t>Refer to:</t>
  </si>
  <si>
    <t>Attachments - Exhibit A: Const. &amp; Design tab</t>
  </si>
  <si>
    <t>Attachments - Exhibit B: Zoning tab</t>
  </si>
  <si>
    <t xml:space="preserve">Evidence of local approvals and zoning 
Provide evidence of eligibility per regulation guidelines and include signed:
</t>
  </si>
  <si>
    <t>If requesting federal and state farmworker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</si>
  <si>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</si>
  <si>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</si>
  <si>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</si>
  <si>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</si>
  <si>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</si>
  <si>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</si>
  <si>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</si>
  <si>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Accessibility tab</t>
  </si>
  <si>
    <t xml:space="preserve">Documentation of the census tract in which at least 50% of the households have an income of less that 60% AMI, or QCT status. This information is available from HUD: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</si>
  <si>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</si>
  <si>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Attachments - Exhibit B: Farmworker tab</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</si>
  <si>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</si>
  <si>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t>For City Manager, please refer to the following website:</t>
  </si>
  <si>
    <t>Operating Subsidy (if applicable)</t>
  </si>
  <si>
    <t xml:space="preserve">If (iv), select one: </t>
  </si>
  <si>
    <t>Van service</t>
  </si>
  <si>
    <t>Dial-a-ride service</t>
  </si>
  <si>
    <t>If Special Needs housing type, list the number of Special Needs Units:</t>
  </si>
  <si>
    <t>Homeless</t>
  </si>
  <si>
    <t xml:space="preserve">The undersigned applicant hereby makes application to the California Tax Credit Allocation Committee (“CTCAC”) </t>
  </si>
  <si>
    <t>financial feasibility analyses which CTCAC is required to perform on at least three occasions.</t>
  </si>
  <si>
    <t>I agree it is my responsibility to provide CTCAC with the original complete application and the Local Reviewing Agency</t>
  </si>
  <si>
    <t>such other information as CTCAC requests as necessary to evaluate my application.  I represent that if a reservation</t>
  </si>
  <si>
    <t>information and documents as may be requested. I understand that CTCAC may verify information provided and</t>
  </si>
  <si>
    <t>have an affirmative duty to inform CTCAC when any information in the application or supplemental materials is no</t>
  </si>
  <si>
    <t xml:space="preserve">longer true and to supply CTCAC with the latest and accurate information. </t>
  </si>
  <si>
    <t>maintenance of housing for qualified low-income households.  I acknowledge that CTCAC has recommended that</t>
  </si>
  <si>
    <t xml:space="preserve">I agree to hold CTCAC, its members, officers, agents, and employees harmless from any matters arising out of or </t>
  </si>
  <si>
    <t xml:space="preserve">I agree that CTCAC will determine the Credit amount to comply with requirements of IRC Section 42 but that CTCAC </t>
  </si>
  <si>
    <t xml:space="preserve">in no way warrants the feasibility or viability of the project to anyone for any purpose.  I acknowledge that CTCAC </t>
  </si>
  <si>
    <t>by CTCAC which identify the priorities and other standards which will be employed to evaluate applications.</t>
  </si>
  <si>
    <t xml:space="preserve">I acknowledge that the information submitted to CTCAC in this application or supplemental thereto may be subject </t>
  </si>
  <si>
    <t>to the Public Records Act or other disclosure.  I understand that CTCAC may make such information public.</t>
  </si>
  <si>
    <t xml:space="preserve">guarantee that each item identified in CTCAC’s minimum construction standards will be incorporated into the design of </t>
  </si>
  <si>
    <t xml:space="preserve">the project, unless a waiver has been approved by CTCAC. The project will at least maintain the installed energy </t>
  </si>
  <si>
    <t>completion.  I certify and guarantee that any tenant services proposed under CTCAC Regulation Section 10325(c)(5)(B)</t>
  </si>
  <si>
    <t xml:space="preserve">Revenue Service and the Franchise Tax Board, and any other actions which CTCAC is authorized to take pursuant to </t>
  </si>
  <si>
    <t xml:space="preserve">timetable set forth (which timetable is in conformance with CTCAC rules and regulations) and can be operated in </t>
  </si>
  <si>
    <t>CTCAC #</t>
  </si>
  <si>
    <t>Is this project a Re-syndication of a current CTCAC project?</t>
  </si>
  <si>
    <t>"Scattered Site" def. CTCAC Reg. § 10302(ll)</t>
  </si>
  <si>
    <t>*CTCAC/HCD Opportunity Area Designation: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</si>
  <si>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</si>
  <si>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</si>
  <si>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</si>
  <si>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</si>
  <si>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See CTCAC Regulation Section 10325(f)(7)(J) for complete requirements.</t>
  </si>
  <si>
    <t>CTCAC App/Allocation/Monitoring Fees</t>
  </si>
  <si>
    <t xml:space="preserve">  Except for non-competitive projects with donated land, CTCAC will not accept a budget with a nominal land value.  Please refer to the CTCAC website for additional information and guidance.   </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</si>
  <si>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</si>
  <si>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</si>
  <si>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</si>
  <si>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</si>
  <si>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</si>
  <si>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</si>
  <si>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The Prorated Commercial Cost Deduction To Leveraged Soft Financing Must Be Calculated First Before Applying Any Subsidy Adjustment/Increase To The Numerator. CTCAC staff may adjust this ratio as deemed appropriate.</t>
  </si>
  <si>
    <t>of CTCAC Regs  §10325(g)(3)(A), use 30% AMI rent limits</t>
  </si>
  <si>
    <t>15 YEAR PROJECT CASH FLOW PROJECTIONS - Refer to CTCAC Regulation Sections 10322(h)(22), 10325(f)(5), 10326(g)(4), 10327(f) and (g).</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</si>
  <si>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</si>
  <si>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</si>
  <si>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Annual Debt Service - Residential</t>
  </si>
  <si>
    <t>Annual Debt Service - Commercial</t>
  </si>
  <si>
    <t>60**</t>
  </si>
  <si>
    <t>70**</t>
  </si>
  <si>
    <t>80**</t>
  </si>
  <si>
    <t>As the tax professional for the above-referenced low-income housing project, I certify under penalty of perjury, that the percentage of aggregate basis financed by tax-exempt bonds is:</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</si>
  <si>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</si>
  <si>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SUBMIT ONE APPLICATION WITH ATTACHMENTS TO CTCAC AND</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</si>
  <si>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</si>
  <si>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</si>
  <si>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</si>
  <si>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For projects with commercial income
Include a 15 year pro forma of all commercial revenue and expense projections using CTCAC underwriting standards in Reg. §§ 10322(h)(23), 10325(f)(5), and 10327(g)(7).</t>
  </si>
  <si>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</si>
  <si>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</si>
  <si>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</si>
  <si>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</si>
  <si>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 description of any plans for employing desk or security staff in lieu of on-site manager units in compliance with CTCAC Reg. § 10325(f)(7)(J).</t>
  </si>
  <si>
    <t>If a waiver has been granted under 10325(f)(7), provide CTCAC waiver approval and the supporting documentation included in the original waiver request. Approval must be in advance of application deadline.</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</si>
  <si>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</si>
  <si>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</si>
  <si>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</si>
  <si>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 xml:space="preserve">Terms of syndication agreement. Use CTCAC template. 
Provide evidence of eligibility and include signed:
      ATTACHMENT 16: Terms of Syndication Agreement
</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</si>
  <si>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</si>
  <si>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If the assessing entity does not complete "Local Development Impact Fees" CTCAC form, see above, then the applicant MUST provide a completed copy of this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</si>
  <si>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</si>
  <si>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</si>
  <si>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</si>
  <si>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If the project is not applying as a large family housing type, at least 25% of the residential units must be three-bedroom or larger. CTCAC staff will verify this through documentation in the Application spreadsheet and Tab 12.</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</si>
  <si>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</si>
  <si>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CTCAC cannot accept applications submitted via e-mail.</t>
  </si>
  <si>
    <t>DO NOT UNPROTECT OR UNLOCK CELLS in the spreadsheet. CTCAC will verify formulas and data and will scan for viruses upon receipt. Any tampering may result in disqualification of the application.</t>
  </si>
  <si>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</si>
  <si>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</si>
  <si>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Set-Aside Election  (CTCAC Reg. Section 10315(a)-(g))</t>
  </si>
  <si>
    <t>Housing Type Selection (CTCAC Reg. Sections 10315(g) &amp; 10325(g))</t>
  </si>
  <si>
    <t>If you selected Special Needs please list the number of Special Needs Units.</t>
  </si>
  <si>
    <t>Geographic Area (CTCAC Reg. Section 10315(h))</t>
  </si>
  <si>
    <t>Select the appropriate CTCAC geographic area and provide the requested information.</t>
  </si>
  <si>
    <t>If the project is a scattered site, please contact CTCAC for application instructions.</t>
  </si>
  <si>
    <t>This section must be completed. Note that CTCAC will independently determine each project's final</t>
  </si>
  <si>
    <t xml:space="preserve">For additional guidance, please contact your regional CTCAC analyst.  </t>
  </si>
  <si>
    <t>Applicants submit all application materials electronically on a USB flash drive.  CTCAC will not accept submissions of application documents by email or over the internet.</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</si>
  <si>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</si>
  <si>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</si>
  <si>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</si>
  <si>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</si>
  <si>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</si>
  <si>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</si>
  <si>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</si>
  <si>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</si>
  <si>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</si>
  <si>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</si>
  <si>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</si>
  <si>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</si>
  <si>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</si>
  <si>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</si>
  <si>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</si>
  <si>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</si>
  <si>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</si>
  <si>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</si>
  <si>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</si>
  <si>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</si>
  <si>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</si>
  <si>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</si>
  <si>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</si>
  <si>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</si>
  <si>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</si>
  <si>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</si>
  <si>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Name of Lender</t>
  </si>
  <si>
    <t>Pay-ment Type</t>
  </si>
  <si>
    <t>Required</t>
  </si>
  <si>
    <r>
      <t xml:space="preserve">Amort. Term 
</t>
    </r>
    <r>
      <rPr>
        <sz val="8"/>
        <rFont val="Arial"/>
        <family val="2"/>
      </rPr>
      <t>(months)</t>
    </r>
  </si>
  <si>
    <r>
      <t xml:space="preserve">Term 
</t>
    </r>
    <r>
      <rPr>
        <sz val="8"/>
        <rFont val="Arial"/>
        <family val="2"/>
      </rPr>
      <t>(months)</t>
    </r>
  </si>
  <si>
    <t>Nonprofit (Homeless assistance)</t>
  </si>
  <si>
    <t>2023 APPLICATION CHECKLIST -  9% PROJECTS</t>
  </si>
  <si>
    <t>2023 Attachments – Electronic Submission Guide</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</si>
  <si>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</si>
  <si>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School Amenity:</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</si>
  <si>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</si>
  <si>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</si>
  <si>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</si>
  <si>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</si>
  <si>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4% 2023 TBLs</t>
  </si>
  <si>
    <t>9% 2023 TBLs</t>
  </si>
  <si>
    <t>Project site is subject to development ordinances or legally enforceable mandates?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</si>
  <si>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</si>
  <si>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For a qualifying development,* the site is within 1/4 mile of a public elementary school; 1/2 mile of a public middle school; or 1 mile of a public high school, adult education campus of a school district,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</si>
  <si>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adult education campus of a school district, or community college (an additional 1 mile for each public school type for Rural set-aside projects), and the site is within the attendance area of that school.</t>
  </si>
  <si>
    <t>e) Public Elementary, Middle, High School, Adult Education Campus, or Community College</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</si>
  <si>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</si>
  <si>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</si>
  <si>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Subject to any affordable housing ordinances?</t>
  </si>
  <si>
    <t xml:space="preserve">Utilizing Excess State‐Owned Land.  The project is located on land designated as excess state land pursuant to Executive Order N-06-19. </t>
  </si>
  <si>
    <t>Newly constructed project buildings shall be 15% more energy efficient than the applicable Building Energy Efficiency Standards (Energy Code, California Code of Regulations, Title 24) for energy efficiency alone (not counting solar), except that if the local building department has determined that building permit applications submitted on or before December 31, 2019 are complete, then newly constructed project buildings shall be fifteen percent (15%) or more energy efficient than the 2016 Energy Efficiency Standards (California Code of Regulations, Title 24). Threshold Basis Limit increase of 4%.</t>
  </si>
  <si>
    <t>https://www.treasurer.ca.gov/ctcac/2023/index.asp</t>
  </si>
  <si>
    <t>https://www.treasurer.ca.gov/ctcac/2023/applications/competitive-tax-app-instructions.asp</t>
  </si>
  <si>
    <t>https://www.treasurer.ca.gov/ctcac/2023/rural-status.pdf</t>
  </si>
  <si>
    <t>2023 COMPETITIVE 9% APPLICATION FOR LOW-INCOME HOUSING TAX CREDITS</t>
  </si>
  <si>
    <t>, 2023 at</t>
  </si>
  <si>
    <t xml:space="preserve">application filing deadline, unless the Executive Director, at their sole discretion, determines that the deficiency </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</si>
  <si>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</si>
  <si>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</si>
  <si>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Mail the application materials to CTCAC at: 901 P Street, Suite 213A, Sacramento, CA 95814. 
Enclose a $2,000 application filing fee in the form of a check.  For scattered site and resyndication applications, the application fee is $2,500.  For scattered site projects in differing jurisdictions, an extra $1,000 application filing fee is required per additional local review. If the local reviewing agency(ies) has agreed to waive their $1,000 portion of the fee, enclose written confirmation from the local reviewing agency(ies).
Refer to the CTCAC website for more complete filing instructions:</t>
  </si>
  <si>
    <t>ADA and accessible units pursuant to CBC Chapter 11B</t>
  </si>
  <si>
    <t>D(1)</t>
  </si>
  <si>
    <t>D(2)</t>
  </si>
  <si>
    <t>Transit stop/station</t>
  </si>
  <si>
    <t>2023 100% RENTS</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</si>
  <si>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</si>
  <si>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r>
      <t xml:space="preserve">Mixed-Use Ratio = </t>
    </r>
    <r>
      <rPr>
        <sz val="11"/>
        <rFont val="Arial"/>
        <family val="2"/>
      </rPr>
      <t>Total Commercial Cost / Total Project Cost:</t>
    </r>
  </si>
  <si>
    <t>Rural project in a county where no tax credit applications have been received within 5 years</t>
  </si>
  <si>
    <t>Bonus for Rural set-aside projects applying in counties where no tax credit applications have been received within 5 years of the application filing date 
(5 percentage points)</t>
  </si>
  <si>
    <t>Bonus for new construction Large Family housing type projects (and excluding all Special Needs housing type projects) in High/Highest Resource Area based on CTCAC/HCD Opportunity Area Map.  See CTCAC Regulations 10325(c)(9)(C) for projects excluded:</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</si>
  <si>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</si>
  <si>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June 20, 2023 Version</t>
  </si>
  <si>
    <t>Provide evidence of committed permanent leveraged soft financing in Tab 20 and evidence of public rent or public operating subsidies in Tab 17. Funds meeting only the exception in CTCAC regulation 10325(f)(8)(F) do not qualify as a leveraged soft resource.</t>
  </si>
  <si>
    <t>Parkside Inn</t>
  </si>
  <si>
    <t>1415 W. Olive Ave</t>
  </si>
  <si>
    <t>449-270-56</t>
  </si>
  <si>
    <t>Tyrone Roderick Williams</t>
  </si>
  <si>
    <t xml:space="preserve">Fresno </t>
  </si>
  <si>
    <t>August</t>
  </si>
  <si>
    <t>City of Fresno</t>
  </si>
  <si>
    <t>Georgeanne White</t>
  </si>
  <si>
    <t>2600 Fresno Street, Room 2064</t>
  </si>
  <si>
    <t>559-621-7770</t>
  </si>
  <si>
    <t>georgeanne.white@fresno.gov</t>
  </si>
  <si>
    <t>40%/60%</t>
  </si>
  <si>
    <t>1331 Fulton Street</t>
  </si>
  <si>
    <t>CA</t>
  </si>
  <si>
    <t xml:space="preserve">1331 Fulton Street </t>
  </si>
  <si>
    <t>Michael Duarte</t>
  </si>
  <si>
    <t>559-513-5848</t>
  </si>
  <si>
    <t>mduarte@fresnohousing.org</t>
  </si>
  <si>
    <t>Housing Authority of the City of Fresno, California</t>
  </si>
  <si>
    <t>Developer/Sole member of the AGP LLC</t>
  </si>
  <si>
    <t xml:space="preserve">Housing Authority of the City of Fresno, California </t>
  </si>
  <si>
    <t>Fresno, CA 93721</t>
  </si>
  <si>
    <t>559-445-8981</t>
  </si>
  <si>
    <t>R.L. Davidson</t>
  </si>
  <si>
    <t>415 Park Creek Drive</t>
  </si>
  <si>
    <t>Clovis, CA 93611</t>
  </si>
  <si>
    <t>Robert L. Davidson</t>
  </si>
  <si>
    <t>559-435-3303</t>
  </si>
  <si>
    <t>bob@rldavidson.com</t>
  </si>
  <si>
    <t>TBD</t>
  </si>
  <si>
    <t>Ballard Spahr LLP</t>
  </si>
  <si>
    <t>300 E. Lombardi</t>
  </si>
  <si>
    <t>Baltimore, MD 21202</t>
  </si>
  <si>
    <t>Teri M. Guarnaccia</t>
  </si>
  <si>
    <t>410-528-5526</t>
  </si>
  <si>
    <t>410-582-5650</t>
  </si>
  <si>
    <t>Novogradac LLP</t>
  </si>
  <si>
    <t>2033 N. Main Street Suite 400</t>
  </si>
  <si>
    <t>Walnut Creek, CA 94596</t>
  </si>
  <si>
    <t xml:space="preserve">Alexis Ruane </t>
  </si>
  <si>
    <t>925-949-4300</t>
  </si>
  <si>
    <t>925-949-4301</t>
  </si>
  <si>
    <t>alexis.ruane@novoco.com</t>
  </si>
  <si>
    <t>Alexis Ruane</t>
  </si>
  <si>
    <t>California Housing Partnership</t>
  </si>
  <si>
    <t>San Francisco, CA 94104</t>
  </si>
  <si>
    <t>James G. Palmer Appraisals, Inc.</t>
  </si>
  <si>
    <t>1285 W. Shaw #108</t>
  </si>
  <si>
    <t>Fresno, CA 93711</t>
  </si>
  <si>
    <t>Gregg Palmer</t>
  </si>
  <si>
    <t>559-226-5020</t>
  </si>
  <si>
    <t>559-226-5063</t>
  </si>
  <si>
    <t>gregg@jgpinc.com</t>
  </si>
  <si>
    <t>Laurin &amp; Associates</t>
  </si>
  <si>
    <t>1501 Sports Dr</t>
  </si>
  <si>
    <t>Sacramento, CA 95834</t>
  </si>
  <si>
    <t>Stefanie Williams</t>
  </si>
  <si>
    <t>916-372-6100</t>
  </si>
  <si>
    <t>916-49-6108</t>
  </si>
  <si>
    <t>swiiliams@laurinassociates.com</t>
  </si>
  <si>
    <t>Fresno Housing Authority</t>
  </si>
  <si>
    <t>mduare@fresnohousing.org</t>
  </si>
  <si>
    <t xml:space="preserve">1331 Fulton Street, Fresno, CA </t>
  </si>
  <si>
    <t>559-443-8477</t>
  </si>
  <si>
    <t>Inner City Infill Site</t>
  </si>
  <si>
    <t>Neighborhood Mixed Use (NMX)</t>
  </si>
  <si>
    <t>Max height 40 feet</t>
  </si>
  <si>
    <t>55 required spaces total (0.5 for studios, 0.75 for 1-2 br, 1.0 for 3 beds)</t>
  </si>
  <si>
    <t>52 provided</t>
  </si>
  <si>
    <t>Homekey</t>
  </si>
  <si>
    <t>Misc. Admin</t>
  </si>
  <si>
    <t>Payroll Taxes/Benefits</t>
  </si>
  <si>
    <t>High Speed Internet Options</t>
  </si>
  <si>
    <t>Real Estate Tax</t>
  </si>
  <si>
    <t>HomeKey</t>
  </si>
  <si>
    <t>Silvercrest, Inc.</t>
  </si>
  <si>
    <t>Housing Authority of the City of Fresno</t>
  </si>
  <si>
    <t>Administrative GP</t>
  </si>
  <si>
    <t>Managing GP</t>
  </si>
  <si>
    <t>ProWest</t>
  </si>
  <si>
    <t>510-859-8097</t>
  </si>
  <si>
    <t>22710 Palomar St</t>
  </si>
  <si>
    <t>Wildomar, CA 92595</t>
  </si>
  <si>
    <t>Michael DeMarie</t>
  </si>
  <si>
    <t>951-678-1038</t>
  </si>
  <si>
    <t>miked@prowestconstructors.com</t>
  </si>
  <si>
    <t>US Bank Construction Loan</t>
  </si>
  <si>
    <t>Fixed</t>
  </si>
  <si>
    <t>Homekey Loan</t>
  </si>
  <si>
    <t xml:space="preserve">Costs Deferred until Conversion </t>
  </si>
  <si>
    <t xml:space="preserve">Silvercrest, Inc. </t>
  </si>
  <si>
    <t>Treasurer</t>
  </si>
  <si>
    <t>621 Capital Mall, Ste 800</t>
  </si>
  <si>
    <t>Sacramento, CA 95814</t>
  </si>
  <si>
    <t>Lisa Gutierrez</t>
  </si>
  <si>
    <t>916-498-2457</t>
  </si>
  <si>
    <t>Construction Loan</t>
  </si>
  <si>
    <t>559-315-5848</t>
  </si>
  <si>
    <t>Residual Receipts Loan</t>
  </si>
  <si>
    <t>Deferred Cost</t>
  </si>
  <si>
    <t>Sponsor Loan - HomeKey</t>
  </si>
  <si>
    <t>Air Conditioning less Climate Credit</t>
  </si>
  <si>
    <t>HCD Pooled Reserve Fee</t>
  </si>
  <si>
    <t xml:space="preserve">Subsidy Contract Monthly Rent per Unit                   </t>
  </si>
  <si>
    <t>David Kiddoo</t>
  </si>
  <si>
    <t>dkiddoo@chpc.net</t>
  </si>
  <si>
    <t>49 Stevenson St., Ste. 500</t>
  </si>
  <si>
    <t>Limited Partner Equity</t>
  </si>
  <si>
    <t>Owner Legal</t>
  </si>
  <si>
    <t>Start-Up Costs</t>
  </si>
  <si>
    <t>Additional Investor-Required Operating Rsv.</t>
  </si>
  <si>
    <t>Lender Expenses</t>
  </si>
  <si>
    <t>Studio</t>
  </si>
  <si>
    <t>1 bedroom</t>
  </si>
  <si>
    <t>2 bedroom</t>
  </si>
  <si>
    <t>3 bedroom</t>
  </si>
  <si>
    <t>Resident Internet Infrastructure</t>
  </si>
  <si>
    <t>Melas Energy</t>
  </si>
  <si>
    <t>547 Uren Street</t>
  </si>
  <si>
    <t>Nevada City, CA 95959</t>
  </si>
  <si>
    <t>Chris Miller</t>
  </si>
  <si>
    <t>530-265-2492</t>
  </si>
  <si>
    <t>chris@melasenery.com</t>
  </si>
  <si>
    <t>Chief Executive Officer</t>
  </si>
  <si>
    <t>Bus Stop at Olive &amp; Warren</t>
  </si>
  <si>
    <t>Fresno, 93728</t>
  </si>
  <si>
    <t>Joe Vargas</t>
  </si>
  <si>
    <t>559-621-7433</t>
  </si>
  <si>
    <t>www.fresno.gov/transporation/fax</t>
  </si>
  <si>
    <t>Addams Elementary School</t>
  </si>
  <si>
    <t>2117 W McKinley Ave</t>
  </si>
  <si>
    <t>559-457-2510</t>
  </si>
  <si>
    <t>www.addams.fresnounified.org</t>
  </si>
  <si>
    <t>Roeding Park</t>
  </si>
  <si>
    <t>890 W Belmont Ave</t>
  </si>
  <si>
    <t>559-621-7529</t>
  </si>
  <si>
    <t>https://www.visitfresnocounty.org/listing/roeding-park/494</t>
  </si>
  <si>
    <t>Vallarta Supermarket</t>
  </si>
  <si>
    <t>1951 W Clinton Ave</t>
  </si>
  <si>
    <t>559-476-3920</t>
  </si>
  <si>
    <t>https://vallartasupermarkets.com/store-locations/fresno-49</t>
  </si>
  <si>
    <t>Vast Networks</t>
  </si>
  <si>
    <t>7447 N Palm Bluffs Ave., Ste. 105</t>
  </si>
  <si>
    <t>Mike Stewart</t>
  </si>
  <si>
    <t>559-554-9111</t>
  </si>
  <si>
    <t>www.vastnetworks.com</t>
  </si>
  <si>
    <t>0 (Onsite)</t>
  </si>
  <si>
    <t>Low Income Public Housing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</si>
</sst>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43">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sz val="10"/>
      <name val="Arial"/>
      <family val="2"/>
    </font>
    <font>
      <b/>
      <u/>
      <sz val="8"/>
      <name val="Arial"/>
      <family val="2"/>
    </font>
    <font>
      <sz val="10"/>
      <color indexed="9"/>
      <name val="Arial"/>
      <family val="2"/>
    </font>
    <font>
      <sz val="10"/>
      <color indexed="10"/>
      <name val="Arial"/>
      <family val="2"/>
    </font>
    <font>
      <b/>
      <sz val="10"/>
      <color indexed="10"/>
      <name val="Arial"/>
      <family val="2"/>
    </font>
    <font>
      <sz val="8"/>
      <color indexed="10"/>
      <name val="Arial"/>
      <family val="2"/>
    </font>
    <font>
      <u/>
      <sz val="10"/>
      <name val="Arial"/>
      <family val="2"/>
    </font>
    <font>
      <u/>
      <sz val="10"/>
      <name val="Arial"/>
      <family val="2"/>
    </font>
    <font>
      <i/>
      <sz val="10"/>
      <name val="Arial"/>
      <family val="2"/>
    </font>
    <font>
      <sz val="10"/>
      <color indexed="10"/>
      <name val="Arial"/>
      <family val="2"/>
    </font>
    <font>
      <b/>
      <sz val="16"/>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12"/>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10"/>
      <name val="Arial"/>
      <family val="2"/>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8"/>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amily val="1"/>
    </font>
    <font>
      <sz val="9"/>
      <color rgb="FF000000"/>
      <name val="Tahoma"/>
      <family val="2"/>
    </font>
    <font>
      <sz val="10"/>
      <color rgb="FF000000"/>
      <name val="Arial"/>
      <family val="2"/>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s>
  <cellStyleXfs count="1032">
    <xf numFmtId="0" fontId="0" fillId="0" borderId="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7" fillId="26" borderId="0" applyNumberFormat="0" applyBorder="0" applyAlignment="0" applyProtection="0"/>
    <xf numFmtId="0" fontId="87" fillId="26" borderId="0" applyNumberFormat="0" applyBorder="0" applyAlignment="0" applyProtection="0"/>
    <xf numFmtId="0" fontId="87" fillId="27" borderId="0" applyNumberFormat="0" applyBorder="0" applyAlignment="0" applyProtection="0"/>
    <xf numFmtId="0" fontId="87" fillId="28" borderId="0" applyNumberFormat="0" applyBorder="0" applyAlignment="0" applyProtection="0"/>
    <xf numFmtId="0" fontId="87" fillId="28" borderId="0" applyNumberFormat="0" applyBorder="0" applyAlignment="0" applyProtection="0"/>
    <xf numFmtId="0" fontId="87" fillId="29" borderId="0" applyNumberFormat="0" applyBorder="0" applyAlignment="0" applyProtection="0"/>
    <xf numFmtId="0" fontId="87" fillId="29" borderId="0" applyNumberFormat="0" applyBorder="0" applyAlignment="0" applyProtection="0"/>
    <xf numFmtId="0" fontId="87" fillId="30" borderId="0" applyNumberFormat="0" applyBorder="0" applyAlignment="0" applyProtection="0"/>
    <xf numFmtId="0" fontId="87" fillId="31" borderId="0" applyNumberFormat="0" applyBorder="0" applyAlignment="0" applyProtection="0"/>
    <xf numFmtId="0" fontId="87" fillId="31" borderId="0" applyNumberFormat="0" applyBorder="0" applyAlignment="0" applyProtection="0"/>
    <xf numFmtId="0" fontId="87" fillId="32" borderId="0" applyNumberFormat="0" applyBorder="0" applyAlignment="0" applyProtection="0"/>
    <xf numFmtId="0" fontId="87" fillId="32" borderId="0" applyNumberFormat="0" applyBorder="0" applyAlignment="0" applyProtection="0"/>
    <xf numFmtId="0" fontId="87" fillId="33" borderId="0" applyNumberFormat="0" applyBorder="0" applyAlignment="0" applyProtection="0"/>
    <xf numFmtId="0" fontId="87" fillId="33" borderId="0" applyNumberFormat="0" applyBorder="0" applyAlignment="0" applyProtection="0"/>
    <xf numFmtId="0" fontId="87" fillId="34" borderId="0" applyNumberFormat="0" applyBorder="0" applyAlignment="0" applyProtection="0"/>
    <xf numFmtId="0" fontId="87" fillId="34" borderId="0" applyNumberFormat="0" applyBorder="0" applyAlignment="0" applyProtection="0"/>
    <xf numFmtId="0" fontId="87" fillId="35" borderId="0" applyNumberFormat="0" applyBorder="0" applyAlignment="0" applyProtection="0"/>
    <xf numFmtId="0" fontId="87" fillId="35" borderId="0" applyNumberFormat="0" applyBorder="0" applyAlignment="0" applyProtection="0"/>
    <xf numFmtId="0" fontId="87" fillId="36" borderId="0" applyNumberFormat="0" applyBorder="0" applyAlignment="0" applyProtection="0"/>
    <xf numFmtId="0" fontId="87" fillId="37" borderId="0" applyNumberFormat="0" applyBorder="0" applyAlignment="0" applyProtection="0"/>
    <xf numFmtId="0" fontId="88" fillId="38" borderId="0" applyNumberFormat="0" applyBorder="0" applyAlignment="0" applyProtection="0"/>
    <xf numFmtId="0" fontId="88" fillId="38" borderId="0" applyNumberFormat="0" applyBorder="0" applyAlignment="0" applyProtection="0"/>
    <xf numFmtId="0" fontId="89" fillId="39" borderId="33" applyNumberFormat="0" applyAlignment="0" applyProtection="0"/>
    <xf numFmtId="0" fontId="89" fillId="39" borderId="33" applyNumberFormat="0" applyAlignment="0" applyProtection="0"/>
    <xf numFmtId="0" fontId="90" fillId="40" borderId="34" applyNumberFormat="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62" fillId="0" borderId="0" applyFont="0" applyFill="0" applyBorder="0" applyAlignment="0" applyProtection="0"/>
    <xf numFmtId="43" fontId="12" fillId="0" borderId="0" applyFont="0" applyFill="0" applyBorder="0" applyAlignment="0" applyProtection="0"/>
    <xf numFmtId="43" fontId="62" fillId="0" borderId="0" applyFont="0" applyFill="0" applyBorder="0" applyAlignment="0" applyProtection="0"/>
    <xf numFmtId="44" fontId="3"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alignment vertical="top"/>
    </xf>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7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91" fillId="0" borderId="0" applyNumberFormat="0" applyFill="0" applyBorder="0" applyAlignment="0" applyProtection="0"/>
    <xf numFmtId="0" fontId="92" fillId="41" borderId="0" applyNumberFormat="0" applyBorder="0" applyAlignment="0" applyProtection="0"/>
    <xf numFmtId="0" fontId="93" fillId="0" borderId="35" applyNumberFormat="0" applyFill="0" applyAlignment="0" applyProtection="0"/>
    <xf numFmtId="0" fontId="93" fillId="0" borderId="35" applyNumberFormat="0" applyFill="0" applyAlignment="0" applyProtection="0"/>
    <xf numFmtId="0" fontId="94" fillId="0" borderId="36" applyNumberFormat="0" applyFill="0" applyAlignment="0" applyProtection="0"/>
    <xf numFmtId="0" fontId="94" fillId="0" borderId="36" applyNumberFormat="0" applyFill="0" applyAlignment="0" applyProtection="0"/>
    <xf numFmtId="0" fontId="95" fillId="0" borderId="37" applyNumberFormat="0" applyFill="0" applyAlignment="0" applyProtection="0"/>
    <xf numFmtId="0" fontId="95" fillId="0" borderId="37" applyNumberFormat="0" applyFill="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78" fillId="0" borderId="0" applyNumberFormat="0" applyFill="0" applyBorder="0" applyAlignment="0" applyProtection="0">
      <alignment vertical="top"/>
      <protection locked="0"/>
    </xf>
    <xf numFmtId="0" fontId="96"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97" fillId="0" borderId="38" applyNumberFormat="0" applyFill="0" applyAlignment="0" applyProtection="0"/>
    <xf numFmtId="0" fontId="98" fillId="43" borderId="0" applyNumberFormat="0" applyBorder="0" applyAlignment="0" applyProtection="0"/>
    <xf numFmtId="0" fontId="99" fillId="0" borderId="0"/>
    <xf numFmtId="0" fontId="62" fillId="0" borderId="0"/>
    <xf numFmtId="0" fontId="99" fillId="0" borderId="0"/>
    <xf numFmtId="0" fontId="62" fillId="0" borderId="0"/>
    <xf numFmtId="0" fontId="62" fillId="0" borderId="0"/>
    <xf numFmtId="0" fontId="12"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00" fillId="0" borderId="0"/>
    <xf numFmtId="0" fontId="62" fillId="0" borderId="0"/>
    <xf numFmtId="170" fontId="63" fillId="0" borderId="0"/>
    <xf numFmtId="0" fontId="86" fillId="0" borderId="0"/>
    <xf numFmtId="0" fontId="12" fillId="0" borderId="0"/>
    <xf numFmtId="0" fontId="12" fillId="0" borderId="0"/>
    <xf numFmtId="0" fontId="68" fillId="0" borderId="0"/>
    <xf numFmtId="0" fontId="62" fillId="0" borderId="0"/>
    <xf numFmtId="0" fontId="68" fillId="0" borderId="0"/>
    <xf numFmtId="0" fontId="12" fillId="0" borderId="0"/>
    <xf numFmtId="0" fontId="62" fillId="0" borderId="0"/>
    <xf numFmtId="0" fontId="72" fillId="0" borderId="0"/>
    <xf numFmtId="0" fontId="62"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72" fillId="0" borderId="0"/>
    <xf numFmtId="0" fontId="86" fillId="0" borderId="0"/>
    <xf numFmtId="0" fontId="86" fillId="0" borderId="0"/>
    <xf numFmtId="0" fontId="86"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86" fillId="0" borderId="0"/>
    <xf numFmtId="0" fontId="86" fillId="0" borderId="0"/>
    <xf numFmtId="0" fontId="86" fillId="0" borderId="0"/>
    <xf numFmtId="0" fontId="86" fillId="0" borderId="0"/>
    <xf numFmtId="0" fontId="72" fillId="0" borderId="0"/>
    <xf numFmtId="0" fontId="62" fillId="0" borderId="0">
      <alignment vertical="top"/>
    </xf>
    <xf numFmtId="0" fontId="86" fillId="0" borderId="0"/>
    <xf numFmtId="0" fontId="86" fillId="0" borderId="0"/>
    <xf numFmtId="0" fontId="86" fillId="0" borderId="0"/>
    <xf numFmtId="0" fontId="86" fillId="0" borderId="0"/>
    <xf numFmtId="0" fontId="72" fillId="0" borderId="0"/>
    <xf numFmtId="0" fontId="12" fillId="0" borderId="0"/>
    <xf numFmtId="0" fontId="86" fillId="0" borderId="0"/>
    <xf numFmtId="0" fontId="12" fillId="0" borderId="0"/>
    <xf numFmtId="0" fontId="86" fillId="0" borderId="0"/>
    <xf numFmtId="0" fontId="86" fillId="0" borderId="0"/>
    <xf numFmtId="0" fontId="86" fillId="0" borderId="0"/>
    <xf numFmtId="0" fontId="86" fillId="0" borderId="0"/>
    <xf numFmtId="0" fontId="68" fillId="0" borderId="0"/>
    <xf numFmtId="0" fontId="62" fillId="0" borderId="0">
      <alignment vertical="top"/>
    </xf>
    <xf numFmtId="0" fontId="68" fillId="0" borderId="0"/>
    <xf numFmtId="0" fontId="62" fillId="0" borderId="0">
      <alignment vertical="top"/>
    </xf>
    <xf numFmtId="0" fontId="62" fillId="0" borderId="0">
      <alignment vertical="top"/>
    </xf>
    <xf numFmtId="0" fontId="68" fillId="0" borderId="0"/>
    <xf numFmtId="0" fontId="68"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62" fillId="0" borderId="0">
      <alignment vertical="top"/>
    </xf>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62" fillId="0" borderId="0">
      <alignment vertical="top"/>
    </xf>
    <xf numFmtId="0" fontId="62" fillId="0" borderId="0">
      <alignment vertical="top"/>
    </xf>
    <xf numFmtId="0" fontId="62" fillId="0" borderId="0"/>
    <xf numFmtId="0" fontId="62" fillId="0" borderId="0">
      <alignment vertical="top"/>
    </xf>
    <xf numFmtId="0" fontId="62" fillId="0" borderId="0"/>
    <xf numFmtId="0" fontId="6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3" fillId="0" borderId="0" applyProtection="0">
      <protection locked="0"/>
    </xf>
    <xf numFmtId="0" fontId="12" fillId="0" borderId="0" applyProtection="0">
      <protection locked="0"/>
    </xf>
    <xf numFmtId="0" fontId="12" fillId="0" borderId="0" applyProtection="0">
      <protection locked="0"/>
    </xf>
    <xf numFmtId="0" fontId="63" fillId="0" borderId="0"/>
    <xf numFmtId="0" fontId="3" fillId="0" borderId="0"/>
    <xf numFmtId="0" fontId="12" fillId="0" borderId="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101" fillId="39" borderId="40" applyNumberFormat="0" applyAlignment="0" applyProtection="0"/>
    <xf numFmtId="0" fontId="101" fillId="39" borderId="40" applyNumberFormat="0" applyAlignment="0" applyProtection="0"/>
    <xf numFmtId="0" fontId="8" fillId="0" borderId="0" applyNumberFormat="0" applyFill="0" applyBorder="0">
      <alignment horizontal="left"/>
    </xf>
    <xf numFmtId="0" fontId="102" fillId="0" borderId="0" applyNumberFormat="0" applyFill="0" applyBorder="0" applyAlignment="0" applyProtection="0"/>
    <xf numFmtId="0" fontId="103" fillId="0" borderId="41" applyNumberFormat="0" applyFill="0" applyAlignment="0" applyProtection="0"/>
    <xf numFmtId="0" fontId="103" fillId="0" borderId="41" applyNumberFormat="0" applyFill="0" applyAlignment="0" applyProtection="0"/>
    <xf numFmtId="0" fontId="104" fillId="0" borderId="0" applyNumberFormat="0" applyFill="0" applyBorder="0" applyAlignment="0" applyProtection="0"/>
    <xf numFmtId="9" fontId="112"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40" fillId="0" borderId="0"/>
  </cellStyleXfs>
  <cellXfs count="1941">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31"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30" fillId="0" borderId="0" xfId="0" applyFont="1"/>
    <xf numFmtId="0" fontId="9" fillId="0" borderId="0" xfId="0" applyFont="1" applyAlignment="1">
      <alignment horizontal="center" vertical="center"/>
    </xf>
    <xf numFmtId="0" fontId="12" fillId="0" borderId="0" xfId="0" applyFont="1" applyAlignment="1">
      <alignment horizontal="left" vertical="top" wrapText="1"/>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2" fillId="0" borderId="0" xfId="0" applyFont="1" applyAlignment="1">
      <alignment horizontal="left" indent="4"/>
    </xf>
    <xf numFmtId="0" fontId="11" fillId="0" borderId="0" xfId="0" applyFont="1" applyAlignment="1">
      <alignment horizontal="left"/>
    </xf>
    <xf numFmtId="0" fontId="24" fillId="0" borderId="0" xfId="546" applyFont="1"/>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23" fillId="0" borderId="0" xfId="0" applyFont="1"/>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2" fillId="0" borderId="0" xfId="0" applyFont="1" applyAlignment="1">
      <alignment horizontal="right"/>
    </xf>
    <xf numFmtId="0" fontId="32" fillId="0" borderId="0" xfId="0" applyFont="1"/>
    <xf numFmtId="0" fontId="12" fillId="0" borderId="0" xfId="0" applyFont="1" applyAlignment="1">
      <alignment horizontal="left"/>
    </xf>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2" fillId="0" borderId="12" xfId="0" applyFont="1"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0" fontId="12" fillId="0" borderId="3" xfId="0" applyFont="1" applyBorder="1"/>
    <xf numFmtId="0" fontId="12" fillId="0" borderId="0" xfId="546" applyFont="1"/>
    <xf numFmtId="0" fontId="34" fillId="0" borderId="0" xfId="546" applyFont="1"/>
    <xf numFmtId="49" fontId="3" fillId="0" borderId="0" xfId="546" applyNumberFormat="1"/>
    <xf numFmtId="0" fontId="32" fillId="0" borderId="0" xfId="546" applyFont="1"/>
    <xf numFmtId="169" fontId="24" fillId="0" borderId="5" xfId="546" applyNumberFormat="1" applyFont="1" applyBorder="1" applyAlignment="1">
      <alignment horizontal="left"/>
    </xf>
    <xf numFmtId="169" fontId="24" fillId="0" borderId="5" xfId="546" applyNumberFormat="1" applyFont="1" applyBorder="1" applyAlignment="1">
      <alignment horizontal="center"/>
    </xf>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23" fillId="0" borderId="0" xfId="546" applyFont="1"/>
    <xf numFmtId="0" fontId="3" fillId="0" borderId="0" xfId="546" applyAlignment="1">
      <alignment horizontal="center"/>
    </xf>
    <xf numFmtId="0" fontId="11" fillId="0" borderId="5" xfId="546" applyFont="1" applyBorder="1" applyAlignment="1">
      <alignment vertical="top" wrapText="1"/>
    </xf>
    <xf numFmtId="0" fontId="12" fillId="0" borderId="4" xfId="0" applyFont="1" applyBorder="1"/>
    <xf numFmtId="0" fontId="26" fillId="0" borderId="0" xfId="0" applyFont="1"/>
    <xf numFmtId="0" fontId="27"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2" fillId="0" borderId="4" xfId="0" applyFont="1" applyBorder="1" applyAlignment="1">
      <alignment horizontal="right"/>
    </xf>
    <xf numFmtId="0" fontId="11" fillId="0" borderId="3" xfId="0" applyFont="1" applyBorder="1" applyAlignment="1">
      <alignment vertical="top" wrapText="1"/>
    </xf>
    <xf numFmtId="0" fontId="11" fillId="0" borderId="4" xfId="0" applyFont="1" applyBorder="1" applyAlignment="1">
      <alignment vertical="top" wrapText="1"/>
    </xf>
    <xf numFmtId="0" fontId="12" fillId="0" borderId="6" xfId="0" applyFont="1" applyBorder="1"/>
    <xf numFmtId="0" fontId="12" fillId="0" borderId="6" xfId="0" applyFont="1" applyBorder="1" applyAlignment="1">
      <alignment horizontal="left" vertical="top"/>
    </xf>
    <xf numFmtId="0" fontId="11" fillId="0" borderId="6" xfId="0" applyFont="1" applyBorder="1" applyAlignment="1">
      <alignment horizontal="left" vertical="top" wrapText="1"/>
    </xf>
    <xf numFmtId="0" fontId="11" fillId="0" borderId="6" xfId="0" applyFont="1" applyBorder="1"/>
    <xf numFmtId="0" fontId="12" fillId="0" borderId="0" xfId="0" applyFont="1" applyAlignment="1">
      <alignment horizontal="left" vertical="top"/>
    </xf>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12" fillId="0" borderId="6" xfId="0" applyFont="1" applyBorder="1" applyAlignment="1">
      <alignment horizontal="center"/>
    </xf>
    <xf numFmtId="0" fontId="20" fillId="0" borderId="6" xfId="0" applyFont="1" applyBorder="1"/>
    <xf numFmtId="0" fontId="20" fillId="0" borderId="0" xfId="0" applyFont="1" applyAlignment="1">
      <alignment horizontal="right"/>
    </xf>
    <xf numFmtId="0" fontId="27"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8" fillId="0" borderId="0" xfId="0" applyFont="1"/>
    <xf numFmtId="0" fontId="11" fillId="0" borderId="0" xfId="0" applyFont="1" applyAlignment="1">
      <alignment horizontal="left" vertical="top" wrapText="1" shrinkToFit="1"/>
    </xf>
    <xf numFmtId="0" fontId="28"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9" fillId="0" borderId="0" xfId="0" applyFont="1"/>
    <xf numFmtId="0" fontId="11" fillId="0" borderId="0" xfId="0" quotePrefix="1" applyFont="1"/>
    <xf numFmtId="0" fontId="10" fillId="0" borderId="0" xfId="0" applyFont="1" applyAlignment="1">
      <alignment horizontal="left" vertical="top"/>
    </xf>
    <xf numFmtId="0" fontId="33"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3"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7" fillId="0" borderId="0" xfId="0" applyFont="1" applyAlignment="1">
      <alignment horizontal="left" vertical="top"/>
    </xf>
    <xf numFmtId="0" fontId="12" fillId="0" borderId="4" xfId="0" applyFont="1" applyBorder="1" applyAlignment="1">
      <alignment horizontal="left" vertical="top"/>
    </xf>
    <xf numFmtId="0" fontId="27"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6"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49" fontId="12" fillId="0" borderId="0" xfId="0" applyNumberFormat="1" applyFont="1"/>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0" fontId="12" fillId="0" borderId="5" xfId="0" applyFont="1" applyBorder="1"/>
    <xf numFmtId="1" fontId="11" fillId="0" borderId="0" xfId="0" applyNumberFormat="1" applyFont="1" applyAlignment="1">
      <alignment horizontal="center" vertical="top"/>
    </xf>
    <xf numFmtId="0" fontId="12" fillId="0" borderId="2" xfId="0" applyFont="1" applyBorder="1"/>
    <xf numFmtId="0" fontId="12" fillId="0" borderId="11" xfId="0" applyFont="1" applyBorder="1"/>
    <xf numFmtId="0" fontId="12" fillId="0" borderId="13" xfId="0" applyFont="1" applyBorder="1"/>
    <xf numFmtId="0" fontId="12" fillId="0" borderId="9" xfId="0" applyFont="1" applyBorder="1"/>
    <xf numFmtId="0" fontId="12" fillId="0" borderId="10" xfId="0" applyFont="1" applyBorder="1"/>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49" fontId="12" fillId="0" borderId="0" xfId="0" applyNumberFormat="1" applyFont="1" applyAlignment="1">
      <alignment horizontal="center"/>
    </xf>
    <xf numFmtId="0" fontId="12" fillId="0" borderId="0" xfId="0" applyFont="1" applyAlignment="1">
      <alignment vertical="top"/>
    </xf>
    <xf numFmtId="0" fontId="12" fillId="0" borderId="0" xfId="0" applyFont="1" applyAlignment="1">
      <alignment vertical="top" wrapText="1"/>
    </xf>
    <xf numFmtId="0" fontId="3" fillId="0" borderId="0" xfId="0" applyFont="1" applyAlignment="1">
      <alignment horizontal="left" vertical="top" wrapText="1"/>
    </xf>
    <xf numFmtId="49" fontId="11" fillId="0" borderId="0" xfId="0" applyNumberFormat="1" applyFont="1" applyAlignment="1">
      <alignment vertical="top"/>
    </xf>
    <xf numFmtId="0" fontId="12" fillId="0" borderId="0" xfId="0" quotePrefix="1" applyFont="1" applyAlignment="1">
      <alignment horizontal="left"/>
    </xf>
    <xf numFmtId="0" fontId="12" fillId="0" borderId="0" xfId="0" quotePrefix="1" applyFont="1"/>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7" fillId="0" borderId="3" xfId="0" applyFont="1" applyBorder="1" applyAlignment="1">
      <alignment horizontal="left" vertical="top"/>
    </xf>
    <xf numFmtId="0" fontId="47" fillId="0" borderId="15" xfId="0" applyFont="1" applyBorder="1" applyAlignment="1">
      <alignment horizontal="center" wrapText="1"/>
    </xf>
    <xf numFmtId="0" fontId="47" fillId="0" borderId="15" xfId="0" applyFont="1" applyBorder="1" applyAlignment="1">
      <alignment horizontal="center" vertical="top" wrapText="1"/>
    </xf>
    <xf numFmtId="0" fontId="47" fillId="2" borderId="15" xfId="0" applyFont="1" applyFill="1" applyBorder="1" applyAlignment="1">
      <alignment horizontal="center" wrapText="1"/>
    </xf>
    <xf numFmtId="0" fontId="48" fillId="2" borderId="12" xfId="0" applyFont="1" applyFill="1" applyBorder="1" applyAlignment="1">
      <alignment horizontal="left" vertical="top" wrapText="1"/>
    </xf>
    <xf numFmtId="0" fontId="26" fillId="6" borderId="12" xfId="0" applyFont="1" applyFill="1" applyBorder="1" applyAlignment="1">
      <alignment vertical="top" wrapText="1"/>
    </xf>
    <xf numFmtId="0" fontId="26" fillId="2" borderId="12" xfId="0" applyFont="1" applyFill="1" applyBorder="1" applyAlignment="1">
      <alignment vertical="top" wrapText="1"/>
    </xf>
    <xf numFmtId="0" fontId="26" fillId="0" borderId="12" xfId="0" applyFont="1" applyBorder="1" applyAlignment="1">
      <alignment vertical="top" wrapText="1"/>
    </xf>
    <xf numFmtId="0" fontId="26" fillId="0" borderId="12" xfId="0" applyFont="1" applyBorder="1" applyAlignment="1">
      <alignment horizontal="right" vertical="top" wrapText="1"/>
    </xf>
    <xf numFmtId="169" fontId="26" fillId="0" borderId="12" xfId="0" applyNumberFormat="1" applyFont="1" applyBorder="1" applyAlignment="1">
      <alignment vertical="top" wrapText="1"/>
    </xf>
    <xf numFmtId="169" fontId="26" fillId="7" borderId="12" xfId="0" applyNumberFormat="1" applyFont="1" applyFill="1" applyBorder="1" applyAlignment="1" applyProtection="1">
      <alignment vertical="top" wrapText="1"/>
      <protection locked="0"/>
    </xf>
    <xf numFmtId="169" fontId="26" fillId="8" borderId="12" xfId="0" applyNumberFormat="1" applyFont="1" applyFill="1" applyBorder="1" applyAlignment="1">
      <alignment horizontal="center" vertical="top" wrapText="1"/>
    </xf>
    <xf numFmtId="0" fontId="47" fillId="0" borderId="12" xfId="0" applyFont="1" applyBorder="1" applyAlignment="1">
      <alignment horizontal="right" vertical="top" wrapText="1"/>
    </xf>
    <xf numFmtId="169" fontId="47" fillId="0" borderId="12" xfId="0" applyNumberFormat="1" applyFont="1" applyBorder="1" applyAlignment="1">
      <alignment vertical="top" wrapText="1"/>
    </xf>
    <xf numFmtId="169" fontId="26" fillId="6" borderId="12" xfId="0" applyNumberFormat="1" applyFont="1" applyFill="1" applyBorder="1" applyAlignment="1">
      <alignment vertical="top" wrapText="1"/>
    </xf>
    <xf numFmtId="0" fontId="26" fillId="7" borderId="12" xfId="0" applyFont="1" applyFill="1" applyBorder="1" applyAlignment="1" applyProtection="1">
      <alignment horizontal="right" vertical="top" wrapText="1"/>
      <protection locked="0"/>
    </xf>
    <xf numFmtId="0" fontId="47" fillId="2" borderId="12" xfId="0" applyFont="1" applyFill="1" applyBorder="1" applyAlignment="1">
      <alignment vertical="top" wrapText="1"/>
    </xf>
    <xf numFmtId="0" fontId="47" fillId="0" borderId="12" xfId="0" applyFont="1" applyBorder="1" applyAlignment="1">
      <alignment vertical="top" wrapText="1"/>
    </xf>
    <xf numFmtId="0" fontId="6" fillId="0" borderId="12" xfId="0" applyFont="1" applyBorder="1" applyAlignment="1">
      <alignment horizontal="right" vertical="top" wrapText="1"/>
    </xf>
    <xf numFmtId="0" fontId="26" fillId="0" borderId="12" xfId="0" applyFont="1" applyBorder="1" applyAlignment="1" applyProtection="1">
      <alignment horizontal="right" vertical="top" wrapText="1"/>
      <protection locked="0"/>
    </xf>
    <xf numFmtId="0" fontId="47" fillId="0" borderId="0" xfId="0" applyFont="1" applyAlignment="1">
      <alignment horizontal="left" vertical="top"/>
    </xf>
    <xf numFmtId="0" fontId="26" fillId="0" borderId="0" xfId="0" applyFont="1" applyAlignment="1">
      <alignment horizontal="left" vertical="top"/>
    </xf>
    <xf numFmtId="0" fontId="26" fillId="0" borderId="0" xfId="0" applyFont="1" applyAlignment="1">
      <alignment vertical="top" wrapText="1"/>
    </xf>
    <xf numFmtId="0" fontId="26" fillId="0" borderId="0" xfId="0" applyFont="1" applyAlignment="1">
      <alignment vertical="top"/>
    </xf>
    <xf numFmtId="0" fontId="47" fillId="0" borderId="0" xfId="0" applyFont="1" applyAlignment="1">
      <alignment horizontal="right" vertical="top"/>
    </xf>
    <xf numFmtId="0" fontId="26" fillId="2" borderId="0" xfId="0" applyFont="1" applyFill="1" applyAlignment="1">
      <alignment vertical="top" wrapText="1"/>
    </xf>
    <xf numFmtId="0" fontId="47" fillId="0" borderId="0" xfId="0" applyFont="1" applyAlignment="1">
      <alignment vertical="top"/>
    </xf>
    <xf numFmtId="0" fontId="26" fillId="0" borderId="15" xfId="0" applyFont="1" applyBorder="1" applyAlignment="1">
      <alignment vertical="top" wrapText="1"/>
    </xf>
    <xf numFmtId="167" fontId="12" fillId="0" borderId="0" xfId="0" applyNumberFormat="1" applyFont="1" applyAlignment="1">
      <alignment horizontal="left"/>
    </xf>
    <xf numFmtId="0" fontId="49" fillId="0" borderId="0" xfId="0" applyFont="1"/>
    <xf numFmtId="0" fontId="3" fillId="0" borderId="0" xfId="245" applyFont="1" applyFill="1" applyBorder="1" applyAlignment="1" applyProtection="1">
      <alignment horizontal="left"/>
    </xf>
    <xf numFmtId="0" fontId="39" fillId="0" borderId="0" xfId="0" applyFont="1"/>
    <xf numFmtId="0" fontId="39"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8" fillId="0" borderId="0" xfId="0" applyNumberFormat="1" applyFont="1" applyAlignment="1">
      <alignment horizontal="center"/>
    </xf>
    <xf numFmtId="0" fontId="38" fillId="0" borderId="0" xfId="0" applyFont="1"/>
    <xf numFmtId="0" fontId="3" fillId="0" borderId="0" xfId="0" applyFont="1" applyAlignment="1">
      <alignment horizontal="left"/>
    </xf>
    <xf numFmtId="0" fontId="44"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53" fillId="0" borderId="0" xfId="0" applyFont="1" applyAlignment="1">
      <alignment wrapText="1"/>
    </xf>
    <xf numFmtId="0" fontId="53"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2" fillId="0" borderId="16" xfId="0" applyFont="1" applyBorder="1" applyAlignment="1">
      <alignment horizontal="left" vertical="top"/>
    </xf>
    <xf numFmtId="0" fontId="10" fillId="0" borderId="16" xfId="0" applyFont="1" applyBorder="1" applyAlignment="1">
      <alignment horizontal="right"/>
    </xf>
    <xf numFmtId="0" fontId="12" fillId="0" borderId="16" xfId="0" applyFont="1" applyBorder="1" applyAlignment="1">
      <alignment horizontal="center"/>
    </xf>
    <xf numFmtId="0" fontId="8" fillId="0" borderId="0" xfId="0" applyFont="1" applyProtection="1">
      <protection locked="0"/>
    </xf>
    <xf numFmtId="4" fontId="44" fillId="0" borderId="0" xfId="0" applyNumberFormat="1" applyFont="1" applyAlignment="1">
      <alignment horizontal="center"/>
    </xf>
    <xf numFmtId="4" fontId="12" fillId="0" borderId="0" xfId="0" applyNumberFormat="1" applyFont="1" applyAlignment="1">
      <alignment horizontal="center"/>
    </xf>
    <xf numFmtId="4" fontId="12" fillId="0" borderId="0" xfId="0" applyNumberFormat="1" applyFont="1" applyAlignment="1">
      <alignment horizontal="left"/>
    </xf>
    <xf numFmtId="4" fontId="12" fillId="0" borderId="0" xfId="0" applyNumberFormat="1" applyFont="1"/>
    <xf numFmtId="169" fontId="12" fillId="0" borderId="0" xfId="0" applyNumberFormat="1" applyFont="1" applyAlignment="1">
      <alignment horizontal="center"/>
    </xf>
    <xf numFmtId="0" fontId="26" fillId="2" borderId="10" xfId="0" applyFont="1" applyFill="1" applyBorder="1" applyAlignment="1">
      <alignment vertical="top" wrapText="1"/>
    </xf>
    <xf numFmtId="0" fontId="26" fillId="2" borderId="8" xfId="0" applyFont="1" applyFill="1" applyBorder="1" applyAlignment="1">
      <alignment vertical="top" wrapText="1"/>
    </xf>
    <xf numFmtId="0" fontId="50" fillId="0" borderId="15" xfId="0" applyFont="1" applyBorder="1" applyAlignment="1">
      <alignment vertical="top" wrapText="1"/>
    </xf>
    <xf numFmtId="0" fontId="60"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9" fillId="0" borderId="12" xfId="0" applyFont="1" applyBorder="1" applyAlignment="1">
      <alignment horizontal="right" vertical="top" wrapText="1"/>
    </xf>
    <xf numFmtId="0" fontId="61" fillId="0" borderId="12" xfId="0" applyFont="1" applyBorder="1" applyAlignment="1">
      <alignment horizontal="right" vertical="top" wrapText="1"/>
    </xf>
    <xf numFmtId="0" fontId="0" fillId="0" borderId="0" xfId="0" applyAlignment="1">
      <alignment wrapText="1"/>
    </xf>
    <xf numFmtId="0" fontId="44" fillId="0" borderId="0" xfId="0" applyFont="1" applyAlignment="1">
      <alignment horizontal="center" vertical="top"/>
    </xf>
    <xf numFmtId="0" fontId="24" fillId="0" borderId="0" xfId="0" applyFont="1" applyAlignment="1">
      <alignment vertical="top" wrapText="1"/>
    </xf>
    <xf numFmtId="0" fontId="46" fillId="0" borderId="3" xfId="0" applyFont="1" applyBorder="1"/>
    <xf numFmtId="0" fontId="9" fillId="0" borderId="0" xfId="0" applyFont="1" applyAlignment="1">
      <alignment horizontal="center" vertical="center" wrapText="1"/>
    </xf>
    <xf numFmtId="0" fontId="47" fillId="0" borderId="4" xfId="0" applyFont="1" applyBorder="1" applyAlignment="1">
      <alignment horizontal="right"/>
    </xf>
    <xf numFmtId="169" fontId="23" fillId="0" borderId="0" xfId="0" applyNumberFormat="1" applyFont="1" applyAlignment="1">
      <alignment horizontal="left" vertical="top" wrapText="1"/>
    </xf>
    <xf numFmtId="0" fontId="62"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169" fontId="12" fillId="0" borderId="0" xfId="0" applyNumberFormat="1" applyFont="1" applyAlignment="1">
      <alignment horizontal="left" vertical="top"/>
    </xf>
    <xf numFmtId="0" fontId="24" fillId="9" borderId="0" xfId="542" applyFont="1" applyFill="1" applyAlignment="1" applyProtection="1">
      <alignment horizontal="centerContinuous"/>
    </xf>
    <xf numFmtId="0" fontId="3" fillId="0" borderId="0" xfId="542" applyProtection="1"/>
    <xf numFmtId="0" fontId="12" fillId="0" borderId="0" xfId="0" applyFont="1" applyAlignment="1">
      <alignment horizontal="center" vertical="center"/>
    </xf>
    <xf numFmtId="169" fontId="24" fillId="0" borderId="0" xfId="546" applyNumberFormat="1" applyFont="1" applyAlignment="1">
      <alignment horizontal="left"/>
    </xf>
    <xf numFmtId="169" fontId="24" fillId="0" borderId="0" xfId="546" applyNumberFormat="1" applyFont="1" applyAlignment="1">
      <alignment horizontal="center"/>
    </xf>
    <xf numFmtId="1" fontId="12" fillId="0" borderId="0" xfId="0" applyNumberFormat="1" applyFont="1" applyAlignment="1">
      <alignment horizontal="center"/>
    </xf>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40" fillId="2" borderId="12" xfId="0" applyFont="1" applyFill="1" applyBorder="1" applyAlignment="1">
      <alignment horizontal="left" vertical="top" wrapText="1"/>
    </xf>
    <xf numFmtId="0" fontId="12" fillId="0" borderId="12" xfId="0" applyFont="1" applyBorder="1" applyAlignment="1" applyProtection="1">
      <alignment vertical="top" wrapText="1"/>
      <protection locked="0"/>
    </xf>
    <xf numFmtId="169" fontId="12" fillId="7" borderId="12" xfId="0" applyNumberFormat="1" applyFont="1" applyFill="1" applyBorder="1" applyAlignment="1" applyProtection="1">
      <alignment vertical="top" wrapText="1"/>
      <protection locked="0"/>
    </xf>
    <xf numFmtId="0" fontId="12" fillId="7" borderId="12" xfId="0" applyFont="1" applyFill="1" applyBorder="1" applyAlignment="1" applyProtection="1">
      <alignment vertical="top" wrapText="1"/>
      <protection locked="0"/>
    </xf>
    <xf numFmtId="169" fontId="12" fillId="0" borderId="12" xfId="0" applyNumberFormat="1" applyFont="1" applyBorder="1" applyAlignment="1">
      <alignmen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2" fillId="0" borderId="8" xfId="0" applyFont="1" applyBorder="1" applyAlignment="1" applyProtection="1">
      <alignment vertical="top" wrapText="1"/>
      <protection locked="0"/>
    </xf>
    <xf numFmtId="0" fontId="10" fillId="0" borderId="3" xfId="0" applyFont="1" applyBorder="1" applyAlignment="1">
      <alignment horizontal="left" vertical="top"/>
    </xf>
    <xf numFmtId="0" fontId="12" fillId="0" borderId="4" xfId="0" applyFont="1" applyBorder="1" applyAlignment="1" applyProtection="1">
      <alignment horizontal="left" vertical="top"/>
      <protection locked="0"/>
    </xf>
    <xf numFmtId="0" fontId="12" fillId="0" borderId="4" xfId="0" applyFont="1" applyBorder="1" applyAlignment="1" applyProtection="1">
      <alignment vertical="top" wrapText="1"/>
      <protection locked="0"/>
    </xf>
    <xf numFmtId="0" fontId="0" fillId="0" borderId="0" xfId="0" applyProtection="1">
      <protection locked="0"/>
    </xf>
    <xf numFmtId="1" fontId="12" fillId="0" borderId="0" xfId="0" applyNumberFormat="1" applyFont="1"/>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52"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172" fontId="3" fillId="0" borderId="0" xfId="546" applyNumberFormat="1"/>
    <xf numFmtId="0" fontId="12" fillId="0" borderId="0" xfId="546" applyFont="1" applyAlignment="1">
      <alignment horizontal="left"/>
    </xf>
    <xf numFmtId="0" fontId="12" fillId="0" borderId="18" xfId="0" applyFont="1" applyBorder="1"/>
    <xf numFmtId="0" fontId="12" fillId="0" borderId="12" xfId="0" applyFont="1" applyBorder="1"/>
    <xf numFmtId="2" fontId="32" fillId="0" borderId="12" xfId="0" applyNumberFormat="1" applyFont="1" applyBorder="1"/>
    <xf numFmtId="0" fontId="17" fillId="0" borderId="0" xfId="0" applyFont="1" applyAlignment="1">
      <alignment vertical="top" wrapText="1"/>
    </xf>
    <xf numFmtId="0" fontId="12" fillId="0" borderId="4" xfId="0" applyFont="1" applyBorder="1" applyAlignment="1">
      <alignment vertical="top" wrapText="1"/>
    </xf>
    <xf numFmtId="0" fontId="12" fillId="0" borderId="0" xfId="0" applyFont="1" applyAlignment="1">
      <alignment wrapText="1"/>
    </xf>
    <xf numFmtId="0" fontId="44" fillId="0" borderId="0" xfId="0" applyFont="1" applyAlignment="1">
      <alignment horizontal="center" vertical="center"/>
    </xf>
    <xf numFmtId="49" fontId="10" fillId="0" borderId="0" xfId="0" applyNumberFormat="1" applyFont="1" applyAlignment="1">
      <alignment horizontal="center" vertical="center"/>
    </xf>
    <xf numFmtId="0" fontId="12" fillId="0" borderId="0" xfId="0" applyFont="1" applyAlignment="1">
      <alignment vertical="center"/>
    </xf>
    <xf numFmtId="49" fontId="12" fillId="0" borderId="0" xfId="0" applyNumberFormat="1" applyFont="1" applyAlignment="1">
      <alignment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3" fontId="12" fillId="0" borderId="0" xfId="0" applyNumberFormat="1" applyFont="1" applyAlignment="1">
      <alignment horizontal="center"/>
    </xf>
    <xf numFmtId="0" fontId="25" fillId="0" borderId="0" xfId="546" applyFont="1" applyAlignment="1">
      <alignment horizontal="right" vertical="top" wrapText="1"/>
    </xf>
    <xf numFmtId="0" fontId="24" fillId="0" borderId="0" xfId="546" applyFont="1" applyAlignment="1">
      <alignment horizontal="right" vertical="top" wrapText="1"/>
    </xf>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546" applyFont="1" applyAlignment="1">
      <alignment horizontal="left" vertical="center"/>
    </xf>
    <xf numFmtId="0" fontId="12"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66"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56" fillId="0" borderId="0" xfId="273" applyFont="1"/>
    <xf numFmtId="169" fontId="8" fillId="0" borderId="0" xfId="273" applyNumberFormat="1" applyFont="1"/>
    <xf numFmtId="10" fontId="8" fillId="0" borderId="0" xfId="273" applyNumberFormat="1" applyFont="1" applyAlignment="1">
      <alignment horizontal="center"/>
    </xf>
    <xf numFmtId="3" fontId="69" fillId="0" borderId="0" xfId="273" applyNumberFormat="1" applyFont="1"/>
    <xf numFmtId="3" fontId="8" fillId="0" borderId="0" xfId="273" applyNumberFormat="1" applyFont="1"/>
    <xf numFmtId="169" fontId="56" fillId="0" borderId="0" xfId="273" applyNumberFormat="1" applyFont="1"/>
    <xf numFmtId="169" fontId="56"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10" fontId="70" fillId="0" borderId="0" xfId="273" applyNumberFormat="1" applyFon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0" fontId="12" fillId="10" borderId="5" xfId="0" applyFont="1" applyFill="1" applyBorder="1"/>
    <xf numFmtId="169" fontId="26" fillId="0" borderId="0" xfId="0" applyNumberFormat="1" applyFont="1" applyAlignment="1">
      <alignment vertical="top" wrapText="1"/>
    </xf>
    <xf numFmtId="0" fontId="12" fillId="0" borderId="1" xfId="0" applyFont="1" applyBorder="1"/>
    <xf numFmtId="169" fontId="12" fillId="0" borderId="3" xfId="0" applyNumberFormat="1" applyFont="1" applyBorder="1" applyAlignment="1">
      <alignment vertical="top"/>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12" fillId="0" borderId="0" xfId="0" applyFont="1" applyAlignment="1">
      <alignment horizontal="left" wrapText="1"/>
    </xf>
    <xf numFmtId="0" fontId="38"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1" fontId="32" fillId="0" borderId="18" xfId="0" applyNumberFormat="1" applyFont="1" applyBorder="1"/>
    <xf numFmtId="1" fontId="32" fillId="0" borderId="17" xfId="0" applyNumberFormat="1" applyFont="1" applyBorder="1"/>
    <xf numFmtId="1" fontId="32" fillId="0" borderId="15" xfId="0" applyNumberFormat="1" applyFont="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65" fontId="32" fillId="0" borderId="0" xfId="0" applyNumberFormat="1" applyFont="1"/>
    <xf numFmtId="165" fontId="32" fillId="0" borderId="9" xfId="0" applyNumberFormat="1" applyFont="1" applyBorder="1"/>
    <xf numFmtId="171" fontId="32" fillId="0" borderId="17" xfId="0" applyNumberFormat="1" applyFont="1" applyBorder="1"/>
    <xf numFmtId="1" fontId="10" fillId="0" borderId="12" xfId="0" applyNumberFormat="1" applyFont="1" applyBorder="1"/>
    <xf numFmtId="165" fontId="10" fillId="0" borderId="12" xfId="0" applyNumberFormat="1" applyFont="1" applyBorder="1"/>
    <xf numFmtId="0" fontId="26" fillId="0" borderId="12" xfId="0" applyFont="1" applyBorder="1" applyAlignment="1">
      <alignment horizontal="right" vertical="top"/>
    </xf>
    <xf numFmtId="0" fontId="10" fillId="0" borderId="0" xfId="545" applyFont="1"/>
    <xf numFmtId="0" fontId="21" fillId="9" borderId="0" xfId="545" applyFont="1" applyFill="1"/>
    <xf numFmtId="0" fontId="12" fillId="9" borderId="0" xfId="545" quotePrefix="1" applyFont="1" applyFill="1" applyAlignment="1">
      <alignment horizontal="left"/>
    </xf>
    <xf numFmtId="0" fontId="12" fillId="9" borderId="0" xfId="545" applyFont="1" applyFill="1"/>
    <xf numFmtId="0" fontId="63" fillId="0" borderId="0" xfId="545"/>
    <xf numFmtId="5" fontId="12" fillId="0" borderId="0" xfId="545" applyNumberFormat="1" applyFont="1"/>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166"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6" fillId="2" borderId="11" xfId="0" applyFont="1" applyFill="1" applyBorder="1" applyAlignment="1">
      <alignment vertical="top" wrapText="1"/>
    </xf>
    <xf numFmtId="0" fontId="26" fillId="0" borderId="18" xfId="0" applyFont="1" applyBorder="1" applyAlignment="1">
      <alignment vertical="top" wrapText="1"/>
    </xf>
    <xf numFmtId="0" fontId="50" fillId="2" borderId="15" xfId="0" applyFont="1" applyFill="1" applyBorder="1" applyAlignment="1">
      <alignment vertical="top" wrapText="1"/>
    </xf>
    <xf numFmtId="0" fontId="50" fillId="0" borderId="0" xfId="0" applyFont="1" applyAlignment="1">
      <alignment vertical="top" wrapText="1"/>
    </xf>
    <xf numFmtId="0" fontId="50" fillId="2" borderId="0" xfId="0" applyFont="1" applyFill="1" applyAlignment="1">
      <alignment vertical="top" wrapText="1"/>
    </xf>
    <xf numFmtId="0" fontId="50" fillId="0" borderId="0" xfId="0" applyFont="1" applyAlignment="1">
      <alignment horizontal="right" vertical="top" wrapText="1"/>
    </xf>
    <xf numFmtId="0" fontId="0" fillId="7" borderId="3" xfId="0" applyFill="1" applyBorder="1"/>
    <xf numFmtId="0" fontId="73" fillId="0" borderId="0" xfId="0" applyFont="1" applyAlignment="1">
      <alignment vertical="center"/>
    </xf>
    <xf numFmtId="0" fontId="73" fillId="0" borderId="0" xfId="0" applyFont="1" applyAlignment="1">
      <alignment horizontal="left" vertical="center" indent="1"/>
    </xf>
    <xf numFmtId="0" fontId="73" fillId="0" borderId="0" xfId="0" applyFont="1" applyAlignment="1">
      <alignment vertical="center" wrapText="1"/>
    </xf>
    <xf numFmtId="173" fontId="12" fillId="7" borderId="0" xfId="273" applyNumberFormat="1" applyFill="1" applyAlignment="1">
      <alignment horizontal="center"/>
    </xf>
    <xf numFmtId="0" fontId="3" fillId="0" borderId="0" xfId="0" applyFont="1" applyAlignment="1">
      <alignment horizontal="center"/>
    </xf>
    <xf numFmtId="0" fontId="33"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0" fontId="12" fillId="0" borderId="0" xfId="0" quotePrefix="1" applyFont="1" applyAlignment="1">
      <alignment horizontal="center" vertical="top"/>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165" fontId="10" fillId="0" borderId="0" xfId="273" applyNumberFormat="1" applyFont="1" applyAlignment="1">
      <alignment horizontal="center"/>
    </xf>
    <xf numFmtId="0" fontId="44" fillId="0" borderId="0" xfId="273" applyFont="1" applyAlignment="1">
      <alignment horizontal="center"/>
    </xf>
    <xf numFmtId="0" fontId="4" fillId="0" borderId="0" xfId="245"/>
    <xf numFmtId="0" fontId="53" fillId="0" borderId="0" xfId="0" applyFont="1"/>
    <xf numFmtId="0" fontId="53" fillId="0" borderId="0" xfId="0" applyFont="1" applyAlignment="1">
      <alignment vertical="top"/>
    </xf>
    <xf numFmtId="0" fontId="8" fillId="7" borderId="0" xfId="273" applyFont="1" applyFill="1" applyAlignment="1" applyProtection="1">
      <alignment horizontal="left"/>
      <protection locked="0"/>
    </xf>
    <xf numFmtId="0" fontId="26" fillId="0" borderId="0" xfId="273" applyFont="1"/>
    <xf numFmtId="0" fontId="11" fillId="0" borderId="0" xfId="0" applyFont="1" applyAlignment="1">
      <alignment horizontal="left" vertical="center" shrinkToFit="1"/>
    </xf>
    <xf numFmtId="49" fontId="55" fillId="0" borderId="0" xfId="273" applyNumberFormat="1" applyFont="1" applyAlignment="1">
      <alignment horizontal="center" vertical="center"/>
    </xf>
    <xf numFmtId="0" fontId="56"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65" fillId="0" borderId="5" xfId="273" applyFont="1" applyBorder="1" applyAlignment="1">
      <alignment horizontal="right" vertical="center"/>
    </xf>
    <xf numFmtId="0" fontId="8" fillId="0" borderId="5" xfId="273" applyFont="1" applyBorder="1" applyAlignment="1">
      <alignment horizontal="right" vertical="center"/>
    </xf>
    <xf numFmtId="0" fontId="66" fillId="0" borderId="0" xfId="273" applyFont="1" applyAlignment="1">
      <alignment horizontal="right" vertical="center"/>
    </xf>
    <xf numFmtId="0" fontId="58" fillId="0" borderId="0" xfId="273" applyFont="1"/>
    <xf numFmtId="0" fontId="66"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42" fillId="0" borderId="0" xfId="273" applyFont="1" applyAlignment="1">
      <alignment horizontal="right" vertical="center"/>
    </xf>
    <xf numFmtId="169" fontId="8" fillId="0" borderId="5" xfId="273" applyNumberFormat="1" applyFont="1" applyBorder="1" applyAlignment="1">
      <alignment horizontal="right"/>
    </xf>
    <xf numFmtId="0" fontId="56" fillId="0" borderId="0" xfId="273" applyFont="1" applyAlignment="1">
      <alignment horizontal="right"/>
    </xf>
    <xf numFmtId="169" fontId="8" fillId="0" borderId="2" xfId="273" applyNumberFormat="1" applyFont="1" applyBorder="1"/>
    <xf numFmtId="0" fontId="56" fillId="0" borderId="5" xfId="273" applyFont="1" applyBorder="1" applyAlignment="1">
      <alignment horizontal="right"/>
    </xf>
    <xf numFmtId="0" fontId="57" fillId="0" borderId="0" xfId="273" applyFont="1"/>
    <xf numFmtId="0" fontId="8" fillId="0" borderId="0" xfId="273" applyFont="1" applyAlignment="1">
      <alignment horizontal="right" vertical="center"/>
    </xf>
    <xf numFmtId="0" fontId="8" fillId="0" borderId="0" xfId="273" applyFont="1" applyAlignment="1">
      <alignment horizontal="right"/>
    </xf>
    <xf numFmtId="0" fontId="56" fillId="0" borderId="0" xfId="273" applyFont="1" applyAlignment="1">
      <alignment vertical="center" wrapText="1"/>
    </xf>
    <xf numFmtId="0" fontId="8" fillId="0" borderId="7" xfId="273" applyFont="1" applyBorder="1"/>
    <xf numFmtId="0" fontId="42"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77" fillId="45" borderId="12" xfId="544" applyNumberFormat="1" applyFont="1" applyFill="1" applyBorder="1" applyAlignment="1" applyProtection="1">
      <alignment horizontal="center"/>
    </xf>
    <xf numFmtId="5" fontId="77" fillId="0" borderId="12" xfId="544" applyNumberFormat="1" applyFont="1" applyBorder="1" applyAlignment="1" applyProtection="1">
      <alignment horizontal="center"/>
    </xf>
    <xf numFmtId="5" fontId="77" fillId="2" borderId="12" xfId="544" applyNumberFormat="1" applyFont="1" applyFill="1" applyBorder="1" applyAlignment="1" applyProtection="1">
      <alignment horizontal="center"/>
    </xf>
    <xf numFmtId="0" fontId="26" fillId="0" borderId="0" xfId="0" applyFont="1" applyAlignment="1">
      <alignment horizontal="right" vertical="top" wrapText="1"/>
    </xf>
    <xf numFmtId="0" fontId="17" fillId="0" borderId="0" xfId="0" applyFont="1" applyAlignment="1">
      <alignment horizontal="right" vertical="top" wrapText="1"/>
    </xf>
    <xf numFmtId="169" fontId="26" fillId="7" borderId="5" xfId="0" applyNumberFormat="1" applyFont="1" applyFill="1" applyBorder="1" applyAlignment="1" applyProtection="1">
      <alignment horizontal="right" vertical="top" wrapText="1"/>
      <protection locked="0"/>
    </xf>
    <xf numFmtId="169" fontId="26" fillId="0" borderId="5" xfId="0" applyNumberFormat="1" applyFont="1" applyBorder="1" applyAlignment="1">
      <alignment horizontal="right" vertical="top" wrapText="1"/>
    </xf>
    <xf numFmtId="0" fontId="12" fillId="0" borderId="0" xfId="0" applyFont="1" applyAlignment="1">
      <alignment horizontal="right" vertical="top" wrapText="1"/>
    </xf>
    <xf numFmtId="0" fontId="50" fillId="0" borderId="18" xfId="0" applyFont="1" applyBorder="1" applyAlignment="1">
      <alignment vertical="top" wrapText="1"/>
    </xf>
    <xf numFmtId="0" fontId="50"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79" fillId="0" borderId="0" xfId="546" applyFont="1"/>
    <xf numFmtId="0" fontId="10" fillId="0" borderId="2" xfId="546" applyFont="1" applyBorder="1" applyAlignment="1">
      <alignment horizontal="center"/>
    </xf>
    <xf numFmtId="0" fontId="10" fillId="0" borderId="0" xfId="546" applyFont="1" applyAlignment="1">
      <alignment horizontal="center"/>
    </xf>
    <xf numFmtId="0" fontId="79" fillId="0" borderId="0" xfId="0" applyFont="1"/>
    <xf numFmtId="169" fontId="79" fillId="0" borderId="0" xfId="0" applyNumberFormat="1" applyFont="1" applyAlignment="1">
      <alignment horizontal="left" vertical="top"/>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105" fillId="0" borderId="0" xfId="0" applyFont="1" applyAlignment="1">
      <alignment horizontal="left" vertical="top"/>
    </xf>
    <xf numFmtId="0" fontId="47" fillId="0" borderId="0" xfId="0" applyFont="1" applyAlignment="1">
      <alignment horizontal="center"/>
    </xf>
    <xf numFmtId="0" fontId="74" fillId="0" borderId="0" xfId="0" applyFont="1" applyAlignment="1">
      <alignment horizontal="left" vertical="top"/>
    </xf>
    <xf numFmtId="0" fontId="73" fillId="0" borderId="0" xfId="0" applyFont="1"/>
    <xf numFmtId="0" fontId="38"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64" fillId="9" borderId="12" xfId="545" applyFont="1" applyFill="1" applyBorder="1" applyAlignment="1">
      <alignment horizontal="left"/>
    </xf>
    <xf numFmtId="169" fontId="12" fillId="0" borderId="12" xfId="543" applyNumberFormat="1" applyBorder="1" applyAlignment="1" applyProtection="1">
      <alignment horizontal="center"/>
    </xf>
    <xf numFmtId="0" fontId="64" fillId="0" borderId="12" xfId="545" applyFont="1" applyBorder="1" applyAlignment="1">
      <alignment horizontal="left"/>
    </xf>
    <xf numFmtId="0" fontId="50" fillId="0" borderId="13" xfId="0" applyFont="1" applyBorder="1" applyAlignment="1">
      <alignment vertical="top" wrapText="1"/>
    </xf>
    <xf numFmtId="0" fontId="83" fillId="0" borderId="0" xfId="0" applyFont="1" applyAlignment="1">
      <alignment horizontal="left"/>
    </xf>
    <xf numFmtId="0" fontId="47" fillId="0" borderId="0" xfId="0" applyFont="1" applyAlignment="1">
      <alignment vertical="top" wrapText="1"/>
    </xf>
    <xf numFmtId="0" fontId="17" fillId="0" borderId="7" xfId="0" applyFont="1" applyBorder="1" applyAlignment="1">
      <alignment vertical="top" wrapText="1"/>
    </xf>
    <xf numFmtId="0" fontId="26" fillId="0" borderId="7" xfId="0" applyFont="1" applyBorder="1" applyAlignment="1">
      <alignment vertical="top" wrapText="1"/>
    </xf>
    <xf numFmtId="0" fontId="47" fillId="0" borderId="7" xfId="0" applyFont="1" applyBorder="1" applyAlignment="1">
      <alignment vertical="top" wrapText="1"/>
    </xf>
    <xf numFmtId="0" fontId="50" fillId="0" borderId="7" xfId="0" applyFont="1" applyBorder="1" applyAlignment="1">
      <alignment vertical="top" wrapText="1"/>
    </xf>
    <xf numFmtId="0" fontId="26" fillId="0" borderId="13" xfId="0" applyFont="1" applyBorder="1" applyAlignment="1">
      <alignment vertical="top" wrapText="1"/>
    </xf>
    <xf numFmtId="6" fontId="26" fillId="6" borderId="12" xfId="0" applyNumberFormat="1" applyFont="1" applyFill="1" applyBorder="1" applyAlignment="1">
      <alignment vertical="top" wrapText="1"/>
    </xf>
    <xf numFmtId="6" fontId="26" fillId="0" borderId="12" xfId="0" applyNumberFormat="1" applyFont="1" applyBorder="1" applyAlignment="1">
      <alignment vertical="top" wrapText="1"/>
    </xf>
    <xf numFmtId="6" fontId="26" fillId="7" borderId="12" xfId="0" applyNumberFormat="1" applyFont="1" applyFill="1" applyBorder="1" applyAlignment="1" applyProtection="1">
      <alignment vertical="top" wrapText="1"/>
      <protection locked="0"/>
    </xf>
    <xf numFmtId="6" fontId="26" fillId="8" borderId="12" xfId="0" applyNumberFormat="1" applyFont="1" applyFill="1" applyBorder="1" applyAlignment="1">
      <alignment horizontal="center" vertical="top" wrapText="1"/>
    </xf>
    <xf numFmtId="6" fontId="47" fillId="0" borderId="12" xfId="0" applyNumberFormat="1" applyFont="1" applyBorder="1" applyAlignment="1">
      <alignment vertical="top" wrapText="1"/>
    </xf>
    <xf numFmtId="6" fontId="26" fillId="0" borderId="0" xfId="0" applyNumberFormat="1" applyFont="1" applyAlignment="1">
      <alignment horizontal="left" vertical="top"/>
    </xf>
    <xf numFmtId="6" fontId="26"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7" fillId="0" borderId="3" xfId="0" applyFont="1" applyBorder="1" applyAlignment="1">
      <alignment horizontal="left"/>
    </xf>
    <xf numFmtId="0" fontId="47" fillId="0" borderId="7" xfId="0" applyFont="1" applyBorder="1" applyAlignment="1">
      <alignment horizontal="center" wrapText="1"/>
    </xf>
    <xf numFmtId="0" fontId="47" fillId="0" borderId="0" xfId="0" applyFont="1" applyAlignment="1">
      <alignment horizontal="center" wrapText="1"/>
    </xf>
    <xf numFmtId="0" fontId="23" fillId="0" borderId="0" xfId="0" applyFont="1" applyAlignment="1">
      <alignment vertical="top"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56" fillId="0" borderId="0" xfId="0" applyFont="1" applyAlignment="1">
      <alignment horizontal="left"/>
    </xf>
    <xf numFmtId="0" fontId="56"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12" fillId="0" borderId="4" xfId="0" applyFont="1" applyBorder="1" applyAlignment="1">
      <alignment horizontal="left"/>
    </xf>
    <xf numFmtId="0" fontId="67" fillId="0" borderId="0" xfId="0" applyFont="1"/>
    <xf numFmtId="4" fontId="12" fillId="0" borderId="0" xfId="273" applyNumberFormat="1" applyAlignment="1">
      <alignment horizontal="left" vertical="top" wrapText="1"/>
    </xf>
    <xf numFmtId="0" fontId="26" fillId="0" borderId="7" xfId="0" applyFont="1" applyBorder="1"/>
    <xf numFmtId="0" fontId="26" fillId="0" borderId="4" xfId="0" applyFont="1" applyBorder="1"/>
    <xf numFmtId="0" fontId="26" fillId="0" borderId="3" xfId="0" applyFont="1" applyBorder="1"/>
    <xf numFmtId="0" fontId="26" fillId="0" borderId="1" xfId="0" applyFont="1" applyBorder="1"/>
    <xf numFmtId="0" fontId="47" fillId="0" borderId="0" xfId="0" applyFont="1" applyAlignment="1">
      <alignment horizontal="right"/>
    </xf>
    <xf numFmtId="0" fontId="47" fillId="0" borderId="9" xfId="0" applyFont="1" applyBorder="1" applyAlignment="1">
      <alignment horizontal="left"/>
    </xf>
    <xf numFmtId="0" fontId="47" fillId="0" borderId="4" xfId="0" applyFont="1" applyBorder="1"/>
    <xf numFmtId="0" fontId="26" fillId="0" borderId="5" xfId="0" applyFont="1" applyBorder="1"/>
    <xf numFmtId="0" fontId="47" fillId="0" borderId="5" xfId="0" applyFont="1" applyBorder="1" applyAlignment="1">
      <alignment horizontal="right"/>
    </xf>
    <xf numFmtId="0" fontId="26"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106" fillId="0" borderId="4" xfId="273" applyFont="1" applyBorder="1"/>
    <xf numFmtId="0" fontId="106" fillId="0" borderId="5" xfId="273" applyFont="1" applyBorder="1"/>
    <xf numFmtId="169" fontId="106"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106" fillId="0" borderId="0" xfId="273" applyFont="1"/>
    <xf numFmtId="0" fontId="8" fillId="7" borderId="5" xfId="273" applyFont="1" applyFill="1" applyBorder="1" applyProtection="1">
      <protection locked="0"/>
    </xf>
    <xf numFmtId="0" fontId="8" fillId="0" borderId="2" xfId="273" applyFont="1" applyBorder="1"/>
    <xf numFmtId="0" fontId="56"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0" fontId="12" fillId="0" borderId="0" xfId="0" quotePrefix="1" applyFont="1" applyAlignment="1">
      <alignment horizontal="left" vertical="top"/>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65" fillId="0" borderId="0" xfId="273" applyFont="1" applyAlignment="1">
      <alignment horizontal="right" vertical="center"/>
    </xf>
    <xf numFmtId="0" fontId="8" fillId="0" borderId="0" xfId="273" applyFont="1" applyAlignment="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49" fontId="12" fillId="0" borderId="0" xfId="0" applyNumberFormat="1" applyFont="1" applyAlignment="1">
      <alignment horizontal="left" vertical="top" wrapText="1"/>
    </xf>
    <xf numFmtId="4" fontId="12" fillId="0" borderId="0" xfId="0" applyNumberFormat="1" applyFont="1" applyAlignment="1">
      <alignment horizontal="left" vertical="top" wrapText="1"/>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41" fillId="0" borderId="0" xfId="0" applyFont="1"/>
    <xf numFmtId="0" fontId="21" fillId="0" borderId="0" xfId="0" applyFont="1"/>
    <xf numFmtId="0" fontId="40" fillId="0" borderId="0" xfId="0" applyFont="1"/>
    <xf numFmtId="0" fontId="36" fillId="0" borderId="0" xfId="273" applyFont="1"/>
    <xf numFmtId="0" fontId="24" fillId="0" borderId="0" xfId="0" applyFont="1"/>
    <xf numFmtId="0" fontId="45" fillId="0" borderId="0" xfId="0" applyFont="1"/>
    <xf numFmtId="0" fontId="47" fillId="0" borderId="12" xfId="0" applyFont="1" applyBorder="1" applyAlignment="1">
      <alignment horizontal="center" wrapText="1"/>
    </xf>
    <xf numFmtId="0" fontId="110" fillId="0" borderId="0" xfId="0" applyFont="1" applyAlignment="1">
      <alignment horizontal="left" vertical="top"/>
    </xf>
    <xf numFmtId="169" fontId="26" fillId="47" borderId="12" xfId="0" applyNumberFormat="1" applyFont="1" applyFill="1" applyBorder="1" applyAlignment="1">
      <alignment vertical="top" wrapText="1"/>
    </xf>
    <xf numFmtId="6" fontId="26"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2" fillId="0" borderId="7" xfId="0" applyFon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8" fillId="0" borderId="0" xfId="273" applyFont="1" applyAlignment="1">
      <alignment horizontal="left" vertical="top" wrapText="1"/>
    </xf>
    <xf numFmtId="0" fontId="56"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53" fillId="0" borderId="2" xfId="0" applyFont="1" applyBorder="1" applyAlignment="1">
      <alignment horizontal="left" wrapText="1"/>
    </xf>
    <xf numFmtId="0" fontId="53" fillId="0" borderId="2" xfId="0" applyFont="1" applyBorder="1" applyAlignment="1">
      <alignment horizontal="left"/>
    </xf>
    <xf numFmtId="0" fontId="53"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12" fillId="0" borderId="49" xfId="0" applyFont="1" applyBorder="1"/>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2" fillId="0" borderId="53" xfId="0" applyFont="1" applyBorder="1"/>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12" fillId="0" borderId="49" xfId="546" applyFont="1" applyBorder="1"/>
    <xf numFmtId="0" fontId="0" fillId="0" borderId="49" xfId="0" applyBorder="1" applyAlignment="1">
      <alignment horizontal="center"/>
    </xf>
    <xf numFmtId="0" fontId="12" fillId="0" borderId="52" xfId="546" applyFont="1" applyBorder="1"/>
    <xf numFmtId="0" fontId="12" fillId="0" borderId="53" xfId="546" applyFont="1" applyBorder="1"/>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74"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6" fillId="0" borderId="47" xfId="0" applyFont="1" applyBorder="1" applyAlignment="1">
      <alignment horizontal="left" vertical="top"/>
    </xf>
    <xf numFmtId="0" fontId="12" fillId="0" borderId="47" xfId="0" quotePrefix="1" applyFont="1" applyBorder="1" applyAlignment="1">
      <alignment horizontal="center"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12" fillId="0" borderId="52"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56" fillId="0" borderId="50" xfId="273" applyFont="1" applyBorder="1" applyAlignment="1">
      <alignment vertical="center" wrapText="1"/>
    </xf>
    <xf numFmtId="0" fontId="8" fillId="0" borderId="58" xfId="273" applyFont="1" applyBorder="1"/>
    <xf numFmtId="0" fontId="26"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15" fillId="0" borderId="46" xfId="273" applyFont="1" applyBorder="1" applyAlignment="1">
      <alignment horizontal="left"/>
    </xf>
    <xf numFmtId="0" fontId="115" fillId="0" borderId="52" xfId="273" applyFont="1" applyBorder="1" applyAlignment="1">
      <alignment horizontal="left"/>
    </xf>
    <xf numFmtId="0" fontId="116" fillId="0" borderId="46" xfId="273" applyFont="1" applyBorder="1" applyAlignment="1">
      <alignment horizontal="left"/>
    </xf>
    <xf numFmtId="0" fontId="116"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18"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53" fillId="0" borderId="0" xfId="0" applyFont="1" applyAlignment="1">
      <alignment vertical="top" wrapText="1"/>
    </xf>
    <xf numFmtId="0" fontId="12" fillId="0" borderId="47" xfId="0" applyFont="1" applyBorder="1"/>
    <xf numFmtId="0" fontId="8" fillId="0" borderId="0" xfId="273" applyFont="1" applyAlignment="1">
      <alignment wrapText="1"/>
    </xf>
    <xf numFmtId="0" fontId="57" fillId="0" borderId="0" xfId="273" applyFont="1" applyAlignment="1">
      <alignment horizontal="center" vertical="top"/>
    </xf>
    <xf numFmtId="0" fontId="106" fillId="0" borderId="47" xfId="273" applyFont="1" applyBorder="1" applyAlignment="1">
      <alignment horizontal="left"/>
    </xf>
    <xf numFmtId="0" fontId="115" fillId="0" borderId="47" xfId="273" applyFont="1" applyBorder="1" applyAlignment="1">
      <alignment horizontal="left"/>
    </xf>
    <xf numFmtId="0" fontId="3" fillId="0" borderId="61" xfId="273" applyFont="1" applyBorder="1"/>
    <xf numFmtId="4" fontId="12" fillId="0" borderId="0" xfId="0" applyNumberFormat="1" applyFont="1" applyAlignment="1">
      <alignment vertical="top" wrapText="1"/>
    </xf>
    <xf numFmtId="0" fontId="10" fillId="0" borderId="10" xfId="0" applyFont="1" applyBorder="1" applyAlignment="1">
      <alignment horizontal="right"/>
    </xf>
    <xf numFmtId="0" fontId="26" fillId="0" borderId="0" xfId="0" applyFont="1" applyAlignment="1">
      <alignment vertical="center" wrapText="1"/>
    </xf>
    <xf numFmtId="0" fontId="26" fillId="0" borderId="0" xfId="0" applyFont="1" applyAlignment="1">
      <alignment vertical="center"/>
    </xf>
    <xf numFmtId="0" fontId="26"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108"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8" fillId="0" borderId="9" xfId="546" applyFont="1" applyBorder="1" applyAlignment="1">
      <alignment vertical="top"/>
    </xf>
    <xf numFmtId="0" fontId="30" fillId="0" borderId="7" xfId="546" applyFont="1" applyBorder="1" applyAlignment="1">
      <alignment vertical="center" wrapText="1"/>
    </xf>
    <xf numFmtId="0" fontId="30" fillId="0" borderId="0" xfId="546" applyFont="1" applyAlignment="1">
      <alignment vertical="center" wrapText="1"/>
    </xf>
    <xf numFmtId="0" fontId="30" fillId="0" borderId="13" xfId="546" applyFont="1" applyBorder="1" applyAlignment="1">
      <alignment vertical="center" wrapText="1"/>
    </xf>
    <xf numFmtId="0" fontId="30" fillId="0" borderId="9" xfId="546" applyFont="1" applyBorder="1" applyAlignment="1">
      <alignment vertical="center" wrapText="1"/>
    </xf>
    <xf numFmtId="0" fontId="30" fillId="0" borderId="5" xfId="546" applyFont="1" applyBorder="1" applyAlignment="1">
      <alignment vertical="center" wrapText="1"/>
    </xf>
    <xf numFmtId="0" fontId="30"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23" fillId="0" borderId="0" xfId="0" applyFont="1" applyAlignment="1">
      <alignment horizontal="left"/>
    </xf>
    <xf numFmtId="0" fontId="3" fillId="0" borderId="0" xfId="259" applyFont="1" applyAlignment="1">
      <alignment horizontal="center"/>
    </xf>
    <xf numFmtId="0" fontId="44" fillId="0" borderId="0" xfId="259" applyFont="1" applyAlignment="1">
      <alignment horizontal="center"/>
    </xf>
    <xf numFmtId="0" fontId="3" fillId="0" borderId="0" xfId="259" applyFont="1" applyAlignment="1">
      <alignment horizontal="left" vertical="top" wrapText="1"/>
    </xf>
    <xf numFmtId="0" fontId="40" fillId="2" borderId="12" xfId="574" applyFont="1" applyFill="1" applyBorder="1" applyAlignment="1">
      <alignment horizontal="left" vertical="top" wrapText="1"/>
    </xf>
    <xf numFmtId="0" fontId="26" fillId="0" borderId="12" xfId="259" applyFont="1" applyBorder="1" applyAlignment="1">
      <alignment horizontal="right" vertical="top" wrapText="1"/>
    </xf>
    <xf numFmtId="0" fontId="47" fillId="0" borderId="12" xfId="259" applyFont="1" applyBorder="1" applyAlignment="1">
      <alignment horizontal="right" vertical="top" wrapText="1"/>
    </xf>
    <xf numFmtId="0" fontId="26"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6"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2" fillId="7" borderId="8" xfId="0" applyFont="1" applyFill="1" applyBorder="1" applyAlignment="1" applyProtection="1">
      <alignment vertical="top" wrapText="1"/>
      <protection locked="0"/>
    </xf>
    <xf numFmtId="169" fontId="12" fillId="0" borderId="12" xfId="0" applyNumberFormat="1" applyFont="1" applyBorder="1" applyAlignment="1" applyProtection="1">
      <alignment vertical="top" wrapText="1"/>
      <protection locked="0"/>
    </xf>
    <xf numFmtId="0" fontId="4" fillId="0" borderId="0" xfId="245" applyProtection="1"/>
    <xf numFmtId="0" fontId="126" fillId="0" borderId="0" xfId="575" applyFont="1"/>
    <xf numFmtId="0" fontId="126" fillId="0" borderId="0" xfId="575" applyFont="1" applyAlignment="1">
      <alignment wrapText="1"/>
    </xf>
    <xf numFmtId="0" fontId="127" fillId="0" borderId="0" xfId="575" applyFont="1"/>
    <xf numFmtId="180" fontId="128" fillId="0" borderId="0" xfId="576" applyNumberFormat="1" applyFont="1"/>
    <xf numFmtId="0" fontId="129" fillId="0" borderId="0" xfId="575" applyFont="1" applyAlignment="1">
      <alignment vertical="center" wrapText="1"/>
    </xf>
    <xf numFmtId="49" fontId="126" fillId="0" borderId="0" xfId="575" applyNumberFormat="1" applyFont="1" applyAlignment="1">
      <alignment horizontal="center"/>
    </xf>
    <xf numFmtId="169" fontId="126" fillId="0" borderId="0" xfId="577" applyNumberFormat="1" applyFont="1" applyFill="1" applyBorder="1" applyAlignment="1">
      <alignment vertical="center"/>
    </xf>
    <xf numFmtId="181" fontId="126" fillId="0" borderId="0" xfId="575" applyNumberFormat="1" applyFont="1"/>
    <xf numFmtId="0" fontId="126" fillId="0" borderId="0" xfId="575" applyFont="1" applyAlignment="1">
      <alignment horizontal="center"/>
    </xf>
    <xf numFmtId="0" fontId="131" fillId="0" borderId="0" xfId="575" applyFont="1"/>
    <xf numFmtId="0" fontId="132" fillId="0" borderId="0" xfId="575" applyFont="1"/>
    <xf numFmtId="0" fontId="126" fillId="0" borderId="0" xfId="575" applyFont="1" applyAlignment="1">
      <alignment horizontal="left"/>
    </xf>
    <xf numFmtId="2" fontId="126" fillId="0" borderId="0" xfId="575" applyNumberFormat="1" applyFont="1" applyAlignment="1">
      <alignment horizontal="center"/>
    </xf>
    <xf numFmtId="180" fontId="126" fillId="0" borderId="0" xfId="575" applyNumberFormat="1" applyFont="1"/>
    <xf numFmtId="7" fontId="127" fillId="0" borderId="0" xfId="575" applyNumberFormat="1" applyFont="1"/>
    <xf numFmtId="165" fontId="128" fillId="0" borderId="0" xfId="577" applyNumberFormat="1" applyFont="1"/>
    <xf numFmtId="165" fontId="128" fillId="0" borderId="0" xfId="577" applyNumberFormat="1" applyFont="1" applyFill="1" applyBorder="1"/>
    <xf numFmtId="0" fontId="126" fillId="0" borderId="0" xfId="575" applyFont="1" applyAlignment="1">
      <alignment vertical="top" wrapText="1"/>
    </xf>
    <xf numFmtId="0" fontId="3" fillId="50" borderId="0" xfId="574" applyFill="1"/>
    <xf numFmtId="0" fontId="3" fillId="50" borderId="0" xfId="766" applyFill="1"/>
    <xf numFmtId="169" fontId="126" fillId="0" borderId="0" xfId="577" applyNumberFormat="1" applyFont="1" applyFill="1" applyBorder="1" applyAlignment="1" applyProtection="1">
      <alignment vertical="center"/>
    </xf>
    <xf numFmtId="5" fontId="126" fillId="51" borderId="5" xfId="164" applyNumberFormat="1" applyFont="1" applyFill="1" applyBorder="1" applyAlignment="1" applyProtection="1">
      <protection locked="0"/>
    </xf>
    <xf numFmtId="0" fontId="127" fillId="0" borderId="0" xfId="575" applyFont="1" applyAlignment="1">
      <alignment wrapText="1"/>
    </xf>
    <xf numFmtId="0" fontId="133"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14" fillId="0" borderId="0" xfId="0" applyFont="1"/>
    <xf numFmtId="0" fontId="8" fillId="51" borderId="0" xfId="273" applyFont="1" applyFill="1"/>
    <xf numFmtId="3" fontId="69" fillId="51" borderId="5" xfId="273" applyNumberFormat="1" applyFont="1" applyFill="1" applyBorder="1"/>
    <xf numFmtId="0" fontId="135" fillId="0" borderId="0" xfId="0" applyFont="1"/>
    <xf numFmtId="0" fontId="137" fillId="0" borderId="0" xfId="0" applyFont="1"/>
    <xf numFmtId="0" fontId="138"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56" fillId="0" borderId="0" xfId="0" applyFont="1" applyAlignment="1">
      <alignment horizontal="center" vertical="center"/>
    </xf>
    <xf numFmtId="0" fontId="139" fillId="0" borderId="0" xfId="0" applyFont="1" applyAlignment="1">
      <alignment horizontal="center" vertical="center"/>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0" fontId="12" fillId="51" borderId="5" xfId="0" applyFont="1" applyFill="1" applyBorder="1" applyAlignment="1" applyProtection="1">
      <alignment vertical="top" wrapText="1"/>
      <protection locked="0"/>
    </xf>
    <xf numFmtId="3" fontId="35"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169" fontId="3" fillId="7" borderId="0" xfId="273" applyNumberFormat="1" applyFont="1" applyFill="1"/>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0" applyFont="1" applyAlignment="1">
      <alignment horizontal="left" vertical="top" wrapText="1"/>
    </xf>
    <xf numFmtId="0" fontId="3" fillId="0" borderId="0" xfId="273" applyFont="1" applyAlignment="1">
      <alignment horizontal="left" vertical="top" wrapText="1"/>
    </xf>
    <xf numFmtId="0" fontId="36" fillId="0" borderId="0" xfId="0" applyFont="1" applyAlignment="1">
      <alignment horizontal="left" vertical="top" wrapText="1"/>
    </xf>
    <xf numFmtId="0" fontId="3" fillId="0" borderId="0" xfId="0" applyFont="1" applyAlignment="1">
      <alignment horizontal="left" wrapText="1"/>
    </xf>
    <xf numFmtId="0" fontId="12" fillId="0" borderId="0" xfId="0" applyFont="1" applyAlignment="1">
      <alignment horizontal="left" wrapText="1"/>
    </xf>
    <xf numFmtId="0" fontId="111" fillId="0" borderId="0" xfId="0" applyFont="1" applyAlignment="1">
      <alignment horizontal="left" wrapText="1"/>
    </xf>
    <xf numFmtId="0" fontId="12" fillId="0" borderId="0" xfId="0" applyFont="1" applyAlignment="1">
      <alignment horizontal="left" vertical="top" wrapText="1"/>
    </xf>
    <xf numFmtId="0" fontId="10" fillId="0" borderId="0" xfId="0" applyFont="1" applyAlignment="1">
      <alignment horizontal="left" vertical="top" wrapText="1"/>
    </xf>
    <xf numFmtId="0" fontId="108" fillId="0" borderId="0" xfId="0" applyFont="1" applyAlignment="1">
      <alignment horizontal="left" vertical="top" wrapText="1"/>
    </xf>
    <xf numFmtId="0" fontId="4" fillId="0" borderId="0" xfId="245" applyFill="1" applyBorder="1" applyAlignment="1" applyProtection="1">
      <alignment horizontal="left"/>
    </xf>
    <xf numFmtId="0" fontId="4" fillId="0" borderId="0" xfId="245" applyBorder="1" applyAlignment="1" applyProtection="1">
      <alignment horizontal="left"/>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19" fillId="0" borderId="0" xfId="0" applyFont="1" applyAlignment="1">
      <alignment horizontal="center"/>
    </xf>
    <xf numFmtId="0" fontId="3" fillId="0" borderId="0" xfId="0" applyFont="1" applyAlignment="1">
      <alignment wrapText="1"/>
    </xf>
    <xf numFmtId="0" fontId="12" fillId="0" borderId="0" xfId="0" applyFont="1" applyAlignment="1">
      <alignment wrapText="1"/>
    </xf>
    <xf numFmtId="0" fontId="0" fillId="0" borderId="0" xfId="0" applyAlignment="1">
      <alignment wrapText="1"/>
    </xf>
    <xf numFmtId="0" fontId="12" fillId="0" borderId="0" xfId="0" applyFont="1"/>
    <xf numFmtId="0" fontId="3" fillId="0" borderId="0" xfId="0" applyFont="1" applyAlignment="1">
      <alignment vertical="top" wrapText="1"/>
    </xf>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12" fillId="0" borderId="0" xfId="273" applyAlignment="1">
      <alignment horizontal="left" vertical="top" wrapText="1"/>
    </xf>
    <xf numFmtId="0" fontId="3" fillId="0" borderId="0" xfId="0" applyFont="1" applyAlignment="1">
      <alignment horizontal="left"/>
    </xf>
    <xf numFmtId="0" fontId="12" fillId="0" borderId="0" xfId="0" applyFont="1" applyAlignment="1">
      <alignment horizontal="left"/>
    </xf>
    <xf numFmtId="0" fontId="3" fillId="0" borderId="0" xfId="278" applyFont="1" applyAlignment="1">
      <alignment horizontal="left" vertical="top" wrapText="1"/>
    </xf>
    <xf numFmtId="0" fontId="4" fillId="0" borderId="0" xfId="245" applyAlignment="1" applyProtection="1">
      <alignment horizontal="left" vertical="top" wrapText="1"/>
    </xf>
    <xf numFmtId="0" fontId="3" fillId="0" borderId="0" xfId="0" applyFont="1" applyAlignment="1">
      <alignment horizontal="left" vertical="top"/>
    </xf>
    <xf numFmtId="0" fontId="12" fillId="0" borderId="0" xfId="0" applyFont="1" applyAlignment="1">
      <alignment horizontal="left" vertical="top"/>
    </xf>
    <xf numFmtId="0" fontId="10" fillId="0" borderId="4" xfId="0" applyFont="1" applyBorder="1" applyAlignment="1">
      <alignment horizontal="left"/>
    </xf>
    <xf numFmtId="0" fontId="22" fillId="0" borderId="0" xfId="0" applyFont="1" applyAlignment="1">
      <alignment horizontal="left"/>
    </xf>
    <xf numFmtId="0" fontId="22" fillId="0" borderId="0" xfId="0" applyFont="1" applyAlignment="1">
      <alignment horizontal="left" vertical="top" wrapText="1"/>
    </xf>
    <xf numFmtId="4" fontId="12" fillId="0" borderId="0" xfId="273" applyNumberFormat="1" applyAlignment="1">
      <alignment horizontal="left" vertical="top" wrapText="1"/>
    </xf>
    <xf numFmtId="0" fontId="22" fillId="0" borderId="0" xfId="273" applyFont="1" applyAlignment="1">
      <alignment horizontal="left"/>
    </xf>
    <xf numFmtId="0" fontId="12" fillId="0" borderId="0" xfId="273" applyAlignment="1">
      <alignment horizontal="left"/>
    </xf>
    <xf numFmtId="4" fontId="3" fillId="0" borderId="0" xfId="273" applyNumberFormat="1" applyFont="1" applyAlignment="1">
      <alignment horizontal="left" vertical="top" wrapText="1"/>
    </xf>
    <xf numFmtId="0" fontId="10" fillId="0" borderId="0" xfId="0" applyFont="1" applyAlignment="1">
      <alignment horizontal="left" vertical="top"/>
    </xf>
    <xf numFmtId="4" fontId="3" fillId="0" borderId="0" xfId="0" applyNumberFormat="1" applyFont="1" applyAlignment="1">
      <alignment horizontal="left" vertical="top" wrapText="1"/>
    </xf>
    <xf numFmtId="0" fontId="22" fillId="0" borderId="0" xfId="0" applyFont="1" applyAlignment="1">
      <alignment horizontal="left" vertical="top"/>
    </xf>
    <xf numFmtId="0" fontId="3" fillId="0" borderId="0" xfId="259" applyFont="1" applyAlignment="1">
      <alignment horizontal="left" vertical="top" wrapText="1"/>
    </xf>
    <xf numFmtId="0" fontId="10" fillId="0" borderId="6" xfId="0" applyFont="1" applyBorder="1" applyAlignment="1">
      <alignment horizontal="left"/>
    </xf>
    <xf numFmtId="0" fontId="10" fillId="0" borderId="0" xfId="0" applyFont="1" applyAlignment="1">
      <alignment horizontal="left"/>
    </xf>
    <xf numFmtId="0" fontId="12" fillId="0" borderId="42" xfId="0" applyFont="1" applyBorder="1" applyAlignment="1">
      <alignment horizontal="left"/>
    </xf>
    <xf numFmtId="0" fontId="22" fillId="0" borderId="0" xfId="0" applyFont="1" applyAlignment="1">
      <alignment horizontal="center"/>
    </xf>
    <xf numFmtId="0" fontId="10" fillId="0" borderId="0" xfId="273" applyFont="1" applyAlignment="1">
      <alignment horizontal="center"/>
    </xf>
    <xf numFmtId="0" fontId="12" fillId="0" borderId="0" xfId="273"/>
    <xf numFmtId="0" fontId="0" fillId="0" borderId="0" xfId="0" applyAlignment="1">
      <alignment horizontal="center"/>
    </xf>
    <xf numFmtId="0" fontId="22" fillId="0" borderId="0" xfId="0" applyFont="1" applyAlignment="1">
      <alignment horizontal="left" wrapText="1"/>
    </xf>
    <xf numFmtId="0" fontId="12" fillId="0" borderId="0" xfId="273" applyAlignment="1">
      <alignment horizontal="left" wrapText="1"/>
    </xf>
    <xf numFmtId="0" fontId="10" fillId="0" borderId="4" xfId="0" applyFont="1" applyBorder="1" applyAlignment="1">
      <alignment horizontal="left" vertical="top"/>
    </xf>
    <xf numFmtId="4" fontId="12" fillId="0" borderId="0" xfId="0" applyNumberFormat="1" applyFont="1" applyAlignment="1">
      <alignment horizontal="left" vertical="top" wrapText="1"/>
    </xf>
    <xf numFmtId="0" fontId="0" fillId="0" borderId="0" xfId="0" applyAlignment="1">
      <alignment horizontal="left" vertical="top" wrapText="1"/>
    </xf>
    <xf numFmtId="0" fontId="3" fillId="0" borderId="0" xfId="766" applyAlignment="1">
      <alignment horizontal="left"/>
    </xf>
    <xf numFmtId="0" fontId="10" fillId="0" borderId="0" xfId="273" applyFont="1" applyAlignment="1">
      <alignment horizontal="left" vertical="top" wrapText="1"/>
    </xf>
    <xf numFmtId="0" fontId="38" fillId="0" borderId="0" xfId="0" applyFont="1" applyAlignment="1">
      <alignment horizontal="left"/>
    </xf>
    <xf numFmtId="4" fontId="22" fillId="0" borderId="0" xfId="0" applyNumberFormat="1" applyFont="1" applyAlignment="1">
      <alignment horizontal="left"/>
    </xf>
    <xf numFmtId="4" fontId="3" fillId="0" borderId="0" xfId="0" applyNumberFormat="1" applyFont="1" applyAlignment="1">
      <alignment horizontal="left"/>
    </xf>
    <xf numFmtId="4" fontId="12" fillId="0" borderId="0" xfId="0" applyNumberFormat="1" applyFont="1" applyAlignment="1">
      <alignment horizontal="left"/>
    </xf>
    <xf numFmtId="49" fontId="12" fillId="0" borderId="0" xfId="0" applyNumberFormat="1" applyFont="1" applyAlignment="1">
      <alignment horizontal="left" vertical="top" wrapText="1"/>
    </xf>
    <xf numFmtId="49" fontId="12" fillId="0" borderId="0" xfId="273" applyNumberFormat="1" applyAlignment="1">
      <alignment horizontal="left" vertical="top" wrapText="1"/>
    </xf>
    <xf numFmtId="49" fontId="3" fillId="0" borderId="0" xfId="0" applyNumberFormat="1" applyFont="1" applyAlignment="1">
      <alignment horizontal="left" vertical="top" wrapText="1"/>
    </xf>
    <xf numFmtId="4" fontId="12" fillId="0" borderId="0" xfId="278" applyNumberFormat="1" applyAlignment="1">
      <alignment horizontal="left" vertical="top" wrapText="1"/>
    </xf>
    <xf numFmtId="0" fontId="12" fillId="0" borderId="0" xfId="0" applyFont="1" applyAlignment="1">
      <alignment vertical="top"/>
    </xf>
    <xf numFmtId="0" fontId="4" fillId="0" borderId="0" xfId="245" applyNumberFormat="1" applyFill="1" applyAlignment="1" applyProtection="1">
      <alignment horizontal="left"/>
      <protection locked="0"/>
    </xf>
    <xf numFmtId="0" fontId="38" fillId="0" borderId="0" xfId="0" applyFont="1" applyAlignment="1">
      <alignment horizontal="left" vertical="top"/>
    </xf>
    <xf numFmtId="0" fontId="12" fillId="0" borderId="0" xfId="278" applyAlignment="1">
      <alignment horizontal="left" vertical="top" wrapText="1"/>
    </xf>
    <xf numFmtId="0" fontId="4" fillId="0" borderId="0" xfId="245" quotePrefix="1" applyAlignment="1" applyProtection="1">
      <alignment horizontal="left"/>
    </xf>
    <xf numFmtId="0" fontId="12" fillId="0" borderId="0" xfId="0" quotePrefix="1" applyFont="1" applyAlignment="1">
      <alignment horizontal="left" vertical="top" wrapText="1"/>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4" fontId="4" fillId="0" borderId="0" xfId="245" applyNumberFormat="1" applyFill="1" applyAlignment="1" applyProtection="1">
      <alignment horizontal="left"/>
    </xf>
    <xf numFmtId="0" fontId="22" fillId="0" borderId="0" xfId="273" applyFont="1" applyAlignment="1">
      <alignment horizontal="left" vertical="top" wrapText="1"/>
    </xf>
    <xf numFmtId="49" fontId="10" fillId="0" borderId="0" xfId="0" applyNumberFormat="1" applyFont="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0" fontId="12" fillId="0" borderId="0" xfId="0" quotePrefix="1" applyFont="1" applyAlignment="1">
      <alignment horizontal="left" vertical="top"/>
    </xf>
    <xf numFmtId="4" fontId="22" fillId="0" borderId="0" xfId="0" applyNumberFormat="1" applyFont="1" applyAlignment="1">
      <alignment horizontal="left" vertical="top" wrapText="1"/>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1" fontId="15" fillId="7" borderId="3" xfId="0" applyNumberFormat="1" applyFont="1" applyFill="1" applyBorder="1" applyProtection="1">
      <protection locked="0"/>
    </xf>
    <xf numFmtId="1" fontId="15" fillId="7" borderId="4" xfId="0" applyNumberFormat="1" applyFont="1" applyFill="1" applyBorder="1" applyProtection="1">
      <protection locked="0"/>
    </xf>
    <xf numFmtId="1" fontId="15" fillId="7" borderId="8" xfId="0" applyNumberFormat="1" applyFont="1" applyFill="1" applyBorder="1" applyProtection="1">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0" fontId="47" fillId="0" borderId="1" xfId="0" applyFont="1" applyBorder="1" applyAlignment="1">
      <alignment horizontal="center" vertical="center" wrapText="1"/>
    </xf>
    <xf numFmtId="0" fontId="47" fillId="0" borderId="2" xfId="0" applyFont="1" applyBorder="1" applyAlignment="1">
      <alignment horizontal="center" vertical="center" wrapText="1"/>
    </xf>
    <xf numFmtId="0" fontId="47" fillId="0" borderId="11" xfId="0" applyFont="1" applyBorder="1" applyAlignment="1">
      <alignment horizontal="center" vertical="center" wrapText="1"/>
    </xf>
    <xf numFmtId="0" fontId="47" fillId="0" borderId="7" xfId="0" applyFont="1" applyBorder="1" applyAlignment="1">
      <alignment horizontal="center" vertical="center" wrapText="1"/>
    </xf>
    <xf numFmtId="0" fontId="47" fillId="0" borderId="0" xfId="0" applyFont="1" applyAlignment="1">
      <alignment horizontal="center" vertical="center" wrapText="1"/>
    </xf>
    <xf numFmtId="0" fontId="47" fillId="0" borderId="13" xfId="0" applyFont="1" applyBorder="1" applyAlignment="1">
      <alignment horizontal="center" vertical="center" wrapText="1"/>
    </xf>
    <xf numFmtId="0" fontId="47" fillId="0" borderId="9" xfId="0" applyFont="1" applyBorder="1" applyAlignment="1">
      <alignment horizontal="center" vertical="center" wrapText="1"/>
    </xf>
    <xf numFmtId="0" fontId="47" fillId="0" borderId="5" xfId="0" applyFont="1" applyBorder="1" applyAlignment="1">
      <alignment horizontal="center" vertical="center" wrapText="1"/>
    </xf>
    <xf numFmtId="0" fontId="47" fillId="0" borderId="10" xfId="0" applyFont="1" applyBorder="1" applyAlignment="1">
      <alignment horizontal="center" vertical="center" wrapText="1"/>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176" fontId="26" fillId="7" borderId="3" xfId="0" applyNumberFormat="1" applyFont="1" applyFill="1" applyBorder="1" applyProtection="1">
      <protection locked="0"/>
    </xf>
    <xf numFmtId="176" fontId="26" fillId="7" borderId="4" xfId="0" applyNumberFormat="1" applyFont="1" applyFill="1" applyBorder="1" applyProtection="1">
      <protection locked="0"/>
    </xf>
    <xf numFmtId="176" fontId="26" fillId="7" borderId="8" xfId="0" applyNumberFormat="1" applyFont="1" applyFill="1" applyBorder="1" applyProtection="1">
      <protection locked="0"/>
    </xf>
    <xf numFmtId="0" fontId="3" fillId="7" borderId="4" xfId="0" applyFont="1" applyFill="1" applyBorder="1" applyAlignment="1" applyProtection="1">
      <alignment vertical="center"/>
      <protection locked="0"/>
    </xf>
    <xf numFmtId="0" fontId="3" fillId="7" borderId="12" xfId="0" applyFont="1" applyFill="1" applyBorder="1" applyAlignment="1" applyProtection="1">
      <alignment horizontal="left" vertical="center"/>
      <protection locked="0"/>
    </xf>
    <xf numFmtId="0" fontId="0" fillId="7" borderId="5" xfId="0" applyFill="1" applyBorder="1" applyAlignment="1" applyProtection="1">
      <alignment horizontal="left"/>
      <protection locked="0"/>
    </xf>
    <xf numFmtId="0" fontId="3" fillId="7" borderId="5" xfId="0" applyFont="1" applyFill="1" applyBorder="1" applyAlignment="1" applyProtection="1">
      <alignment horizontal="left"/>
      <protection locked="0"/>
    </xf>
    <xf numFmtId="0" fontId="0" fillId="7" borderId="4" xfId="0" applyFill="1" applyBorder="1" applyAlignment="1" applyProtection="1">
      <alignment horizontal="left"/>
      <protection locked="0"/>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0" fontId="10" fillId="0" borderId="3" xfId="0" applyFont="1" applyBorder="1" applyAlignment="1">
      <alignment horizontal="right"/>
    </xf>
    <xf numFmtId="0" fontId="10" fillId="0" borderId="4" xfId="0" applyFont="1" applyBorder="1" applyAlignment="1">
      <alignment horizontal="right"/>
    </xf>
    <xf numFmtId="0" fontId="10" fillId="0" borderId="5" xfId="0" applyFont="1" applyBorder="1" applyAlignment="1">
      <alignment horizontal="right"/>
    </xf>
    <xf numFmtId="0" fontId="10" fillId="0" borderId="8" xfId="0" applyFont="1" applyBorder="1" applyAlignment="1">
      <alignment horizontal="right"/>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0" xfId="0" applyFont="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0" fontId="0" fillId="7" borderId="4" xfId="0" applyFill="1" applyBorder="1" applyAlignment="1" applyProtection="1">
      <alignment horizontal="center"/>
      <protection locked="0"/>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0" fontId="3" fillId="7" borderId="12" xfId="0" applyFont="1" applyFill="1" applyBorder="1" applyProtection="1">
      <protection locked="0"/>
    </xf>
    <xf numFmtId="167" fontId="3" fillId="7" borderId="5" xfId="0" applyNumberFormat="1" applyFont="1" applyFill="1" applyBorder="1" applyAlignment="1" applyProtection="1">
      <alignment horizontal="left"/>
      <protection locked="0"/>
    </xf>
    <xf numFmtId="167" fontId="12" fillId="7" borderId="5" xfId="0" applyNumberFormat="1" applyFont="1" applyFill="1" applyBorder="1" applyAlignment="1" applyProtection="1">
      <alignment horizontal="left"/>
      <protection locked="0"/>
    </xf>
    <xf numFmtId="167" fontId="12" fillId="7" borderId="4" xfId="0" applyNumberFormat="1" applyFont="1" applyFill="1" applyBorder="1" applyAlignment="1" applyProtection="1">
      <alignment horizontal="left"/>
      <protection locked="0"/>
    </xf>
    <xf numFmtId="167" fontId="3" fillId="7" borderId="4" xfId="0" applyNumberFormat="1" applyFont="1" applyFill="1" applyBorder="1" applyAlignment="1" applyProtection="1">
      <alignment horizontal="left"/>
      <protection locked="0"/>
    </xf>
    <xf numFmtId="0" fontId="0" fillId="7" borderId="5" xfId="0" applyFill="1" applyBorder="1" applyAlignment="1" applyProtection="1">
      <alignment horizontal="center"/>
      <protection locked="0"/>
    </xf>
    <xf numFmtId="0" fontId="12" fillId="7" borderId="5" xfId="0" applyFont="1" applyFill="1" applyBorder="1" applyAlignment="1" applyProtection="1">
      <alignment horizontal="left"/>
      <protection locked="0"/>
    </xf>
    <xf numFmtId="0" fontId="12" fillId="7" borderId="5" xfId="0" applyFont="1" applyFill="1" applyBorder="1" applyAlignment="1" applyProtection="1">
      <alignment horizontal="center"/>
      <protection locked="0"/>
    </xf>
    <xf numFmtId="49" fontId="12" fillId="7" borderId="5" xfId="273" applyNumberFormat="1" applyFill="1" applyBorder="1" applyAlignment="1" applyProtection="1">
      <alignment horizontal="center"/>
      <protection locked="0"/>
    </xf>
    <xf numFmtId="1" fontId="12" fillId="7" borderId="5" xfId="273" applyNumberFormat="1" applyFill="1" applyBorder="1" applyAlignment="1" applyProtection="1">
      <alignment horizontal="center"/>
      <protection locked="0"/>
    </xf>
    <xf numFmtId="169" fontId="3" fillId="7" borderId="4" xfId="0" applyNumberFormat="1" applyFont="1" applyFill="1" applyBorder="1" applyAlignment="1" applyProtection="1">
      <alignment horizontal="right"/>
      <protection locked="0"/>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0" fontId="3" fillId="7" borderId="4" xfId="0" applyFont="1" applyFill="1" applyBorder="1" applyAlignment="1" applyProtection="1">
      <alignment horizontal="left"/>
      <protection locked="0"/>
    </xf>
    <xf numFmtId="0" fontId="10" fillId="0" borderId="12" xfId="0" applyFont="1" applyBorder="1" applyAlignment="1">
      <alignment horizontal="center" vertical="center" wrapText="1"/>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0" fontId="3" fillId="7" borderId="4" xfId="0" applyFon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3" fillId="7" borderId="5" xfId="0" applyNumberFormat="1" applyFont="1" applyFill="1" applyBorder="1" applyAlignment="1" applyProtection="1">
      <alignment horizontal="right"/>
      <protection locked="0"/>
    </xf>
    <xf numFmtId="0" fontId="12" fillId="0" borderId="5" xfId="0" applyFont="1" applyBorder="1" applyAlignment="1">
      <alignment horizontal="left"/>
    </xf>
    <xf numFmtId="0" fontId="3" fillId="7" borderId="5" xfId="245" applyFont="1" applyFill="1" applyBorder="1" applyAlignment="1" applyProtection="1">
      <alignment horizontal="left"/>
      <protection locked="0"/>
    </xf>
    <xf numFmtId="0" fontId="0" fillId="7" borderId="5" xfId="0" applyFill="1" applyBorder="1" applyAlignment="1" applyProtection="1">
      <alignment horizontal="center" vertical="center"/>
      <protection locked="0"/>
    </xf>
    <xf numFmtId="0" fontId="10" fillId="0" borderId="0" xfId="546" applyFont="1" applyAlignment="1">
      <alignment horizontal="left" vertical="center" wrapText="1"/>
    </xf>
    <xf numFmtId="0" fontId="10" fillId="0" borderId="6" xfId="0" applyFont="1" applyBorder="1" applyAlignment="1">
      <alignment horizontal="center"/>
    </xf>
    <xf numFmtId="164" fontId="11" fillId="7" borderId="3" xfId="0" applyNumberFormat="1" applyFont="1" applyFill="1" applyBorder="1" applyAlignment="1" applyProtection="1">
      <alignment horizontal="left"/>
      <protection locked="0"/>
    </xf>
    <xf numFmtId="164" fontId="23" fillId="7" borderId="4" xfId="0" applyNumberFormat="1" applyFont="1" applyFill="1" applyBorder="1" applyAlignment="1" applyProtection="1">
      <alignment horizontal="left"/>
      <protection locked="0"/>
    </xf>
    <xf numFmtId="164" fontId="23" fillId="7" borderId="8" xfId="0" applyNumberFormat="1" applyFont="1" applyFill="1" applyBorder="1" applyAlignment="1" applyProtection="1">
      <alignment horizontal="left"/>
      <protection locked="0"/>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0" fontId="9" fillId="5" borderId="0" xfId="0" applyFont="1" applyFill="1" applyAlignment="1">
      <alignment horizontal="center" vertical="center"/>
    </xf>
    <xf numFmtId="169" fontId="3" fillId="7" borderId="3"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69" fontId="0" fillId="0" borderId="12" xfId="0" applyNumberFormat="1" applyBorder="1" applyAlignment="1">
      <alignment horizontal="right"/>
    </xf>
    <xf numFmtId="164" fontId="23" fillId="7" borderId="3" xfId="0" applyNumberFormat="1" applyFont="1" applyFill="1" applyBorder="1" applyAlignment="1" applyProtection="1">
      <alignment horizontal="left"/>
      <protection locked="0"/>
    </xf>
    <xf numFmtId="0" fontId="125" fillId="0" borderId="7" xfId="546" applyFont="1" applyBorder="1" applyAlignment="1">
      <alignment horizontal="center" vertical="center" wrapText="1"/>
    </xf>
    <xf numFmtId="0" fontId="125" fillId="0" borderId="0" xfId="546" applyFont="1" applyAlignment="1">
      <alignment horizontal="center" vertical="center" wrapText="1"/>
    </xf>
    <xf numFmtId="0" fontId="125" fillId="0" borderId="13" xfId="546" applyFont="1" applyBorder="1" applyAlignment="1">
      <alignment horizontal="center" vertical="center" wrapText="1"/>
    </xf>
    <xf numFmtId="5" fontId="11" fillId="51" borderId="12" xfId="164" applyNumberFormat="1" applyFont="1" applyFill="1" applyBorder="1" applyAlignment="1" applyProtection="1">
      <alignment horizontal="center" vertical="center" wrapText="1"/>
      <protection locked="0"/>
    </xf>
    <xf numFmtId="0" fontId="30" fillId="0" borderId="9" xfId="546" applyFont="1" applyBorder="1" applyAlignment="1">
      <alignment horizontal="center" vertical="center"/>
    </xf>
    <xf numFmtId="0" fontId="30" fillId="0" borderId="5" xfId="546" applyFont="1" applyBorder="1" applyAlignment="1">
      <alignment horizontal="center" vertical="center"/>
    </xf>
    <xf numFmtId="0" fontId="30" fillId="0" borderId="10" xfId="546" applyFont="1" applyBorder="1" applyAlignment="1">
      <alignment horizontal="center" vertical="center"/>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0" fontId="0" fillId="7" borderId="3" xfId="0" applyFill="1" applyBorder="1" applyAlignment="1" applyProtection="1">
      <alignment horizontal="center"/>
      <protection locked="0"/>
    </xf>
    <xf numFmtId="0" fontId="0" fillId="7" borderId="8" xfId="0" applyFill="1" applyBorder="1" applyAlignment="1" applyProtection="1">
      <alignment horizontal="center"/>
      <protection locked="0"/>
    </xf>
    <xf numFmtId="0" fontId="26" fillId="7" borderId="3" xfId="0" applyFont="1" applyFill="1" applyBorder="1" applyAlignment="1" applyProtection="1">
      <alignment horizontal="left"/>
      <protection locked="0"/>
    </xf>
    <xf numFmtId="0" fontId="26" fillId="7" borderId="4" xfId="0" applyFont="1" applyFill="1" applyBorder="1" applyAlignment="1" applyProtection="1">
      <alignment horizontal="left"/>
      <protection locked="0"/>
    </xf>
    <xf numFmtId="0" fontId="26" fillId="7" borderId="8" xfId="0" applyFont="1" applyFill="1" applyBorder="1" applyAlignment="1" applyProtection="1">
      <alignment horizontal="left"/>
      <protection locked="0"/>
    </xf>
    <xf numFmtId="0" fontId="10" fillId="0" borderId="1" xfId="0" applyFont="1" applyBorder="1" applyAlignment="1">
      <alignment horizontal="center" wrapText="1"/>
    </xf>
    <xf numFmtId="0" fontId="10" fillId="0" borderId="2" xfId="0" applyFont="1" applyBorder="1" applyAlignment="1">
      <alignment horizontal="center" wrapText="1"/>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0" fontId="23" fillId="7" borderId="3" xfId="546" applyFont="1" applyFill="1" applyBorder="1" applyAlignment="1">
      <alignment horizontal="center"/>
    </xf>
    <xf numFmtId="0" fontId="23" fillId="7" borderId="4" xfId="546" applyFont="1" applyFill="1" applyBorder="1" applyAlignment="1">
      <alignment horizontal="center"/>
    </xf>
    <xf numFmtId="0" fontId="23"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69" fontId="0" fillId="7" borderId="9"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169" fontId="0" fillId="7" borderId="12" xfId="0" applyNumberFormat="1" applyFill="1" applyBorder="1" applyAlignment="1" applyProtection="1">
      <alignment horizontal="right"/>
      <protection locked="0"/>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14" fontId="0" fillId="7" borderId="3" xfId="0"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3" fillId="7" borderId="3"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169" fontId="12" fillId="7" borderId="9" xfId="0" applyNumberFormat="1" applyFont="1" applyFill="1" applyBorder="1" applyAlignment="1" applyProtection="1">
      <alignment horizontal="right"/>
      <protection locked="0"/>
    </xf>
    <xf numFmtId="169" fontId="12" fillId="7" borderId="5" xfId="0" applyNumberFormat="1" applyFont="1" applyFill="1" applyBorder="1" applyAlignment="1" applyProtection="1">
      <alignment horizontal="right"/>
      <protection locked="0"/>
    </xf>
    <xf numFmtId="169" fontId="12" fillId="7" borderId="10" xfId="0" applyNumberFormat="1" applyFont="1" applyFill="1" applyBorder="1" applyAlignment="1" applyProtection="1">
      <alignment horizontal="right"/>
      <protection locked="0"/>
    </xf>
    <xf numFmtId="169" fontId="0" fillId="0" borderId="3" xfId="0" applyNumberFormat="1" applyBorder="1"/>
    <xf numFmtId="169" fontId="0" fillId="0" borderId="4" xfId="0" applyNumberFormat="1" applyBorder="1"/>
    <xf numFmtId="169" fontId="0" fillId="0" borderId="8" xfId="0" applyNumberFormat="1" applyBorder="1"/>
    <xf numFmtId="172" fontId="3" fillId="0" borderId="0" xfId="546" applyNumberFormat="1" applyAlignment="1">
      <alignment horizontal="center"/>
    </xf>
    <xf numFmtId="2" fontId="3" fillId="0" borderId="12" xfId="546" applyNumberFormat="1" applyBorder="1" applyAlignment="1">
      <alignment horizontal="center"/>
    </xf>
    <xf numFmtId="169" fontId="0" fillId="0" borderId="12" xfId="0" applyNumberFormat="1" applyBorder="1"/>
    <xf numFmtId="169" fontId="0" fillId="7" borderId="12" xfId="0" applyNumberFormat="1" applyFill="1" applyBorder="1" applyProtection="1">
      <protection locked="0"/>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0" fontId="10" fillId="0" borderId="12" xfId="0" applyFont="1" applyBorder="1" applyAlignment="1">
      <alignment horizontal="center"/>
    </xf>
    <xf numFmtId="1" fontId="3" fillId="7" borderId="12" xfId="0" applyNumberFormat="1" applyFont="1" applyFill="1" applyBorder="1" applyAlignment="1" applyProtection="1">
      <alignment horizontal="center"/>
      <protection locked="0"/>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0" fontId="0" fillId="0" borderId="3" xfId="0" applyBorder="1" applyAlignment="1">
      <alignment horizontal="left"/>
    </xf>
    <xf numFmtId="0" fontId="0" fillId="0" borderId="4" xfId="0" applyBorder="1" applyAlignment="1">
      <alignment horizontal="left"/>
    </xf>
    <xf numFmtId="0" fontId="3" fillId="0" borderId="12" xfId="0" applyFont="1" applyBorder="1" applyAlignment="1">
      <alignment horizontal="center"/>
    </xf>
    <xf numFmtId="169" fontId="0" fillId="7" borderId="12" xfId="0" applyNumberFormat="1" applyFill="1" applyBorder="1" applyAlignment="1" applyProtection="1">
      <alignment horizontal="center"/>
      <protection locked="0"/>
    </xf>
    <xf numFmtId="0" fontId="12" fillId="0" borderId="3" xfId="0" applyFont="1" applyBorder="1" applyAlignment="1">
      <alignment horizontal="center"/>
    </xf>
    <xf numFmtId="0" fontId="12" fillId="0" borderId="4" xfId="0" applyFont="1" applyBorder="1" applyAlignment="1">
      <alignment horizontal="center"/>
    </xf>
    <xf numFmtId="0" fontId="12" fillId="0" borderId="10" xfId="0" applyFont="1" applyBorder="1" applyAlignment="1">
      <alignment horizontal="center"/>
    </xf>
    <xf numFmtId="0" fontId="12" fillId="0" borderId="8" xfId="0" applyFont="1" applyBorder="1" applyAlignment="1">
      <alignment horizontal="center"/>
    </xf>
    <xf numFmtId="0" fontId="3" fillId="0" borderId="3" xfId="0" applyFont="1" applyBorder="1" applyAlignment="1">
      <alignment horizontal="center"/>
    </xf>
    <xf numFmtId="0" fontId="3" fillId="0" borderId="8" xfId="0" applyFont="1" applyBorder="1" applyAlignment="1">
      <alignment horizontal="center"/>
    </xf>
    <xf numFmtId="179" fontId="3" fillId="7" borderId="4" xfId="0" applyNumberFormat="1" applyFont="1" applyFill="1" applyBorder="1" applyAlignment="1" applyProtection="1">
      <alignment horizontal="right"/>
      <protection locked="0"/>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3" fontId="0" fillId="7" borderId="3" xfId="0" applyNumberFormat="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0" fontId="3" fillId="0" borderId="12" xfId="0" applyFont="1" applyBorder="1" applyAlignment="1">
      <alignment horizontal="center" vertical="top" wrapText="1"/>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0" fontId="10" fillId="0" borderId="13" xfId="0" applyFont="1" applyBorder="1" applyAlignment="1">
      <alignment horizontal="center" wrapText="1"/>
    </xf>
    <xf numFmtId="0" fontId="10" fillId="0" borderId="10" xfId="0" applyFont="1" applyBorder="1" applyAlignment="1">
      <alignment horizontal="center" wrapText="1"/>
    </xf>
    <xf numFmtId="0" fontId="3" fillId="51" borderId="12" xfId="0" applyFont="1" applyFill="1" applyBorder="1" applyAlignment="1" applyProtection="1">
      <alignment horizontal="center"/>
      <protection locked="0"/>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0" fontId="12" fillId="7" borderId="3"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0" fontId="12" fillId="7" borderId="8" xfId="0" applyFont="1" applyFill="1" applyBorder="1" applyAlignment="1" applyProtection="1">
      <alignment horizontal="center"/>
      <protection locked="0"/>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0" fontId="3" fillId="7" borderId="5" xfId="0" applyFont="1" applyFill="1" applyBorder="1" applyAlignment="1" applyProtection="1">
      <alignment horizontal="left" wrapText="1"/>
      <protection locked="0"/>
    </xf>
    <xf numFmtId="0" fontId="12" fillId="7" borderId="5" xfId="0" applyFont="1" applyFill="1" applyBorder="1" applyAlignment="1" applyProtection="1">
      <alignment horizontal="left" wrapText="1"/>
      <protection locked="0"/>
    </xf>
    <xf numFmtId="0" fontId="12" fillId="7" borderId="4" xfId="0" applyFont="1" applyFill="1" applyBorder="1" applyAlignment="1" applyProtection="1">
      <alignment horizontal="left"/>
      <protection locked="0"/>
    </xf>
    <xf numFmtId="1" fontId="11" fillId="7" borderId="5" xfId="0" applyNumberFormat="1" applyFont="1" applyFill="1" applyBorder="1" applyAlignment="1" applyProtection="1">
      <alignment horizontal="center"/>
      <protection locked="0"/>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7" fontId="0" fillId="7" borderId="5" xfId="0" applyNumberFormat="1" applyFill="1" applyBorder="1" applyAlignment="1" applyProtection="1">
      <alignment horizontal="left"/>
      <protection locked="0"/>
    </xf>
    <xf numFmtId="175" fontId="0" fillId="7" borderId="4" xfId="0" applyNumberFormat="1" applyFill="1" applyBorder="1" applyAlignment="1" applyProtection="1">
      <alignment horizontal="left"/>
      <protection locked="0"/>
    </xf>
    <xf numFmtId="0" fontId="134" fillId="7" borderId="5" xfId="0" applyFont="1" applyFill="1" applyBorder="1" applyAlignment="1">
      <alignment horizontal="center"/>
    </xf>
    <xf numFmtId="0" fontId="0" fillId="0" borderId="5" xfId="0" applyBorder="1" applyProtection="1">
      <protection locked="0"/>
    </xf>
    <xf numFmtId="0" fontId="3" fillId="7" borderId="5" xfId="0" applyFont="1" applyFill="1" applyBorder="1" applyAlignment="1" applyProtection="1">
      <alignment horizontal="center"/>
      <protection locked="0"/>
    </xf>
    <xf numFmtId="0" fontId="11" fillId="51" borderId="5" xfId="0" applyFont="1" applyFill="1" applyBorder="1" applyAlignment="1" applyProtection="1">
      <alignment horizontal="left"/>
      <protection locked="0"/>
    </xf>
    <xf numFmtId="0" fontId="0" fillId="0" borderId="5" xfId="0" applyBorder="1" applyAlignment="1">
      <alignment horizontal="left"/>
    </xf>
    <xf numFmtId="0" fontId="12" fillId="0" borderId="4" xfId="0" applyFont="1" applyBorder="1" applyAlignment="1" applyProtection="1">
      <alignment horizontal="left"/>
      <protection locked="0"/>
    </xf>
    <xf numFmtId="0" fontId="0" fillId="7" borderId="5" xfId="0" applyFill="1" applyBorder="1" applyProtection="1">
      <protection locked="0"/>
    </xf>
    <xf numFmtId="0" fontId="3" fillId="7" borderId="5" xfId="0" applyFont="1" applyFill="1" applyBorder="1" applyAlignment="1" applyProtection="1">
      <alignment horizontal="right"/>
      <protection locked="0"/>
    </xf>
    <xf numFmtId="0" fontId="12" fillId="7" borderId="5" xfId="0" applyFont="1" applyFill="1" applyBorder="1" applyAlignment="1" applyProtection="1">
      <alignment horizontal="right"/>
      <protection locked="0"/>
    </xf>
    <xf numFmtId="174" fontId="0" fillId="7" borderId="5" xfId="0" applyNumberFormat="1" applyFill="1" applyBorder="1" applyAlignment="1" applyProtection="1">
      <alignment horizontal="center"/>
      <protection locked="0"/>
    </xf>
    <xf numFmtId="0" fontId="4" fillId="0" borderId="0" xfId="245" applyFill="1" applyAlignment="1" applyProtection="1">
      <alignment horizontal="left"/>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4" fontId="0" fillId="7" borderId="5" xfId="0" applyNumberFormat="1" applyFill="1" applyBorder="1" applyAlignment="1" applyProtection="1">
      <alignment horizontal="center"/>
      <protection locked="0"/>
    </xf>
    <xf numFmtId="9" fontId="3" fillId="7" borderId="3" xfId="573" applyFont="1" applyFill="1" applyBorder="1" applyAlignment="1" applyProtection="1">
      <alignment horizontal="center"/>
      <protection locked="0"/>
    </xf>
    <xf numFmtId="9" fontId="3" fillId="7" borderId="4" xfId="573" applyFont="1" applyFill="1" applyBorder="1" applyAlignment="1" applyProtection="1">
      <alignment horizontal="center"/>
      <protection locked="0"/>
    </xf>
    <xf numFmtId="9" fontId="3" fillId="7" borderId="8" xfId="573" applyFont="1" applyFill="1" applyBorder="1" applyAlignment="1" applyProtection="1">
      <alignment horizontal="center"/>
      <protection locked="0"/>
    </xf>
    <xf numFmtId="0" fontId="12" fillId="7" borderId="0" xfId="0" applyFont="1" applyFill="1" applyAlignment="1" applyProtection="1">
      <alignment horizontal="left" vertical="top" wrapText="1"/>
      <protection locked="0"/>
    </xf>
    <xf numFmtId="0" fontId="12" fillId="7" borderId="5" xfId="0" applyFont="1" applyFill="1" applyBorder="1" applyAlignment="1" applyProtection="1">
      <alignment horizontal="left" vertical="top" wrapText="1"/>
      <protection locked="0"/>
    </xf>
    <xf numFmtId="0" fontId="0" fillId="7" borderId="4" xfId="0" applyFill="1" applyBorder="1" applyAlignment="1" applyProtection="1">
      <alignment horizontal="right"/>
      <protection locked="0"/>
    </xf>
    <xf numFmtId="169" fontId="0" fillId="0" borderId="12" xfId="0" applyNumberFormat="1" applyBorder="1" applyAlignment="1">
      <alignment horizontal="center"/>
    </xf>
    <xf numFmtId="0" fontId="3" fillId="0" borderId="4" xfId="0" applyFont="1" applyBorder="1" applyAlignment="1">
      <alignment horizontal="center"/>
    </xf>
    <xf numFmtId="9" fontId="3" fillId="0" borderId="7" xfId="546" applyNumberFormat="1" applyBorder="1" applyAlignment="1">
      <alignment horizontal="center"/>
    </xf>
    <xf numFmtId="9" fontId="3" fillId="0" borderId="0" xfId="546" applyNumberFormat="1" applyAlignment="1">
      <alignment horizontal="center"/>
    </xf>
    <xf numFmtId="0" fontId="3" fillId="0" borderId="12" xfId="546" applyBorder="1" applyAlignment="1">
      <alignment horizontal="center"/>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2" fontId="3" fillId="0" borderId="3" xfId="546" applyNumberFormat="1" applyBorder="1" applyAlignment="1">
      <alignment horizontal="center"/>
    </xf>
    <xf numFmtId="2" fontId="3" fillId="0" borderId="8" xfId="546" applyNumberFormat="1" applyBorder="1" applyAlignment="1">
      <alignment horizontal="center"/>
    </xf>
    <xf numFmtId="0" fontId="23" fillId="7" borderId="3" xfId="0" applyFont="1" applyFill="1" applyBorder="1" applyAlignment="1" applyProtection="1">
      <alignment horizontal="left"/>
      <protection locked="0"/>
    </xf>
    <xf numFmtId="0" fontId="23" fillId="7" borderId="4" xfId="0" applyFont="1" applyFill="1" applyBorder="1" applyAlignment="1" applyProtection="1">
      <alignment horizontal="left"/>
      <protection locked="0"/>
    </xf>
    <xf numFmtId="0" fontId="23" fillId="7" borderId="8" xfId="0" applyFont="1" applyFill="1" applyBorder="1" applyAlignment="1" applyProtection="1">
      <alignment horizontal="left"/>
      <protection locked="0"/>
    </xf>
    <xf numFmtId="169" fontId="3" fillId="7" borderId="9" xfId="0" applyNumberFormat="1" applyFont="1" applyFill="1" applyBorder="1" applyAlignment="1" applyProtection="1">
      <alignment horizontal="right"/>
      <protection locked="0"/>
    </xf>
    <xf numFmtId="0" fontId="0" fillId="0" borderId="10" xfId="0" applyBorder="1" applyProtection="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0" fontId="0" fillId="0" borderId="9" xfId="0" applyBorder="1" applyAlignment="1">
      <alignment horizontal="left"/>
    </xf>
    <xf numFmtId="176" fontId="12" fillId="0" borderId="3" xfId="546" applyNumberFormat="1" applyFont="1" applyBorder="1" applyAlignment="1">
      <alignment horizontal="center" vertical="center" wrapText="1"/>
    </xf>
    <xf numFmtId="176" fontId="12" fillId="0" borderId="4" xfId="546" applyNumberFormat="1" applyFont="1" applyBorder="1" applyAlignment="1">
      <alignment horizontal="center" vertical="center" wrapText="1"/>
    </xf>
    <xf numFmtId="176" fontId="12" fillId="0" borderId="8" xfId="546" applyNumberFormat="1" applyFont="1" applyBorder="1" applyAlignment="1">
      <alignment horizontal="center" vertical="center" wrapText="1"/>
    </xf>
    <xf numFmtId="3" fontId="35" fillId="4" borderId="0" xfId="546" applyNumberFormat="1" applyFont="1" applyFill="1" applyAlignment="1">
      <alignment horizontal="left" vertical="center" wrapText="1"/>
    </xf>
    <xf numFmtId="169" fontId="12" fillId="0" borderId="0" xfId="546" applyNumberFormat="1" applyFont="1" applyAlignment="1">
      <alignment horizontal="right" vertical="center" wrapText="1"/>
    </xf>
    <xf numFmtId="0" fontId="0" fillId="7" borderId="8" xfId="0" applyFill="1" applyBorder="1" applyAlignment="1" applyProtection="1">
      <alignment horizontal="right"/>
      <protection locked="0"/>
    </xf>
    <xf numFmtId="0" fontId="10" fillId="0" borderId="7" xfId="546" applyFont="1" applyBorder="1" applyAlignment="1">
      <alignment horizontal="left" vertical="center" wrapText="1"/>
    </xf>
    <xf numFmtId="0" fontId="10" fillId="0" borderId="13" xfId="546" applyFont="1" applyBorder="1" applyAlignment="1">
      <alignment horizontal="left" vertical="center" wrapText="1"/>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0" fontId="10" fillId="0" borderId="9" xfId="0" applyFont="1" applyBorder="1" applyAlignment="1">
      <alignment horizontal="right"/>
    </xf>
    <xf numFmtId="0" fontId="10" fillId="0" borderId="10" xfId="0" applyFont="1" applyBorder="1" applyAlignment="1">
      <alignment horizontal="right"/>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169" fontId="12" fillId="0" borderId="5" xfId="0" applyNumberFormat="1" applyFont="1" applyBorder="1" applyAlignment="1">
      <alignment horizontal="center"/>
    </xf>
    <xf numFmtId="0" fontId="12" fillId="0" borderId="5" xfId="0" applyFont="1" applyBorder="1" applyAlignment="1">
      <alignment horizontal="left" wrapText="1"/>
    </xf>
    <xf numFmtId="0" fontId="23" fillId="0" borderId="2" xfId="0" applyFont="1" applyBorder="1" applyAlignment="1">
      <alignment horizontal="center"/>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12" fillId="7" borderId="9" xfId="0" applyFont="1" applyFill="1" applyBorder="1" applyAlignment="1" applyProtection="1">
      <alignment horizontal="center"/>
      <protection locked="0"/>
    </xf>
    <xf numFmtId="0" fontId="10" fillId="0" borderId="3" xfId="0" applyFont="1" applyBorder="1" applyAlignment="1">
      <alignment horizontal="center"/>
    </xf>
    <xf numFmtId="0" fontId="10" fillId="0" borderId="4" xfId="0" applyFont="1" applyBorder="1" applyAlignment="1">
      <alignment horizontal="center"/>
    </xf>
    <xf numFmtId="0" fontId="10" fillId="0" borderId="8" xfId="0" applyFont="1" applyBorder="1" applyAlignment="1">
      <alignment horizontal="center"/>
    </xf>
    <xf numFmtId="0" fontId="12" fillId="0" borderId="3" xfId="0" applyFont="1" applyBorder="1" applyAlignment="1">
      <alignment horizontal="left"/>
    </xf>
    <xf numFmtId="0" fontId="12" fillId="0" borderId="4" xfId="0" applyFont="1" applyBorder="1" applyAlignment="1">
      <alignment horizontal="left"/>
    </xf>
    <xf numFmtId="0" fontId="12" fillId="0" borderId="8" xfId="0" applyFont="1" applyBorder="1" applyAlignment="1">
      <alignment horizontal="left"/>
    </xf>
    <xf numFmtId="0" fontId="12" fillId="7" borderId="5" xfId="273"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9" fontId="11" fillId="0" borderId="12" xfId="0" applyNumberFormat="1" applyFont="1" applyBorder="1" applyAlignment="1">
      <alignment horizontal="center"/>
    </xf>
    <xf numFmtId="0" fontId="3" fillId="7" borderId="12" xfId="0" applyFont="1" applyFill="1" applyBorder="1" applyAlignment="1" applyProtection="1">
      <alignment horizontal="center"/>
      <protection locked="0"/>
    </xf>
    <xf numFmtId="0" fontId="0" fillId="0" borderId="13" xfId="0" applyBorder="1" applyAlignment="1">
      <alignment horizontal="center"/>
    </xf>
    <xf numFmtId="0" fontId="43" fillId="0" borderId="0" xfId="0" applyFont="1" applyAlignment="1">
      <alignment horizontal="center" vertical="center"/>
    </xf>
    <xf numFmtId="169" fontId="0" fillId="0" borderId="5" xfId="0" applyNumberFormat="1" applyBorder="1" applyAlignment="1">
      <alignment horizontal="center"/>
    </xf>
    <xf numFmtId="0" fontId="21" fillId="0" borderId="0" xfId="0" applyFont="1" applyAlignment="1">
      <alignment horizontal="center"/>
    </xf>
    <xf numFmtId="0" fontId="3" fillId="0" borderId="0" xfId="0" applyFont="1" applyAlignment="1">
      <alignment horizontal="center"/>
    </xf>
    <xf numFmtId="0" fontId="12" fillId="0" borderId="0" xfId="0" applyFont="1" applyAlignment="1">
      <alignment horizontal="center"/>
    </xf>
    <xf numFmtId="0" fontId="11" fillId="0" borderId="0" xfId="0" applyFont="1" applyAlignment="1">
      <alignment horizontal="center"/>
    </xf>
    <xf numFmtId="0" fontId="137" fillId="0" borderId="0" xfId="0" applyFont="1" applyAlignment="1" applyProtection="1">
      <alignment horizontal="left" vertical="top" wrapText="1"/>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3" fontId="12" fillId="0" borderId="0" xfId="0" applyNumberFormat="1" applyFont="1" applyAlignment="1">
      <alignment horizontal="center"/>
    </xf>
    <xf numFmtId="169" fontId="12" fillId="0" borderId="3" xfId="0" applyNumberFormat="1" applyFont="1" applyBorder="1" applyAlignment="1">
      <alignment horizontal="left" vertical="top"/>
    </xf>
    <xf numFmtId="0" fontId="12" fillId="7" borderId="12" xfId="0" applyFont="1" applyFill="1" applyBorder="1" applyAlignment="1" applyProtection="1">
      <alignment horizontal="center"/>
      <protection locked="0"/>
    </xf>
    <xf numFmtId="9" fontId="12" fillId="0" borderId="12" xfId="0" applyNumberFormat="1" applyFont="1" applyBorder="1" applyAlignment="1">
      <alignment horizontal="center"/>
    </xf>
    <xf numFmtId="169" fontId="11" fillId="0" borderId="0" xfId="0" applyNumberFormat="1" applyFont="1" applyAlignment="1">
      <alignment horizontal="left" vertical="top" wrapText="1"/>
    </xf>
    <xf numFmtId="1" fontId="12" fillId="7" borderId="3" xfId="0" applyNumberFormat="1" applyFont="1" applyFill="1" applyBorder="1" applyAlignment="1" applyProtection="1">
      <alignment horizontal="right" vertical="top"/>
      <protection locked="0"/>
    </xf>
    <xf numFmtId="1" fontId="12" fillId="7" borderId="4" xfId="0" applyNumberFormat="1" applyFont="1" applyFill="1" applyBorder="1" applyAlignment="1" applyProtection="1">
      <alignment horizontal="right" vertical="top"/>
      <protection locked="0"/>
    </xf>
    <xf numFmtId="1" fontId="12" fillId="7" borderId="8" xfId="0" applyNumberFormat="1" applyFont="1" applyFill="1" applyBorder="1" applyAlignment="1" applyProtection="1">
      <alignment horizontal="right" vertical="top"/>
      <protection locked="0"/>
    </xf>
    <xf numFmtId="10" fontId="3" fillId="7" borderId="4" xfId="0" applyNumberFormat="1" applyFont="1" applyFill="1" applyBorder="1" applyAlignment="1" applyProtection="1">
      <alignment horizontal="right"/>
      <protection locked="0"/>
    </xf>
    <xf numFmtId="0" fontId="0" fillId="51" borderId="5" xfId="0" applyFill="1" applyBorder="1" applyAlignment="1" applyProtection="1">
      <alignment horizontal="left"/>
      <protection locked="0"/>
    </xf>
    <xf numFmtId="169" fontId="0" fillId="51" borderId="5" xfId="0" applyNumberFormat="1" applyFill="1" applyBorder="1" applyAlignment="1" applyProtection="1">
      <alignment horizontal="right"/>
      <protection locked="0"/>
    </xf>
    <xf numFmtId="3" fontId="12" fillId="7" borderId="12" xfId="0" applyNumberFormat="1" applyFont="1" applyFill="1" applyBorder="1" applyAlignment="1" applyProtection="1">
      <alignment horizontal="center"/>
      <protection locked="0"/>
    </xf>
    <xf numFmtId="0" fontId="3" fillId="51" borderId="5" xfId="0" applyFont="1" applyFill="1" applyBorder="1" applyAlignment="1" applyProtection="1">
      <alignment horizontal="left"/>
      <protection locked="0"/>
    </xf>
    <xf numFmtId="0" fontId="3" fillId="7" borderId="9" xfId="0" applyFont="1" applyFill="1" applyBorder="1" applyAlignment="1" applyProtection="1">
      <alignment horizontal="center"/>
      <protection locked="0"/>
    </xf>
    <xf numFmtId="169" fontId="12" fillId="0" borderId="12" xfId="0" applyNumberFormat="1" applyFont="1" applyBorder="1" applyAlignment="1">
      <alignment horizontal="center"/>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11" fillId="51" borderId="3" xfId="0" applyNumberFormat="1" applyFont="1" applyFill="1" applyBorder="1" applyAlignment="1" applyProtection="1">
      <alignment horizontal="center"/>
      <protection locked="0"/>
    </xf>
    <xf numFmtId="1" fontId="11" fillId="51" borderId="4" xfId="0" applyNumberFormat="1" applyFont="1" applyFill="1" applyBorder="1" applyAlignment="1" applyProtection="1">
      <alignment horizontal="center"/>
      <protection locked="0"/>
    </xf>
    <xf numFmtId="1" fontId="11" fillId="51" borderId="8" xfId="0" applyNumberFormat="1" applyFont="1" applyFill="1" applyBorder="1" applyAlignment="1" applyProtection="1">
      <alignment horizontal="center"/>
      <protection locked="0"/>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14" fontId="0" fillId="7" borderId="3" xfId="0" quotePrefix="1" applyNumberFormat="1" applyFill="1" applyBorder="1" applyAlignment="1" applyProtection="1">
      <alignment horizontal="right"/>
      <protection locked="0"/>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0" fontId="0" fillId="0" borderId="5" xfId="0" applyBorder="1" applyAlignment="1">
      <alignment horizontal="center"/>
    </xf>
    <xf numFmtId="0" fontId="0" fillId="0" borderId="10" xfId="0" applyBorder="1" applyAlignment="1">
      <alignment horizontal="center"/>
    </xf>
    <xf numFmtId="3" fontId="12" fillId="0" borderId="12" xfId="0" applyNumberFormat="1" applyFont="1" applyBorder="1" applyAlignment="1">
      <alignment horizontal="center"/>
    </xf>
    <xf numFmtId="173" fontId="0" fillId="7" borderId="5" xfId="0" applyNumberFormat="1" applyFill="1" applyBorder="1" applyAlignment="1" applyProtection="1">
      <alignment horizontal="center"/>
      <protection locked="0"/>
    </xf>
    <xf numFmtId="169" fontId="26" fillId="0" borderId="2" xfId="0" applyNumberFormat="1" applyFont="1" applyBorder="1" applyAlignment="1">
      <alignment horizontal="left" vertical="top" wrapText="1"/>
    </xf>
    <xf numFmtId="169" fontId="26" fillId="0" borderId="0" xfId="0" applyNumberFormat="1" applyFont="1" applyAlignment="1">
      <alignment horizontal="left" vertical="top" wrapText="1"/>
    </xf>
    <xf numFmtId="0" fontId="0" fillId="0" borderId="8" xfId="0" applyBorder="1" applyAlignment="1">
      <alignment horizontal="left"/>
    </xf>
    <xf numFmtId="0" fontId="23" fillId="7" borderId="5" xfId="0" applyFont="1" applyFill="1" applyBorder="1" applyAlignment="1" applyProtection="1">
      <alignment horizontal="left"/>
      <protection locked="0"/>
    </xf>
    <xf numFmtId="1" fontId="3" fillId="7" borderId="5" xfId="0" applyNumberFormat="1" applyFont="1" applyFill="1" applyBorder="1" applyAlignment="1" applyProtection="1">
      <alignment horizontal="right"/>
      <protection locked="0"/>
    </xf>
    <xf numFmtId="169" fontId="12" fillId="0" borderId="4" xfId="0" applyNumberFormat="1" applyFont="1" applyBorder="1" applyAlignment="1">
      <alignment horizontal="left" vertical="top"/>
    </xf>
    <xf numFmtId="169" fontId="12" fillId="0" borderId="8" xfId="0" applyNumberFormat="1" applyFont="1" applyBorder="1" applyAlignment="1">
      <alignment horizontal="left" vertical="top"/>
    </xf>
    <xf numFmtId="1" fontId="12" fillId="7" borderId="12" xfId="0" quotePrefix="1" applyNumberFormat="1" applyFont="1" applyFill="1" applyBorder="1" applyAlignment="1" applyProtection="1">
      <alignment horizontal="center"/>
      <protection locked="0"/>
    </xf>
    <xf numFmtId="1" fontId="12" fillId="7" borderId="12" xfId="0" applyNumberFormat="1" applyFont="1" applyFill="1" applyBorder="1" applyAlignment="1" applyProtection="1">
      <alignment horizontal="center"/>
      <protection locked="0"/>
    </xf>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1" fontId="0" fillId="7" borderId="5" xfId="0" applyNumberFormat="1" applyFill="1" applyBorder="1" applyAlignment="1" applyProtection="1">
      <alignment horizontal="center"/>
      <protection locked="0"/>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12" fillId="7" borderId="4" xfId="0" applyNumberFormat="1" applyFont="1" applyFill="1" applyBorder="1" applyAlignment="1" applyProtection="1">
      <alignment horizontal="left" vertical="top"/>
      <protection locked="0"/>
    </xf>
    <xf numFmtId="169" fontId="12" fillId="7" borderId="8" xfId="0" applyNumberFormat="1" applyFont="1" applyFill="1" applyBorder="1" applyAlignment="1" applyProtection="1">
      <alignment horizontal="left" vertical="top"/>
      <protection locked="0"/>
    </xf>
    <xf numFmtId="0" fontId="3" fillId="0" borderId="3" xfId="0" applyFont="1" applyBorder="1" applyAlignment="1">
      <alignment horizontal="left"/>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166" fontId="0" fillId="0" borderId="5" xfId="0" applyNumberFormat="1" applyBorder="1" applyAlignment="1">
      <alignment horizontal="center"/>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0" fillId="7" borderId="3" xfId="0"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0" fontId="12" fillId="2" borderId="3" xfId="0" applyFont="1" applyFill="1" applyBorder="1" applyAlignment="1">
      <alignment horizontal="center"/>
    </xf>
    <xf numFmtId="0" fontId="12" fillId="2" borderId="4" xfId="0" applyFont="1" applyFill="1" applyBorder="1" applyAlignment="1">
      <alignment horizontal="center"/>
    </xf>
    <xf numFmtId="0" fontId="12" fillId="2" borderId="8" xfId="0" applyFont="1" applyFill="1" applyBorder="1" applyAlignment="1">
      <alignment horizontal="center"/>
    </xf>
    <xf numFmtId="0" fontId="12" fillId="0" borderId="9" xfId="0" applyFont="1" applyBorder="1" applyAlignment="1">
      <alignment horizontal="center"/>
    </xf>
    <xf numFmtId="0" fontId="12" fillId="0" borderId="5" xfId="0" applyFont="1" applyBorder="1" applyAlignment="1">
      <alignment horizontal="center"/>
    </xf>
    <xf numFmtId="0" fontId="32" fillId="0" borderId="3" xfId="0" applyFont="1" applyBorder="1" applyAlignment="1">
      <alignment horizontal="center"/>
    </xf>
    <xf numFmtId="0" fontId="32" fillId="0" borderId="4" xfId="0" applyFont="1" applyBorder="1" applyAlignment="1">
      <alignment horizontal="center"/>
    </xf>
    <xf numFmtId="0" fontId="32" fillId="0" borderId="8" xfId="0" applyFont="1" applyBorder="1" applyAlignment="1">
      <alignment horizontal="center"/>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12" fillId="7" borderId="5" xfId="273" applyFill="1" applyBorder="1" applyProtection="1">
      <protection locked="0"/>
    </xf>
    <xf numFmtId="0" fontId="10" fillId="7" borderId="12" xfId="0" applyFont="1" applyFill="1" applyBorder="1" applyAlignment="1" applyProtection="1">
      <alignment horizontal="center"/>
      <protection locked="0"/>
    </xf>
    <xf numFmtId="0" fontId="10" fillId="0" borderId="11" xfId="0" applyFont="1" applyBorder="1" applyAlignment="1">
      <alignment horizontal="center" wrapText="1"/>
    </xf>
    <xf numFmtId="1" fontId="3" fillId="0" borderId="0" xfId="546" applyNumberFormat="1" applyAlignment="1">
      <alignment horizontal="center"/>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9" fontId="0" fillId="0" borderId="64" xfId="0" applyNumberFormat="1" applyBorder="1" applyAlignment="1">
      <alignment horizontal="right"/>
    </xf>
    <xf numFmtId="169" fontId="0" fillId="0" borderId="62" xfId="0" applyNumberFormat="1" applyBorder="1" applyAlignment="1">
      <alignment horizontal="right"/>
    </xf>
    <xf numFmtId="0" fontId="3" fillId="7" borderId="3" xfId="0" applyFont="1" applyFill="1" applyBorder="1" applyProtection="1">
      <protection locked="0"/>
    </xf>
    <xf numFmtId="0" fontId="12" fillId="0" borderId="4" xfId="0" applyFont="1" applyBorder="1" applyProtection="1">
      <protection locked="0"/>
    </xf>
    <xf numFmtId="0" fontId="12" fillId="0" borderId="8" xfId="0" applyFont="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51" fillId="2" borderId="3" xfId="0" applyFont="1" applyFill="1" applyBorder="1" applyAlignment="1">
      <alignment horizontal="center" vertical="top"/>
    </xf>
    <xf numFmtId="0" fontId="51" fillId="2" borderId="4" xfId="0" applyFont="1" applyFill="1" applyBorder="1" applyAlignment="1">
      <alignment horizontal="center" vertical="top"/>
    </xf>
    <xf numFmtId="0" fontId="51" fillId="2" borderId="8" xfId="0" applyFont="1" applyFill="1" applyBorder="1" applyAlignment="1">
      <alignment horizontal="center" vertical="top"/>
    </xf>
    <xf numFmtId="0" fontId="12" fillId="0" borderId="5" xfId="0" applyFont="1" applyBorder="1" applyAlignment="1">
      <alignment vertical="top" wrapText="1"/>
    </xf>
    <xf numFmtId="178" fontId="12" fillId="7" borderId="5" xfId="0" applyNumberFormat="1" applyFont="1" applyFill="1" applyBorder="1" applyAlignment="1" applyProtection="1">
      <alignment horizontal="left" vertical="top" wrapText="1"/>
      <protection locked="0"/>
    </xf>
    <xf numFmtId="0" fontId="12" fillId="0" borderId="2" xfId="0" applyFont="1" applyBorder="1" applyAlignment="1">
      <alignment vertical="top" wrapText="1"/>
    </xf>
    <xf numFmtId="0" fontId="26" fillId="0" borderId="0" xfId="0" applyFont="1" applyAlignment="1">
      <alignment vertical="top" wrapText="1"/>
    </xf>
    <xf numFmtId="0" fontId="12" fillId="0" borderId="2" xfId="0" applyFont="1" applyBorder="1" applyAlignment="1">
      <alignment horizontal="left" vertical="top" wrapText="1"/>
    </xf>
    <xf numFmtId="0" fontId="47" fillId="0" borderId="0" xfId="0" applyFont="1" applyAlignment="1">
      <alignment vertical="top" wrapText="1"/>
    </xf>
    <xf numFmtId="0" fontId="0" fillId="0" borderId="0" xfId="0" applyAlignment="1">
      <alignment vertical="top" wrapText="1"/>
    </xf>
    <xf numFmtId="0" fontId="12" fillId="0" borderId="0" xfId="0" applyFont="1" applyAlignment="1">
      <alignment vertical="top" wrapText="1"/>
    </xf>
    <xf numFmtId="0" fontId="12" fillId="0" borderId="5" xfId="0" applyFont="1" applyBorder="1" applyAlignment="1">
      <alignment horizontal="right" vertical="top" wrapText="1"/>
    </xf>
    <xf numFmtId="0" fontId="11" fillId="0" borderId="0" xfId="0" applyFont="1" applyAlignment="1">
      <alignment horizontal="left"/>
    </xf>
    <xf numFmtId="0" fontId="10" fillId="0" borderId="6" xfId="0" applyFont="1" applyBorder="1" applyAlignment="1">
      <alignment horizontal="center" wrapText="1"/>
    </xf>
    <xf numFmtId="0" fontId="26" fillId="0" borderId="0" xfId="0" applyFont="1" applyAlignment="1">
      <alignment horizontal="left" vertical="center" wrapText="1"/>
    </xf>
    <xf numFmtId="0" fontId="10" fillId="0" borderId="0" xfId="0" applyFont="1" applyAlignment="1">
      <alignment horizontal="center"/>
    </xf>
    <xf numFmtId="10" fontId="0" fillId="0" borderId="12" xfId="0" applyNumberFormat="1" applyBorder="1" applyAlignment="1">
      <alignment horizontal="center"/>
    </xf>
    <xf numFmtId="169" fontId="0" fillId="0" borderId="8"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0" fontId="10" fillId="0" borderId="12" xfId="0" applyFont="1" applyBorder="1" applyAlignment="1">
      <alignment horizontal="center" wrapText="1"/>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74" fillId="0" borderId="0" xfId="0" applyFont="1" applyAlignment="1">
      <alignment horizontal="left" vertical="top" wrapText="1"/>
    </xf>
    <xf numFmtId="0" fontId="26" fillId="0" borderId="2" xfId="0" applyFont="1" applyBorder="1" applyAlignment="1">
      <alignment horizontal="left" vertical="top"/>
    </xf>
    <xf numFmtId="169" fontId="3" fillId="0" borderId="12" xfId="0" applyNumberFormat="1" applyFont="1" applyBorder="1" applyAlignment="1">
      <alignment horizontal="center"/>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xf numFmtId="0" fontId="74" fillId="0" borderId="0" xfId="0" applyFont="1" applyAlignment="1">
      <alignment horizontal="left" wrapText="1"/>
    </xf>
    <xf numFmtId="0" fontId="11" fillId="0" borderId="2" xfId="0" applyFont="1" applyBorder="1" applyAlignment="1">
      <alignment horizontal="left"/>
    </xf>
    <xf numFmtId="0" fontId="9" fillId="5" borderId="2" xfId="0" applyFont="1" applyFill="1" applyBorder="1" applyAlignment="1">
      <alignment horizontal="center" vertical="center" wrapText="1"/>
    </xf>
    <xf numFmtId="169" fontId="0" fillId="7" borderId="15" xfId="0" applyNumberFormat="1" applyFill="1" applyBorder="1" applyAlignment="1" applyProtection="1">
      <alignment horizontal="center"/>
      <protection locked="0"/>
    </xf>
    <xf numFmtId="169" fontId="3" fillId="0" borderId="11" xfId="0" applyNumberFormat="1" applyFont="1" applyBorder="1" applyAlignment="1">
      <alignment horizontal="center"/>
    </xf>
    <xf numFmtId="169" fontId="0" fillId="0" borderId="18"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23" fillId="0" borderId="4" xfId="0" applyFont="1" applyBorder="1" applyAlignment="1">
      <alignment horizontal="left"/>
    </xf>
    <xf numFmtId="0" fontId="23" fillId="0" borderId="8"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8" xfId="0" applyNumberFormat="1" applyBorder="1" applyAlignment="1">
      <alignment horizontal="center"/>
    </xf>
    <xf numFmtId="9" fontId="0" fillId="0" borderId="12" xfId="0" applyNumberFormat="1" applyBorder="1" applyAlignment="1">
      <alignment horizontal="center"/>
    </xf>
    <xf numFmtId="9" fontId="0" fillId="0" borderId="10" xfId="0" applyNumberFormat="1" applyBorder="1" applyAlignment="1">
      <alignment horizontal="center" vertical="center"/>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23" fillId="0" borderId="3" xfId="0" applyFont="1" applyBorder="1" applyAlignment="1">
      <alignment horizontal="right"/>
    </xf>
    <xf numFmtId="0" fontId="23" fillId="0" borderId="4" xfId="0" applyFont="1" applyBorder="1" applyAlignment="1">
      <alignment horizontal="right"/>
    </xf>
    <xf numFmtId="0" fontId="23" fillId="0" borderId="8" xfId="0" applyFont="1" applyBorder="1" applyAlignment="1">
      <alignment horizontal="right"/>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9" fontId="20" fillId="0" borderId="12" xfId="0" applyNumberFormat="1" applyFont="1" applyBorder="1" applyAlignment="1">
      <alignment horizontal="center"/>
    </xf>
    <xf numFmtId="0" fontId="20" fillId="0" borderId="3" xfId="0" applyFont="1" applyBorder="1" applyAlignment="1">
      <alignment horizontal="center"/>
    </xf>
    <xf numFmtId="1" fontId="11" fillId="0" borderId="20" xfId="0" applyNumberFormat="1" applyFont="1" applyBorder="1" applyAlignment="1">
      <alignment horizontal="center"/>
    </xf>
    <xf numFmtId="1" fontId="11" fillId="0" borderId="12" xfId="0" applyNumberFormat="1" applyFont="1" applyBorder="1" applyAlignment="1">
      <alignment horizontal="center"/>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1" fontId="11" fillId="0" borderId="22" xfId="0" applyNumberFormat="1" applyFont="1" applyBorder="1" applyAlignment="1">
      <alignment horizontal="center"/>
    </xf>
    <xf numFmtId="1" fontId="11" fillId="0" borderId="15" xfId="0" applyNumberFormat="1" applyFont="1" applyBorder="1" applyAlignment="1">
      <alignment horizontal="center"/>
    </xf>
    <xf numFmtId="166" fontId="11" fillId="46" borderId="12" xfId="0" applyNumberFormat="1" applyFont="1" applyFill="1" applyBorder="1" applyAlignment="1">
      <alignment horizontal="center"/>
    </xf>
    <xf numFmtId="166" fontId="11" fillId="0" borderId="15" xfId="0" applyNumberFormat="1" applyFont="1" applyBorder="1" applyAlignment="1">
      <alignment horizontal="center"/>
    </xf>
    <xf numFmtId="166" fontId="11" fillId="0" borderId="12" xfId="0" applyNumberFormat="1" applyFont="1" applyBorder="1" applyAlignment="1">
      <alignment horizontal="center"/>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9" fontId="11" fillId="7" borderId="5" xfId="0" applyNumberFormat="1" applyFont="1" applyFill="1" applyBorder="1" applyAlignment="1" applyProtection="1">
      <alignment horizontal="left"/>
      <protection locked="0"/>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0" fontId="11" fillId="7" borderId="5" xfId="0" applyFont="1" applyFill="1" applyBorder="1" applyAlignment="1" applyProtection="1">
      <alignment horizontal="center" vertical="center" wrapText="1" shrinkToFit="1"/>
      <protection locked="0"/>
    </xf>
    <xf numFmtId="0" fontId="11" fillId="0" borderId="0" xfId="0" applyFont="1" applyAlignment="1">
      <alignment horizontal="left" vertical="top" wrapText="1"/>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1" fontId="11" fillId="0" borderId="30" xfId="0" applyNumberFormat="1" applyFont="1" applyBorder="1" applyAlignment="1">
      <alignment horizontal="center"/>
    </xf>
    <xf numFmtId="1" fontId="11" fillId="0" borderId="25" xfId="0" applyNumberFormat="1" applyFont="1" applyBorder="1" applyAlignment="1">
      <alignment horizontal="center"/>
    </xf>
    <xf numFmtId="9" fontId="20" fillId="0" borderId="17" xfId="0" applyNumberFormat="1" applyFont="1" applyBorder="1" applyAlignment="1">
      <alignment horizontal="center"/>
    </xf>
    <xf numFmtId="0" fontId="20" fillId="0" borderId="17" xfId="0" applyFont="1" applyBorder="1" applyAlignment="1">
      <alignment horizontal="center"/>
    </xf>
    <xf numFmtId="0" fontId="20" fillId="0" borderId="0" xfId="0" applyFont="1" applyAlignment="1">
      <alignment horizontal="left" vertical="top" wrapText="1"/>
    </xf>
    <xf numFmtId="0" fontId="10" fillId="0" borderId="0" xfId="0" applyFont="1" applyAlignment="1">
      <alignment horizontal="right"/>
    </xf>
    <xf numFmtId="166" fontId="11" fillId="0" borderId="21" xfId="0" applyNumberFormat="1" applyFont="1" applyBorder="1" applyAlignment="1">
      <alignment horizontal="center"/>
    </xf>
    <xf numFmtId="0" fontId="10" fillId="0" borderId="0" xfId="0" applyFont="1" applyAlignment="1">
      <alignment horizontal="center" vertical="top"/>
    </xf>
    <xf numFmtId="44" fontId="11" fillId="0" borderId="0" xfId="164" applyFont="1" applyFill="1" applyBorder="1" applyAlignment="1" applyProtection="1">
      <alignment horizontal="left" vertical="top" wrapText="1"/>
    </xf>
    <xf numFmtId="0" fontId="11" fillId="0" borderId="0" xfId="574" applyFont="1" applyAlignment="1">
      <alignment horizontal="left" vertical="top" wrapText="1"/>
    </xf>
    <xf numFmtId="0" fontId="11" fillId="7" borderId="53" xfId="0" applyFont="1" applyFill="1" applyBorder="1" applyAlignment="1" applyProtection="1">
      <alignment horizontal="left" vertical="top" wrapText="1"/>
      <protection locked="0"/>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26" fillId="0" borderId="47" xfId="0" applyFont="1" applyBorder="1" applyAlignment="1">
      <alignment horizontal="left" vertical="top" wrapText="1"/>
    </xf>
    <xf numFmtId="0" fontId="26" fillId="0" borderId="0" xfId="0" applyFont="1" applyAlignment="1">
      <alignment horizontal="left" vertical="top" wrapText="1"/>
    </xf>
    <xf numFmtId="1" fontId="11" fillId="46" borderId="15" xfId="0" applyNumberFormat="1" applyFont="1" applyFill="1" applyBorder="1" applyAlignment="1">
      <alignment horizontal="center"/>
    </xf>
    <xf numFmtId="0" fontId="20" fillId="0" borderId="12" xfId="0" applyFont="1" applyBorder="1" applyAlignment="1">
      <alignment horizontal="center" vertical="center" wrapText="1"/>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0" fontId="26" fillId="0" borderId="47" xfId="0" applyFont="1" applyBorder="1" applyAlignment="1">
      <alignment horizontal="left" wrapText="1"/>
    </xf>
    <xf numFmtId="0" fontId="26" fillId="0" borderId="0" xfId="0" applyFont="1" applyAlignment="1">
      <alignment horizontal="left" wrapText="1"/>
    </xf>
    <xf numFmtId="0" fontId="10" fillId="0" borderId="50" xfId="0" applyFont="1" applyBorder="1" applyAlignment="1">
      <alignment horizontal="center"/>
    </xf>
    <xf numFmtId="0" fontId="11" fillId="0" borderId="47" xfId="0" applyFont="1" applyBorder="1" applyAlignment="1">
      <alignment horizontal="left" vertical="top" wrapText="1"/>
    </xf>
    <xf numFmtId="0" fontId="11" fillId="0" borderId="53" xfId="0" applyFont="1" applyBorder="1" applyAlignment="1">
      <alignment horizontal="left" vertical="top" wrapText="1"/>
    </xf>
    <xf numFmtId="0" fontId="20" fillId="48" borderId="2" xfId="0" applyFont="1" applyFill="1" applyBorder="1" applyAlignment="1">
      <alignment horizontal="center"/>
    </xf>
    <xf numFmtId="0" fontId="20" fillId="48" borderId="5" xfId="0" applyFont="1" applyFill="1" applyBorder="1" applyAlignment="1">
      <alignment horizontal="center"/>
    </xf>
    <xf numFmtId="0" fontId="0" fillId="7" borderId="51" xfId="0" applyFill="1" applyBorder="1" applyAlignment="1" applyProtection="1">
      <alignment horizontal="center"/>
      <protection locked="0"/>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11" fillId="7" borderId="5" xfId="0" applyFont="1" applyFill="1" applyBorder="1" applyAlignment="1" applyProtection="1">
      <alignment horizontal="left"/>
      <protection locked="0"/>
    </xf>
    <xf numFmtId="0" fontId="10" fillId="0" borderId="50" xfId="0" applyFont="1" applyBorder="1" applyAlignment="1">
      <alignment horizontal="center" vertical="top"/>
    </xf>
    <xf numFmtId="0" fontId="11" fillId="0" borderId="5" xfId="0" applyFont="1" applyBorder="1" applyAlignment="1">
      <alignment horizontal="left" vertical="top" wrapText="1"/>
    </xf>
    <xf numFmtId="1" fontId="12" fillId="0" borderId="3" xfId="0" applyNumberFormat="1" applyFont="1" applyBorder="1" applyAlignment="1">
      <alignment horizontal="center"/>
    </xf>
    <xf numFmtId="1" fontId="12" fillId="0" borderId="4" xfId="0" applyNumberFormat="1" applyFont="1" applyBorder="1" applyAlignment="1">
      <alignment horizontal="center"/>
    </xf>
    <xf numFmtId="1" fontId="12" fillId="0" borderId="8" xfId="0" applyNumberFormat="1" applyFont="1" applyBorder="1" applyAlignment="1">
      <alignment horizontal="center"/>
    </xf>
    <xf numFmtId="0" fontId="0" fillId="7" borderId="4" xfId="0" applyFill="1" applyBorder="1" applyAlignment="1" applyProtection="1">
      <alignment horizontal="left" wrapText="1"/>
      <protection locked="0"/>
    </xf>
    <xf numFmtId="0" fontId="53" fillId="0" borderId="0" xfId="0" applyFont="1" applyAlignment="1">
      <alignment horizontal="left" vertical="top" wrapText="1"/>
    </xf>
    <xf numFmtId="0" fontId="47" fillId="0" borderId="3" xfId="0" applyFont="1" applyBorder="1" applyAlignment="1">
      <alignment horizontal="left"/>
    </xf>
    <xf numFmtId="0" fontId="47" fillId="0" borderId="4" xfId="0" applyFont="1" applyBorder="1" applyAlignment="1">
      <alignment horizontal="left"/>
    </xf>
    <xf numFmtId="0" fontId="47" fillId="0" borderId="8" xfId="0" applyFont="1" applyBorder="1" applyAlignment="1">
      <alignment horizontal="left"/>
    </xf>
    <xf numFmtId="0" fontId="48" fillId="0" borderId="4" xfId="0" applyFont="1" applyBorder="1" applyAlignment="1">
      <alignment horizontal="left"/>
    </xf>
    <xf numFmtId="0" fontId="48" fillId="0" borderId="8" xfId="0" applyFont="1" applyBorder="1" applyAlignment="1">
      <alignment horizontal="left"/>
    </xf>
    <xf numFmtId="1" fontId="12" fillId="0" borderId="12" xfId="0" applyNumberFormat="1" applyFont="1" applyBorder="1" applyAlignment="1">
      <alignment horizontal="center"/>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1" fontId="10" fillId="0" borderId="12" xfId="0" applyNumberFormat="1" applyFont="1" applyBorder="1" applyAlignment="1">
      <alignment horizontal="center"/>
    </xf>
    <xf numFmtId="166" fontId="12" fillId="0" borderId="9" xfId="0" applyNumberFormat="1" applyFont="1" applyBorder="1" applyAlignment="1">
      <alignment horizontal="center"/>
    </xf>
    <xf numFmtId="166" fontId="12" fillId="0" borderId="5" xfId="0" applyNumberFormat="1" applyFont="1" applyBorder="1" applyAlignment="1">
      <alignment horizontal="center"/>
    </xf>
    <xf numFmtId="166" fontId="12" fillId="0" borderId="10" xfId="0" applyNumberFormat="1" applyFont="1" applyBorder="1" applyAlignment="1">
      <alignment horizontal="center"/>
    </xf>
    <xf numFmtId="0" fontId="12" fillId="0" borderId="12" xfId="0" applyFont="1" applyBorder="1" applyAlignment="1">
      <alignment horizontal="center"/>
    </xf>
    <xf numFmtId="0" fontId="0" fillId="2" borderId="3" xfId="0" applyFill="1" applyBorder="1" applyAlignment="1">
      <alignment horizontal="center"/>
    </xf>
    <xf numFmtId="0" fontId="0" fillId="2" borderId="8" xfId="0" applyFill="1" applyBorder="1" applyAlignment="1">
      <alignment horizontal="center"/>
    </xf>
    <xf numFmtId="0" fontId="0" fillId="2" borderId="4" xfId="0" applyFill="1" applyBorder="1" applyAlignment="1">
      <alignment horizontal="center"/>
    </xf>
    <xf numFmtId="166" fontId="11" fillId="0" borderId="25" xfId="0" applyNumberFormat="1" applyFont="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23" fillId="0" borderId="3" xfId="0" applyFont="1" applyBorder="1" applyAlignment="1">
      <alignment horizontal="center"/>
    </xf>
    <xf numFmtId="0" fontId="23" fillId="0" borderId="4" xfId="0" applyFont="1" applyBorder="1" applyAlignment="1">
      <alignment horizontal="center"/>
    </xf>
    <xf numFmtId="0" fontId="23" fillId="0" borderId="8" xfId="0" applyFont="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164" fontId="20" fillId="0" borderId="0" xfId="0" applyNumberFormat="1" applyFont="1" applyAlignment="1">
      <alignment horizontal="left" vertical="top" wrapText="1"/>
    </xf>
    <xf numFmtId="1" fontId="11" fillId="0" borderId="29"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0" fontId="35" fillId="2" borderId="3" xfId="0" applyFont="1" applyFill="1" applyBorder="1" applyAlignment="1">
      <alignment horizontal="center"/>
    </xf>
    <xf numFmtId="0" fontId="35" fillId="2" borderId="8" xfId="0" applyFont="1" applyFill="1" applyBorder="1" applyAlignment="1">
      <alignment horizontal="center"/>
    </xf>
    <xf numFmtId="0" fontId="35" fillId="0" borderId="3" xfId="0" applyFont="1" applyBorder="1" applyAlignment="1">
      <alignment horizontal="center"/>
    </xf>
    <xf numFmtId="0" fontId="35" fillId="0" borderId="8" xfId="0" applyFont="1" applyBorder="1" applyAlignment="1">
      <alignment horizontal="center"/>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3" xfId="0" applyFill="1" applyBorder="1" applyAlignment="1">
      <alignment horizontal="center"/>
    </xf>
    <xf numFmtId="0" fontId="0" fillId="11" borderId="4" xfId="0" applyFill="1" applyBorder="1" applyAlignment="1">
      <alignment horizontal="center"/>
    </xf>
    <xf numFmtId="0" fontId="0" fillId="11" borderId="8"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0" fontId="0" fillId="0" borderId="1" xfId="0" applyBorder="1" applyAlignment="1">
      <alignment horizontal="center" wrapText="1"/>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11" fillId="0" borderId="5" xfId="0" applyFont="1" applyBorder="1" applyAlignment="1">
      <alignment horizontal="left"/>
    </xf>
    <xf numFmtId="0" fontId="11" fillId="7" borderId="5" xfId="0" applyFont="1" applyFill="1" applyBorder="1" applyAlignment="1" applyProtection="1">
      <alignment horizontal="center"/>
      <protection locked="0"/>
    </xf>
    <xf numFmtId="0" fontId="11" fillId="0" borderId="0" xfId="0" applyFont="1" applyAlignment="1">
      <alignment horizontal="left" vertical="center" wrapText="1" shrinkToFit="1"/>
    </xf>
    <xf numFmtId="0" fontId="11" fillId="7" borderId="5" xfId="0" applyFont="1" applyFill="1" applyBorder="1" applyAlignment="1" applyProtection="1">
      <alignment horizontal="left" wrapText="1" shrinkToFit="1"/>
      <protection locked="0"/>
    </xf>
    <xf numFmtId="0" fontId="136" fillId="0" borderId="0" xfId="0" applyFont="1" applyAlignment="1" applyProtection="1">
      <alignment horizontal="left"/>
      <protection locked="0"/>
    </xf>
    <xf numFmtId="0" fontId="23" fillId="7" borderId="5" xfId="0" applyFont="1" applyFill="1" applyBorder="1" applyAlignment="1" applyProtection="1">
      <alignment horizontal="center"/>
      <protection locked="0"/>
    </xf>
    <xf numFmtId="0" fontId="11" fillId="0" borderId="0" xfId="0" applyFont="1" applyAlignment="1">
      <alignment horizontal="left" vertical="top" wrapText="1" shrinkToFit="1"/>
    </xf>
    <xf numFmtId="172" fontId="23" fillId="2" borderId="3" xfId="546" applyNumberFormat="1" applyFont="1" applyFill="1" applyBorder="1" applyAlignment="1">
      <alignment horizontal="center"/>
    </xf>
    <xf numFmtId="172" fontId="23" fillId="2" borderId="4" xfId="546" applyNumberFormat="1" applyFont="1" applyFill="1" applyBorder="1" applyAlignment="1">
      <alignment horizontal="center"/>
    </xf>
    <xf numFmtId="172" fontId="23" fillId="2" borderId="8" xfId="546" applyNumberFormat="1" applyFont="1" applyFill="1" applyBorder="1" applyAlignment="1">
      <alignment horizontal="center"/>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7" xfId="0" applyFont="1" applyBorder="1" applyAlignment="1">
      <alignment horizontal="center" wrapText="1"/>
    </xf>
    <xf numFmtId="0" fontId="20" fillId="0" borderId="0" xfId="0" applyFont="1" applyAlignment="1">
      <alignment horizontal="center" wrapText="1"/>
    </xf>
    <xf numFmtId="0" fontId="20" fillId="0" borderId="13" xfId="0" applyFont="1" applyBorder="1" applyAlignment="1">
      <alignment horizontal="center" wrapText="1"/>
    </xf>
    <xf numFmtId="0" fontId="10" fillId="0" borderId="12" xfId="0" applyFont="1" applyBorder="1" applyAlignment="1">
      <alignment horizontal="right"/>
    </xf>
    <xf numFmtId="0" fontId="23" fillId="0" borderId="3" xfId="546" applyFont="1" applyBorder="1" applyAlignment="1">
      <alignment horizontal="center"/>
    </xf>
    <xf numFmtId="0" fontId="23" fillId="0" borderId="4" xfId="546" applyFont="1" applyBorder="1" applyAlignment="1">
      <alignment horizontal="center"/>
    </xf>
    <xf numFmtId="0" fontId="23" fillId="0" borderId="8" xfId="546" applyFont="1" applyBorder="1" applyAlignment="1">
      <alignment horizontal="center"/>
    </xf>
    <xf numFmtId="166" fontId="10" fillId="0" borderId="8" xfId="0" applyNumberFormat="1" applyFont="1" applyBorder="1" applyAlignment="1">
      <alignment horizontal="center"/>
    </xf>
    <xf numFmtId="166" fontId="10" fillId="0" borderId="12"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1" fontId="12" fillId="12" borderId="9" xfId="0" applyNumberFormat="1" applyFont="1" applyFill="1" applyBorder="1" applyAlignment="1">
      <alignment horizontal="center"/>
    </xf>
    <xf numFmtId="1" fontId="12" fillId="12" borderId="5" xfId="0" applyNumberFormat="1" applyFont="1" applyFill="1" applyBorder="1" applyAlignment="1">
      <alignment horizontal="center"/>
    </xf>
    <xf numFmtId="1" fontId="12" fillId="12" borderId="10" xfId="0" applyNumberFormat="1" applyFont="1" applyFill="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1" fontId="12" fillId="12" borderId="12" xfId="0" applyNumberFormat="1" applyFont="1" applyFill="1" applyBorder="1" applyAlignment="1">
      <alignment horizontal="center"/>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12" fillId="7" borderId="3" xfId="0" applyFont="1" applyFill="1" applyBorder="1" applyAlignment="1" applyProtection="1">
      <alignment horizontal="center" wrapText="1"/>
      <protection locked="0"/>
    </xf>
    <xf numFmtId="0" fontId="12" fillId="7" borderId="8" xfId="0" applyFont="1" applyFill="1" applyBorder="1" applyAlignment="1" applyProtection="1">
      <alignment horizontal="center" wrapText="1"/>
      <protection locked="0"/>
    </xf>
    <xf numFmtId="0" fontId="10" fillId="0" borderId="4" xfId="0" applyFont="1" applyBorder="1"/>
    <xf numFmtId="0" fontId="10" fillId="0" borderId="8" xfId="0" applyFont="1" applyBorder="1"/>
    <xf numFmtId="1" fontId="12" fillId="12" borderId="3" xfId="0" applyNumberFormat="1" applyFont="1" applyFill="1" applyBorder="1" applyAlignment="1">
      <alignment horizontal="center"/>
    </xf>
    <xf numFmtId="1" fontId="12" fillId="12" borderId="4" xfId="0" applyNumberFormat="1" applyFont="1" applyFill="1" applyBorder="1" applyAlignment="1">
      <alignment horizontal="center"/>
    </xf>
    <xf numFmtId="1" fontId="12" fillId="12" borderId="8" xfId="0" applyNumberFormat="1" applyFont="1" applyFill="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0" fontId="10" fillId="0" borderId="9" xfId="0" applyFont="1" applyBorder="1" applyAlignment="1">
      <alignment horizontal="center"/>
    </xf>
    <xf numFmtId="0" fontId="10" fillId="0" borderId="10" xfId="0" applyFont="1" applyBorder="1" applyAlignment="1">
      <alignment horizontal="center"/>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0" fontId="20" fillId="46" borderId="17" xfId="0" applyFont="1" applyFill="1" applyBorder="1" applyAlignment="1">
      <alignment horizontal="center"/>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1" fontId="12" fillId="11" borderId="3" xfId="0" applyNumberFormat="1" applyFont="1" applyFill="1" applyBorder="1" applyAlignment="1">
      <alignment horizontal="center" vertical="center"/>
    </xf>
    <xf numFmtId="1" fontId="12" fillId="11" borderId="8" xfId="0" applyNumberFormat="1" applyFont="1" applyFill="1" applyBorder="1" applyAlignment="1">
      <alignment horizontal="center" vertical="center"/>
    </xf>
    <xf numFmtId="1" fontId="37" fillId="0" borderId="3" xfId="0" quotePrefix="1" applyNumberFormat="1" applyFont="1" applyBorder="1" applyAlignment="1">
      <alignment horizontal="center" wrapText="1"/>
    </xf>
    <xf numFmtId="1" fontId="37" fillId="0" borderId="4" xfId="0" quotePrefix="1" applyNumberFormat="1" applyFont="1" applyBorder="1" applyAlignment="1">
      <alignment horizontal="center" wrapText="1"/>
    </xf>
    <xf numFmtId="1" fontId="37" fillId="0" borderId="8" xfId="0" quotePrefix="1" applyNumberFormat="1" applyFont="1" applyBorder="1" applyAlignment="1">
      <alignment horizontal="center" wrapText="1"/>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10" fillId="11" borderId="4" xfId="0" applyFont="1" applyFill="1" applyBorder="1" applyAlignment="1">
      <alignment horizontal="center"/>
    </xf>
    <xf numFmtId="0" fontId="3" fillId="48" borderId="12" xfId="0" applyFont="1" applyFill="1" applyBorder="1" applyAlignment="1">
      <alignment horizontal="center"/>
    </xf>
    <xf numFmtId="0" fontId="11" fillId="0" borderId="47" xfId="574" applyFont="1" applyBorder="1" applyAlignment="1">
      <alignment horizontal="left" vertical="top" wrapText="1"/>
    </xf>
    <xf numFmtId="0" fontId="20" fillId="10" borderId="7" xfId="0" applyFont="1" applyFill="1" applyBorder="1" applyAlignment="1">
      <alignment horizontal="center" wrapText="1"/>
    </xf>
    <xf numFmtId="0" fontId="20" fillId="10" borderId="0" xfId="0" applyFont="1" applyFill="1" applyAlignment="1">
      <alignment horizontal="center" wrapText="1"/>
    </xf>
    <xf numFmtId="164" fontId="11" fillId="0" borderId="0" xfId="0" applyNumberFormat="1" applyFont="1" applyAlignment="1">
      <alignment horizontal="left" vertical="top" wrapText="1"/>
    </xf>
    <xf numFmtId="0" fontId="11" fillId="7" borderId="0" xfId="0" applyFont="1" applyFill="1" applyAlignment="1" applyProtection="1">
      <alignment horizontal="left" vertical="top"/>
      <protection locked="0"/>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0" fillId="0" borderId="49" xfId="0" applyBorder="1" applyAlignment="1">
      <alignment horizontal="center"/>
    </xf>
    <xf numFmtId="0" fontId="12" fillId="0" borderId="13" xfId="0" applyFont="1" applyBorder="1" applyAlignment="1">
      <alignment horizontal="left" vertical="top" wrapText="1"/>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11"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0" xfId="0" applyFont="1" applyAlignment="1">
      <alignment horizontal="center" vertical="center" wrapText="1"/>
    </xf>
    <xf numFmtId="0" fontId="33" fillId="0" borderId="13" xfId="0" applyFont="1" applyBorder="1" applyAlignment="1">
      <alignment horizontal="center" vertical="center" wrapText="1"/>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1" fontId="126" fillId="0" borderId="0" xfId="575" applyNumberFormat="1" applyFont="1" applyAlignment="1">
      <alignment horizontal="center"/>
    </xf>
    <xf numFmtId="1" fontId="126" fillId="0" borderId="5" xfId="575" applyNumberFormat="1" applyFont="1" applyBorder="1" applyAlignment="1">
      <alignment horizontal="center"/>
    </xf>
    <xf numFmtId="182" fontId="127" fillId="0" borderId="3" xfId="575" applyNumberFormat="1" applyFont="1" applyBorder="1" applyAlignment="1">
      <alignment horizontal="center"/>
    </xf>
    <xf numFmtId="182" fontId="127" fillId="0" borderId="4" xfId="575" applyNumberFormat="1" applyFont="1" applyBorder="1" applyAlignment="1">
      <alignment horizontal="center"/>
    </xf>
    <xf numFmtId="182" fontId="127" fillId="0" borderId="8" xfId="575" applyNumberFormat="1" applyFont="1" applyBorder="1" applyAlignment="1">
      <alignment horizontal="center"/>
    </xf>
    <xf numFmtId="2" fontId="126" fillId="0" borderId="0" xfId="575" applyNumberFormat="1" applyFont="1" applyAlignment="1">
      <alignment horizontal="center"/>
    </xf>
    <xf numFmtId="2" fontId="126" fillId="0" borderId="5" xfId="575" applyNumberFormat="1" applyFont="1" applyBorder="1" applyAlignment="1">
      <alignment horizontal="center"/>
    </xf>
    <xf numFmtId="0" fontId="126" fillId="0" borderId="0" xfId="575" applyFont="1" applyAlignment="1">
      <alignment horizontal="center"/>
    </xf>
    <xf numFmtId="0" fontId="126" fillId="0" borderId="5" xfId="575" applyFont="1" applyBorder="1" applyAlignment="1">
      <alignment horizontal="center"/>
    </xf>
    <xf numFmtId="2" fontId="126" fillId="0" borderId="2" xfId="575" applyNumberFormat="1" applyFont="1" applyBorder="1" applyAlignment="1">
      <alignment horizontal="center"/>
    </xf>
    <xf numFmtId="0" fontId="126" fillId="51" borderId="5" xfId="575" applyFont="1" applyFill="1" applyBorder="1" applyAlignment="1" applyProtection="1">
      <alignment horizontal="center"/>
      <protection locked="0"/>
    </xf>
    <xf numFmtId="0" fontId="130" fillId="52" borderId="0" xfId="575" applyFont="1" applyFill="1" applyAlignment="1">
      <alignment horizontal="center"/>
    </xf>
    <xf numFmtId="49" fontId="9" fillId="5" borderId="0" xfId="278" applyNumberFormat="1" applyFont="1" applyFill="1" applyAlignment="1">
      <alignment horizontal="center" vertical="center"/>
    </xf>
    <xf numFmtId="44" fontId="127" fillId="0" borderId="3" xfId="164" applyFont="1" applyFill="1" applyBorder="1" applyAlignment="1">
      <alignment horizontal="center"/>
    </xf>
    <xf numFmtId="44" fontId="127" fillId="0" borderId="4" xfId="164" applyFont="1" applyFill="1" applyBorder="1" applyAlignment="1">
      <alignment horizontal="center"/>
    </xf>
    <xf numFmtId="44" fontId="127" fillId="0" borderId="8" xfId="164" applyFont="1" applyFill="1" applyBorder="1" applyAlignment="1">
      <alignment horizontal="center"/>
    </xf>
    <xf numFmtId="49" fontId="126" fillId="51" borderId="5" xfId="575" applyNumberFormat="1" applyFont="1" applyFill="1" applyBorder="1" applyAlignment="1" applyProtection="1">
      <alignment horizontal="center"/>
      <protection locked="0"/>
    </xf>
    <xf numFmtId="176" fontId="126" fillId="0" borderId="5" xfId="575" applyNumberFormat="1" applyFont="1" applyBorder="1" applyAlignment="1">
      <alignment horizontal="center"/>
    </xf>
    <xf numFmtId="0" fontId="126" fillId="51" borderId="5" xfId="575" applyFont="1" applyFill="1" applyBorder="1" applyAlignment="1" applyProtection="1">
      <alignment horizontal="left"/>
      <protection locked="0"/>
    </xf>
    <xf numFmtId="169" fontId="126" fillId="0" borderId="0" xfId="577" applyNumberFormat="1" applyFont="1" applyFill="1" applyBorder="1" applyAlignment="1" applyProtection="1">
      <alignment horizontal="center" vertical="center"/>
    </xf>
    <xf numFmtId="1" fontId="126" fillId="0" borderId="2" xfId="575" applyNumberFormat="1" applyFont="1" applyBorder="1" applyAlignment="1">
      <alignment horizontal="center"/>
    </xf>
    <xf numFmtId="0" fontId="126" fillId="0" borderId="2" xfId="575" applyFont="1" applyBorder="1" applyAlignment="1">
      <alignment horizontal="center"/>
    </xf>
    <xf numFmtId="181" fontId="126" fillId="0" borderId="0" xfId="575" applyNumberFormat="1" applyFont="1" applyAlignment="1">
      <alignment horizontal="center"/>
    </xf>
    <xf numFmtId="169" fontId="8" fillId="7" borderId="5" xfId="273" applyNumberFormat="1" applyFont="1" applyFill="1" applyBorder="1" applyAlignment="1" applyProtection="1">
      <alignment horizontal="right"/>
      <protection locked="0"/>
    </xf>
    <xf numFmtId="169" fontId="8" fillId="0" borderId="4" xfId="273" applyNumberFormat="1" applyFont="1" applyBorder="1" applyAlignment="1">
      <alignment horizontal="right"/>
    </xf>
    <xf numFmtId="169" fontId="8" fillId="0" borderId="5" xfId="273" applyNumberFormat="1" applyFont="1" applyBorder="1" applyAlignment="1">
      <alignment horizontal="right"/>
    </xf>
    <xf numFmtId="1" fontId="8" fillId="7" borderId="4" xfId="273" applyNumberFormat="1" applyFont="1" applyFill="1" applyBorder="1" applyAlignment="1" applyProtection="1">
      <alignment horizontal="right"/>
      <protection locked="0"/>
    </xf>
    <xf numFmtId="0" fontId="8" fillId="0" borderId="4" xfId="273" applyFont="1" applyBorder="1" applyAlignment="1">
      <alignment horizontal="left"/>
    </xf>
    <xf numFmtId="169" fontId="8" fillId="0" borderId="0" xfId="273" applyNumberFormat="1" applyFont="1" applyAlignment="1">
      <alignment horizontal="right"/>
    </xf>
    <xf numFmtId="3" fontId="8" fillId="0" borderId="5" xfId="273" applyNumberFormat="1" applyFont="1" applyBorder="1" applyAlignment="1">
      <alignment horizontal="center"/>
    </xf>
    <xf numFmtId="3" fontId="3" fillId="0" borderId="5" xfId="273" applyNumberFormat="1" applyFont="1" applyBorder="1"/>
    <xf numFmtId="0" fontId="8" fillId="0" borderId="0" xfId="273" applyFont="1" applyAlignment="1">
      <alignment horizontal="center" vertical="center"/>
    </xf>
    <xf numFmtId="0" fontId="65" fillId="0" borderId="0" xfId="273" applyFont="1" applyAlignment="1">
      <alignment horizontal="right" vertical="center"/>
    </xf>
    <xf numFmtId="0" fontId="54"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56" fillId="0" borderId="31" xfId="573" applyNumberFormat="1" applyFont="1" applyBorder="1" applyAlignment="1" applyProtection="1">
      <alignment horizontal="center" vertical="center"/>
    </xf>
    <xf numFmtId="176" fontId="56" fillId="0" borderId="32" xfId="573" applyNumberFormat="1" applyFont="1" applyBorder="1" applyAlignment="1" applyProtection="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56" fillId="0" borderId="0" xfId="273" applyFont="1" applyAlignment="1">
      <alignment horizontal="left" vertical="center"/>
    </xf>
    <xf numFmtId="0" fontId="8" fillId="0" borderId="5" xfId="273" applyFont="1" applyBorder="1" applyAlignment="1">
      <alignment horizontal="left"/>
    </xf>
    <xf numFmtId="1" fontId="8" fillId="7" borderId="51" xfId="273" applyNumberFormat="1" applyFont="1" applyFill="1" applyBorder="1" applyAlignment="1" applyProtection="1">
      <alignment horizontal="left" vertical="center"/>
      <protection locked="0"/>
    </xf>
    <xf numFmtId="1" fontId="8" fillId="7" borderId="5" xfId="273" applyNumberFormat="1" applyFont="1" applyFill="1" applyBorder="1" applyAlignment="1" applyProtection="1">
      <alignment horizontal="left" vertical="center"/>
      <protection locked="0"/>
    </xf>
    <xf numFmtId="0" fontId="56" fillId="0" borderId="73" xfId="273" applyFont="1" applyBorder="1" applyAlignment="1">
      <alignment horizontal="left" vertical="center" wrapText="1"/>
    </xf>
    <xf numFmtId="0" fontId="56" fillId="0" borderId="2" xfId="273" applyFont="1" applyBorder="1" applyAlignment="1">
      <alignment horizontal="left" vertical="center" wrapText="1"/>
    </xf>
    <xf numFmtId="0" fontId="56" fillId="0" borderId="49" xfId="273" applyFont="1" applyBorder="1" applyAlignment="1">
      <alignment horizontal="left" vertical="center" wrapText="1"/>
    </xf>
    <xf numFmtId="0" fontId="56" fillId="0" borderId="0" xfId="273" applyFont="1" applyAlignment="1">
      <alignment horizontal="left" vertical="center" wrapText="1"/>
    </xf>
    <xf numFmtId="169" fontId="8" fillId="0" borderId="0" xfId="273" applyNumberFormat="1" applyFont="1" applyAlignment="1">
      <alignment horizontal="left"/>
    </xf>
    <xf numFmtId="0" fontId="8" fillId="7" borderId="4" xfId="273" applyFont="1" applyFill="1" applyBorder="1" applyAlignment="1" applyProtection="1">
      <alignment horizontal="left"/>
      <protection locked="0"/>
    </xf>
    <xf numFmtId="0" fontId="56" fillId="0" borderId="0" xfId="273" applyFont="1" applyAlignment="1">
      <alignment vertical="center" wrapText="1"/>
    </xf>
    <xf numFmtId="2" fontId="56" fillId="49" borderId="31" xfId="273" applyNumberFormat="1" applyFont="1" applyFill="1" applyBorder="1" applyAlignment="1">
      <alignment horizontal="center" vertical="center"/>
    </xf>
    <xf numFmtId="2" fontId="56" fillId="49" borderId="32" xfId="273" applyNumberFormat="1" applyFont="1" applyFill="1" applyBorder="1" applyAlignment="1">
      <alignment horizontal="center" vertical="center"/>
    </xf>
    <xf numFmtId="49" fontId="55" fillId="5" borderId="0" xfId="273" applyNumberFormat="1" applyFont="1" applyFill="1" applyAlignment="1">
      <alignment horizontal="center" vertical="center"/>
    </xf>
    <xf numFmtId="0" fontId="56" fillId="0" borderId="0" xfId="273" applyFont="1" applyAlignment="1">
      <alignment horizontal="left"/>
    </xf>
    <xf numFmtId="0" fontId="57"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58" fillId="0" borderId="2" xfId="273" applyFont="1" applyBorder="1" applyAlignment="1">
      <alignment horizontal="left"/>
    </xf>
    <xf numFmtId="169" fontId="56"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right" vertical="center"/>
    </xf>
    <xf numFmtId="0" fontId="8" fillId="0" borderId="2" xfId="273" applyFont="1" applyBorder="1" applyAlignment="1">
      <alignment horizontal="center" vertical="center"/>
    </xf>
    <xf numFmtId="3" fontId="12" fillId="0" borderId="0" xfId="273" applyNumberFormat="1" applyAlignment="1">
      <alignment horizontal="left" vertical="top" wrapText="1"/>
    </xf>
    <xf numFmtId="0" fontId="8" fillId="0" borderId="5" xfId="0" applyFont="1" applyBorder="1" applyAlignment="1">
      <alignment horizontal="center"/>
    </xf>
    <xf numFmtId="0" fontId="26" fillId="0" borderId="2" xfId="0" applyFont="1" applyBorder="1" applyAlignment="1">
      <alignment horizontal="left"/>
    </xf>
    <xf numFmtId="10" fontId="0" fillId="0" borderId="12" xfId="0" applyNumberFormat="1" applyBorder="1" applyAlignment="1" applyProtection="1">
      <alignment horizontal="center"/>
      <protection locked="0"/>
    </xf>
  </cellXfs>
  <cellStyles count="1032">
    <cellStyle name="20% - Accent1" xfId="1" builtinId="30" customBuiltin="1"/>
    <cellStyle name="20% - Accent1 2" xfId="2"/>
    <cellStyle name="20% - Accent1 2 2" xfId="3"/>
    <cellStyle name="20% - Accent1 2 2 2" xfId="4"/>
    <cellStyle name="20% - Accent1 2 2 2 2" xfId="581"/>
    <cellStyle name="20% - Accent1 2 2 3" xfId="580"/>
    <cellStyle name="20% - Accent1 2 3" xfId="5"/>
    <cellStyle name="20% - Accent1 2 3 2" xfId="582"/>
    <cellStyle name="20% - Accent1 2 4" xfId="579"/>
    <cellStyle name="20% - Accent1 3" xfId="6"/>
    <cellStyle name="20% - Accent1 3 2" xfId="7"/>
    <cellStyle name="20% - Accent1 3 2 2" xfId="584"/>
    <cellStyle name="20% - Accent1 3 3" xfId="583"/>
    <cellStyle name="20% - Accent1 4" xfId="8"/>
    <cellStyle name="20% - Accent1 4 2" xfId="585"/>
    <cellStyle name="20% - Accent1 5" xfId="578"/>
    <cellStyle name="20% - Accent2" xfId="9" builtinId="34" customBuiltin="1"/>
    <cellStyle name="20% - Accent2 2" xfId="10"/>
    <cellStyle name="20% - Accent2 2 2" xfId="11"/>
    <cellStyle name="20% - Accent2 2 2 2" xfId="12"/>
    <cellStyle name="20% - Accent2 2 2 2 2" xfId="589"/>
    <cellStyle name="20% - Accent2 2 2 3" xfId="588"/>
    <cellStyle name="20% - Accent2 2 3" xfId="13"/>
    <cellStyle name="20% - Accent2 2 3 2" xfId="590"/>
    <cellStyle name="20% - Accent2 2 4" xfId="587"/>
    <cellStyle name="20% - Accent2 3" xfId="14"/>
    <cellStyle name="20% - Accent2 3 2" xfId="15"/>
    <cellStyle name="20% - Accent2 3 2 2" xfId="592"/>
    <cellStyle name="20% - Accent2 3 3" xfId="591"/>
    <cellStyle name="20% - Accent2 4" xfId="16"/>
    <cellStyle name="20% - Accent2 4 2" xfId="593"/>
    <cellStyle name="20% - Accent2 5" xfId="586"/>
    <cellStyle name="20% - Accent3" xfId="17" builtinId="38" customBuiltin="1"/>
    <cellStyle name="20% - Accent3 2" xfId="18"/>
    <cellStyle name="20% - Accent3 2 2" xfId="19"/>
    <cellStyle name="20% - Accent3 2 2 2" xfId="20"/>
    <cellStyle name="20% - Accent3 2 2 2 2" xfId="597"/>
    <cellStyle name="20% - Accent3 2 2 3" xfId="596"/>
    <cellStyle name="20% - Accent3 2 3" xfId="21"/>
    <cellStyle name="20% - Accent3 2 3 2" xfId="598"/>
    <cellStyle name="20% - Accent3 2 4" xfId="595"/>
    <cellStyle name="20% - Accent3 3" xfId="22"/>
    <cellStyle name="20% - Accent3 3 2" xfId="23"/>
    <cellStyle name="20% - Accent3 3 2 2" xfId="600"/>
    <cellStyle name="20% - Accent3 3 3" xfId="599"/>
    <cellStyle name="20% - Accent3 4" xfId="24"/>
    <cellStyle name="20% - Accent3 4 2" xfId="601"/>
    <cellStyle name="20% - Accent3 5" xfId="594"/>
    <cellStyle name="20% - Accent4" xfId="25" builtinId="42" customBuiltin="1"/>
    <cellStyle name="20% - Accent4 2" xfId="26"/>
    <cellStyle name="20% - Accent4 2 2" xfId="27"/>
    <cellStyle name="20% - Accent4 2 2 2" xfId="28"/>
    <cellStyle name="20% - Accent4 2 2 2 2" xfId="605"/>
    <cellStyle name="20% - Accent4 2 2 3" xfId="604"/>
    <cellStyle name="20% - Accent4 2 3" xfId="29"/>
    <cellStyle name="20% - Accent4 2 3 2" xfId="606"/>
    <cellStyle name="20% - Accent4 2 4" xfId="603"/>
    <cellStyle name="20% - Accent4 3" xfId="30"/>
    <cellStyle name="20% - Accent4 3 2" xfId="31"/>
    <cellStyle name="20% - Accent4 3 2 2" xfId="608"/>
    <cellStyle name="20% - Accent4 3 3" xfId="607"/>
    <cellStyle name="20% - Accent4 4" xfId="32"/>
    <cellStyle name="20% - Accent4 4 2" xfId="609"/>
    <cellStyle name="20% - Accent4 5" xfId="602"/>
    <cellStyle name="20% - Accent5" xfId="33" builtinId="46" customBuiltin="1"/>
    <cellStyle name="20% - Accent5 2" xfId="34"/>
    <cellStyle name="20% - Accent5 2 2" xfId="35"/>
    <cellStyle name="20% - Accent5 2 2 2" xfId="36"/>
    <cellStyle name="20% - Accent5 2 2 2 2" xfId="613"/>
    <cellStyle name="20% - Accent5 2 2 3" xfId="612"/>
    <cellStyle name="20% - Accent5 2 3" xfId="37"/>
    <cellStyle name="20% - Accent5 2 3 2" xfId="614"/>
    <cellStyle name="20% - Accent5 2 4" xfId="611"/>
    <cellStyle name="20% - Accent5 3" xfId="38"/>
    <cellStyle name="20% - Accent5 3 2" xfId="39"/>
    <cellStyle name="20% - Accent5 3 2 2" xfId="616"/>
    <cellStyle name="20% - Accent5 3 3" xfId="615"/>
    <cellStyle name="20% - Accent5 4" xfId="40"/>
    <cellStyle name="20% - Accent5 4 2" xfId="617"/>
    <cellStyle name="20% - Accent5 5" xfId="610"/>
    <cellStyle name="20% - Accent6" xfId="41" builtinId="50" customBuiltin="1"/>
    <cellStyle name="20% - Accent6 2" xfId="42"/>
    <cellStyle name="20% - Accent6 2 2" xfId="43"/>
    <cellStyle name="20% - Accent6 2 2 2" xfId="44"/>
    <cellStyle name="20% - Accent6 2 2 2 2" xfId="621"/>
    <cellStyle name="20% - Accent6 2 2 3" xfId="620"/>
    <cellStyle name="20% - Accent6 2 3" xfId="45"/>
    <cellStyle name="20% - Accent6 2 3 2" xfId="622"/>
    <cellStyle name="20% - Accent6 2 4" xfId="619"/>
    <cellStyle name="20% - Accent6 3" xfId="46"/>
    <cellStyle name="20% - Accent6 3 2" xfId="47"/>
    <cellStyle name="20% - Accent6 3 2 2" xfId="624"/>
    <cellStyle name="20% - Accent6 3 3" xfId="623"/>
    <cellStyle name="20% - Accent6 4" xfId="48"/>
    <cellStyle name="20% - Accent6 4 2" xfId="625"/>
    <cellStyle name="20% - Accent6 5" xfId="618"/>
    <cellStyle name="40% - Accent1" xfId="49" builtinId="31" customBuiltin="1"/>
    <cellStyle name="40% - Accent1 2" xfId="50"/>
    <cellStyle name="40% - Accent1 2 2" xfId="51"/>
    <cellStyle name="40% - Accent1 2 2 2" xfId="52"/>
    <cellStyle name="40% - Accent1 2 2 2 2" xfId="629"/>
    <cellStyle name="40% - Accent1 2 2 3" xfId="628"/>
    <cellStyle name="40% - Accent1 2 3" xfId="53"/>
    <cellStyle name="40% - Accent1 2 3 2" xfId="630"/>
    <cellStyle name="40% - Accent1 2 4" xfId="627"/>
    <cellStyle name="40% - Accent1 3" xfId="54"/>
    <cellStyle name="40% - Accent1 3 2" xfId="55"/>
    <cellStyle name="40% - Accent1 3 2 2" xfId="632"/>
    <cellStyle name="40% - Accent1 3 3" xfId="631"/>
    <cellStyle name="40% - Accent1 4" xfId="56"/>
    <cellStyle name="40% - Accent1 4 2" xfId="633"/>
    <cellStyle name="40% - Accent1 5" xfId="626"/>
    <cellStyle name="40% - Accent2" xfId="57" builtinId="35" customBuiltin="1"/>
    <cellStyle name="40% - Accent2 2" xfId="58"/>
    <cellStyle name="40% - Accent2 2 2" xfId="59"/>
    <cellStyle name="40% - Accent2 2 2 2" xfId="60"/>
    <cellStyle name="40% - Accent2 2 2 2 2" xfId="637"/>
    <cellStyle name="40% - Accent2 2 2 3" xfId="636"/>
    <cellStyle name="40% - Accent2 2 3" xfId="61"/>
    <cellStyle name="40% - Accent2 2 3 2" xfId="638"/>
    <cellStyle name="40% - Accent2 2 4" xfId="635"/>
    <cellStyle name="40% - Accent2 3" xfId="62"/>
    <cellStyle name="40% - Accent2 3 2" xfId="63"/>
    <cellStyle name="40% - Accent2 3 2 2" xfId="640"/>
    <cellStyle name="40% - Accent2 3 3" xfId="639"/>
    <cellStyle name="40% - Accent2 4" xfId="64"/>
    <cellStyle name="40% - Accent2 4 2" xfId="641"/>
    <cellStyle name="40% - Accent2 5" xfId="634"/>
    <cellStyle name="40% - Accent3" xfId="65" builtinId="39" customBuiltin="1"/>
    <cellStyle name="40% - Accent3 2" xfId="66"/>
    <cellStyle name="40% - Accent3 2 2" xfId="67"/>
    <cellStyle name="40% - Accent3 2 2 2" xfId="68"/>
    <cellStyle name="40% - Accent3 2 2 2 2" xfId="645"/>
    <cellStyle name="40% - Accent3 2 2 3" xfId="644"/>
    <cellStyle name="40% - Accent3 2 3" xfId="69"/>
    <cellStyle name="40% - Accent3 2 3 2" xfId="646"/>
    <cellStyle name="40% - Accent3 2 4" xfId="643"/>
    <cellStyle name="40% - Accent3 3" xfId="70"/>
    <cellStyle name="40% - Accent3 3 2" xfId="71"/>
    <cellStyle name="40% - Accent3 3 2 2" xfId="648"/>
    <cellStyle name="40% - Accent3 3 3" xfId="647"/>
    <cellStyle name="40% - Accent3 4" xfId="72"/>
    <cellStyle name="40% - Accent3 4 2" xfId="649"/>
    <cellStyle name="40% - Accent3 5" xfId="642"/>
    <cellStyle name="40% - Accent4" xfId="73" builtinId="43" customBuiltin="1"/>
    <cellStyle name="40% - Accent4 2" xfId="74"/>
    <cellStyle name="40% - Accent4 2 2" xfId="75"/>
    <cellStyle name="40% - Accent4 2 2 2" xfId="76"/>
    <cellStyle name="40% - Accent4 2 2 2 2" xfId="653"/>
    <cellStyle name="40% - Accent4 2 2 3" xfId="652"/>
    <cellStyle name="40% - Accent4 2 3" xfId="77"/>
    <cellStyle name="40% - Accent4 2 3 2" xfId="654"/>
    <cellStyle name="40% - Accent4 2 4" xfId="651"/>
    <cellStyle name="40% - Accent4 3" xfId="78"/>
    <cellStyle name="40% - Accent4 3 2" xfId="79"/>
    <cellStyle name="40% - Accent4 3 2 2" xfId="656"/>
    <cellStyle name="40% - Accent4 3 3" xfId="655"/>
    <cellStyle name="40% - Accent4 4" xfId="80"/>
    <cellStyle name="40% - Accent4 4 2" xfId="657"/>
    <cellStyle name="40% - Accent4 5" xfId="650"/>
    <cellStyle name="40% - Accent5" xfId="81" builtinId="47" customBuiltin="1"/>
    <cellStyle name="40% - Accent5 2" xfId="82"/>
    <cellStyle name="40% - Accent5 2 2" xfId="83"/>
    <cellStyle name="40% - Accent5 2 2 2" xfId="84"/>
    <cellStyle name="40% - Accent5 2 2 2 2" xfId="661"/>
    <cellStyle name="40% - Accent5 2 2 3" xfId="660"/>
    <cellStyle name="40% - Accent5 2 3" xfId="85"/>
    <cellStyle name="40% - Accent5 2 3 2" xfId="662"/>
    <cellStyle name="40% - Accent5 2 4" xfId="659"/>
    <cellStyle name="40% - Accent5 3" xfId="86"/>
    <cellStyle name="40% - Accent5 3 2" xfId="87"/>
    <cellStyle name="40% - Accent5 3 2 2" xfId="664"/>
    <cellStyle name="40% - Accent5 3 3" xfId="663"/>
    <cellStyle name="40% - Accent5 4" xfId="88"/>
    <cellStyle name="40% - Accent5 4 2" xfId="665"/>
    <cellStyle name="40% - Accent5 5" xfId="658"/>
    <cellStyle name="40% - Accent6" xfId="89" builtinId="51" customBuiltin="1"/>
    <cellStyle name="40% - Accent6 2" xfId="90"/>
    <cellStyle name="40% - Accent6 2 2" xfId="91"/>
    <cellStyle name="40% - Accent6 2 2 2" xfId="92"/>
    <cellStyle name="40% - Accent6 2 2 2 2" xfId="669"/>
    <cellStyle name="40% - Accent6 2 2 3" xfId="668"/>
    <cellStyle name="40% - Accent6 2 3" xfId="93"/>
    <cellStyle name="40% - Accent6 2 3 2" xfId="670"/>
    <cellStyle name="40% - Accent6 2 4" xfId="667"/>
    <cellStyle name="40% - Accent6 3" xfId="94"/>
    <cellStyle name="40% - Accent6 3 2" xfId="95"/>
    <cellStyle name="40% - Accent6 3 2 2" xfId="672"/>
    <cellStyle name="40% - Accent6 3 3" xfId="671"/>
    <cellStyle name="40% - Accent6 4" xfId="96"/>
    <cellStyle name="40% - Accent6 4 2" xfId="673"/>
    <cellStyle name="40% - Accent6 5" xfId="666"/>
    <cellStyle name="60% - Accent1" xfId="97" builtinId="32" customBuiltin="1"/>
    <cellStyle name="60% - Accent1 2" xfId="98"/>
    <cellStyle name="60% - Accent2" xfId="99" builtinId="36" customBuiltin="1"/>
    <cellStyle name="60% - Accent3" xfId="100" builtinId="40" customBuiltin="1"/>
    <cellStyle name="60% - Accent3 2" xfId="101"/>
    <cellStyle name="60% - Accent4" xfId="102" builtinId="44" customBuiltin="1"/>
    <cellStyle name="60% - Accent4 2" xfId="103"/>
    <cellStyle name="60% - Accent5" xfId="104" builtinId="48" customBuiltin="1"/>
    <cellStyle name="60% - Accent6" xfId="105" builtinId="52" customBuiltin="1"/>
    <cellStyle name="60% - Accent6 2" xfId="106"/>
    <cellStyle name="Accent1" xfId="107" builtinId="29" customBuiltin="1"/>
    <cellStyle name="Accent1 2" xfId="108"/>
    <cellStyle name="Accent2" xfId="109" builtinId="33" customBuiltin="1"/>
    <cellStyle name="Accent2 2" xfId="110"/>
    <cellStyle name="Accent3" xfId="111" builtinId="37" customBuiltin="1"/>
    <cellStyle name="Accent3 2" xfId="112"/>
    <cellStyle name="Accent4" xfId="113" builtinId="41" customBuiltin="1"/>
    <cellStyle name="Accent4 2" xfId="114"/>
    <cellStyle name="Accent5" xfId="115" builtinId="45" customBuiltin="1"/>
    <cellStyle name="Accent6" xfId="116" builtinId="49" customBuiltin="1"/>
    <cellStyle name="Bad" xfId="117" builtinId="27" customBuiltin="1"/>
    <cellStyle name="Bad 2" xfId="118"/>
    <cellStyle name="Calculation" xfId="119" builtinId="22" customBuiltin="1"/>
    <cellStyle name="Calculation 2" xfId="120"/>
    <cellStyle name="Check Cell" xfId="121" builtinId="23" customBuiltin="1"/>
    <cellStyle name="Comma 2" xfId="122"/>
    <cellStyle name="Comma 2 2" xfId="123"/>
    <cellStyle name="Comma 3" xfId="124"/>
    <cellStyle name="Comma 4" xfId="125"/>
    <cellStyle name="Comma 4 2" xfId="126"/>
    <cellStyle name="Comma 4 2 2" xfId="127"/>
    <cellStyle name="Comma 4 2 2 2" xfId="128"/>
    <cellStyle name="Comma 4 2 2 2 2" xfId="129"/>
    <cellStyle name="Comma 4 2 2 2 2 2" xfId="130"/>
    <cellStyle name="Comma 4 2 2 2 2 2 2" xfId="676"/>
    <cellStyle name="Comma 4 2 2 2 2 3" xfId="675"/>
    <cellStyle name="Comma 4 2 2 2 3" xfId="131"/>
    <cellStyle name="Comma 4 2 2 2 3 2" xfId="677"/>
    <cellStyle name="Comma 4 2 2 2 4" xfId="674"/>
    <cellStyle name="Comma 4 2 2 3" xfId="132"/>
    <cellStyle name="Comma 4 2 2 3 2" xfId="133"/>
    <cellStyle name="Comma 4 2 2 3 2 2" xfId="679"/>
    <cellStyle name="Comma 4 2 2 3 3" xfId="678"/>
    <cellStyle name="Comma 4 2 2 4" xfId="134"/>
    <cellStyle name="Comma 4 2 2 4 2" xfId="680"/>
    <cellStyle name="Comma 4 2 2 5" xfId="135"/>
    <cellStyle name="Comma 4 2 2 5 2" xfId="681"/>
    <cellStyle name="Comma 4 2 3" xfId="136"/>
    <cellStyle name="Comma 4 2 3 2" xfId="137"/>
    <cellStyle name="Comma 4 2 3 2 2" xfId="138"/>
    <cellStyle name="Comma 4 2 3 2 2 2" xfId="684"/>
    <cellStyle name="Comma 4 2 3 2 3" xfId="683"/>
    <cellStyle name="Comma 4 2 3 3" xfId="139"/>
    <cellStyle name="Comma 4 2 3 3 2" xfId="685"/>
    <cellStyle name="Comma 4 2 3 4" xfId="682"/>
    <cellStyle name="Comma 4 2 4" xfId="140"/>
    <cellStyle name="Comma 4 2 4 2" xfId="141"/>
    <cellStyle name="Comma 4 2 4 2 2" xfId="687"/>
    <cellStyle name="Comma 4 2 4 3" xfId="686"/>
    <cellStyle name="Comma 4 2 5" xfId="142"/>
    <cellStyle name="Comma 4 2 5 2" xfId="688"/>
    <cellStyle name="Comma 4 2 6" xfId="143"/>
    <cellStyle name="Comma 4 2 6 2" xfId="689"/>
    <cellStyle name="Comma 4 3" xfId="144"/>
    <cellStyle name="Comma 4 3 2" xfId="145"/>
    <cellStyle name="Comma 4 3 2 2" xfId="146"/>
    <cellStyle name="Comma 4 3 2 2 2" xfId="147"/>
    <cellStyle name="Comma 4 3 2 2 2 2" xfId="692"/>
    <cellStyle name="Comma 4 3 2 2 3" xfId="691"/>
    <cellStyle name="Comma 4 3 2 3" xfId="148"/>
    <cellStyle name="Comma 4 3 2 3 2" xfId="693"/>
    <cellStyle name="Comma 4 3 2 4" xfId="690"/>
    <cellStyle name="Comma 4 3 3" xfId="149"/>
    <cellStyle name="Comma 4 3 3 2" xfId="150"/>
    <cellStyle name="Comma 4 3 3 2 2" xfId="695"/>
    <cellStyle name="Comma 4 3 3 3" xfId="694"/>
    <cellStyle name="Comma 4 3 4" xfId="151"/>
    <cellStyle name="Comma 4 3 4 2" xfId="696"/>
    <cellStyle name="Comma 4 3 5" xfId="152"/>
    <cellStyle name="Comma 4 3 5 2" xfId="697"/>
    <cellStyle name="Comma 4 4" xfId="153"/>
    <cellStyle name="Comma 4 4 2" xfId="154"/>
    <cellStyle name="Comma 4 4 2 2" xfId="155"/>
    <cellStyle name="Comma 4 4 2 2 2" xfId="700"/>
    <cellStyle name="Comma 4 4 2 3" xfId="699"/>
    <cellStyle name="Comma 4 4 3" xfId="156"/>
    <cellStyle name="Comma 4 4 3 2" xfId="701"/>
    <cellStyle name="Comma 4 4 4" xfId="698"/>
    <cellStyle name="Comma 4 5" xfId="157"/>
    <cellStyle name="Comma 4 5 2" xfId="158"/>
    <cellStyle name="Comma 4 5 2 2" xfId="703"/>
    <cellStyle name="Comma 4 5 3" xfId="702"/>
    <cellStyle name="Comma 4 6" xfId="159"/>
    <cellStyle name="Comma 4 6 2" xfId="704"/>
    <cellStyle name="Comma 4 7" xfId="160"/>
    <cellStyle name="Comma 4 7 2" xfId="705"/>
    <cellStyle name="Comma 5" xfId="161"/>
    <cellStyle name="Comma 5 2" xfId="162"/>
    <cellStyle name="Comma 5 2 2" xfId="706"/>
    <cellStyle name="Comma 6" xfId="163"/>
    <cellStyle name="Comma 7" xfId="576"/>
    <cellStyle name="Currency" xfId="164" builtinId="4"/>
    <cellStyle name="Currency 10" xfId="165"/>
    <cellStyle name="Currency 10 2" xfId="166"/>
    <cellStyle name="Currency 10 2 2" xfId="708"/>
    <cellStyle name="Currency 10 3" xfId="167"/>
    <cellStyle name="Currency 10 3 2" xfId="709"/>
    <cellStyle name="Currency 10 4" xfId="168"/>
    <cellStyle name="Currency 10 5" xfId="707"/>
    <cellStyle name="Currency 11" xfId="169"/>
    <cellStyle name="Currency 11 2" xfId="170"/>
    <cellStyle name="Currency 11 2 2" xfId="711"/>
    <cellStyle name="Currency 11 3" xfId="710"/>
    <cellStyle name="Currency 12" xfId="171"/>
    <cellStyle name="Currency 12 2" xfId="712"/>
    <cellStyle name="Currency 2" xfId="172"/>
    <cellStyle name="Currency 2 2" xfId="173"/>
    <cellStyle name="Currency 2 3" xfId="174"/>
    <cellStyle name="Currency 2 3 2" xfId="175"/>
    <cellStyle name="Currency 2 3 2 2" xfId="714"/>
    <cellStyle name="Currency 2 3 3" xfId="176"/>
    <cellStyle name="Currency 2 4" xfId="713"/>
    <cellStyle name="Currency 3" xfId="177"/>
    <cellStyle name="Currency 3 2" xfId="178"/>
    <cellStyle name="Currency 3 2 2" xfId="179"/>
    <cellStyle name="Currency 3 2 2 2" xfId="180"/>
    <cellStyle name="Currency 3 2 2 2 2" xfId="181"/>
    <cellStyle name="Currency 3 2 2 2 2 2" xfId="717"/>
    <cellStyle name="Currency 3 2 2 2 3" xfId="716"/>
    <cellStyle name="Currency 3 2 2 3" xfId="182"/>
    <cellStyle name="Currency 3 2 2 3 2" xfId="718"/>
    <cellStyle name="Currency 3 2 2 4" xfId="715"/>
    <cellStyle name="Currency 3 2 3" xfId="183"/>
    <cellStyle name="Currency 3 2 3 2" xfId="184"/>
    <cellStyle name="Currency 3 2 3 2 2" xfId="720"/>
    <cellStyle name="Currency 3 2 3 3" xfId="719"/>
    <cellStyle name="Currency 3 2 4" xfId="185"/>
    <cellStyle name="Currency 3 2 4 2" xfId="721"/>
    <cellStyle name="Currency 3 2 5" xfId="186"/>
    <cellStyle name="Currency 3 2 5 2" xfId="722"/>
    <cellStyle name="Currency 3 3" xfId="187"/>
    <cellStyle name="Currency 4" xfId="188"/>
    <cellStyle name="Currency 4 2" xfId="189"/>
    <cellStyle name="Currency 4 2 2" xfId="724"/>
    <cellStyle name="Currency 4 3" xfId="190"/>
    <cellStyle name="Currency 4 3 2" xfId="191"/>
    <cellStyle name="Currency 4 3 2 2" xfId="726"/>
    <cellStyle name="Currency 4 3 3" xfId="725"/>
    <cellStyle name="Currency 4 4" xfId="192"/>
    <cellStyle name="Currency 4 5" xfId="193"/>
    <cellStyle name="Currency 4 5 2" xfId="727"/>
    <cellStyle name="Currency 4 6" xfId="723"/>
    <cellStyle name="Currency 5" xfId="194"/>
    <cellStyle name="Currency 5 2" xfId="195"/>
    <cellStyle name="Currency 5 2 2" xfId="196"/>
    <cellStyle name="Currency 5 2 2 2" xfId="197"/>
    <cellStyle name="Currency 5 2 2 2 2" xfId="198"/>
    <cellStyle name="Currency 5 2 2 2 2 2" xfId="199"/>
    <cellStyle name="Currency 5 2 2 2 2 2 2" xfId="732"/>
    <cellStyle name="Currency 5 2 2 2 2 3" xfId="731"/>
    <cellStyle name="Currency 5 2 2 2 3" xfId="200"/>
    <cellStyle name="Currency 5 2 2 2 3 2" xfId="733"/>
    <cellStyle name="Currency 5 2 2 2 4" xfId="730"/>
    <cellStyle name="Currency 5 2 2 3" xfId="201"/>
    <cellStyle name="Currency 5 2 2 3 2" xfId="202"/>
    <cellStyle name="Currency 5 2 2 3 2 2" xfId="735"/>
    <cellStyle name="Currency 5 2 2 3 3" xfId="734"/>
    <cellStyle name="Currency 5 2 2 4" xfId="203"/>
    <cellStyle name="Currency 5 2 2 4 2" xfId="736"/>
    <cellStyle name="Currency 5 2 2 5" xfId="204"/>
    <cellStyle name="Currency 5 2 2 5 2" xfId="737"/>
    <cellStyle name="Currency 5 2 3" xfId="205"/>
    <cellStyle name="Currency 5 2 3 2" xfId="738"/>
    <cellStyle name="Currency 5 2 4" xfId="206"/>
    <cellStyle name="Currency 5 2 4 2" xfId="207"/>
    <cellStyle name="Currency 5 2 4 2 2" xfId="740"/>
    <cellStyle name="Currency 5 2 4 3" xfId="739"/>
    <cellStyle name="Currency 5 2 5" xfId="208"/>
    <cellStyle name="Currency 5 2 5 2" xfId="741"/>
    <cellStyle name="Currency 5 2 6" xfId="209"/>
    <cellStyle name="Currency 5 2 6 2" xfId="742"/>
    <cellStyle name="Currency 5 2 7" xfId="729"/>
    <cellStyle name="Currency 5 3" xfId="210"/>
    <cellStyle name="Currency 5 3 2" xfId="211"/>
    <cellStyle name="Currency 5 3 2 2" xfId="212"/>
    <cellStyle name="Currency 5 3 2 2 2" xfId="213"/>
    <cellStyle name="Currency 5 3 2 2 2 2" xfId="745"/>
    <cellStyle name="Currency 5 3 2 2 3" xfId="744"/>
    <cellStyle name="Currency 5 3 2 3" xfId="214"/>
    <cellStyle name="Currency 5 3 2 3 2" xfId="746"/>
    <cellStyle name="Currency 5 3 2 4" xfId="743"/>
    <cellStyle name="Currency 5 3 3" xfId="215"/>
    <cellStyle name="Currency 5 3 3 2" xfId="216"/>
    <cellStyle name="Currency 5 3 3 2 2" xfId="748"/>
    <cellStyle name="Currency 5 3 3 3" xfId="747"/>
    <cellStyle name="Currency 5 3 4" xfId="217"/>
    <cellStyle name="Currency 5 3 4 2" xfId="749"/>
    <cellStyle name="Currency 5 3 5" xfId="218"/>
    <cellStyle name="Currency 5 3 5 2" xfId="750"/>
    <cellStyle name="Currency 5 4" xfId="219"/>
    <cellStyle name="Currency 5 4 2" xfId="751"/>
    <cellStyle name="Currency 5 5" xfId="220"/>
    <cellStyle name="Currency 5 5 2" xfId="221"/>
    <cellStyle name="Currency 5 5 2 2" xfId="753"/>
    <cellStyle name="Currency 5 5 3" xfId="752"/>
    <cellStyle name="Currency 5 6" xfId="222"/>
    <cellStyle name="Currency 5 6 2" xfId="754"/>
    <cellStyle name="Currency 5 7" xfId="223"/>
    <cellStyle name="Currency 5 7 2" xfId="755"/>
    <cellStyle name="Currency 5 8" xfId="728"/>
    <cellStyle name="Currency 6" xfId="224"/>
    <cellStyle name="Currency 6 2" xfId="225"/>
    <cellStyle name="Currency 6 3" xfId="226"/>
    <cellStyle name="Currency 6 3 2" xfId="757"/>
    <cellStyle name="Currency 6 4" xfId="756"/>
    <cellStyle name="Currency 7" xfId="227"/>
    <cellStyle name="Currency 7 2" xfId="228"/>
    <cellStyle name="Currency 7 2 2" xfId="759"/>
    <cellStyle name="Currency 7 3" xfId="229"/>
    <cellStyle name="Currency 7 3 2" xfId="760"/>
    <cellStyle name="Currency 7 4" xfId="230"/>
    <cellStyle name="Currency 7 4 2" xfId="761"/>
    <cellStyle name="Currency 7 5" xfId="758"/>
    <cellStyle name="Currency 8" xfId="231"/>
    <cellStyle name="Currency 8 2" xfId="232"/>
    <cellStyle name="Currency 8 2 2" xfId="763"/>
    <cellStyle name="Currency 8 3" xfId="762"/>
    <cellStyle name="Currency 9" xfId="233"/>
    <cellStyle name="Currency 9 2" xfId="234"/>
    <cellStyle name="Currency 9 2 2" xfId="765"/>
    <cellStyle name="Currency 9 3" xfId="764"/>
    <cellStyle name="Explanatory Text" xfId="235" builtinId="53" customBuiltin="1"/>
    <cellStyle name="Good" xfId="236" builtinId="26" customBuiltin="1"/>
    <cellStyle name="Heading 1" xfId="237" builtinId="16" customBuiltin="1"/>
    <cellStyle name="Heading 1 2" xfId="238"/>
    <cellStyle name="Heading 2" xfId="239" builtinId="17" customBuiltin="1"/>
    <cellStyle name="Heading 2 2" xfId="240"/>
    <cellStyle name="Heading 3" xfId="241" builtinId="18" customBuiltin="1"/>
    <cellStyle name="Heading 3 2" xfId="242"/>
    <cellStyle name="Heading 4" xfId="243" builtinId="19" customBuiltin="1"/>
    <cellStyle name="Heading 4 2" xfId="244"/>
    <cellStyle name="Hyperlink" xfId="245" builtinId="8"/>
    <cellStyle name="Hyperlink 2" xfId="246"/>
    <cellStyle name="Hyperlink 2 2" xfId="247"/>
    <cellStyle name="Input" xfId="248" builtinId="20" customBuiltin="1"/>
    <cellStyle name="Label" xfId="249"/>
    <cellStyle name="Label No Shade" xfId="250"/>
    <cellStyle name="Label Shaded" xfId="251"/>
    <cellStyle name="Linked Cell" xfId="252" builtinId="24" customBuiltin="1"/>
    <cellStyle name="Neutral" xfId="253" builtinId="28" customBuiltin="1"/>
    <cellStyle name="Normal" xfId="0" builtinId="0"/>
    <cellStyle name="Normal 10" xfId="254"/>
    <cellStyle name="Normal 10 2" xfId="255"/>
    <cellStyle name="Normal 10 3" xfId="256"/>
    <cellStyle name="Normal 11" xfId="257"/>
    <cellStyle name="Normal 11 2" xfId="258"/>
    <cellStyle name="Normal 11 2 3" xfId="259"/>
    <cellStyle name="Normal 11 2 3 2" xfId="766"/>
    <cellStyle name="Normal 11 3" xfId="260"/>
    <cellStyle name="Normal 11 3 2" xfId="767"/>
    <cellStyle name="Normal 12" xfId="261"/>
    <cellStyle name="Normal 12 2" xfId="262"/>
    <cellStyle name="Normal 12 2 2" xfId="263"/>
    <cellStyle name="Normal 12 2 2 2" xfId="264"/>
    <cellStyle name="Normal 12 2 2 2 2" xfId="771"/>
    <cellStyle name="Normal 12 2 2 3" xfId="770"/>
    <cellStyle name="Normal 12 2 3" xfId="265"/>
    <cellStyle name="Normal 12 2 3 2" xfId="772"/>
    <cellStyle name="Normal 12 2 4" xfId="769"/>
    <cellStyle name="Normal 12 3" xfId="266"/>
    <cellStyle name="Normal 12 3 2" xfId="267"/>
    <cellStyle name="Normal 12 3 2 2" xfId="774"/>
    <cellStyle name="Normal 12 3 3" xfId="773"/>
    <cellStyle name="Normal 12 4" xfId="268"/>
    <cellStyle name="Normal 12 4 2" xfId="775"/>
    <cellStyle name="Normal 12 5" xfId="269"/>
    <cellStyle name="Normal 12 6" xfId="768"/>
    <cellStyle name="Normal 13" xfId="270"/>
    <cellStyle name="Normal 13 2" xfId="271"/>
    <cellStyle name="Normal 14" xfId="272"/>
    <cellStyle name="Normal 14 2" xfId="776"/>
    <cellStyle name="Normal 15" xfId="575"/>
    <cellStyle name="Normal 16" xfId="1031"/>
    <cellStyle name="Normal 2" xfId="273"/>
    <cellStyle name="Normal 2 2" xfId="274"/>
    <cellStyle name="Normal 2 2 2" xfId="275"/>
    <cellStyle name="Normal 2 2 2 2" xfId="276"/>
    <cellStyle name="Normal 2 2 2 3" xfId="277"/>
    <cellStyle name="Normal 2 2 2 4" xfId="278"/>
    <cellStyle name="Normal 2 2 2 4 2" xfId="778"/>
    <cellStyle name="Normal 2 2 3" xfId="777"/>
    <cellStyle name="Normal 2 3" xfId="279"/>
    <cellStyle name="Normal 2 3 2" xfId="280"/>
    <cellStyle name="Normal 2 4" xfId="281"/>
    <cellStyle name="Normal 2 4 2" xfId="282"/>
    <cellStyle name="Normal 2 4 2 2" xfId="283"/>
    <cellStyle name="Normal 2 4 2 3" xfId="284"/>
    <cellStyle name="Normal 2 4 2 3 2" xfId="285"/>
    <cellStyle name="Normal 2 4 2 3 2 2" xfId="286"/>
    <cellStyle name="Normal 2 4 2 3 2 2 2" xfId="287"/>
    <cellStyle name="Normal 2 4 2 3 2 2 2 2" xfId="783"/>
    <cellStyle name="Normal 2 4 2 3 2 2 3" xfId="782"/>
    <cellStyle name="Normal 2 4 2 3 2 3" xfId="288"/>
    <cellStyle name="Normal 2 4 2 3 2 3 2" xfId="784"/>
    <cellStyle name="Normal 2 4 2 3 2 4" xfId="781"/>
    <cellStyle name="Normal 2 4 2 3 3" xfId="289"/>
    <cellStyle name="Normal 2 4 2 3 3 2" xfId="290"/>
    <cellStyle name="Normal 2 4 2 3 3 2 2" xfId="786"/>
    <cellStyle name="Normal 2 4 2 3 3 3" xfId="785"/>
    <cellStyle name="Normal 2 4 2 3 4" xfId="291"/>
    <cellStyle name="Normal 2 4 2 3 4 2" xfId="787"/>
    <cellStyle name="Normal 2 4 2 3 5" xfId="780"/>
    <cellStyle name="Normal 2 4 2 4" xfId="292"/>
    <cellStyle name="Normal 2 4 2 4 2" xfId="293"/>
    <cellStyle name="Normal 2 4 2 4 2 2" xfId="294"/>
    <cellStyle name="Normal 2 4 2 4 2 2 2" xfId="790"/>
    <cellStyle name="Normal 2 4 2 4 2 3" xfId="789"/>
    <cellStyle name="Normal 2 4 2 4 3" xfId="295"/>
    <cellStyle name="Normal 2 4 2 4 3 2" xfId="791"/>
    <cellStyle name="Normal 2 4 2 4 4" xfId="788"/>
    <cellStyle name="Normal 2 4 2 5" xfId="296"/>
    <cellStyle name="Normal 2 4 2 5 2" xfId="297"/>
    <cellStyle name="Normal 2 4 2 5 2 2" xfId="793"/>
    <cellStyle name="Normal 2 4 2 5 3" xfId="792"/>
    <cellStyle name="Normal 2 4 2 6" xfId="298"/>
    <cellStyle name="Normal 2 4 2 6 2" xfId="794"/>
    <cellStyle name="Normal 2 4 2 7" xfId="779"/>
    <cellStyle name="Normal 2 4 3" xfId="299"/>
    <cellStyle name="Normal 2 4 3 2" xfId="300"/>
    <cellStyle name="Normal 2 4 3 3" xfId="301"/>
    <cellStyle name="Normal 2 4 3 3 2" xfId="302"/>
    <cellStyle name="Normal 2 4 3 3 2 2" xfId="303"/>
    <cellStyle name="Normal 2 4 3 3 2 2 2" xfId="798"/>
    <cellStyle name="Normal 2 4 3 3 2 3" xfId="797"/>
    <cellStyle name="Normal 2 4 3 3 3" xfId="304"/>
    <cellStyle name="Normal 2 4 3 3 3 2" xfId="799"/>
    <cellStyle name="Normal 2 4 3 3 4" xfId="796"/>
    <cellStyle name="Normal 2 4 3 4" xfId="795"/>
    <cellStyle name="Normal 2 4 4" xfId="305"/>
    <cellStyle name="Normal 2 4 5" xfId="306"/>
    <cellStyle name="Normal 2 4 5 2" xfId="307"/>
    <cellStyle name="Normal 2 4 5 2 2" xfId="308"/>
    <cellStyle name="Normal 2 4 5 2 2 2" xfId="309"/>
    <cellStyle name="Normal 2 4 5 2 2 2 2" xfId="803"/>
    <cellStyle name="Normal 2 4 5 2 2 3" xfId="802"/>
    <cellStyle name="Normal 2 4 5 2 3" xfId="310"/>
    <cellStyle name="Normal 2 4 5 2 3 2" xfId="804"/>
    <cellStyle name="Normal 2 4 5 2 4" xfId="801"/>
    <cellStyle name="Normal 2 4 5 3" xfId="311"/>
    <cellStyle name="Normal 2 4 5 3 2" xfId="312"/>
    <cellStyle name="Normal 2 4 5 3 2 2" xfId="806"/>
    <cellStyle name="Normal 2 4 5 3 3" xfId="805"/>
    <cellStyle name="Normal 2 4 5 4" xfId="313"/>
    <cellStyle name="Normal 2 4 5 4 2" xfId="807"/>
    <cellStyle name="Normal 2 4 5 5" xfId="800"/>
    <cellStyle name="Normal 2 4 6" xfId="314"/>
    <cellStyle name="Normal 2 4 7" xfId="315"/>
    <cellStyle name="Normal 2 4 7 2" xfId="316"/>
    <cellStyle name="Normal 2 4 7 2 2" xfId="809"/>
    <cellStyle name="Normal 2 4 7 3" xfId="808"/>
    <cellStyle name="Normal 2 4 8" xfId="317"/>
    <cellStyle name="Normal 2 4 8 2" xfId="810"/>
    <cellStyle name="Normal 2 5" xfId="318"/>
    <cellStyle name="Normal 2 5 2" xfId="319"/>
    <cellStyle name="Normal 2 5 3" xfId="320"/>
    <cellStyle name="Normal 2 5 4" xfId="321"/>
    <cellStyle name="Normal 2 5 4 2" xfId="322"/>
    <cellStyle name="Normal 2 5 4 2 2" xfId="323"/>
    <cellStyle name="Normal 2 5 4 2 2 2" xfId="814"/>
    <cellStyle name="Normal 2 5 4 2 3" xfId="813"/>
    <cellStyle name="Normal 2 5 4 3" xfId="324"/>
    <cellStyle name="Normal 2 5 4 3 2" xfId="815"/>
    <cellStyle name="Normal 2 5 4 4" xfId="812"/>
    <cellStyle name="Normal 2 5 5" xfId="811"/>
    <cellStyle name="Normal 2 6" xfId="325"/>
    <cellStyle name="Normal 2 8" xfId="574"/>
    <cellStyle name="Normal 3" xfId="326"/>
    <cellStyle name="Normal 3 2" xfId="327"/>
    <cellStyle name="Normal 3 2 2" xfId="328"/>
    <cellStyle name="Normal 3 2 2 2" xfId="818"/>
    <cellStyle name="Normal 3 2 3" xfId="329"/>
    <cellStyle name="Normal 3 2 3 2" xfId="330"/>
    <cellStyle name="Normal 3 2 3 2 2" xfId="331"/>
    <cellStyle name="Normal 3 2 3 2 2 2" xfId="821"/>
    <cellStyle name="Normal 3 2 3 2 3" xfId="820"/>
    <cellStyle name="Normal 3 2 3 3" xfId="332"/>
    <cellStyle name="Normal 3 2 3 3 2" xfId="822"/>
    <cellStyle name="Normal 3 2 3 4" xfId="819"/>
    <cellStyle name="Normal 3 2 4" xfId="817"/>
    <cellStyle name="Normal 3 3" xfId="333"/>
    <cellStyle name="Normal 3 3 2" xfId="334"/>
    <cellStyle name="Normal 3 3 3" xfId="335"/>
    <cellStyle name="Normal 3 4" xfId="336"/>
    <cellStyle name="Normal 3 5" xfId="337"/>
    <cellStyle name="Normal 3 6" xfId="816"/>
    <cellStyle name="Normal 4" xfId="338"/>
    <cellStyle name="Normal 4 2" xfId="339"/>
    <cellStyle name="Normal 4 2 2" xfId="340"/>
    <cellStyle name="Normal 4 2 2 2" xfId="341"/>
    <cellStyle name="Normal 4 2 2 3" xfId="342"/>
    <cellStyle name="Normal 4 2 2 3 2" xfId="343"/>
    <cellStyle name="Normal 4 2 2 3 2 2" xfId="344"/>
    <cellStyle name="Normal 4 2 2 3 2 2 2" xfId="345"/>
    <cellStyle name="Normal 4 2 2 3 2 2 2 2" xfId="827"/>
    <cellStyle name="Normal 4 2 2 3 2 2 3" xfId="826"/>
    <cellStyle name="Normal 4 2 2 3 2 3" xfId="346"/>
    <cellStyle name="Normal 4 2 2 3 2 3 2" xfId="828"/>
    <cellStyle name="Normal 4 2 2 3 2 4" xfId="825"/>
    <cellStyle name="Normal 4 2 2 3 3" xfId="347"/>
    <cellStyle name="Normal 4 2 2 3 3 2" xfId="348"/>
    <cellStyle name="Normal 4 2 2 3 3 2 2" xfId="830"/>
    <cellStyle name="Normal 4 2 2 3 3 3" xfId="829"/>
    <cellStyle name="Normal 4 2 2 3 4" xfId="349"/>
    <cellStyle name="Normal 4 2 2 3 4 2" xfId="831"/>
    <cellStyle name="Normal 4 2 2 3 5" xfId="824"/>
    <cellStyle name="Normal 4 2 2 4" xfId="350"/>
    <cellStyle name="Normal 4 2 2 4 2" xfId="351"/>
    <cellStyle name="Normal 4 2 2 4 2 2" xfId="352"/>
    <cellStyle name="Normal 4 2 2 4 2 2 2" xfId="834"/>
    <cellStyle name="Normal 4 2 2 4 2 3" xfId="833"/>
    <cellStyle name="Normal 4 2 2 4 3" xfId="353"/>
    <cellStyle name="Normal 4 2 2 4 3 2" xfId="835"/>
    <cellStyle name="Normal 4 2 2 4 4" xfId="832"/>
    <cellStyle name="Normal 4 2 2 5" xfId="354"/>
    <cellStyle name="Normal 4 2 2 5 2" xfId="355"/>
    <cellStyle name="Normal 4 2 2 5 2 2" xfId="837"/>
    <cellStyle name="Normal 4 2 2 5 3" xfId="836"/>
    <cellStyle name="Normal 4 2 2 6" xfId="356"/>
    <cellStyle name="Normal 4 2 2 6 2" xfId="838"/>
    <cellStyle name="Normal 4 2 2 7" xfId="823"/>
    <cellStyle name="Normal 4 2 3" xfId="357"/>
    <cellStyle name="Normal 4 2 4" xfId="358"/>
    <cellStyle name="Normal 4 2 4 2" xfId="359"/>
    <cellStyle name="Normal 4 2 4 2 2" xfId="360"/>
    <cellStyle name="Normal 4 2 4 2 2 2" xfId="361"/>
    <cellStyle name="Normal 4 2 4 2 2 2 2" xfId="842"/>
    <cellStyle name="Normal 4 2 4 2 2 3" xfId="841"/>
    <cellStyle name="Normal 4 2 4 2 3" xfId="362"/>
    <cellStyle name="Normal 4 2 4 2 3 2" xfId="843"/>
    <cellStyle name="Normal 4 2 4 2 4" xfId="840"/>
    <cellStyle name="Normal 4 2 4 3" xfId="363"/>
    <cellStyle name="Normal 4 2 4 3 2" xfId="364"/>
    <cellStyle name="Normal 4 2 4 3 2 2" xfId="845"/>
    <cellStyle name="Normal 4 2 4 3 3" xfId="844"/>
    <cellStyle name="Normal 4 2 4 4" xfId="365"/>
    <cellStyle name="Normal 4 2 4 4 2" xfId="846"/>
    <cellStyle name="Normal 4 2 4 5" xfId="839"/>
    <cellStyle name="Normal 4 2 5" xfId="366"/>
    <cellStyle name="Normal 4 2 5 2" xfId="367"/>
    <cellStyle name="Normal 4 2 5 2 2" xfId="848"/>
    <cellStyle name="Normal 4 2 5 3" xfId="847"/>
    <cellStyle name="Normal 4 2 6" xfId="368"/>
    <cellStyle name="Normal 4 2 6 2" xfId="849"/>
    <cellStyle name="Normal 4 3" xfId="369"/>
    <cellStyle name="Normal 4 3 2" xfId="370"/>
    <cellStyle name="Normal 4 3 2 2" xfId="371"/>
    <cellStyle name="Normal 4 3 2 2 2" xfId="372"/>
    <cellStyle name="Normal 4 3 2 2 2 2" xfId="373"/>
    <cellStyle name="Normal 4 3 2 2 2 2 2" xfId="374"/>
    <cellStyle name="Normal 4 3 2 2 2 2 2 2" xfId="854"/>
    <cellStyle name="Normal 4 3 2 2 2 2 3" xfId="853"/>
    <cellStyle name="Normal 4 3 2 2 2 3" xfId="375"/>
    <cellStyle name="Normal 4 3 2 2 2 3 2" xfId="855"/>
    <cellStyle name="Normal 4 3 2 2 2 4" xfId="852"/>
    <cellStyle name="Normal 4 3 2 3" xfId="376"/>
    <cellStyle name="Normal 4 3 2 3 2" xfId="856"/>
    <cellStyle name="Normal 4 3 2 4" xfId="851"/>
    <cellStyle name="Normal 4 3 3" xfId="377"/>
    <cellStyle name="Normal 4 3 3 2" xfId="378"/>
    <cellStyle name="Normal 4 3 3 2 2" xfId="379"/>
    <cellStyle name="Normal 4 3 3 2 2 2" xfId="859"/>
    <cellStyle name="Normal 4 3 3 2 3" xfId="858"/>
    <cellStyle name="Normal 4 3 3 3" xfId="380"/>
    <cellStyle name="Normal 4 3 3 3 2" xfId="860"/>
    <cellStyle name="Normal 4 3 3 4" xfId="857"/>
    <cellStyle name="Normal 4 3 4" xfId="850"/>
    <cellStyle name="Normal 4 4" xfId="381"/>
    <cellStyle name="Normal 4 4 2" xfId="382"/>
    <cellStyle name="Normal 4 4 2 2" xfId="383"/>
    <cellStyle name="Normal 4 4 2 2 2" xfId="384"/>
    <cellStyle name="Normal 4 4 2 2 2 2" xfId="385"/>
    <cellStyle name="Normal 4 4 2 2 2 2 2" xfId="865"/>
    <cellStyle name="Normal 4 4 2 2 2 3" xfId="864"/>
    <cellStyle name="Normal 4 4 2 2 3" xfId="386"/>
    <cellStyle name="Normal 4 4 2 2 3 2" xfId="866"/>
    <cellStyle name="Normal 4 4 2 2 4" xfId="863"/>
    <cellStyle name="Normal 4 4 2 3" xfId="387"/>
    <cellStyle name="Normal 4 4 2 3 2" xfId="388"/>
    <cellStyle name="Normal 4 4 2 3 2 2" xfId="868"/>
    <cellStyle name="Normal 4 4 2 3 3" xfId="867"/>
    <cellStyle name="Normal 4 4 2 4" xfId="389"/>
    <cellStyle name="Normal 4 4 2 4 2" xfId="869"/>
    <cellStyle name="Normal 4 4 2 5" xfId="862"/>
    <cellStyle name="Normal 4 4 3" xfId="390"/>
    <cellStyle name="Normal 4 4 3 2" xfId="391"/>
    <cellStyle name="Normal 4 4 3 2 2" xfId="392"/>
    <cellStyle name="Normal 4 4 3 2 2 2" xfId="872"/>
    <cellStyle name="Normal 4 4 3 2 3" xfId="871"/>
    <cellStyle name="Normal 4 4 3 3" xfId="393"/>
    <cellStyle name="Normal 4 4 3 3 2" xfId="873"/>
    <cellStyle name="Normal 4 4 3 4" xfId="870"/>
    <cellStyle name="Normal 4 4 4" xfId="394"/>
    <cellStyle name="Normal 4 4 4 2" xfId="395"/>
    <cellStyle name="Normal 4 4 4 2 2" xfId="875"/>
    <cellStyle name="Normal 4 4 4 3" xfId="874"/>
    <cellStyle name="Normal 4 4 5" xfId="396"/>
    <cellStyle name="Normal 4 4 5 2" xfId="876"/>
    <cellStyle name="Normal 4 4 6" xfId="861"/>
    <cellStyle name="Normal 4 5" xfId="397"/>
    <cellStyle name="Normal 4 6" xfId="398"/>
    <cellStyle name="Normal 4 6 2" xfId="399"/>
    <cellStyle name="Normal 4 6 2 2" xfId="400"/>
    <cellStyle name="Normal 4 6 2 2 2" xfId="401"/>
    <cellStyle name="Normal 4 6 2 2 2 2" xfId="880"/>
    <cellStyle name="Normal 4 6 2 2 3" xfId="879"/>
    <cellStyle name="Normal 4 6 2 3" xfId="402"/>
    <cellStyle name="Normal 4 6 2 3 2" xfId="881"/>
    <cellStyle name="Normal 4 6 2 4" xfId="878"/>
    <cellStyle name="Normal 4 6 3" xfId="403"/>
    <cellStyle name="Normal 4 6 3 2" xfId="404"/>
    <cellStyle name="Normal 4 6 3 2 2" xfId="883"/>
    <cellStyle name="Normal 4 6 3 3" xfId="882"/>
    <cellStyle name="Normal 4 6 4" xfId="405"/>
    <cellStyle name="Normal 4 6 4 2" xfId="884"/>
    <cellStyle name="Normal 4 6 5" xfId="877"/>
    <cellStyle name="Normal 4 7" xfId="406"/>
    <cellStyle name="Normal 4 7 2" xfId="407"/>
    <cellStyle name="Normal 4 7 2 2" xfId="886"/>
    <cellStyle name="Normal 4 7 3" xfId="885"/>
    <cellStyle name="Normal 4 8" xfId="408"/>
    <cellStyle name="Normal 4 8 2" xfId="887"/>
    <cellStyle name="Normal 5" xfId="409"/>
    <cellStyle name="Normal 5 2" xfId="410"/>
    <cellStyle name="Normal 5 2 2" xfId="411"/>
    <cellStyle name="Normal 5 2 2 2" xfId="412"/>
    <cellStyle name="Normal 5 2 2 2 2" xfId="413"/>
    <cellStyle name="Normal 5 2 2 2 2 2" xfId="414"/>
    <cellStyle name="Normal 5 2 2 2 2 2 2" xfId="415"/>
    <cellStyle name="Normal 5 2 2 2 2 2 2 2" xfId="894"/>
    <cellStyle name="Normal 5 2 2 2 2 2 3" xfId="893"/>
    <cellStyle name="Normal 5 2 2 2 2 3" xfId="416"/>
    <cellStyle name="Normal 5 2 2 2 2 3 2" xfId="895"/>
    <cellStyle name="Normal 5 2 2 2 2 4" xfId="892"/>
    <cellStyle name="Normal 5 2 2 2 3" xfId="417"/>
    <cellStyle name="Normal 5 2 2 2 3 2" xfId="418"/>
    <cellStyle name="Normal 5 2 2 2 3 2 2" xfId="897"/>
    <cellStyle name="Normal 5 2 2 2 3 3" xfId="896"/>
    <cellStyle name="Normal 5 2 2 2 4" xfId="419"/>
    <cellStyle name="Normal 5 2 2 2 4 2" xfId="898"/>
    <cellStyle name="Normal 5 2 2 2 5" xfId="891"/>
    <cellStyle name="Normal 5 2 2 3" xfId="420"/>
    <cellStyle name="Normal 5 2 2 3 2" xfId="421"/>
    <cellStyle name="Normal 5 2 2 3 2 2" xfId="422"/>
    <cellStyle name="Normal 5 2 2 3 2 2 2" xfId="901"/>
    <cellStyle name="Normal 5 2 2 3 2 3" xfId="900"/>
    <cellStyle name="Normal 5 2 2 3 3" xfId="423"/>
    <cellStyle name="Normal 5 2 2 3 3 2" xfId="902"/>
    <cellStyle name="Normal 5 2 2 3 4" xfId="899"/>
    <cellStyle name="Normal 5 2 2 4" xfId="424"/>
    <cellStyle name="Normal 5 2 2 4 2" xfId="425"/>
    <cellStyle name="Normal 5 2 2 4 2 2" xfId="904"/>
    <cellStyle name="Normal 5 2 2 4 3" xfId="903"/>
    <cellStyle name="Normal 5 2 2 5" xfId="426"/>
    <cellStyle name="Normal 5 2 2 5 2" xfId="905"/>
    <cellStyle name="Normal 5 2 2 6" xfId="890"/>
    <cellStyle name="Normal 5 2 3" xfId="427"/>
    <cellStyle name="Normal 5 2 3 2" xfId="428"/>
    <cellStyle name="Normal 5 2 3 2 2" xfId="429"/>
    <cellStyle name="Normal 5 2 3 2 2 2" xfId="430"/>
    <cellStyle name="Normal 5 2 3 2 2 2 2" xfId="909"/>
    <cellStyle name="Normal 5 2 3 2 2 3" xfId="908"/>
    <cellStyle name="Normal 5 2 3 2 3" xfId="431"/>
    <cellStyle name="Normal 5 2 3 2 3 2" xfId="910"/>
    <cellStyle name="Normal 5 2 3 2 4" xfId="907"/>
    <cellStyle name="Normal 5 2 3 3" xfId="432"/>
    <cellStyle name="Normal 5 2 3 3 2" xfId="433"/>
    <cellStyle name="Normal 5 2 3 3 2 2" xfId="912"/>
    <cellStyle name="Normal 5 2 3 3 3" xfId="911"/>
    <cellStyle name="Normal 5 2 3 4" xfId="434"/>
    <cellStyle name="Normal 5 2 3 4 2" xfId="913"/>
    <cellStyle name="Normal 5 2 3 5" xfId="906"/>
    <cellStyle name="Normal 5 2 4" xfId="435"/>
    <cellStyle name="Normal 5 2 4 2" xfId="436"/>
    <cellStyle name="Normal 5 2 4 2 2" xfId="437"/>
    <cellStyle name="Normal 5 2 4 2 2 2" xfId="916"/>
    <cellStyle name="Normal 5 2 4 2 3" xfId="915"/>
    <cellStyle name="Normal 5 2 4 3" xfId="438"/>
    <cellStyle name="Normal 5 2 4 3 2" xfId="917"/>
    <cellStyle name="Normal 5 2 4 4" xfId="914"/>
    <cellStyle name="Normal 5 2 5" xfId="439"/>
    <cellStyle name="Normal 5 2 5 2" xfId="440"/>
    <cellStyle name="Normal 5 2 5 2 2" xfId="919"/>
    <cellStyle name="Normal 5 2 5 3" xfId="918"/>
    <cellStyle name="Normal 5 2 6" xfId="441"/>
    <cellStyle name="Normal 5 2 6 2" xfId="920"/>
    <cellStyle name="Normal 5 2 7" xfId="889"/>
    <cellStyle name="Normal 5 3" xfId="442"/>
    <cellStyle name="Normal 5 3 2" xfId="443"/>
    <cellStyle name="Normal 5 3 2 2" xfId="922"/>
    <cellStyle name="Normal 5 3 3" xfId="444"/>
    <cellStyle name="Normal 5 3 3 2" xfId="445"/>
    <cellStyle name="Normal 5 3 3 2 2" xfId="446"/>
    <cellStyle name="Normal 5 3 3 2 2 2" xfId="447"/>
    <cellStyle name="Normal 5 3 3 2 2 2 2" xfId="926"/>
    <cellStyle name="Normal 5 3 3 2 2 3" xfId="925"/>
    <cellStyle name="Normal 5 3 3 2 3" xfId="448"/>
    <cellStyle name="Normal 5 3 3 2 3 2" xfId="927"/>
    <cellStyle name="Normal 5 3 3 2 4" xfId="924"/>
    <cellStyle name="Normal 5 3 3 3" xfId="449"/>
    <cellStyle name="Normal 5 3 3 3 2" xfId="450"/>
    <cellStyle name="Normal 5 3 3 3 2 2" xfId="929"/>
    <cellStyle name="Normal 5 3 3 3 3" xfId="928"/>
    <cellStyle name="Normal 5 3 3 4" xfId="451"/>
    <cellStyle name="Normal 5 3 3 4 2" xfId="930"/>
    <cellStyle name="Normal 5 3 3 5" xfId="923"/>
    <cellStyle name="Normal 5 3 4" xfId="452"/>
    <cellStyle name="Normal 5 3 4 2" xfId="453"/>
    <cellStyle name="Normal 5 3 4 2 2" xfId="454"/>
    <cellStyle name="Normal 5 3 4 2 2 2" xfId="933"/>
    <cellStyle name="Normal 5 3 4 2 3" xfId="932"/>
    <cellStyle name="Normal 5 3 4 3" xfId="455"/>
    <cellStyle name="Normal 5 3 4 3 2" xfId="934"/>
    <cellStyle name="Normal 5 3 4 4" xfId="931"/>
    <cellStyle name="Normal 5 3 5" xfId="456"/>
    <cellStyle name="Normal 5 3 5 2" xfId="457"/>
    <cellStyle name="Normal 5 3 5 2 2" xfId="936"/>
    <cellStyle name="Normal 5 3 5 3" xfId="935"/>
    <cellStyle name="Normal 5 3 6" xfId="458"/>
    <cellStyle name="Normal 5 3 6 2" xfId="937"/>
    <cellStyle name="Normal 5 3 7" xfId="921"/>
    <cellStyle name="Normal 5 4" xfId="459"/>
    <cellStyle name="Normal 5 4 2" xfId="460"/>
    <cellStyle name="Normal 5 4 2 2" xfId="461"/>
    <cellStyle name="Normal 5 4 2 2 2" xfId="462"/>
    <cellStyle name="Normal 5 4 2 2 2 2" xfId="941"/>
    <cellStyle name="Normal 5 4 2 2 3" xfId="940"/>
    <cellStyle name="Normal 5 4 2 3" xfId="463"/>
    <cellStyle name="Normal 5 4 2 3 2" xfId="942"/>
    <cellStyle name="Normal 5 4 2 4" xfId="939"/>
    <cellStyle name="Normal 5 4 3" xfId="464"/>
    <cellStyle name="Normal 5 4 3 2" xfId="465"/>
    <cellStyle name="Normal 5 4 3 2 2" xfId="944"/>
    <cellStyle name="Normal 5 4 3 3" xfId="943"/>
    <cellStyle name="Normal 5 4 4" xfId="466"/>
    <cellStyle name="Normal 5 4 4 2" xfId="945"/>
    <cellStyle name="Normal 5 4 5" xfId="938"/>
    <cellStyle name="Normal 5 5" xfId="467"/>
    <cellStyle name="Normal 5 5 2" xfId="468"/>
    <cellStyle name="Normal 5 5 2 2" xfId="469"/>
    <cellStyle name="Normal 5 5 2 2 2" xfId="948"/>
    <cellStyle name="Normal 5 5 2 3" xfId="947"/>
    <cellStyle name="Normal 5 5 3" xfId="470"/>
    <cellStyle name="Normal 5 5 3 2" xfId="949"/>
    <cellStyle name="Normal 5 5 4" xfId="946"/>
    <cellStyle name="Normal 5 6" xfId="471"/>
    <cellStyle name="Normal 5 6 2" xfId="472"/>
    <cellStyle name="Normal 5 6 2 2" xfId="951"/>
    <cellStyle name="Normal 5 6 3" xfId="950"/>
    <cellStyle name="Normal 5 7" xfId="473"/>
    <cellStyle name="Normal 5 7 2" xfId="952"/>
    <cellStyle name="Normal 5 8" xfId="888"/>
    <cellStyle name="Normal 6" xfId="474"/>
    <cellStyle name="Normal 6 2" xfId="475"/>
    <cellStyle name="Normal 6 3" xfId="476"/>
    <cellStyle name="Normal 6 3 2" xfId="477"/>
    <cellStyle name="Normal 6 3 3" xfId="478"/>
    <cellStyle name="Normal 7" xfId="479"/>
    <cellStyle name="Normal 7 2" xfId="480"/>
    <cellStyle name="Normal 8" xfId="481"/>
    <cellStyle name="Normal 8 2" xfId="482"/>
    <cellStyle name="Normal 8 2 2" xfId="483"/>
    <cellStyle name="Normal 8 2 2 2" xfId="484"/>
    <cellStyle name="Normal 8 2 2 2 2" xfId="485"/>
    <cellStyle name="Normal 8 2 2 2 2 2" xfId="486"/>
    <cellStyle name="Normal 8 2 2 2 2 2 2" xfId="958"/>
    <cellStyle name="Normal 8 2 2 2 2 3" xfId="957"/>
    <cellStyle name="Normal 8 2 2 2 3" xfId="487"/>
    <cellStyle name="Normal 8 2 2 2 3 2" xfId="959"/>
    <cellStyle name="Normal 8 2 2 2 4" xfId="956"/>
    <cellStyle name="Normal 8 2 2 3" xfId="488"/>
    <cellStyle name="Normal 8 2 2 3 2" xfId="489"/>
    <cellStyle name="Normal 8 2 2 3 2 2" xfId="961"/>
    <cellStyle name="Normal 8 2 2 3 3" xfId="960"/>
    <cellStyle name="Normal 8 2 2 4" xfId="490"/>
    <cellStyle name="Normal 8 2 2 4 2" xfId="962"/>
    <cellStyle name="Normal 8 2 2 5" xfId="955"/>
    <cellStyle name="Normal 8 2 3" xfId="491"/>
    <cellStyle name="Normal 8 2 3 2" xfId="492"/>
    <cellStyle name="Normal 8 2 3 2 2" xfId="493"/>
    <cellStyle name="Normal 8 2 3 2 2 2" xfId="965"/>
    <cellStyle name="Normal 8 2 3 2 3" xfId="964"/>
    <cellStyle name="Normal 8 2 3 3" xfId="494"/>
    <cellStyle name="Normal 8 2 3 3 2" xfId="966"/>
    <cellStyle name="Normal 8 2 3 4" xfId="963"/>
    <cellStyle name="Normal 8 2 4" xfId="495"/>
    <cellStyle name="Normal 8 2 4 2" xfId="496"/>
    <cellStyle name="Normal 8 2 4 2 2" xfId="968"/>
    <cellStyle name="Normal 8 2 4 3" xfId="967"/>
    <cellStyle name="Normal 8 2 5" xfId="497"/>
    <cellStyle name="Normal 8 2 5 2" xfId="969"/>
    <cellStyle name="Normal 8 2 6" xfId="954"/>
    <cellStyle name="Normal 8 3" xfId="498"/>
    <cellStyle name="Normal 8 3 2" xfId="499"/>
    <cellStyle name="Normal 8 3 2 2" xfId="500"/>
    <cellStyle name="Normal 8 3 2 2 2" xfId="501"/>
    <cellStyle name="Normal 8 3 2 2 2 2" xfId="973"/>
    <cellStyle name="Normal 8 3 2 2 3" xfId="972"/>
    <cellStyle name="Normal 8 3 2 3" xfId="502"/>
    <cellStyle name="Normal 8 3 2 3 2" xfId="974"/>
    <cellStyle name="Normal 8 3 2 4" xfId="971"/>
    <cellStyle name="Normal 8 3 3" xfId="503"/>
    <cellStyle name="Normal 8 3 3 2" xfId="504"/>
    <cellStyle name="Normal 8 3 3 2 2" xfId="976"/>
    <cellStyle name="Normal 8 3 3 3" xfId="975"/>
    <cellStyle name="Normal 8 3 4" xfId="505"/>
    <cellStyle name="Normal 8 3 4 2" xfId="977"/>
    <cellStyle name="Normal 8 3 5" xfId="970"/>
    <cellStyle name="Normal 8 4" xfId="506"/>
    <cellStyle name="Normal 8 4 2" xfId="507"/>
    <cellStyle name="Normal 8 4 2 2" xfId="508"/>
    <cellStyle name="Normal 8 4 2 2 2" xfId="980"/>
    <cellStyle name="Normal 8 4 2 3" xfId="979"/>
    <cellStyle name="Normal 8 4 3" xfId="509"/>
    <cellStyle name="Normal 8 4 3 2" xfId="981"/>
    <cellStyle name="Normal 8 4 4" xfId="978"/>
    <cellStyle name="Normal 8 5" xfId="510"/>
    <cellStyle name="Normal 8 5 2" xfId="511"/>
    <cellStyle name="Normal 8 5 2 2" xfId="983"/>
    <cellStyle name="Normal 8 5 3" xfId="982"/>
    <cellStyle name="Normal 8 6" xfId="512"/>
    <cellStyle name="Normal 8 6 2" xfId="984"/>
    <cellStyle name="Normal 8 7" xfId="953"/>
    <cellStyle name="Normal 9" xfId="513"/>
    <cellStyle name="Normal 9 2" xfId="514"/>
    <cellStyle name="Normal 9 2 2" xfId="515"/>
    <cellStyle name="Normal 9 2 2 2" xfId="516"/>
    <cellStyle name="Normal 9 2 2 2 2" xfId="517"/>
    <cellStyle name="Normal 9 2 2 2 2 2" xfId="518"/>
    <cellStyle name="Normal 9 2 2 2 2 2 2" xfId="990"/>
    <cellStyle name="Normal 9 2 2 2 2 3" xfId="989"/>
    <cellStyle name="Normal 9 2 2 2 3" xfId="519"/>
    <cellStyle name="Normal 9 2 2 2 3 2" xfId="991"/>
    <cellStyle name="Normal 9 2 2 2 4" xfId="988"/>
    <cellStyle name="Normal 9 2 2 3" xfId="520"/>
    <cellStyle name="Normal 9 2 2 3 2" xfId="521"/>
    <cellStyle name="Normal 9 2 2 3 2 2" xfId="993"/>
    <cellStyle name="Normal 9 2 2 3 3" xfId="992"/>
    <cellStyle name="Normal 9 2 2 4" xfId="522"/>
    <cellStyle name="Normal 9 2 2 4 2" xfId="994"/>
    <cellStyle name="Normal 9 2 2 5" xfId="987"/>
    <cellStyle name="Normal 9 2 3" xfId="523"/>
    <cellStyle name="Normal 9 2 3 2" xfId="524"/>
    <cellStyle name="Normal 9 2 3 2 2" xfId="525"/>
    <cellStyle name="Normal 9 2 3 2 2 2" xfId="997"/>
    <cellStyle name="Normal 9 2 3 2 3" xfId="996"/>
    <cellStyle name="Normal 9 2 3 3" xfId="526"/>
    <cellStyle name="Normal 9 2 3 3 2" xfId="998"/>
    <cellStyle name="Normal 9 2 3 4" xfId="995"/>
    <cellStyle name="Normal 9 2 4" xfId="527"/>
    <cellStyle name="Normal 9 2 4 2" xfId="528"/>
    <cellStyle name="Normal 9 2 4 2 2" xfId="1000"/>
    <cellStyle name="Normal 9 2 4 3" xfId="999"/>
    <cellStyle name="Normal 9 2 5" xfId="529"/>
    <cellStyle name="Normal 9 2 5 2" xfId="1001"/>
    <cellStyle name="Normal 9 2 6" xfId="986"/>
    <cellStyle name="Normal 9 3" xfId="530"/>
    <cellStyle name="Normal 9 3 2" xfId="531"/>
    <cellStyle name="Normal 9 3 2 2" xfId="532"/>
    <cellStyle name="Normal 9 3 2 2 2" xfId="533"/>
    <cellStyle name="Normal 9 3 2 2 2 2" xfId="1005"/>
    <cellStyle name="Normal 9 3 2 2 3" xfId="1004"/>
    <cellStyle name="Normal 9 3 2 3" xfId="534"/>
    <cellStyle name="Normal 9 3 2 3 2" xfId="1006"/>
    <cellStyle name="Normal 9 3 2 4" xfId="1003"/>
    <cellStyle name="Normal 9 3 3" xfId="535"/>
    <cellStyle name="Normal 9 3 3 2" xfId="536"/>
    <cellStyle name="Normal 9 3 3 2 2" xfId="1008"/>
    <cellStyle name="Normal 9 3 3 3" xfId="1007"/>
    <cellStyle name="Normal 9 3 4" xfId="537"/>
    <cellStyle name="Normal 9 3 4 2" xfId="1009"/>
    <cellStyle name="Normal 9 3 5" xfId="1002"/>
    <cellStyle name="Normal 9 4" xfId="538"/>
    <cellStyle name="Normal 9 4 2" xfId="1010"/>
    <cellStyle name="Normal 9 5" xfId="539"/>
    <cellStyle name="Normal 9 5 2" xfId="540"/>
    <cellStyle name="Normal 9 5 2 2" xfId="1012"/>
    <cellStyle name="Normal 9 5 3" xfId="1011"/>
    <cellStyle name="Normal 9 6" xfId="541"/>
    <cellStyle name="Normal 9 6 2" xfId="1013"/>
    <cellStyle name="Normal 9 7" xfId="985"/>
    <cellStyle name="Normal_07-190 basis matrix" xfId="542"/>
    <cellStyle name="Normal_07-190 basis matrix 2" xfId="543"/>
    <cellStyle name="Normal_1" xfId="544"/>
    <cellStyle name="Normal_100%RENTS" xfId="545"/>
    <cellStyle name="Normal_CTCAC 9% Application 7-18-07 practice run 3" xfId="546"/>
    <cellStyle name="Normal_CTCAC 9% Application 7-18-07 practice run 3 2" xfId="547"/>
    <cellStyle name="Note 2" xfId="548"/>
    <cellStyle name="Note 2 2" xfId="549"/>
    <cellStyle name="Note 2 2 2" xfId="550"/>
    <cellStyle name="Note 2 2 2 2" xfId="551"/>
    <cellStyle name="Note 2 2 2 2 2" xfId="1016"/>
    <cellStyle name="Note 2 2 2 3" xfId="1015"/>
    <cellStyle name="Note 2 2 3" xfId="552"/>
    <cellStyle name="Note 2 2 3 2" xfId="1017"/>
    <cellStyle name="Note 2 2 4" xfId="1014"/>
    <cellStyle name="Note 2 3" xfId="553"/>
    <cellStyle name="Note 2 3 2" xfId="554"/>
    <cellStyle name="Note 2 3 2 2" xfId="1019"/>
    <cellStyle name="Note 2 3 3" xfId="1018"/>
    <cellStyle name="Note 2 4" xfId="555"/>
    <cellStyle name="Note 2 4 2" xfId="1020"/>
    <cellStyle name="Note 2 5" xfId="556"/>
    <cellStyle name="Note 2 5 2" xfId="1021"/>
    <cellStyle name="Note 3" xfId="557"/>
    <cellStyle name="Note 3 2" xfId="558"/>
    <cellStyle name="Note 3 2 2" xfId="559"/>
    <cellStyle name="Note 3 2 2 2" xfId="560"/>
    <cellStyle name="Note 3 2 2 2 2" xfId="1024"/>
    <cellStyle name="Note 3 2 2 3" xfId="1023"/>
    <cellStyle name="Note 3 2 3" xfId="561"/>
    <cellStyle name="Note 3 2 3 2" xfId="1025"/>
    <cellStyle name="Note 3 2 4" xfId="1022"/>
    <cellStyle name="Note 3 3" xfId="562"/>
    <cellStyle name="Note 3 3 2" xfId="563"/>
    <cellStyle name="Note 3 3 2 2" xfId="1027"/>
    <cellStyle name="Note 3 3 3" xfId="1026"/>
    <cellStyle name="Note 3 4" xfId="564"/>
    <cellStyle name="Note 3 4 2" xfId="1028"/>
    <cellStyle name="Note 3 5" xfId="565"/>
    <cellStyle name="Note 3 5 2" xfId="1029"/>
    <cellStyle name="Output" xfId="566" builtinId="21" customBuiltin="1"/>
    <cellStyle name="Output 2" xfId="567"/>
    <cellStyle name="Percent" xfId="573" builtinId="5"/>
    <cellStyle name="Percent 2" xfId="1030"/>
    <cellStyle name="Percent 3" xfId="577"/>
    <cellStyle name="Text Entry" xfId="568"/>
    <cellStyle name="Title 2" xfId="569"/>
    <cellStyle name="Total" xfId="570" builtinId="25" customBuiltin="1"/>
    <cellStyle name="Total 2" xfId="571"/>
    <cellStyle name="Warning Text" xfId="572" builtinId="11" customBuiltin="1"/>
  </cellStyles>
  <dxfs count="95">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ont>
        <color theme="0" tint="-0.24994659260841701"/>
      </font>
      <fill>
        <patternFill patternType="none">
          <bgColor auto="1"/>
        </patternFill>
      </fill>
      <border>
        <left/>
        <right/>
        <top/>
        <bottom/>
      </border>
    </dxf>
    <dxf>
      <fill>
        <patternFill>
          <bgColor rgb="FFFF0000"/>
        </patternFill>
      </fill>
    </dxf>
    <dxf>
      <font>
        <color theme="0" tint="-0.24994659260841701"/>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ill>
        <patternFill>
          <bgColor rgb="FFFF0000"/>
        </patternFill>
      </fill>
    </dxf>
    <dxf>
      <font>
        <color auto="1"/>
      </font>
      <fill>
        <patternFill>
          <bgColor rgb="FFFFFF99"/>
        </patternFill>
      </fill>
      <border>
        <bottom style="thin">
          <color auto="1"/>
        </bottom>
      </border>
    </dxf>
    <dxf>
      <font>
        <color theme="0" tint="-0.24994659260841701"/>
      </font>
    </dxf>
    <dxf>
      <font>
        <color theme="0" tint="-0.24994659260841701"/>
      </font>
    </dxf>
    <dxf>
      <font>
        <color theme="0" tint="-0.24994659260841701"/>
      </font>
      <fill>
        <patternFill patternType="none">
          <bgColor auto="1"/>
        </patternFill>
      </fill>
      <border>
        <left/>
        <right/>
        <top/>
        <bottom/>
      </border>
    </dxf>
    <dxf>
      <font>
        <color theme="0" tint="-0.24994659260841701"/>
      </font>
    </dxf>
    <dxf>
      <fill>
        <patternFill>
          <bgColor rgb="FFFF0000"/>
        </patternFill>
      </fill>
    </dxf>
    <dxf>
      <font>
        <condense val="0"/>
        <extend val="0"/>
        <color indexed="9"/>
      </font>
    </dxf>
  </dxfs>
  <tableStyles count="0" defaultTableStyle="TableStyleMedium9" defaultPivotStyle="PivotStyleLight16"/>
  <colors>
    <mruColors>
      <color rgb="FFFFFF99"/>
      <color rgb="FFFFFFCC"/>
      <color rgb="FFFFCCCC"/>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403860</xdr:colOff>
      <xdr:row>20</xdr:row>
      <xdr:rowOff>0</xdr:rowOff>
    </xdr:from>
    <xdr:to>
      <xdr:col>9</xdr:col>
      <xdr:colOff>594360</xdr:colOff>
      <xdr:row>21</xdr:row>
      <xdr:rowOff>2078</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206502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15</xdr:col>
      <xdr:colOff>45720</xdr:colOff>
      <xdr:row>0</xdr:row>
      <xdr:rowOff>121920</xdr:rowOff>
    </xdr:from>
    <xdr:to>
      <xdr:col>21</xdr:col>
      <xdr:colOff>114300</xdr:colOff>
      <xdr:row>7</xdr:row>
      <xdr:rowOff>147955</xdr:rowOff>
    </xdr:to>
    <xdr:pic>
      <xdr:nvPicPr>
        <xdr:cNvPr id="77032" name="Picture 4">
          <a:extLst>
            <a:ext uri="{FF2B5EF4-FFF2-40B4-BE49-F238E27FC236}">
              <a16:creationId xmlns:a16="http://schemas.microsoft.com/office/drawing/2014/main" id="{00000000-0008-0000-0300-0000E82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74620" y="121920"/>
          <a:ext cx="1272540" cy="1196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www.treasurer.ca.gov/ctcac/assignments.asp" TargetMode="External"/><Relationship Id="rId7" Type="http://schemas.openxmlformats.org/officeDocument/2006/relationships/hyperlink" Target="https://www.treasurer.ca.gov/ctcac/2023/applications/competitive-tax-app-instructions.asp" TargetMode="External"/><Relationship Id="rId2" Type="http://schemas.openxmlformats.org/officeDocument/2006/relationships/hyperlink" Target="https://www.treasurer.ca.gov/ctcac/2023/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2023/index.asp" TargetMode="External"/><Relationship Id="rId5" Type="http://schemas.openxmlformats.org/officeDocument/2006/relationships/hyperlink" Target="https://www.treasurer.ca.gov/ctcac/2023/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2/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www.treasurer.ca.gov/ctcac/2019/lra/contact.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pageSetUpPr fitToPage="1"/>
  </sheetPr>
  <dimension ref="A1:AL419"/>
  <sheetViews>
    <sheetView showGridLines="0" workbookViewId="0">
      <selection activeCell="D7" sqref="D7:AK18"/>
    </sheetView>
  </sheetViews>
  <sheetFormatPr defaultColWidth="0" defaultRowHeight="12.75" zeroHeight="1"/>
  <cols>
    <col min="1" max="38" width="2.42578125" customWidth="1"/>
    <col min="39" max="16384" width="8.85546875" hidden="1"/>
  </cols>
  <sheetData>
    <row r="1" spans="1:38">
      <c r="A1" s="966" t="s">
        <v>1956</v>
      </c>
      <c r="B1" s="966"/>
      <c r="C1" s="966"/>
      <c r="D1" s="966"/>
      <c r="E1" s="966"/>
      <c r="F1" s="966"/>
      <c r="G1" s="966"/>
      <c r="H1" s="966"/>
      <c r="I1" s="966"/>
      <c r="J1" s="966"/>
      <c r="K1" s="966"/>
      <c r="L1" s="966"/>
      <c r="M1" s="966"/>
      <c r="N1" s="966"/>
      <c r="O1" s="966"/>
      <c r="P1" s="966"/>
      <c r="Q1" s="966"/>
      <c r="R1" s="966"/>
      <c r="S1" s="966"/>
      <c r="T1" s="966"/>
      <c r="U1" s="966"/>
      <c r="V1" s="966"/>
      <c r="W1" s="966"/>
      <c r="X1" s="966"/>
      <c r="Y1" s="966"/>
      <c r="Z1" s="966"/>
      <c r="AA1" s="966"/>
      <c r="AB1" s="966"/>
      <c r="AC1" s="966"/>
      <c r="AD1" s="966"/>
      <c r="AE1" s="966"/>
      <c r="AF1" s="966"/>
      <c r="AG1" s="966"/>
      <c r="AH1" s="966"/>
      <c r="AI1" s="966"/>
      <c r="AJ1" s="966"/>
      <c r="AK1" s="966"/>
      <c r="AL1" s="967"/>
    </row>
    <row r="2" spans="1:38" ht="13.5" thickBot="1">
      <c r="A2" s="968"/>
      <c r="B2" s="968"/>
      <c r="C2" s="968"/>
      <c r="D2" s="968"/>
      <c r="E2" s="968"/>
      <c r="F2" s="968"/>
      <c r="G2" s="968"/>
      <c r="H2" s="968"/>
      <c r="I2" s="968"/>
      <c r="J2" s="968"/>
      <c r="K2" s="968"/>
      <c r="L2" s="968"/>
      <c r="M2" s="968"/>
      <c r="N2" s="968"/>
      <c r="O2" s="968"/>
      <c r="P2" s="968"/>
      <c r="Q2" s="968"/>
      <c r="R2" s="968"/>
      <c r="S2" s="968"/>
      <c r="T2" s="968"/>
      <c r="U2" s="968"/>
      <c r="V2" s="968"/>
      <c r="W2" s="968"/>
      <c r="X2" s="968"/>
      <c r="Y2" s="968"/>
      <c r="Z2" s="968"/>
      <c r="AA2" s="968"/>
      <c r="AB2" s="968"/>
      <c r="AC2" s="968"/>
      <c r="AD2" s="968"/>
      <c r="AE2" s="968"/>
      <c r="AF2" s="968"/>
      <c r="AG2" s="968"/>
      <c r="AH2" s="968"/>
      <c r="AI2" s="968"/>
      <c r="AJ2" s="968"/>
      <c r="AK2" s="968"/>
      <c r="AL2" s="969"/>
    </row>
    <row r="3" spans="1:38" ht="13.5" thickTop="1"/>
    <row r="4" spans="1:38">
      <c r="A4" s="9"/>
      <c r="B4" s="168" t="s">
        <v>764</v>
      </c>
      <c r="C4" s="168" t="s">
        <v>207</v>
      </c>
      <c r="D4" s="89"/>
      <c r="E4" s="89"/>
      <c r="F4" s="89"/>
      <c r="G4" s="89"/>
      <c r="H4" s="89"/>
      <c r="I4" s="89"/>
      <c r="J4" s="89"/>
      <c r="K4" s="89"/>
      <c r="L4" s="89"/>
      <c r="M4" s="89"/>
      <c r="N4" s="89"/>
      <c r="O4" s="89"/>
      <c r="P4" s="89"/>
      <c r="Q4" s="89"/>
      <c r="R4" s="89"/>
      <c r="S4" s="89"/>
      <c r="T4" s="89"/>
      <c r="U4" s="89"/>
      <c r="V4" s="89"/>
      <c r="W4" s="89"/>
      <c r="X4" s="89"/>
      <c r="Y4" s="89"/>
      <c r="Z4" s="89"/>
      <c r="AA4" s="89"/>
      <c r="AB4" s="89"/>
      <c r="AC4" s="9"/>
      <c r="AD4" s="9"/>
      <c r="AE4" s="9"/>
      <c r="AF4" s="9"/>
      <c r="AG4" s="9"/>
      <c r="AH4" s="9"/>
      <c r="AI4" s="9"/>
      <c r="AJ4" s="9"/>
      <c r="AK4" s="9"/>
      <c r="AL4" s="9"/>
    </row>
    <row r="5" spans="1:38">
      <c r="B5" s="3"/>
      <c r="C5" s="3"/>
      <c r="D5" s="5"/>
      <c r="E5" s="5"/>
      <c r="F5" s="5"/>
      <c r="G5" s="5"/>
      <c r="H5" s="5"/>
      <c r="I5" s="5"/>
      <c r="J5" s="5"/>
      <c r="K5" s="5"/>
      <c r="L5" s="5"/>
      <c r="M5" s="5"/>
      <c r="N5" s="5"/>
      <c r="O5" s="5"/>
      <c r="P5" s="5"/>
      <c r="Q5" s="5"/>
      <c r="R5" s="5"/>
      <c r="S5" s="5"/>
      <c r="T5" s="5"/>
      <c r="U5" s="5"/>
      <c r="V5" s="5"/>
      <c r="W5" s="5"/>
      <c r="X5" s="5"/>
      <c r="Y5" s="5"/>
      <c r="Z5" s="5"/>
      <c r="AA5" s="5"/>
      <c r="AB5" s="5"/>
    </row>
    <row r="6" spans="1:38">
      <c r="A6" s="5"/>
      <c r="C6" s="3" t="s">
        <v>859</v>
      </c>
      <c r="D6" s="3" t="s">
        <v>323</v>
      </c>
      <c r="F6" s="5"/>
      <c r="G6" s="5"/>
      <c r="H6" s="5"/>
      <c r="I6" s="5"/>
      <c r="J6" s="5"/>
      <c r="K6" s="5"/>
      <c r="L6" s="5"/>
      <c r="M6" s="5"/>
      <c r="N6" s="5"/>
      <c r="O6" s="5"/>
      <c r="P6" s="5"/>
      <c r="Q6" s="5"/>
      <c r="R6" s="5"/>
      <c r="S6" s="5"/>
      <c r="T6" s="5"/>
      <c r="U6" s="5"/>
      <c r="V6" s="5"/>
      <c r="W6" s="5"/>
      <c r="X6" s="5"/>
      <c r="Y6" s="5"/>
      <c r="Z6" s="5"/>
      <c r="AA6" s="5"/>
      <c r="AB6" s="5"/>
    </row>
    <row r="7" spans="1:38" ht="13.7" customHeight="1">
      <c r="A7" s="5"/>
      <c r="C7" s="3"/>
      <c r="D7" s="970" t="s">
        <v>2271</v>
      </c>
      <c r="E7" s="970"/>
      <c r="F7" s="970"/>
      <c r="G7" s="970"/>
      <c r="H7" s="970"/>
      <c r="I7" s="970"/>
      <c r="J7" s="970"/>
      <c r="K7" s="970"/>
      <c r="L7" s="970"/>
      <c r="M7" s="970"/>
      <c r="N7" s="970"/>
      <c r="O7" s="970"/>
      <c r="P7" s="970"/>
      <c r="Q7" s="970"/>
      <c r="R7" s="970"/>
      <c r="S7" s="970"/>
      <c r="T7" s="970"/>
      <c r="U7" s="970"/>
      <c r="V7" s="970"/>
      <c r="W7" s="970"/>
      <c r="X7" s="970"/>
      <c r="Y7" s="970"/>
      <c r="Z7" s="970"/>
      <c r="AA7" s="970"/>
      <c r="AB7" s="970"/>
      <c r="AC7" s="970"/>
      <c r="AD7" s="970"/>
      <c r="AE7" s="970"/>
      <c r="AF7" s="970"/>
      <c r="AG7" s="970"/>
      <c r="AH7" s="970"/>
      <c r="AI7" s="970"/>
      <c r="AJ7" s="970"/>
      <c r="AK7" s="970"/>
    </row>
    <row r="8" spans="1:38">
      <c r="A8" s="5"/>
      <c r="C8" s="3"/>
      <c r="D8" s="970"/>
      <c r="E8" s="970"/>
      <c r="F8" s="970"/>
      <c r="G8" s="970"/>
      <c r="H8" s="970"/>
      <c r="I8" s="970"/>
      <c r="J8" s="970"/>
      <c r="K8" s="970"/>
      <c r="L8" s="970"/>
      <c r="M8" s="970"/>
      <c r="N8" s="970"/>
      <c r="O8" s="970"/>
      <c r="P8" s="970"/>
      <c r="Q8" s="970"/>
      <c r="R8" s="970"/>
      <c r="S8" s="970"/>
      <c r="T8" s="970"/>
      <c r="U8" s="970"/>
      <c r="V8" s="970"/>
      <c r="W8" s="970"/>
      <c r="X8" s="970"/>
      <c r="Y8" s="970"/>
      <c r="Z8" s="970"/>
      <c r="AA8" s="970"/>
      <c r="AB8" s="970"/>
      <c r="AC8" s="970"/>
      <c r="AD8" s="970"/>
      <c r="AE8" s="970"/>
      <c r="AF8" s="970"/>
      <c r="AG8" s="970"/>
      <c r="AH8" s="970"/>
      <c r="AI8" s="970"/>
      <c r="AJ8" s="970"/>
      <c r="AK8" s="970"/>
    </row>
    <row r="9" spans="1:38">
      <c r="A9" s="5"/>
      <c r="C9" s="3"/>
      <c r="D9" s="970"/>
      <c r="E9" s="970"/>
      <c r="F9" s="970"/>
      <c r="G9" s="970"/>
      <c r="H9" s="970"/>
      <c r="I9" s="970"/>
      <c r="J9" s="970"/>
      <c r="K9" s="970"/>
      <c r="L9" s="970"/>
      <c r="M9" s="970"/>
      <c r="N9" s="970"/>
      <c r="O9" s="970"/>
      <c r="P9" s="970"/>
      <c r="Q9" s="970"/>
      <c r="R9" s="970"/>
      <c r="S9" s="970"/>
      <c r="T9" s="970"/>
      <c r="U9" s="970"/>
      <c r="V9" s="970"/>
      <c r="W9" s="970"/>
      <c r="X9" s="970"/>
      <c r="Y9" s="970"/>
      <c r="Z9" s="970"/>
      <c r="AA9" s="970"/>
      <c r="AB9" s="970"/>
      <c r="AC9" s="970"/>
      <c r="AD9" s="970"/>
      <c r="AE9" s="970"/>
      <c r="AF9" s="970"/>
      <c r="AG9" s="970"/>
      <c r="AH9" s="970"/>
      <c r="AI9" s="970"/>
      <c r="AJ9" s="970"/>
      <c r="AK9" s="970"/>
    </row>
    <row r="10" spans="1:38">
      <c r="A10" s="5"/>
      <c r="C10" s="3"/>
      <c r="D10" s="970"/>
      <c r="E10" s="970"/>
      <c r="F10" s="970"/>
      <c r="G10" s="970"/>
      <c r="H10" s="970"/>
      <c r="I10" s="970"/>
      <c r="J10" s="970"/>
      <c r="K10" s="970"/>
      <c r="L10" s="970"/>
      <c r="M10" s="970"/>
      <c r="N10" s="970"/>
      <c r="O10" s="970"/>
      <c r="P10" s="970"/>
      <c r="Q10" s="970"/>
      <c r="R10" s="970"/>
      <c r="S10" s="970"/>
      <c r="T10" s="970"/>
      <c r="U10" s="970"/>
      <c r="V10" s="970"/>
      <c r="W10" s="970"/>
      <c r="X10" s="970"/>
      <c r="Y10" s="970"/>
      <c r="Z10" s="970"/>
      <c r="AA10" s="970"/>
      <c r="AB10" s="970"/>
      <c r="AC10" s="970"/>
      <c r="AD10" s="970"/>
      <c r="AE10" s="970"/>
      <c r="AF10" s="970"/>
      <c r="AG10" s="970"/>
      <c r="AH10" s="970"/>
      <c r="AI10" s="970"/>
      <c r="AJ10" s="970"/>
      <c r="AK10" s="970"/>
    </row>
    <row r="11" spans="1:38">
      <c r="A11" s="5"/>
      <c r="C11" s="3"/>
      <c r="D11" s="970"/>
      <c r="E11" s="970"/>
      <c r="F11" s="970"/>
      <c r="G11" s="970"/>
      <c r="H11" s="970"/>
      <c r="I11" s="970"/>
      <c r="J11" s="970"/>
      <c r="K11" s="970"/>
      <c r="L11" s="970"/>
      <c r="M11" s="970"/>
      <c r="N11" s="970"/>
      <c r="O11" s="970"/>
      <c r="P11" s="970"/>
      <c r="Q11" s="970"/>
      <c r="R11" s="970"/>
      <c r="S11" s="970"/>
      <c r="T11" s="970"/>
      <c r="U11" s="970"/>
      <c r="V11" s="970"/>
      <c r="W11" s="970"/>
      <c r="X11" s="970"/>
      <c r="Y11" s="970"/>
      <c r="Z11" s="970"/>
      <c r="AA11" s="970"/>
      <c r="AB11" s="970"/>
      <c r="AC11" s="970"/>
      <c r="AD11" s="970"/>
      <c r="AE11" s="970"/>
      <c r="AF11" s="970"/>
      <c r="AG11" s="970"/>
      <c r="AH11" s="970"/>
      <c r="AI11" s="970"/>
      <c r="AJ11" s="970"/>
      <c r="AK11" s="970"/>
    </row>
    <row r="12" spans="1:38">
      <c r="A12" s="5"/>
      <c r="C12" s="3"/>
      <c r="D12" s="970"/>
      <c r="E12" s="970"/>
      <c r="F12" s="970"/>
      <c r="G12" s="970"/>
      <c r="H12" s="970"/>
      <c r="I12" s="970"/>
      <c r="J12" s="970"/>
      <c r="K12" s="970"/>
      <c r="L12" s="970"/>
      <c r="M12" s="970"/>
      <c r="N12" s="970"/>
      <c r="O12" s="970"/>
      <c r="P12" s="970"/>
      <c r="Q12" s="970"/>
      <c r="R12" s="970"/>
      <c r="S12" s="970"/>
      <c r="T12" s="970"/>
      <c r="U12" s="970"/>
      <c r="V12" s="970"/>
      <c r="W12" s="970"/>
      <c r="X12" s="970"/>
      <c r="Y12" s="970"/>
      <c r="Z12" s="970"/>
      <c r="AA12" s="970"/>
      <c r="AB12" s="970"/>
      <c r="AC12" s="970"/>
      <c r="AD12" s="970"/>
      <c r="AE12" s="970"/>
      <c r="AF12" s="970"/>
      <c r="AG12" s="970"/>
      <c r="AH12" s="970"/>
      <c r="AI12" s="970"/>
      <c r="AJ12" s="970"/>
      <c r="AK12" s="970"/>
    </row>
    <row r="13" spans="1:38">
      <c r="A13" s="5"/>
      <c r="C13" s="3"/>
      <c r="D13" s="970"/>
      <c r="E13" s="970"/>
      <c r="F13" s="970"/>
      <c r="G13" s="970"/>
      <c r="H13" s="970"/>
      <c r="I13" s="970"/>
      <c r="J13" s="970"/>
      <c r="K13" s="970"/>
      <c r="L13" s="970"/>
      <c r="M13" s="970"/>
      <c r="N13" s="970"/>
      <c r="O13" s="970"/>
      <c r="P13" s="970"/>
      <c r="Q13" s="970"/>
      <c r="R13" s="970"/>
      <c r="S13" s="970"/>
      <c r="T13" s="970"/>
      <c r="U13" s="970"/>
      <c r="V13" s="970"/>
      <c r="W13" s="970"/>
      <c r="X13" s="970"/>
      <c r="Y13" s="970"/>
      <c r="Z13" s="970"/>
      <c r="AA13" s="970"/>
      <c r="AB13" s="970"/>
      <c r="AC13" s="970"/>
      <c r="AD13" s="970"/>
      <c r="AE13" s="970"/>
      <c r="AF13" s="970"/>
      <c r="AG13" s="970"/>
      <c r="AH13" s="970"/>
      <c r="AI13" s="970"/>
      <c r="AJ13" s="970"/>
      <c r="AK13" s="970"/>
    </row>
    <row r="14" spans="1:38">
      <c r="A14" s="5"/>
      <c r="C14" s="3"/>
      <c r="D14" s="970"/>
      <c r="E14" s="970"/>
      <c r="F14" s="970"/>
      <c r="G14" s="970"/>
      <c r="H14" s="970"/>
      <c r="I14" s="970"/>
      <c r="J14" s="970"/>
      <c r="K14" s="970"/>
      <c r="L14" s="970"/>
      <c r="M14" s="970"/>
      <c r="N14" s="970"/>
      <c r="O14" s="970"/>
      <c r="P14" s="970"/>
      <c r="Q14" s="970"/>
      <c r="R14" s="970"/>
      <c r="S14" s="970"/>
      <c r="T14" s="970"/>
      <c r="U14" s="970"/>
      <c r="V14" s="970"/>
      <c r="W14" s="970"/>
      <c r="X14" s="970"/>
      <c r="Y14" s="970"/>
      <c r="Z14" s="970"/>
      <c r="AA14" s="970"/>
      <c r="AB14" s="970"/>
      <c r="AC14" s="970"/>
      <c r="AD14" s="970"/>
      <c r="AE14" s="970"/>
      <c r="AF14" s="970"/>
      <c r="AG14" s="970"/>
      <c r="AH14" s="970"/>
      <c r="AI14" s="970"/>
      <c r="AJ14" s="970"/>
      <c r="AK14" s="970"/>
    </row>
    <row r="15" spans="1:38">
      <c r="A15" s="5"/>
      <c r="C15" s="3"/>
      <c r="D15" s="970"/>
      <c r="E15" s="970"/>
      <c r="F15" s="970"/>
      <c r="G15" s="970"/>
      <c r="H15" s="970"/>
      <c r="I15" s="970"/>
      <c r="J15" s="970"/>
      <c r="K15" s="970"/>
      <c r="L15" s="970"/>
      <c r="M15" s="970"/>
      <c r="N15" s="970"/>
      <c r="O15" s="970"/>
      <c r="P15" s="970"/>
      <c r="Q15" s="970"/>
      <c r="R15" s="970"/>
      <c r="S15" s="970"/>
      <c r="T15" s="970"/>
      <c r="U15" s="970"/>
      <c r="V15" s="970"/>
      <c r="W15" s="970"/>
      <c r="X15" s="970"/>
      <c r="Y15" s="970"/>
      <c r="Z15" s="970"/>
      <c r="AA15" s="970"/>
      <c r="AB15" s="970"/>
      <c r="AC15" s="970"/>
      <c r="AD15" s="970"/>
      <c r="AE15" s="970"/>
      <c r="AF15" s="970"/>
      <c r="AG15" s="970"/>
      <c r="AH15" s="970"/>
      <c r="AI15" s="970"/>
      <c r="AJ15" s="970"/>
      <c r="AK15" s="970"/>
    </row>
    <row r="16" spans="1:38">
      <c r="A16" s="5"/>
      <c r="C16" s="3"/>
      <c r="D16" s="970"/>
      <c r="E16" s="970"/>
      <c r="F16" s="970"/>
      <c r="G16" s="970"/>
      <c r="H16" s="970"/>
      <c r="I16" s="970"/>
      <c r="J16" s="970"/>
      <c r="K16" s="970"/>
      <c r="L16" s="970"/>
      <c r="M16" s="970"/>
      <c r="N16" s="970"/>
      <c r="O16" s="970"/>
      <c r="P16" s="970"/>
      <c r="Q16" s="970"/>
      <c r="R16" s="970"/>
      <c r="S16" s="970"/>
      <c r="T16" s="970"/>
      <c r="U16" s="970"/>
      <c r="V16" s="970"/>
      <c r="W16" s="970"/>
      <c r="X16" s="970"/>
      <c r="Y16" s="970"/>
      <c r="Z16" s="970"/>
      <c r="AA16" s="970"/>
      <c r="AB16" s="970"/>
      <c r="AC16" s="970"/>
      <c r="AD16" s="970"/>
      <c r="AE16" s="970"/>
      <c r="AF16" s="970"/>
      <c r="AG16" s="970"/>
      <c r="AH16" s="970"/>
      <c r="AI16" s="970"/>
      <c r="AJ16" s="970"/>
      <c r="AK16" s="970"/>
    </row>
    <row r="17" spans="1:38">
      <c r="A17" s="5"/>
      <c r="C17" s="3"/>
      <c r="D17" s="970"/>
      <c r="E17" s="970"/>
      <c r="F17" s="970"/>
      <c r="G17" s="970"/>
      <c r="H17" s="970"/>
      <c r="I17" s="970"/>
      <c r="J17" s="970"/>
      <c r="K17" s="970"/>
      <c r="L17" s="970"/>
      <c r="M17" s="970"/>
      <c r="N17" s="970"/>
      <c r="O17" s="970"/>
      <c r="P17" s="970"/>
      <c r="Q17" s="970"/>
      <c r="R17" s="970"/>
      <c r="S17" s="970"/>
      <c r="T17" s="970"/>
      <c r="U17" s="970"/>
      <c r="V17" s="970"/>
      <c r="W17" s="970"/>
      <c r="X17" s="970"/>
      <c r="Y17" s="970"/>
      <c r="Z17" s="970"/>
      <c r="AA17" s="970"/>
      <c r="AB17" s="970"/>
      <c r="AC17" s="970"/>
      <c r="AD17" s="970"/>
      <c r="AE17" s="970"/>
      <c r="AF17" s="970"/>
      <c r="AG17" s="970"/>
      <c r="AH17" s="970"/>
      <c r="AI17" s="970"/>
      <c r="AJ17" s="970"/>
      <c r="AK17" s="970"/>
    </row>
    <row r="18" spans="1:38" ht="11.1" customHeight="1">
      <c r="A18" s="5"/>
      <c r="C18" s="3"/>
      <c r="D18" s="970"/>
      <c r="E18" s="970"/>
      <c r="F18" s="970"/>
      <c r="G18" s="970"/>
      <c r="H18" s="970"/>
      <c r="I18" s="970"/>
      <c r="J18" s="970"/>
      <c r="K18" s="970"/>
      <c r="L18" s="970"/>
      <c r="M18" s="970"/>
      <c r="N18" s="970"/>
      <c r="O18" s="970"/>
      <c r="P18" s="970"/>
      <c r="Q18" s="970"/>
      <c r="R18" s="970"/>
      <c r="S18" s="970"/>
      <c r="T18" s="970"/>
      <c r="U18" s="970"/>
      <c r="V18" s="970"/>
      <c r="W18" s="970"/>
      <c r="X18" s="970"/>
      <c r="Y18" s="970"/>
      <c r="Z18" s="970"/>
      <c r="AA18" s="970"/>
      <c r="AB18" s="970"/>
      <c r="AC18" s="970"/>
      <c r="AD18" s="970"/>
      <c r="AE18" s="970"/>
      <c r="AF18" s="970"/>
      <c r="AG18" s="970"/>
      <c r="AH18" s="970"/>
      <c r="AI18" s="970"/>
      <c r="AJ18" s="970"/>
      <c r="AK18" s="970"/>
    </row>
    <row r="19" spans="1:38" ht="13.7" customHeight="1">
      <c r="A19" s="5"/>
      <c r="C19" s="3"/>
      <c r="D19" s="970" t="s">
        <v>2345</v>
      </c>
      <c r="E19" s="970"/>
      <c r="F19" s="970"/>
      <c r="G19" s="970"/>
      <c r="H19" s="970"/>
      <c r="I19" s="970"/>
      <c r="J19" s="970"/>
      <c r="K19" s="970"/>
      <c r="L19" s="970"/>
      <c r="M19" s="970"/>
      <c r="N19" s="970"/>
      <c r="O19" s="970"/>
      <c r="P19" s="970"/>
      <c r="Q19" s="970"/>
      <c r="R19" s="970"/>
      <c r="S19" s="970"/>
      <c r="T19" s="970"/>
      <c r="U19" s="970"/>
      <c r="V19" s="970"/>
      <c r="W19" s="970"/>
      <c r="X19" s="970"/>
      <c r="Y19" s="970"/>
      <c r="Z19" s="970"/>
      <c r="AA19" s="970"/>
      <c r="AB19" s="970"/>
      <c r="AC19" s="970"/>
      <c r="AD19" s="970"/>
      <c r="AE19" s="970"/>
      <c r="AF19" s="970"/>
      <c r="AG19" s="970"/>
      <c r="AH19" s="970"/>
      <c r="AI19" s="970"/>
      <c r="AJ19" s="970"/>
      <c r="AK19" s="970"/>
    </row>
    <row r="20" spans="1:38">
      <c r="A20" s="5"/>
      <c r="C20" s="3"/>
      <c r="D20" s="970"/>
      <c r="E20" s="970"/>
      <c r="F20" s="970"/>
      <c r="G20" s="970"/>
      <c r="H20" s="970"/>
      <c r="I20" s="970"/>
      <c r="J20" s="970"/>
      <c r="K20" s="970"/>
      <c r="L20" s="970"/>
      <c r="M20" s="970"/>
      <c r="N20" s="970"/>
      <c r="O20" s="970"/>
      <c r="P20" s="970"/>
      <c r="Q20" s="970"/>
      <c r="R20" s="970"/>
      <c r="S20" s="970"/>
      <c r="T20" s="970"/>
      <c r="U20" s="970"/>
      <c r="V20" s="970"/>
      <c r="W20" s="970"/>
      <c r="X20" s="970"/>
      <c r="Y20" s="970"/>
      <c r="Z20" s="970"/>
      <c r="AA20" s="970"/>
      <c r="AB20" s="970"/>
      <c r="AC20" s="970"/>
      <c r="AD20" s="970"/>
      <c r="AE20" s="970"/>
      <c r="AF20" s="970"/>
      <c r="AG20" s="970"/>
      <c r="AH20" s="970"/>
      <c r="AI20" s="970"/>
      <c r="AJ20" s="970"/>
      <c r="AK20" s="970"/>
    </row>
    <row r="21" spans="1:38">
      <c r="A21" s="5"/>
      <c r="C21" s="3"/>
      <c r="D21" s="970"/>
      <c r="E21" s="970"/>
      <c r="F21" s="970"/>
      <c r="G21" s="970"/>
      <c r="H21" s="970"/>
      <c r="I21" s="970"/>
      <c r="J21" s="970"/>
      <c r="K21" s="970"/>
      <c r="L21" s="970"/>
      <c r="M21" s="970"/>
      <c r="N21" s="970"/>
      <c r="O21" s="970"/>
      <c r="P21" s="970"/>
      <c r="Q21" s="970"/>
      <c r="R21" s="970"/>
      <c r="S21" s="970"/>
      <c r="T21" s="970"/>
      <c r="U21" s="970"/>
      <c r="V21" s="970"/>
      <c r="W21" s="970"/>
      <c r="X21" s="970"/>
      <c r="Y21" s="970"/>
      <c r="Z21" s="970"/>
      <c r="AA21" s="970"/>
      <c r="AB21" s="970"/>
      <c r="AC21" s="970"/>
      <c r="AD21" s="970"/>
      <c r="AE21" s="970"/>
      <c r="AF21" s="970"/>
      <c r="AG21" s="970"/>
      <c r="AH21" s="970"/>
      <c r="AI21" s="970"/>
      <c r="AJ21" s="970"/>
      <c r="AK21" s="970"/>
    </row>
    <row r="22" spans="1:38">
      <c r="A22" s="5"/>
      <c r="C22" s="3"/>
      <c r="D22" s="970"/>
      <c r="E22" s="970"/>
      <c r="F22" s="970"/>
      <c r="G22" s="970"/>
      <c r="H22" s="970"/>
      <c r="I22" s="970"/>
      <c r="J22" s="970"/>
      <c r="K22" s="970"/>
      <c r="L22" s="970"/>
      <c r="M22" s="970"/>
      <c r="N22" s="970"/>
      <c r="O22" s="970"/>
      <c r="P22" s="970"/>
      <c r="Q22" s="970"/>
      <c r="R22" s="970"/>
      <c r="S22" s="970"/>
      <c r="T22" s="970"/>
      <c r="U22" s="970"/>
      <c r="V22" s="970"/>
      <c r="W22" s="970"/>
      <c r="X22" s="970"/>
      <c r="Y22" s="970"/>
      <c r="Z22" s="970"/>
      <c r="AA22" s="970"/>
      <c r="AB22" s="970"/>
      <c r="AC22" s="970"/>
      <c r="AD22" s="970"/>
      <c r="AE22" s="970"/>
      <c r="AF22" s="970"/>
      <c r="AG22" s="970"/>
      <c r="AH22" s="970"/>
      <c r="AI22" s="970"/>
      <c r="AJ22" s="970"/>
      <c r="AK22" s="970"/>
    </row>
    <row r="23" spans="1:38">
      <c r="A23" s="5"/>
      <c r="C23" s="3"/>
      <c r="D23" s="970"/>
      <c r="E23" s="970"/>
      <c r="F23" s="970"/>
      <c r="G23" s="970"/>
      <c r="H23" s="970"/>
      <c r="I23" s="970"/>
      <c r="J23" s="970"/>
      <c r="K23" s="970"/>
      <c r="L23" s="970"/>
      <c r="M23" s="970"/>
      <c r="N23" s="970"/>
      <c r="O23" s="970"/>
      <c r="P23" s="970"/>
      <c r="Q23" s="970"/>
      <c r="R23" s="970"/>
      <c r="S23" s="970"/>
      <c r="T23" s="970"/>
      <c r="U23" s="970"/>
      <c r="V23" s="970"/>
      <c r="W23" s="970"/>
      <c r="X23" s="970"/>
      <c r="Y23" s="970"/>
      <c r="Z23" s="970"/>
      <c r="AA23" s="970"/>
      <c r="AB23" s="970"/>
      <c r="AC23" s="970"/>
      <c r="AD23" s="970"/>
      <c r="AE23" s="970"/>
      <c r="AF23" s="970"/>
      <c r="AG23" s="970"/>
      <c r="AH23" s="970"/>
      <c r="AI23" s="970"/>
      <c r="AJ23" s="970"/>
      <c r="AK23" s="970"/>
    </row>
    <row r="24" spans="1:38">
      <c r="A24" s="5"/>
      <c r="C24" s="3"/>
      <c r="D24" s="970"/>
      <c r="E24" s="970"/>
      <c r="F24" s="970"/>
      <c r="G24" s="970"/>
      <c r="H24" s="970"/>
      <c r="I24" s="970"/>
      <c r="J24" s="970"/>
      <c r="K24" s="970"/>
      <c r="L24" s="970"/>
      <c r="M24" s="970"/>
      <c r="N24" s="970"/>
      <c r="O24" s="970"/>
      <c r="P24" s="970"/>
      <c r="Q24" s="970"/>
      <c r="R24" s="970"/>
      <c r="S24" s="970"/>
      <c r="T24" s="970"/>
      <c r="U24" s="970"/>
      <c r="V24" s="970"/>
      <c r="W24" s="970"/>
      <c r="X24" s="970"/>
      <c r="Y24" s="970"/>
      <c r="Z24" s="970"/>
      <c r="AA24" s="970"/>
      <c r="AB24" s="970"/>
      <c r="AC24" s="970"/>
      <c r="AD24" s="970"/>
      <c r="AE24" s="970"/>
      <c r="AF24" s="970"/>
      <c r="AG24" s="970"/>
      <c r="AH24" s="970"/>
      <c r="AI24" s="970"/>
      <c r="AJ24" s="970"/>
      <c r="AK24" s="970"/>
    </row>
    <row r="25" spans="1:38">
      <c r="A25" s="5"/>
      <c r="C25" s="3"/>
      <c r="D25" s="970"/>
      <c r="E25" s="970"/>
      <c r="F25" s="970"/>
      <c r="G25" s="970"/>
      <c r="H25" s="970"/>
      <c r="I25" s="970"/>
      <c r="J25" s="970"/>
      <c r="K25" s="970"/>
      <c r="L25" s="970"/>
      <c r="M25" s="970"/>
      <c r="N25" s="970"/>
      <c r="O25" s="970"/>
      <c r="P25" s="970"/>
      <c r="Q25" s="970"/>
      <c r="R25" s="970"/>
      <c r="S25" s="970"/>
      <c r="T25" s="970"/>
      <c r="U25" s="970"/>
      <c r="V25" s="970"/>
      <c r="W25" s="970"/>
      <c r="X25" s="970"/>
      <c r="Y25" s="970"/>
      <c r="Z25" s="970"/>
      <c r="AA25" s="970"/>
      <c r="AB25" s="970"/>
      <c r="AC25" s="970"/>
      <c r="AD25" s="970"/>
      <c r="AE25" s="970"/>
      <c r="AF25" s="970"/>
      <c r="AG25" s="970"/>
      <c r="AH25" s="970"/>
      <c r="AI25" s="970"/>
      <c r="AJ25" s="970"/>
      <c r="AK25" s="970"/>
    </row>
    <row r="26" spans="1:38">
      <c r="A26" s="5"/>
      <c r="C26" s="3"/>
      <c r="D26" s="5"/>
      <c r="E26" s="979" t="s">
        <v>2338</v>
      </c>
      <c r="F26" s="979"/>
      <c r="G26" s="979"/>
      <c r="H26" s="979"/>
      <c r="I26" s="979"/>
      <c r="J26" s="979"/>
      <c r="K26" s="979"/>
      <c r="L26" s="979"/>
      <c r="M26" s="979"/>
      <c r="N26" s="979"/>
      <c r="O26" s="979"/>
      <c r="P26" s="979"/>
      <c r="Q26" s="979"/>
      <c r="R26" s="979"/>
      <c r="S26" s="979"/>
      <c r="T26" s="979"/>
      <c r="U26" s="979"/>
      <c r="V26" s="979"/>
      <c r="W26" s="979"/>
      <c r="X26" s="979"/>
      <c r="Y26" s="979"/>
      <c r="Z26" s="979"/>
      <c r="AA26" s="979"/>
      <c r="AB26" s="979"/>
      <c r="AC26" s="979"/>
      <c r="AD26" s="979"/>
      <c r="AE26" s="979"/>
      <c r="AF26" s="979"/>
      <c r="AG26" s="979"/>
      <c r="AH26" s="979"/>
      <c r="AI26" s="979"/>
      <c r="AJ26" s="979"/>
      <c r="AK26" s="979"/>
    </row>
    <row r="27" spans="1:38">
      <c r="A27" s="5"/>
      <c r="C27" s="3"/>
      <c r="E27" s="979" t="s">
        <v>2337</v>
      </c>
      <c r="F27" s="979"/>
      <c r="G27" s="979"/>
      <c r="H27" s="979"/>
      <c r="I27" s="979"/>
      <c r="J27" s="979"/>
      <c r="K27" s="979"/>
      <c r="L27" s="979"/>
      <c r="M27" s="979"/>
      <c r="N27" s="979"/>
      <c r="O27" s="979"/>
      <c r="P27" s="979"/>
      <c r="Q27" s="979"/>
      <c r="R27" s="979"/>
      <c r="S27" s="979"/>
      <c r="T27" s="979"/>
      <c r="U27" s="979"/>
      <c r="V27" s="979"/>
      <c r="W27" s="979"/>
      <c r="X27" s="979"/>
      <c r="Y27" s="979"/>
      <c r="Z27" s="979"/>
      <c r="AA27" s="979"/>
      <c r="AB27" s="979"/>
      <c r="AC27" s="979"/>
      <c r="AD27" s="979"/>
      <c r="AE27" s="979"/>
      <c r="AF27" s="979"/>
      <c r="AG27" s="979"/>
      <c r="AH27" s="979"/>
      <c r="AI27" s="979"/>
      <c r="AJ27" s="979"/>
      <c r="AK27" s="979"/>
    </row>
    <row r="28" spans="1:38">
      <c r="A28" s="5"/>
      <c r="C28" s="3"/>
      <c r="E28" s="5"/>
      <c r="F28" s="5"/>
      <c r="G28" s="5"/>
      <c r="H28" s="5"/>
      <c r="I28" s="5"/>
      <c r="J28" s="5"/>
      <c r="K28" s="5"/>
      <c r="L28" s="5"/>
      <c r="M28" s="5"/>
      <c r="N28" s="5"/>
      <c r="O28" s="5"/>
      <c r="P28" s="5"/>
      <c r="Q28" s="5"/>
      <c r="R28" s="5"/>
      <c r="S28" s="5"/>
      <c r="T28" s="5"/>
      <c r="U28" s="5"/>
      <c r="V28" s="5"/>
      <c r="W28" s="5"/>
      <c r="X28" s="5"/>
      <c r="Y28" s="5"/>
      <c r="Z28" s="5"/>
      <c r="AA28" s="5"/>
      <c r="AB28" s="5"/>
    </row>
    <row r="29" spans="1:38" s="5" customFormat="1">
      <c r="B29"/>
      <c r="C29"/>
      <c r="D29" s="978" t="s">
        <v>2110</v>
      </c>
      <c r="E29" s="978"/>
      <c r="F29" s="978"/>
      <c r="G29" s="978"/>
      <c r="H29" s="978"/>
      <c r="I29" s="978"/>
      <c r="J29" s="978"/>
      <c r="K29" s="978"/>
      <c r="L29" s="978"/>
      <c r="M29" s="978"/>
      <c r="N29" s="978"/>
      <c r="O29" s="978"/>
      <c r="P29" s="978"/>
      <c r="Q29" s="978"/>
      <c r="R29" s="978"/>
      <c r="S29" s="978"/>
      <c r="T29" s="978"/>
      <c r="U29" s="978"/>
      <c r="V29" s="978"/>
      <c r="W29" s="978"/>
      <c r="X29" s="978"/>
      <c r="Y29" s="978"/>
      <c r="Z29" s="978"/>
      <c r="AA29" s="978"/>
      <c r="AB29" s="978"/>
      <c r="AC29" s="978"/>
      <c r="AD29" s="978"/>
      <c r="AE29" s="978"/>
      <c r="AF29" s="978"/>
      <c r="AG29" s="978"/>
      <c r="AH29" s="978"/>
      <c r="AI29" s="978"/>
      <c r="AJ29" s="978"/>
      <c r="AK29" s="978"/>
      <c r="AL29"/>
    </row>
    <row r="30" spans="1:38">
      <c r="A30" s="5"/>
      <c r="D30" s="978"/>
      <c r="E30" s="978"/>
      <c r="F30" s="978"/>
      <c r="G30" s="978"/>
      <c r="H30" s="978"/>
      <c r="I30" s="978"/>
      <c r="J30" s="978"/>
      <c r="K30" s="978"/>
      <c r="L30" s="978"/>
      <c r="M30" s="978"/>
      <c r="N30" s="978"/>
      <c r="O30" s="978"/>
      <c r="P30" s="978"/>
      <c r="Q30" s="978"/>
      <c r="R30" s="978"/>
      <c r="S30" s="978"/>
      <c r="T30" s="978"/>
      <c r="U30" s="978"/>
      <c r="V30" s="978"/>
      <c r="W30" s="978"/>
      <c r="X30" s="978"/>
      <c r="Y30" s="978"/>
      <c r="Z30" s="978"/>
      <c r="AA30" s="978"/>
      <c r="AB30" s="978"/>
      <c r="AC30" s="978"/>
      <c r="AD30" s="978"/>
      <c r="AE30" s="978"/>
      <c r="AF30" s="978"/>
      <c r="AG30" s="978"/>
      <c r="AH30" s="978"/>
      <c r="AI30" s="978"/>
      <c r="AJ30" s="978"/>
      <c r="AK30" s="978"/>
    </row>
    <row r="31" spans="1:38">
      <c r="A31" s="5"/>
      <c r="D31" s="158"/>
      <c r="E31" s="980" t="s">
        <v>1337</v>
      </c>
      <c r="F31" s="980"/>
      <c r="G31" s="980"/>
      <c r="H31" s="980"/>
      <c r="I31" s="980"/>
      <c r="J31" s="980"/>
      <c r="K31" s="980"/>
      <c r="L31" s="980"/>
      <c r="M31" s="980"/>
      <c r="N31" s="980"/>
      <c r="O31" s="980"/>
      <c r="P31" s="980"/>
      <c r="Q31" s="980"/>
      <c r="R31" s="980"/>
      <c r="S31" s="980"/>
      <c r="T31" s="980"/>
      <c r="U31" s="980"/>
      <c r="V31" s="980"/>
      <c r="W31" s="980"/>
      <c r="X31" s="980"/>
      <c r="Y31" s="980"/>
      <c r="Z31" s="980"/>
      <c r="AA31" s="980"/>
      <c r="AB31" s="980"/>
      <c r="AC31" s="980"/>
      <c r="AD31" s="980"/>
      <c r="AE31" s="980"/>
      <c r="AF31" s="980"/>
      <c r="AG31" s="980"/>
      <c r="AH31" s="980"/>
      <c r="AI31" s="980"/>
      <c r="AJ31" s="980"/>
      <c r="AK31" s="980"/>
    </row>
    <row r="32" spans="1:38">
      <c r="A32" s="5"/>
      <c r="D32" s="158"/>
      <c r="E32" s="980" t="s">
        <v>1190</v>
      </c>
      <c r="F32" s="980"/>
      <c r="G32" s="980"/>
      <c r="H32" s="980"/>
      <c r="I32" s="980"/>
      <c r="J32" s="980"/>
      <c r="K32" s="980"/>
      <c r="L32" s="980"/>
      <c r="M32" s="980"/>
      <c r="N32" s="980"/>
      <c r="O32" s="980"/>
      <c r="P32" s="980"/>
      <c r="Q32" s="980"/>
      <c r="R32" s="980"/>
      <c r="S32" s="980"/>
      <c r="T32" s="980"/>
      <c r="U32" s="980"/>
      <c r="V32" s="980"/>
      <c r="W32" s="980"/>
      <c r="X32" s="980"/>
      <c r="Y32" s="980"/>
      <c r="Z32" s="980"/>
      <c r="AA32" s="980"/>
      <c r="AB32" s="980"/>
      <c r="AC32" s="980"/>
      <c r="AD32" s="980"/>
      <c r="AE32" s="980"/>
      <c r="AF32" s="980"/>
      <c r="AG32" s="980"/>
      <c r="AH32" s="980"/>
      <c r="AI32" s="980"/>
      <c r="AJ32" s="980"/>
      <c r="AK32" s="980"/>
    </row>
    <row r="33" spans="1:38">
      <c r="A33" s="5"/>
      <c r="C33" s="3"/>
      <c r="D33" s="3"/>
      <c r="E33" s="5"/>
      <c r="F33" s="5"/>
      <c r="G33" s="5"/>
      <c r="H33" s="5"/>
      <c r="I33" s="5"/>
      <c r="J33" s="5"/>
      <c r="K33" s="5"/>
      <c r="L33" s="5"/>
      <c r="M33" s="5"/>
      <c r="N33" s="5"/>
      <c r="O33" s="5"/>
      <c r="P33" s="5"/>
      <c r="Q33" s="5"/>
      <c r="R33" s="5"/>
      <c r="S33" s="5"/>
      <c r="T33" s="5"/>
      <c r="U33" s="5"/>
      <c r="V33" s="5"/>
      <c r="W33" s="5"/>
      <c r="X33" s="5"/>
      <c r="Y33" s="5"/>
      <c r="Z33" s="5"/>
      <c r="AA33" s="5"/>
      <c r="AB33" s="5"/>
    </row>
    <row r="34" spans="1:38">
      <c r="A34" s="5"/>
      <c r="C34" s="3" t="s">
        <v>493</v>
      </c>
      <c r="D34" s="3" t="s">
        <v>356</v>
      </c>
      <c r="F34" s="5"/>
      <c r="G34" s="5"/>
      <c r="H34" s="5"/>
      <c r="I34" s="5"/>
      <c r="J34" s="5"/>
      <c r="K34" s="5"/>
      <c r="L34" s="5"/>
      <c r="M34" s="5"/>
      <c r="N34" s="5"/>
      <c r="O34" s="5"/>
      <c r="P34" s="5"/>
      <c r="Q34" s="5"/>
      <c r="R34" s="5"/>
      <c r="S34" s="5"/>
      <c r="T34" s="5"/>
      <c r="U34" s="5"/>
      <c r="V34" s="5"/>
      <c r="W34" s="5"/>
      <c r="X34" s="5"/>
      <c r="Y34" s="5"/>
      <c r="Z34" s="5"/>
      <c r="AA34" s="5"/>
      <c r="AB34" s="5"/>
    </row>
    <row r="35" spans="1:38">
      <c r="A35" s="5"/>
      <c r="B35" s="5"/>
      <c r="C35" s="5"/>
      <c r="D35" s="10" t="s">
        <v>943</v>
      </c>
      <c r="E35" s="5" t="s">
        <v>355</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c r="A36" s="5"/>
      <c r="C36" s="3"/>
      <c r="D36" s="5"/>
      <c r="E36" s="41" t="s">
        <v>1756</v>
      </c>
      <c r="F36" s="970" t="s">
        <v>1757</v>
      </c>
      <c r="G36" s="970"/>
      <c r="H36" s="970"/>
      <c r="I36" s="970"/>
      <c r="J36" s="970"/>
      <c r="K36" s="970"/>
      <c r="L36" s="970"/>
      <c r="M36" s="970"/>
      <c r="N36" s="970"/>
      <c r="O36" s="970"/>
      <c r="P36" s="970"/>
      <c r="Q36" s="970"/>
      <c r="R36" s="970"/>
      <c r="S36" s="970"/>
      <c r="T36" s="970"/>
      <c r="U36" s="970"/>
      <c r="V36" s="970"/>
      <c r="W36" s="970"/>
      <c r="X36" s="970"/>
      <c r="Y36" s="970"/>
      <c r="Z36" s="970"/>
      <c r="AA36" s="970"/>
      <c r="AB36" s="970"/>
      <c r="AC36" s="970"/>
      <c r="AD36" s="970"/>
      <c r="AE36" s="970"/>
      <c r="AF36" s="970"/>
      <c r="AG36" s="970"/>
      <c r="AH36" s="970"/>
      <c r="AI36" s="970"/>
      <c r="AJ36" s="970"/>
      <c r="AK36" s="970"/>
    </row>
    <row r="37" spans="1:38">
      <c r="A37" s="5"/>
      <c r="C37" s="3"/>
      <c r="D37" s="5"/>
      <c r="E37" s="5"/>
      <c r="F37" s="970"/>
      <c r="G37" s="970"/>
      <c r="H37" s="970"/>
      <c r="I37" s="970"/>
      <c r="J37" s="970"/>
      <c r="K37" s="970"/>
      <c r="L37" s="970"/>
      <c r="M37" s="970"/>
      <c r="N37" s="970"/>
      <c r="O37" s="970"/>
      <c r="P37" s="970"/>
      <c r="Q37" s="970"/>
      <c r="R37" s="970"/>
      <c r="S37" s="970"/>
      <c r="T37" s="970"/>
      <c r="U37" s="970"/>
      <c r="V37" s="970"/>
      <c r="W37" s="970"/>
      <c r="X37" s="970"/>
      <c r="Y37" s="970"/>
      <c r="Z37" s="970"/>
      <c r="AA37" s="970"/>
      <c r="AB37" s="970"/>
      <c r="AC37" s="970"/>
      <c r="AD37" s="970"/>
      <c r="AE37" s="970"/>
      <c r="AF37" s="970"/>
      <c r="AG37" s="970"/>
      <c r="AH37" s="970"/>
      <c r="AI37" s="970"/>
      <c r="AJ37" s="970"/>
      <c r="AK37" s="970"/>
    </row>
    <row r="38" spans="1:38">
      <c r="A38" s="5"/>
      <c r="C38" s="3"/>
      <c r="D38" s="5"/>
      <c r="E38" s="5"/>
      <c r="F38" s="44" t="s">
        <v>611</v>
      </c>
      <c r="G38" s="5" t="s">
        <v>929</v>
      </c>
      <c r="I38" s="5"/>
      <c r="J38" s="5"/>
      <c r="K38" s="5"/>
      <c r="L38" s="5"/>
      <c r="O38" s="5"/>
      <c r="P38" s="5"/>
      <c r="Q38" s="5"/>
      <c r="R38" s="5"/>
      <c r="S38" s="5"/>
      <c r="T38" s="5"/>
      <c r="U38" s="5"/>
      <c r="V38" s="5"/>
      <c r="W38" s="5"/>
      <c r="X38" s="5"/>
      <c r="Y38" s="5"/>
      <c r="Z38" s="5"/>
      <c r="AA38" s="5"/>
      <c r="AB38" s="5"/>
    </row>
    <row r="39" spans="1:38">
      <c r="A39" s="5"/>
      <c r="C39" s="3"/>
      <c r="D39" s="5"/>
      <c r="E39" s="5" t="s">
        <v>77</v>
      </c>
      <c r="F39" s="41" t="s">
        <v>1955</v>
      </c>
      <c r="G39" s="5"/>
      <c r="H39" s="5"/>
      <c r="I39" s="5"/>
      <c r="J39" s="5"/>
      <c r="K39" s="5"/>
      <c r="L39" s="5"/>
      <c r="O39" s="5"/>
      <c r="P39" s="5"/>
      <c r="Q39" s="5"/>
      <c r="R39" s="5"/>
      <c r="S39" s="5"/>
      <c r="T39" s="5"/>
      <c r="U39" s="5"/>
      <c r="V39" s="5"/>
      <c r="W39" s="5"/>
      <c r="X39" s="5"/>
      <c r="Y39" s="5"/>
      <c r="Z39" s="5"/>
      <c r="AA39" s="5"/>
      <c r="AB39" s="5"/>
    </row>
    <row r="40" spans="1:38">
      <c r="A40" s="5"/>
      <c r="C40" s="3"/>
      <c r="D40" s="5"/>
      <c r="E40" s="5"/>
      <c r="F40" s="44" t="s">
        <v>611</v>
      </c>
      <c r="G40" s="3" t="s">
        <v>2272</v>
      </c>
      <c r="I40" s="5"/>
      <c r="J40" s="5"/>
      <c r="K40" s="5"/>
      <c r="L40" s="5"/>
      <c r="O40" s="5"/>
      <c r="P40" s="5"/>
      <c r="Q40" s="5"/>
      <c r="R40" s="5"/>
      <c r="S40" s="5"/>
      <c r="T40" s="5"/>
      <c r="U40" s="5"/>
      <c r="V40" s="5"/>
      <c r="W40" s="5"/>
      <c r="X40" s="5"/>
      <c r="Y40" s="5"/>
      <c r="Z40" s="5"/>
      <c r="AA40" s="5"/>
      <c r="AB40" s="5"/>
    </row>
    <row r="41" spans="1:38">
      <c r="A41" s="5"/>
      <c r="C41" s="3"/>
      <c r="D41" s="5"/>
      <c r="E41" s="5"/>
      <c r="F41" s="44" t="s">
        <v>208</v>
      </c>
      <c r="G41" s="5" t="s">
        <v>617</v>
      </c>
      <c r="I41" s="5"/>
      <c r="J41" s="5"/>
      <c r="K41" s="5"/>
      <c r="L41" s="5"/>
      <c r="O41" s="5"/>
      <c r="P41" s="5"/>
      <c r="Q41" s="5"/>
      <c r="R41" s="5"/>
      <c r="S41" s="5"/>
      <c r="T41" s="5"/>
      <c r="U41" s="5"/>
      <c r="V41" s="5"/>
      <c r="W41" s="5"/>
      <c r="X41" s="5"/>
      <c r="Y41" s="5"/>
      <c r="Z41" s="5"/>
      <c r="AA41" s="5"/>
      <c r="AB41" s="5"/>
    </row>
    <row r="42" spans="1:38" ht="13.7" customHeight="1">
      <c r="A42" s="5"/>
      <c r="C42" s="3"/>
      <c r="D42" s="5"/>
      <c r="E42" s="5" t="s">
        <v>565</v>
      </c>
      <c r="F42" s="970" t="s">
        <v>2273</v>
      </c>
      <c r="G42" s="970"/>
      <c r="H42" s="970"/>
      <c r="I42" s="970"/>
      <c r="J42" s="970"/>
      <c r="K42" s="970"/>
      <c r="L42" s="970"/>
      <c r="M42" s="970"/>
      <c r="N42" s="970"/>
      <c r="O42" s="970"/>
      <c r="P42" s="970"/>
      <c r="Q42" s="970"/>
      <c r="R42" s="970"/>
      <c r="S42" s="970"/>
      <c r="T42" s="970"/>
      <c r="U42" s="970"/>
      <c r="V42" s="970"/>
      <c r="W42" s="970"/>
      <c r="X42" s="970"/>
      <c r="Y42" s="970"/>
      <c r="Z42" s="970"/>
      <c r="AA42" s="970"/>
      <c r="AB42" s="970"/>
      <c r="AC42" s="970"/>
      <c r="AD42" s="970"/>
      <c r="AE42" s="970"/>
      <c r="AF42" s="970"/>
      <c r="AG42" s="970"/>
      <c r="AH42" s="970"/>
      <c r="AI42" s="970"/>
      <c r="AJ42" s="970"/>
      <c r="AK42" s="970"/>
    </row>
    <row r="43" spans="1:38">
      <c r="A43" s="5"/>
      <c r="C43" s="3"/>
      <c r="D43" s="5"/>
      <c r="E43" s="5"/>
      <c r="F43" s="970"/>
      <c r="G43" s="970"/>
      <c r="H43" s="970"/>
      <c r="I43" s="970"/>
      <c r="J43" s="970"/>
      <c r="K43" s="970"/>
      <c r="L43" s="970"/>
      <c r="M43" s="970"/>
      <c r="N43" s="970"/>
      <c r="O43" s="970"/>
      <c r="P43" s="970"/>
      <c r="Q43" s="970"/>
      <c r="R43" s="970"/>
      <c r="S43" s="970"/>
      <c r="T43" s="970"/>
      <c r="U43" s="970"/>
      <c r="V43" s="970"/>
      <c r="W43" s="970"/>
      <c r="X43" s="970"/>
      <c r="Y43" s="970"/>
      <c r="Z43" s="970"/>
      <c r="AA43" s="970"/>
      <c r="AB43" s="970"/>
      <c r="AC43" s="970"/>
      <c r="AD43" s="970"/>
      <c r="AE43" s="970"/>
      <c r="AF43" s="970"/>
      <c r="AG43" s="970"/>
      <c r="AH43" s="970"/>
      <c r="AI43" s="970"/>
      <c r="AJ43" s="970"/>
      <c r="AK43" s="970"/>
    </row>
    <row r="44" spans="1:38">
      <c r="A44" s="5"/>
      <c r="C44" s="3"/>
      <c r="D44" s="5"/>
      <c r="E44" s="5"/>
      <c r="F44" s="970"/>
      <c r="G44" s="970"/>
      <c r="H44" s="970"/>
      <c r="I44" s="970"/>
      <c r="J44" s="970"/>
      <c r="K44" s="970"/>
      <c r="L44" s="970"/>
      <c r="M44" s="970"/>
      <c r="N44" s="970"/>
      <c r="O44" s="970"/>
      <c r="P44" s="970"/>
      <c r="Q44" s="970"/>
      <c r="R44" s="970"/>
      <c r="S44" s="970"/>
      <c r="T44" s="970"/>
      <c r="U44" s="970"/>
      <c r="V44" s="970"/>
      <c r="W44" s="970"/>
      <c r="X44" s="970"/>
      <c r="Y44" s="970"/>
      <c r="Z44" s="970"/>
      <c r="AA44" s="970"/>
      <c r="AB44" s="970"/>
      <c r="AC44" s="970"/>
      <c r="AD44" s="970"/>
      <c r="AE44" s="970"/>
      <c r="AF44" s="970"/>
      <c r="AG44" s="970"/>
      <c r="AH44" s="970"/>
      <c r="AI44" s="970"/>
      <c r="AJ44" s="970"/>
      <c r="AK44" s="970"/>
    </row>
    <row r="45" spans="1:38">
      <c r="A45" s="5"/>
      <c r="C45" s="3"/>
      <c r="D45" s="5"/>
      <c r="E45" s="5"/>
      <c r="F45" s="5"/>
      <c r="G45" s="5"/>
      <c r="H45" s="5"/>
      <c r="I45" s="5"/>
      <c r="J45" s="5"/>
      <c r="K45" s="5"/>
      <c r="L45" s="5"/>
      <c r="M45" s="5"/>
      <c r="N45" s="5"/>
      <c r="O45" s="5"/>
      <c r="P45" s="5"/>
      <c r="Q45" s="5"/>
      <c r="R45" s="5"/>
      <c r="S45" s="5"/>
      <c r="T45" s="5"/>
      <c r="U45" s="5"/>
      <c r="V45" s="5"/>
      <c r="W45" s="5"/>
      <c r="X45" s="5"/>
      <c r="Y45" s="5"/>
      <c r="Z45" s="5"/>
      <c r="AA45" s="5"/>
      <c r="AB45" s="5"/>
      <c r="AE45" s="41"/>
    </row>
    <row r="46" spans="1:38">
      <c r="A46" s="5"/>
      <c r="C46" s="3"/>
      <c r="D46" s="5" t="s">
        <v>944</v>
      </c>
      <c r="E46" s="5" t="s">
        <v>759</v>
      </c>
      <c r="F46" s="5"/>
      <c r="G46" s="5"/>
      <c r="H46" s="5"/>
      <c r="I46" s="5"/>
      <c r="J46" s="665"/>
      <c r="K46" s="665"/>
      <c r="L46" s="665"/>
      <c r="M46" s="665"/>
      <c r="N46" s="665"/>
      <c r="O46" s="158"/>
      <c r="P46" s="158"/>
      <c r="Q46" s="158"/>
      <c r="R46" s="158"/>
      <c r="S46" s="158"/>
      <c r="T46" s="158"/>
      <c r="U46" s="158"/>
      <c r="V46" s="158"/>
      <c r="W46" s="158"/>
      <c r="X46" s="158"/>
      <c r="Y46" s="158"/>
      <c r="Z46" s="158"/>
      <c r="AA46" s="158"/>
      <c r="AB46" s="158"/>
      <c r="AC46" s="158"/>
      <c r="AD46" s="158"/>
      <c r="AE46" s="158"/>
      <c r="AF46" s="158"/>
      <c r="AG46" s="3"/>
    </row>
    <row r="47" spans="1:38">
      <c r="A47" s="5"/>
      <c r="C47" s="3"/>
      <c r="D47" s="3"/>
      <c r="E47" s="5" t="s">
        <v>861</v>
      </c>
      <c r="F47" t="s">
        <v>802</v>
      </c>
      <c r="G47" s="3"/>
      <c r="H47" s="158"/>
      <c r="I47" s="158"/>
      <c r="L47" s="158"/>
      <c r="M47" s="158"/>
      <c r="N47" s="158"/>
      <c r="O47" s="158"/>
      <c r="P47" s="158"/>
      <c r="Q47" s="158"/>
      <c r="R47" s="158"/>
      <c r="S47" s="158"/>
      <c r="T47" s="158"/>
      <c r="U47" s="158"/>
      <c r="V47" s="158"/>
      <c r="W47" s="158"/>
      <c r="X47" s="158"/>
      <c r="Y47" s="158"/>
      <c r="Z47" s="158"/>
      <c r="AA47" s="158"/>
      <c r="AB47" s="158"/>
      <c r="AC47" s="158"/>
      <c r="AD47" s="158"/>
      <c r="AE47" s="158"/>
      <c r="AF47" s="158"/>
      <c r="AG47" s="3"/>
    </row>
    <row r="48" spans="1:38">
      <c r="A48" s="5"/>
      <c r="C48" s="3"/>
      <c r="D48" s="3"/>
      <c r="E48" s="5"/>
      <c r="F48" s="12" t="s">
        <v>611</v>
      </c>
      <c r="G48" s="972" t="s">
        <v>2274</v>
      </c>
      <c r="H48" s="972"/>
      <c r="I48" s="972"/>
      <c r="J48" s="972"/>
      <c r="K48" s="972"/>
      <c r="L48" s="972"/>
      <c r="M48" s="972"/>
      <c r="N48" s="972"/>
      <c r="O48" s="972"/>
      <c r="P48" s="972"/>
      <c r="Q48" s="972"/>
      <c r="R48" s="972"/>
      <c r="S48" s="972"/>
      <c r="T48" s="972"/>
      <c r="U48" s="972"/>
      <c r="V48" s="972"/>
      <c r="W48" s="972"/>
      <c r="X48" s="972"/>
      <c r="Y48" s="972"/>
      <c r="Z48" s="972"/>
      <c r="AA48" s="972"/>
      <c r="AB48" s="972"/>
      <c r="AC48" s="972"/>
      <c r="AD48" s="972"/>
      <c r="AE48" s="972"/>
      <c r="AF48" s="972"/>
      <c r="AG48" s="972"/>
      <c r="AH48" s="972"/>
      <c r="AI48" s="972"/>
      <c r="AJ48" s="972"/>
      <c r="AK48" s="972"/>
    </row>
    <row r="49" spans="1:38">
      <c r="A49" s="5"/>
      <c r="C49" s="3"/>
      <c r="D49" s="3"/>
      <c r="E49" s="5"/>
      <c r="F49" s="12"/>
      <c r="G49" s="972"/>
      <c r="H49" s="972"/>
      <c r="I49" s="972"/>
      <c r="J49" s="972"/>
      <c r="K49" s="972"/>
      <c r="L49" s="972"/>
      <c r="M49" s="972"/>
      <c r="N49" s="972"/>
      <c r="O49" s="972"/>
      <c r="P49" s="972"/>
      <c r="Q49" s="972"/>
      <c r="R49" s="972"/>
      <c r="S49" s="972"/>
      <c r="T49" s="972"/>
      <c r="U49" s="972"/>
      <c r="V49" s="972"/>
      <c r="W49" s="972"/>
      <c r="X49" s="972"/>
      <c r="Y49" s="972"/>
      <c r="Z49" s="972"/>
      <c r="AA49" s="972"/>
      <c r="AB49" s="972"/>
      <c r="AC49" s="972"/>
      <c r="AD49" s="972"/>
      <c r="AE49" s="972"/>
      <c r="AF49" s="972"/>
      <c r="AG49" s="972"/>
      <c r="AH49" s="972"/>
      <c r="AI49" s="972"/>
      <c r="AJ49" s="972"/>
      <c r="AK49" s="972"/>
    </row>
    <row r="50" spans="1:38">
      <c r="A50" s="5"/>
      <c r="C50" s="3"/>
      <c r="D50" s="3"/>
      <c r="E50" s="5"/>
      <c r="F50" s="12"/>
      <c r="G50" s="972"/>
      <c r="H50" s="972"/>
      <c r="I50" s="972"/>
      <c r="J50" s="972"/>
      <c r="K50" s="972"/>
      <c r="L50" s="972"/>
      <c r="M50" s="972"/>
      <c r="N50" s="972"/>
      <c r="O50" s="972"/>
      <c r="P50" s="972"/>
      <c r="Q50" s="972"/>
      <c r="R50" s="972"/>
      <c r="S50" s="972"/>
      <c r="T50" s="972"/>
      <c r="U50" s="972"/>
      <c r="V50" s="972"/>
      <c r="W50" s="972"/>
      <c r="X50" s="972"/>
      <c r="Y50" s="972"/>
      <c r="Z50" s="972"/>
      <c r="AA50" s="972"/>
      <c r="AB50" s="972"/>
      <c r="AC50" s="972"/>
      <c r="AD50" s="972"/>
      <c r="AE50" s="972"/>
      <c r="AF50" s="972"/>
      <c r="AG50" s="972"/>
      <c r="AH50" s="972"/>
      <c r="AI50" s="972"/>
      <c r="AJ50" s="972"/>
      <c r="AK50" s="972"/>
    </row>
    <row r="51" spans="1:38">
      <c r="A51" s="5"/>
      <c r="B51" s="3"/>
      <c r="C51" s="3"/>
      <c r="D51" s="3"/>
      <c r="E51" s="5"/>
      <c r="F51" s="12" t="s">
        <v>208</v>
      </c>
      <c r="G51" s="972" t="s">
        <v>2275</v>
      </c>
      <c r="H51" s="972"/>
      <c r="I51" s="972"/>
      <c r="J51" s="972"/>
      <c r="K51" s="972"/>
      <c r="L51" s="972"/>
      <c r="M51" s="972"/>
      <c r="N51" s="972"/>
      <c r="O51" s="972"/>
      <c r="P51" s="972"/>
      <c r="Q51" s="972"/>
      <c r="R51" s="972"/>
      <c r="S51" s="972"/>
      <c r="T51" s="972"/>
      <c r="U51" s="972"/>
      <c r="V51" s="972"/>
      <c r="W51" s="972"/>
      <c r="X51" s="972"/>
      <c r="Y51" s="972"/>
      <c r="Z51" s="972"/>
      <c r="AA51" s="972"/>
      <c r="AB51" s="972"/>
      <c r="AC51" s="972"/>
      <c r="AD51" s="972"/>
      <c r="AE51" s="972"/>
      <c r="AF51" s="972"/>
      <c r="AG51" s="972"/>
      <c r="AH51" s="972"/>
      <c r="AI51" s="972"/>
      <c r="AJ51" s="972"/>
      <c r="AK51" s="972"/>
    </row>
    <row r="52" spans="1:38" s="5" customFormat="1">
      <c r="B52"/>
      <c r="C52" s="3"/>
      <c r="D52" s="3"/>
      <c r="F52" s="12"/>
      <c r="G52" s="972"/>
      <c r="H52" s="972"/>
      <c r="I52" s="972"/>
      <c r="J52" s="972"/>
      <c r="K52" s="972"/>
      <c r="L52" s="972"/>
      <c r="M52" s="972"/>
      <c r="N52" s="972"/>
      <c r="O52" s="972"/>
      <c r="P52" s="972"/>
      <c r="Q52" s="972"/>
      <c r="R52" s="972"/>
      <c r="S52" s="972"/>
      <c r="T52" s="972"/>
      <c r="U52" s="972"/>
      <c r="V52" s="972"/>
      <c r="W52" s="972"/>
      <c r="X52" s="972"/>
      <c r="Y52" s="972"/>
      <c r="Z52" s="972"/>
      <c r="AA52" s="972"/>
      <c r="AB52" s="972"/>
      <c r="AC52" s="972"/>
      <c r="AD52" s="972"/>
      <c r="AE52" s="972"/>
      <c r="AF52" s="972"/>
      <c r="AG52" s="972"/>
      <c r="AH52" s="972"/>
      <c r="AI52" s="972"/>
      <c r="AJ52" s="972"/>
      <c r="AK52" s="972"/>
      <c r="AL52"/>
    </row>
    <row r="53" spans="1:38">
      <c r="A53" s="5"/>
      <c r="C53" s="3"/>
      <c r="D53" s="3"/>
      <c r="E53" s="5"/>
      <c r="F53" s="12"/>
      <c r="G53" s="972"/>
      <c r="H53" s="972"/>
      <c r="I53" s="972"/>
      <c r="J53" s="972"/>
      <c r="K53" s="972"/>
      <c r="L53" s="972"/>
      <c r="M53" s="972"/>
      <c r="N53" s="972"/>
      <c r="O53" s="972"/>
      <c r="P53" s="972"/>
      <c r="Q53" s="972"/>
      <c r="R53" s="972"/>
      <c r="S53" s="972"/>
      <c r="T53" s="972"/>
      <c r="U53" s="972"/>
      <c r="V53" s="972"/>
      <c r="W53" s="972"/>
      <c r="X53" s="972"/>
      <c r="Y53" s="972"/>
      <c r="Z53" s="972"/>
      <c r="AA53" s="972"/>
      <c r="AB53" s="972"/>
      <c r="AC53" s="972"/>
      <c r="AD53" s="972"/>
      <c r="AE53" s="972"/>
      <c r="AF53" s="972"/>
      <c r="AG53" s="972"/>
      <c r="AH53" s="972"/>
      <c r="AI53" s="972"/>
      <c r="AJ53" s="972"/>
      <c r="AK53" s="972"/>
    </row>
    <row r="54" spans="1:38">
      <c r="A54" s="5"/>
      <c r="C54" s="3"/>
      <c r="D54" s="3"/>
      <c r="E54" s="5"/>
      <c r="F54" s="3"/>
      <c r="G54" s="3"/>
      <c r="I54" s="3"/>
      <c r="J54" s="158"/>
      <c r="K54" s="158"/>
      <c r="L54" s="158"/>
      <c r="M54" s="158"/>
      <c r="N54" s="158"/>
      <c r="O54" s="158"/>
      <c r="P54" s="158"/>
      <c r="Q54" s="158"/>
      <c r="R54" s="158"/>
      <c r="S54" s="158"/>
      <c r="T54" s="158"/>
      <c r="U54" s="158"/>
      <c r="V54" s="158"/>
      <c r="W54" s="158"/>
      <c r="X54" s="158"/>
      <c r="Y54" s="158"/>
      <c r="Z54" s="158"/>
      <c r="AA54" s="158"/>
      <c r="AB54" s="158"/>
      <c r="AC54" s="158"/>
      <c r="AD54" s="158"/>
      <c r="AE54" s="158"/>
      <c r="AF54" s="158"/>
      <c r="AG54" s="3"/>
    </row>
    <row r="55" spans="1:38">
      <c r="A55" s="5"/>
      <c r="B55" s="5"/>
      <c r="C55" s="5"/>
      <c r="D55" s="5" t="s">
        <v>950</v>
      </c>
      <c r="E55" s="5" t="s">
        <v>408</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c r="A56" s="5"/>
      <c r="C56" s="3"/>
      <c r="E56" s="41" t="s">
        <v>1758</v>
      </c>
      <c r="G56" s="5"/>
      <c r="H56" s="5"/>
      <c r="I56" s="5"/>
      <c r="J56" s="5"/>
      <c r="K56" s="5"/>
      <c r="L56" s="5"/>
      <c r="M56" s="5"/>
      <c r="N56" s="5"/>
      <c r="O56" s="5"/>
      <c r="P56" s="5"/>
      <c r="Q56" s="5"/>
      <c r="R56" s="5"/>
      <c r="S56" s="5"/>
      <c r="T56" s="5"/>
      <c r="U56" s="5"/>
      <c r="V56" s="5"/>
      <c r="W56" s="5"/>
      <c r="X56" s="5"/>
      <c r="Y56" s="5"/>
      <c r="Z56" s="5"/>
      <c r="AA56" s="5"/>
      <c r="AB56" s="5"/>
    </row>
    <row r="57" spans="1:38">
      <c r="A57" s="5"/>
      <c r="C57" s="3"/>
      <c r="D57" s="5"/>
      <c r="E57" s="5" t="s">
        <v>861</v>
      </c>
      <c r="F57" s="5" t="s">
        <v>207</v>
      </c>
      <c r="G57" s="5"/>
      <c r="H57" s="5"/>
      <c r="I57" s="5"/>
      <c r="J57" s="5"/>
      <c r="K57" s="5"/>
      <c r="L57" s="5"/>
      <c r="M57" s="5"/>
      <c r="P57" s="5"/>
      <c r="Q57" s="5"/>
      <c r="R57" s="5"/>
      <c r="S57" s="5"/>
      <c r="T57" s="5"/>
      <c r="U57" s="5"/>
      <c r="V57" s="5"/>
      <c r="W57" s="5"/>
      <c r="X57" s="5"/>
      <c r="Y57" s="5"/>
      <c r="Z57" s="5"/>
      <c r="AA57" s="5"/>
      <c r="AB57" s="5"/>
    </row>
    <row r="58" spans="1:38">
      <c r="A58" s="5"/>
      <c r="C58" s="3"/>
      <c r="D58" s="5"/>
      <c r="E58" s="5"/>
      <c r="F58" t="s">
        <v>611</v>
      </c>
      <c r="G58" s="970" t="s">
        <v>1760</v>
      </c>
      <c r="H58" s="970"/>
      <c r="I58" s="970"/>
      <c r="J58" s="970"/>
      <c r="K58" s="970"/>
      <c r="L58" s="970"/>
      <c r="M58" s="970"/>
      <c r="N58" s="970"/>
      <c r="O58" s="970"/>
      <c r="P58" s="970"/>
      <c r="Q58" s="970"/>
      <c r="R58" s="970"/>
      <c r="S58" s="970"/>
      <c r="T58" s="970"/>
      <c r="U58" s="970"/>
      <c r="V58" s="970"/>
      <c r="W58" s="970"/>
      <c r="X58" s="970"/>
      <c r="Y58" s="970"/>
      <c r="Z58" s="970"/>
      <c r="AA58" s="970"/>
      <c r="AB58" s="970"/>
      <c r="AC58" s="970"/>
      <c r="AD58" s="970"/>
      <c r="AE58" s="970"/>
      <c r="AF58" s="970"/>
      <c r="AG58" s="970"/>
      <c r="AH58" s="970"/>
      <c r="AI58" s="970"/>
      <c r="AJ58" s="970"/>
      <c r="AK58" s="970"/>
    </row>
    <row r="59" spans="1:38">
      <c r="A59" s="5"/>
      <c r="C59" s="3"/>
      <c r="D59" s="5"/>
      <c r="E59" s="5"/>
      <c r="G59" s="970"/>
      <c r="H59" s="970"/>
      <c r="I59" s="970"/>
      <c r="J59" s="970"/>
      <c r="K59" s="970"/>
      <c r="L59" s="970"/>
      <c r="M59" s="970"/>
      <c r="N59" s="970"/>
      <c r="O59" s="970"/>
      <c r="P59" s="970"/>
      <c r="Q59" s="970"/>
      <c r="R59" s="970"/>
      <c r="S59" s="970"/>
      <c r="T59" s="970"/>
      <c r="U59" s="970"/>
      <c r="V59" s="970"/>
      <c r="W59" s="970"/>
      <c r="X59" s="970"/>
      <c r="Y59" s="970"/>
      <c r="Z59" s="970"/>
      <c r="AA59" s="970"/>
      <c r="AB59" s="970"/>
      <c r="AC59" s="970"/>
      <c r="AD59" s="970"/>
      <c r="AE59" s="970"/>
      <c r="AF59" s="970"/>
      <c r="AG59" s="970"/>
      <c r="AH59" s="970"/>
      <c r="AI59" s="970"/>
      <c r="AJ59" s="970"/>
      <c r="AK59" s="970"/>
    </row>
    <row r="60" spans="1:38">
      <c r="A60" s="5"/>
      <c r="C60" s="3"/>
      <c r="D60" s="5"/>
      <c r="E60" s="5"/>
      <c r="G60" s="970"/>
      <c r="H60" s="970"/>
      <c r="I60" s="970"/>
      <c r="J60" s="970"/>
      <c r="K60" s="970"/>
      <c r="L60" s="970"/>
      <c r="M60" s="970"/>
      <c r="N60" s="970"/>
      <c r="O60" s="970"/>
      <c r="P60" s="970"/>
      <c r="Q60" s="970"/>
      <c r="R60" s="970"/>
      <c r="S60" s="970"/>
      <c r="T60" s="970"/>
      <c r="U60" s="970"/>
      <c r="V60" s="970"/>
      <c r="W60" s="970"/>
      <c r="X60" s="970"/>
      <c r="Y60" s="970"/>
      <c r="Z60" s="970"/>
      <c r="AA60" s="970"/>
      <c r="AB60" s="970"/>
      <c r="AC60" s="970"/>
      <c r="AD60" s="970"/>
      <c r="AE60" s="970"/>
      <c r="AF60" s="970"/>
      <c r="AG60" s="970"/>
      <c r="AH60" s="970"/>
      <c r="AI60" s="970"/>
      <c r="AJ60" s="970"/>
      <c r="AK60" s="970"/>
    </row>
    <row r="61" spans="1:38">
      <c r="A61" s="5"/>
      <c r="C61" s="3"/>
      <c r="D61" s="5"/>
      <c r="E61" s="5"/>
      <c r="F61" t="s">
        <v>208</v>
      </c>
      <c r="G61" s="970" t="s">
        <v>1759</v>
      </c>
      <c r="H61" s="970"/>
      <c r="I61" s="970"/>
      <c r="J61" s="970"/>
      <c r="K61" s="970"/>
      <c r="L61" s="970"/>
      <c r="M61" s="970"/>
      <c r="N61" s="970"/>
      <c r="O61" s="970"/>
      <c r="P61" s="970"/>
      <c r="Q61" s="970"/>
      <c r="R61" s="970"/>
      <c r="S61" s="970"/>
      <c r="T61" s="970"/>
      <c r="U61" s="970"/>
      <c r="V61" s="970"/>
      <c r="W61" s="970"/>
      <c r="X61" s="970"/>
      <c r="Y61" s="970"/>
      <c r="Z61" s="970"/>
      <c r="AA61" s="970"/>
      <c r="AB61" s="970"/>
      <c r="AC61" s="970"/>
      <c r="AD61" s="970"/>
      <c r="AE61" s="970"/>
      <c r="AF61" s="970"/>
      <c r="AG61" s="970"/>
      <c r="AH61" s="970"/>
      <c r="AI61" s="970"/>
      <c r="AJ61" s="970"/>
      <c r="AK61" s="970"/>
    </row>
    <row r="62" spans="1:38">
      <c r="A62" s="5"/>
      <c r="C62" s="3"/>
      <c r="D62" s="5"/>
      <c r="E62" s="5"/>
      <c r="G62" s="970"/>
      <c r="H62" s="970"/>
      <c r="I62" s="970"/>
      <c r="J62" s="970"/>
      <c r="K62" s="970"/>
      <c r="L62" s="970"/>
      <c r="M62" s="970"/>
      <c r="N62" s="970"/>
      <c r="O62" s="970"/>
      <c r="P62" s="970"/>
      <c r="Q62" s="970"/>
      <c r="R62" s="970"/>
      <c r="S62" s="970"/>
      <c r="T62" s="970"/>
      <c r="U62" s="970"/>
      <c r="V62" s="970"/>
      <c r="W62" s="970"/>
      <c r="X62" s="970"/>
      <c r="Y62" s="970"/>
      <c r="Z62" s="970"/>
      <c r="AA62" s="970"/>
      <c r="AB62" s="970"/>
      <c r="AC62" s="970"/>
      <c r="AD62" s="970"/>
      <c r="AE62" s="970"/>
      <c r="AF62" s="970"/>
      <c r="AG62" s="970"/>
      <c r="AH62" s="970"/>
      <c r="AI62" s="970"/>
      <c r="AJ62" s="970"/>
      <c r="AK62" s="970"/>
    </row>
    <row r="63" spans="1:38">
      <c r="A63" s="5"/>
      <c r="C63" s="3"/>
      <c r="D63" s="5"/>
      <c r="E63" s="5"/>
      <c r="F63" s="34"/>
      <c r="G63" s="970"/>
      <c r="H63" s="970"/>
      <c r="I63" s="970"/>
      <c r="J63" s="970"/>
      <c r="K63" s="970"/>
      <c r="L63" s="970"/>
      <c r="M63" s="970"/>
      <c r="N63" s="970"/>
      <c r="O63" s="970"/>
      <c r="P63" s="970"/>
      <c r="Q63" s="970"/>
      <c r="R63" s="970"/>
      <c r="S63" s="970"/>
      <c r="T63" s="970"/>
      <c r="U63" s="970"/>
      <c r="V63" s="970"/>
      <c r="W63" s="970"/>
      <c r="X63" s="970"/>
      <c r="Y63" s="970"/>
      <c r="Z63" s="970"/>
      <c r="AA63" s="970"/>
      <c r="AB63" s="970"/>
      <c r="AC63" s="970"/>
      <c r="AD63" s="970"/>
      <c r="AE63" s="970"/>
      <c r="AF63" s="970"/>
      <c r="AG63" s="970"/>
      <c r="AH63" s="970"/>
      <c r="AI63" s="970"/>
      <c r="AJ63" s="970"/>
      <c r="AK63" s="970"/>
    </row>
    <row r="64" spans="1:38">
      <c r="A64" s="5"/>
      <c r="C64" s="3"/>
      <c r="D64" s="5"/>
      <c r="E64" s="5" t="s">
        <v>77</v>
      </c>
      <c r="F64" s="5" t="s">
        <v>721</v>
      </c>
      <c r="G64" s="5"/>
      <c r="H64" s="5"/>
      <c r="I64" s="5"/>
      <c r="J64" s="5"/>
      <c r="K64" s="5"/>
      <c r="L64" s="5"/>
      <c r="M64" s="5"/>
      <c r="P64" s="5"/>
      <c r="Q64" s="5"/>
      <c r="R64" s="5"/>
      <c r="S64" s="5"/>
      <c r="T64" s="5"/>
      <c r="U64" s="5"/>
      <c r="V64" s="5"/>
      <c r="W64" s="5"/>
      <c r="X64" s="5"/>
      <c r="Y64" s="5"/>
      <c r="Z64" s="5"/>
      <c r="AA64" s="5"/>
      <c r="AB64" s="5"/>
    </row>
    <row r="65" spans="1:37">
      <c r="A65" s="5"/>
      <c r="C65" s="3"/>
      <c r="D65" s="5"/>
      <c r="E65" s="5"/>
      <c r="F65" s="12" t="s">
        <v>611</v>
      </c>
      <c r="G65" s="970" t="s">
        <v>1761</v>
      </c>
      <c r="H65" s="970"/>
      <c r="I65" s="970"/>
      <c r="J65" s="970"/>
      <c r="K65" s="970"/>
      <c r="L65" s="970"/>
      <c r="M65" s="970"/>
      <c r="N65" s="970"/>
      <c r="O65" s="970"/>
      <c r="P65" s="970"/>
      <c r="Q65" s="970"/>
      <c r="R65" s="970"/>
      <c r="S65" s="970"/>
      <c r="T65" s="970"/>
      <c r="U65" s="970"/>
      <c r="V65" s="970"/>
      <c r="W65" s="970"/>
      <c r="X65" s="970"/>
      <c r="Y65" s="970"/>
      <c r="Z65" s="970"/>
      <c r="AA65" s="970"/>
      <c r="AB65" s="970"/>
      <c r="AC65" s="970"/>
      <c r="AD65" s="970"/>
      <c r="AE65" s="970"/>
      <c r="AF65" s="970"/>
      <c r="AG65" s="970"/>
      <c r="AH65" s="970"/>
      <c r="AI65" s="970"/>
      <c r="AJ65" s="970"/>
      <c r="AK65" s="970"/>
    </row>
    <row r="66" spans="1:37">
      <c r="A66" s="5"/>
      <c r="C66" s="3"/>
      <c r="D66" s="5"/>
      <c r="E66" s="5"/>
      <c r="F66" s="12"/>
      <c r="G66" s="970"/>
      <c r="H66" s="970"/>
      <c r="I66" s="970"/>
      <c r="J66" s="970"/>
      <c r="K66" s="970"/>
      <c r="L66" s="970"/>
      <c r="M66" s="970"/>
      <c r="N66" s="970"/>
      <c r="O66" s="970"/>
      <c r="P66" s="970"/>
      <c r="Q66" s="970"/>
      <c r="R66" s="970"/>
      <c r="S66" s="970"/>
      <c r="T66" s="970"/>
      <c r="U66" s="970"/>
      <c r="V66" s="970"/>
      <c r="W66" s="970"/>
      <c r="X66" s="970"/>
      <c r="Y66" s="970"/>
      <c r="Z66" s="970"/>
      <c r="AA66" s="970"/>
      <c r="AB66" s="970"/>
      <c r="AC66" s="970"/>
      <c r="AD66" s="970"/>
      <c r="AE66" s="970"/>
      <c r="AF66" s="970"/>
      <c r="AG66" s="970"/>
      <c r="AH66" s="970"/>
      <c r="AI66" s="970"/>
      <c r="AJ66" s="970"/>
      <c r="AK66" s="970"/>
    </row>
    <row r="67" spans="1:37">
      <c r="A67" s="5"/>
      <c r="C67" s="3"/>
      <c r="D67" s="5"/>
      <c r="E67" s="5"/>
      <c r="F67" s="12" t="s">
        <v>208</v>
      </c>
      <c r="G67" s="970" t="s">
        <v>1762</v>
      </c>
      <c r="H67" s="970"/>
      <c r="I67" s="970"/>
      <c r="J67" s="970"/>
      <c r="K67" s="970"/>
      <c r="L67" s="970"/>
      <c r="M67" s="970"/>
      <c r="N67" s="970"/>
      <c r="O67" s="970"/>
      <c r="P67" s="970"/>
      <c r="Q67" s="970"/>
      <c r="R67" s="970"/>
      <c r="S67" s="970"/>
      <c r="T67" s="970"/>
      <c r="U67" s="970"/>
      <c r="V67" s="970"/>
      <c r="W67" s="970"/>
      <c r="X67" s="970"/>
      <c r="Y67" s="970"/>
      <c r="Z67" s="970"/>
      <c r="AA67" s="970"/>
      <c r="AB67" s="970"/>
      <c r="AC67" s="970"/>
      <c r="AD67" s="970"/>
      <c r="AE67" s="970"/>
      <c r="AF67" s="970"/>
      <c r="AG67" s="970"/>
      <c r="AH67" s="970"/>
      <c r="AI67" s="970"/>
      <c r="AJ67" s="970"/>
      <c r="AK67" s="970"/>
    </row>
    <row r="68" spans="1:37">
      <c r="A68" s="5"/>
      <c r="C68" s="3"/>
      <c r="D68" s="5"/>
      <c r="E68" s="5"/>
      <c r="F68" s="12"/>
      <c r="G68" s="970"/>
      <c r="H68" s="970"/>
      <c r="I68" s="970"/>
      <c r="J68" s="970"/>
      <c r="K68" s="970"/>
      <c r="L68" s="970"/>
      <c r="M68" s="970"/>
      <c r="N68" s="970"/>
      <c r="O68" s="970"/>
      <c r="P68" s="970"/>
      <c r="Q68" s="970"/>
      <c r="R68" s="970"/>
      <c r="S68" s="970"/>
      <c r="T68" s="970"/>
      <c r="U68" s="970"/>
      <c r="V68" s="970"/>
      <c r="W68" s="970"/>
      <c r="X68" s="970"/>
      <c r="Y68" s="970"/>
      <c r="Z68" s="970"/>
      <c r="AA68" s="970"/>
      <c r="AB68" s="970"/>
      <c r="AC68" s="970"/>
      <c r="AD68" s="970"/>
      <c r="AE68" s="970"/>
      <c r="AF68" s="970"/>
      <c r="AG68" s="970"/>
      <c r="AH68" s="970"/>
      <c r="AI68" s="970"/>
      <c r="AJ68" s="970"/>
      <c r="AK68" s="970"/>
    </row>
    <row r="69" spans="1:37">
      <c r="A69" s="5"/>
      <c r="C69" s="3"/>
      <c r="D69" s="5"/>
      <c r="E69" s="5"/>
      <c r="F69" s="12"/>
      <c r="G69" s="158" t="s">
        <v>499</v>
      </c>
      <c r="H69" s="5"/>
      <c r="J69" s="158"/>
      <c r="K69" s="158"/>
      <c r="L69" s="158"/>
      <c r="P69" s="5"/>
      <c r="Q69" s="5"/>
      <c r="R69" s="5"/>
      <c r="S69" s="5"/>
      <c r="T69" s="5"/>
      <c r="U69" s="5"/>
      <c r="V69" s="5"/>
      <c r="W69" s="5"/>
      <c r="X69" s="5"/>
      <c r="Y69" s="5"/>
      <c r="Z69" s="5"/>
      <c r="AA69" s="5"/>
      <c r="AB69" s="5"/>
    </row>
    <row r="70" spans="1:37">
      <c r="A70" s="5"/>
      <c r="C70" s="3"/>
      <c r="D70" s="5"/>
      <c r="E70" s="5"/>
      <c r="F70" s="12"/>
      <c r="G70" s="158" t="s">
        <v>1093</v>
      </c>
      <c r="J70" s="158"/>
      <c r="K70" s="158"/>
      <c r="L70" s="158"/>
      <c r="P70" s="5"/>
      <c r="Q70" s="5"/>
      <c r="R70" s="5"/>
      <c r="S70" s="5"/>
      <c r="T70" s="5"/>
      <c r="U70" s="5"/>
      <c r="V70" s="5"/>
      <c r="W70" s="5"/>
      <c r="X70" s="5"/>
      <c r="Y70" s="5"/>
      <c r="Z70" s="5"/>
      <c r="AA70" s="5"/>
      <c r="AB70" s="5"/>
    </row>
    <row r="71" spans="1:37">
      <c r="A71" s="5"/>
      <c r="C71" s="3"/>
      <c r="D71" s="5"/>
      <c r="E71" s="5"/>
      <c r="F71" s="12" t="s">
        <v>931</v>
      </c>
      <c r="G71" s="5" t="s">
        <v>477</v>
      </c>
      <c r="H71" s="5"/>
      <c r="I71" s="5"/>
      <c r="K71" s="5"/>
      <c r="L71" s="5"/>
      <c r="M71" s="5"/>
      <c r="P71" s="5"/>
      <c r="Q71" s="5"/>
      <c r="R71" s="5"/>
      <c r="S71" s="5"/>
      <c r="T71" s="5"/>
      <c r="U71" s="5"/>
      <c r="V71" s="5"/>
      <c r="W71" s="5"/>
      <c r="X71" s="5"/>
      <c r="Y71" s="5"/>
      <c r="Z71" s="5"/>
      <c r="AA71" s="5"/>
      <c r="AB71" s="5"/>
    </row>
    <row r="72" spans="1:37">
      <c r="A72" s="5"/>
      <c r="C72" s="3"/>
      <c r="D72" s="5"/>
      <c r="E72" s="5"/>
      <c r="F72" s="5"/>
      <c r="G72" s="5" t="s">
        <v>206</v>
      </c>
      <c r="H72" s="5" t="s">
        <v>1092</v>
      </c>
      <c r="K72" s="5"/>
      <c r="L72" s="5"/>
      <c r="M72" s="5"/>
      <c r="P72" s="5"/>
      <c r="Q72" s="5"/>
      <c r="R72" s="5"/>
      <c r="S72" s="5"/>
      <c r="T72" s="5"/>
      <c r="U72" s="5"/>
      <c r="V72" s="5"/>
      <c r="W72" s="5"/>
      <c r="X72" s="5"/>
      <c r="Y72" s="5"/>
      <c r="Z72" s="5"/>
      <c r="AA72" s="5"/>
      <c r="AB72" s="5"/>
    </row>
    <row r="73" spans="1:37">
      <c r="A73" s="5"/>
      <c r="C73" s="3"/>
      <c r="D73" s="5"/>
      <c r="E73" s="5"/>
      <c r="F73" s="5"/>
      <c r="G73" s="5" t="s">
        <v>320</v>
      </c>
      <c r="H73" s="5" t="s">
        <v>478</v>
      </c>
      <c r="K73" s="5"/>
      <c r="L73" s="5"/>
      <c r="M73" s="5"/>
      <c r="P73" s="5"/>
      <c r="Q73" s="5"/>
      <c r="R73" s="5"/>
      <c r="S73" s="5"/>
      <c r="T73" s="5"/>
      <c r="U73" s="5"/>
      <c r="V73" s="5"/>
      <c r="W73" s="5"/>
      <c r="X73" s="5"/>
      <c r="Y73" s="5"/>
      <c r="Z73" s="5"/>
      <c r="AA73" s="5"/>
      <c r="AB73" s="5"/>
    </row>
    <row r="74" spans="1:37">
      <c r="A74" s="5"/>
      <c r="C74" s="3"/>
      <c r="D74" s="5"/>
      <c r="E74" s="5" t="s">
        <v>565</v>
      </c>
      <c r="F74" s="5" t="s">
        <v>834</v>
      </c>
      <c r="G74" s="5"/>
      <c r="H74" s="5"/>
      <c r="I74" s="5"/>
      <c r="J74" s="5"/>
      <c r="K74" s="5"/>
      <c r="L74" s="5"/>
      <c r="M74" s="5"/>
      <c r="P74" s="5"/>
      <c r="Q74" s="5"/>
      <c r="R74" s="5"/>
      <c r="S74" s="5"/>
      <c r="T74" s="5"/>
      <c r="U74" s="5"/>
      <c r="V74" s="5"/>
      <c r="W74" s="5"/>
      <c r="X74" s="5"/>
      <c r="Y74" s="5"/>
      <c r="Z74" s="5"/>
      <c r="AA74" s="5"/>
      <c r="AB74" s="5"/>
    </row>
    <row r="75" spans="1:37">
      <c r="A75" s="5"/>
      <c r="C75" s="3"/>
      <c r="D75" s="5"/>
      <c r="E75" s="5"/>
      <c r="F75" s="12"/>
      <c r="G75" s="970" t="s">
        <v>1775</v>
      </c>
      <c r="H75" s="970"/>
      <c r="I75" s="970"/>
      <c r="J75" s="970"/>
      <c r="K75" s="970"/>
      <c r="L75" s="970"/>
      <c r="M75" s="970"/>
      <c r="N75" s="970"/>
      <c r="O75" s="970"/>
      <c r="P75" s="970"/>
      <c r="Q75" s="970"/>
      <c r="R75" s="970"/>
      <c r="S75" s="970"/>
      <c r="T75" s="970"/>
      <c r="U75" s="970"/>
      <c r="V75" s="970"/>
      <c r="W75" s="970"/>
      <c r="X75" s="970"/>
      <c r="Y75" s="970"/>
      <c r="Z75" s="970"/>
      <c r="AA75" s="970"/>
      <c r="AB75" s="970"/>
      <c r="AC75" s="970"/>
      <c r="AD75" s="970"/>
      <c r="AE75" s="970"/>
      <c r="AF75" s="970"/>
      <c r="AG75" s="970"/>
      <c r="AH75" s="970"/>
      <c r="AI75" s="970"/>
      <c r="AJ75" s="970"/>
      <c r="AK75" s="970"/>
    </row>
    <row r="76" spans="1:37">
      <c r="A76" s="5"/>
      <c r="C76" s="3"/>
      <c r="D76" s="5"/>
      <c r="E76" s="5"/>
      <c r="F76" s="5"/>
      <c r="G76" s="970"/>
      <c r="H76" s="970"/>
      <c r="I76" s="970"/>
      <c r="J76" s="970"/>
      <c r="K76" s="970"/>
      <c r="L76" s="970"/>
      <c r="M76" s="970"/>
      <c r="N76" s="970"/>
      <c r="O76" s="970"/>
      <c r="P76" s="970"/>
      <c r="Q76" s="970"/>
      <c r="R76" s="970"/>
      <c r="S76" s="970"/>
      <c r="T76" s="970"/>
      <c r="U76" s="970"/>
      <c r="V76" s="970"/>
      <c r="W76" s="970"/>
      <c r="X76" s="970"/>
      <c r="Y76" s="970"/>
      <c r="Z76" s="970"/>
      <c r="AA76" s="970"/>
      <c r="AB76" s="970"/>
      <c r="AC76" s="970"/>
      <c r="AD76" s="970"/>
      <c r="AE76" s="970"/>
      <c r="AF76" s="970"/>
      <c r="AG76" s="970"/>
      <c r="AH76" s="970"/>
      <c r="AI76" s="970"/>
      <c r="AJ76" s="970"/>
      <c r="AK76" s="970"/>
    </row>
    <row r="77" spans="1:37">
      <c r="A77" s="5"/>
      <c r="C77" s="3"/>
      <c r="D77" s="5"/>
      <c r="E77" s="5"/>
      <c r="F77" s="5"/>
      <c r="G77" s="970"/>
      <c r="H77" s="970"/>
      <c r="I77" s="970"/>
      <c r="J77" s="970"/>
      <c r="K77" s="970"/>
      <c r="L77" s="970"/>
      <c r="M77" s="970"/>
      <c r="N77" s="970"/>
      <c r="O77" s="970"/>
      <c r="P77" s="970"/>
      <c r="Q77" s="970"/>
      <c r="R77" s="970"/>
      <c r="S77" s="970"/>
      <c r="T77" s="970"/>
      <c r="U77" s="970"/>
      <c r="V77" s="970"/>
      <c r="W77" s="970"/>
      <c r="X77" s="970"/>
      <c r="Y77" s="970"/>
      <c r="Z77" s="970"/>
      <c r="AA77" s="970"/>
      <c r="AB77" s="970"/>
      <c r="AC77" s="970"/>
      <c r="AD77" s="970"/>
      <c r="AE77" s="970"/>
      <c r="AF77" s="970"/>
      <c r="AG77" s="970"/>
      <c r="AH77" s="970"/>
      <c r="AI77" s="970"/>
      <c r="AJ77" s="970"/>
      <c r="AK77" s="970"/>
    </row>
    <row r="78" spans="1:37">
      <c r="A78" s="5"/>
      <c r="C78" s="3"/>
      <c r="D78" s="5"/>
      <c r="E78" s="5" t="s">
        <v>487</v>
      </c>
      <c r="F78" s="5" t="s">
        <v>93</v>
      </c>
      <c r="G78" s="5"/>
      <c r="H78" s="5"/>
      <c r="I78" s="5"/>
      <c r="J78" s="5"/>
      <c r="K78" s="5"/>
      <c r="L78" s="5"/>
      <c r="M78" s="5"/>
      <c r="P78" s="5"/>
      <c r="Q78" s="5"/>
      <c r="R78" s="5"/>
      <c r="S78" s="5"/>
      <c r="T78" s="5"/>
      <c r="U78" s="5"/>
      <c r="V78" s="5"/>
      <c r="W78" s="5"/>
      <c r="X78" s="5"/>
      <c r="Y78" s="5"/>
      <c r="Z78" s="5"/>
      <c r="AA78" s="5"/>
      <c r="AB78" s="5"/>
    </row>
    <row r="79" spans="1:37">
      <c r="A79" s="5"/>
      <c r="C79" s="3"/>
      <c r="D79" s="5"/>
      <c r="E79" s="5"/>
      <c r="F79" s="12"/>
      <c r="G79" s="970" t="s">
        <v>1776</v>
      </c>
      <c r="H79" s="970"/>
      <c r="I79" s="970"/>
      <c r="J79" s="970"/>
      <c r="K79" s="970"/>
      <c r="L79" s="970"/>
      <c r="M79" s="970"/>
      <c r="N79" s="970"/>
      <c r="O79" s="970"/>
      <c r="P79" s="970"/>
      <c r="Q79" s="970"/>
      <c r="R79" s="970"/>
      <c r="S79" s="970"/>
      <c r="T79" s="970"/>
      <c r="U79" s="970"/>
      <c r="V79" s="970"/>
      <c r="W79" s="970"/>
      <c r="X79" s="970"/>
      <c r="Y79" s="970"/>
      <c r="Z79" s="970"/>
      <c r="AA79" s="970"/>
      <c r="AB79" s="970"/>
      <c r="AC79" s="970"/>
      <c r="AD79" s="970"/>
      <c r="AE79" s="970"/>
      <c r="AF79" s="970"/>
      <c r="AG79" s="970"/>
      <c r="AH79" s="970"/>
      <c r="AI79" s="970"/>
      <c r="AJ79" s="970"/>
      <c r="AK79" s="970"/>
    </row>
    <row r="80" spans="1:37">
      <c r="A80" s="5"/>
      <c r="C80" s="3"/>
      <c r="D80" s="5"/>
      <c r="E80" s="5"/>
      <c r="F80" s="5"/>
      <c r="G80" s="970"/>
      <c r="H80" s="970"/>
      <c r="I80" s="970"/>
      <c r="J80" s="970"/>
      <c r="K80" s="970"/>
      <c r="L80" s="970"/>
      <c r="M80" s="970"/>
      <c r="N80" s="970"/>
      <c r="O80" s="970"/>
      <c r="P80" s="970"/>
      <c r="Q80" s="970"/>
      <c r="R80" s="970"/>
      <c r="S80" s="970"/>
      <c r="T80" s="970"/>
      <c r="U80" s="970"/>
      <c r="V80" s="970"/>
      <c r="W80" s="970"/>
      <c r="X80" s="970"/>
      <c r="Y80" s="970"/>
      <c r="Z80" s="970"/>
      <c r="AA80" s="970"/>
      <c r="AB80" s="970"/>
      <c r="AC80" s="970"/>
      <c r="AD80" s="970"/>
      <c r="AE80" s="970"/>
      <c r="AF80" s="970"/>
      <c r="AG80" s="970"/>
      <c r="AH80" s="970"/>
      <c r="AI80" s="970"/>
      <c r="AJ80" s="970"/>
      <c r="AK80" s="970"/>
    </row>
    <row r="81" spans="1:38">
      <c r="A81" s="5"/>
      <c r="C81" s="3"/>
      <c r="D81" s="5"/>
      <c r="E81" s="5"/>
      <c r="G81" s="970"/>
      <c r="H81" s="970"/>
      <c r="I81" s="970"/>
      <c r="J81" s="970"/>
      <c r="K81" s="970"/>
      <c r="L81" s="970"/>
      <c r="M81" s="970"/>
      <c r="N81" s="970"/>
      <c r="O81" s="970"/>
      <c r="P81" s="970"/>
      <c r="Q81" s="970"/>
      <c r="R81" s="970"/>
      <c r="S81" s="970"/>
      <c r="T81" s="970"/>
      <c r="U81" s="970"/>
      <c r="V81" s="970"/>
      <c r="W81" s="970"/>
      <c r="X81" s="970"/>
      <c r="Y81" s="970"/>
      <c r="Z81" s="970"/>
      <c r="AA81" s="970"/>
      <c r="AB81" s="970"/>
      <c r="AC81" s="970"/>
      <c r="AD81" s="970"/>
      <c r="AE81" s="970"/>
      <c r="AF81" s="970"/>
      <c r="AG81" s="970"/>
      <c r="AH81" s="970"/>
      <c r="AI81" s="970"/>
      <c r="AJ81" s="970"/>
      <c r="AK81" s="970"/>
    </row>
    <row r="82" spans="1:38">
      <c r="A82" s="5"/>
      <c r="C82" s="3"/>
      <c r="D82" s="5"/>
      <c r="E82" s="5" t="s">
        <v>52</v>
      </c>
      <c r="F82" s="5" t="s">
        <v>893</v>
      </c>
      <c r="G82" s="5"/>
      <c r="H82" s="5"/>
      <c r="I82" s="5"/>
      <c r="J82" s="5"/>
      <c r="L82" s="5"/>
      <c r="M82" s="5"/>
      <c r="P82" s="5"/>
      <c r="Q82" s="5"/>
      <c r="R82" s="5"/>
      <c r="S82" s="5"/>
      <c r="T82" s="5"/>
      <c r="U82" s="5"/>
      <c r="V82" s="5"/>
      <c r="W82" s="5"/>
      <c r="X82" s="5"/>
      <c r="Y82" s="5"/>
      <c r="Z82" s="5"/>
      <c r="AA82" s="5"/>
      <c r="AB82" s="5"/>
    </row>
    <row r="83" spans="1:38">
      <c r="A83" s="5"/>
      <c r="C83" s="3"/>
      <c r="D83" s="5"/>
      <c r="E83" s="5"/>
      <c r="G83" s="970" t="s">
        <v>1763</v>
      </c>
      <c r="H83" s="970"/>
      <c r="I83" s="970"/>
      <c r="J83" s="970"/>
      <c r="K83" s="970"/>
      <c r="L83" s="970"/>
      <c r="M83" s="970"/>
      <c r="N83" s="970"/>
      <c r="O83" s="970"/>
      <c r="P83" s="970"/>
      <c r="Q83" s="970"/>
      <c r="R83" s="970"/>
      <c r="S83" s="970"/>
      <c r="T83" s="970"/>
      <c r="U83" s="970"/>
      <c r="V83" s="970"/>
      <c r="W83" s="970"/>
      <c r="X83" s="970"/>
      <c r="Y83" s="970"/>
      <c r="Z83" s="970"/>
      <c r="AA83" s="970"/>
      <c r="AB83" s="970"/>
      <c r="AC83" s="970"/>
      <c r="AD83" s="970"/>
      <c r="AE83" s="970"/>
      <c r="AF83" s="970"/>
      <c r="AG83" s="970"/>
      <c r="AH83" s="970"/>
      <c r="AI83" s="970"/>
      <c r="AJ83" s="970"/>
      <c r="AK83" s="970"/>
    </row>
    <row r="84" spans="1:38">
      <c r="A84" s="5"/>
      <c r="C84" s="3"/>
      <c r="D84" s="5"/>
      <c r="E84" s="5"/>
      <c r="G84" s="970"/>
      <c r="H84" s="970"/>
      <c r="I84" s="970"/>
      <c r="J84" s="970"/>
      <c r="K84" s="970"/>
      <c r="L84" s="970"/>
      <c r="M84" s="970"/>
      <c r="N84" s="970"/>
      <c r="O84" s="970"/>
      <c r="P84" s="970"/>
      <c r="Q84" s="970"/>
      <c r="R84" s="970"/>
      <c r="S84" s="970"/>
      <c r="T84" s="970"/>
      <c r="U84" s="970"/>
      <c r="V84" s="970"/>
      <c r="W84" s="970"/>
      <c r="X84" s="970"/>
      <c r="Y84" s="970"/>
      <c r="Z84" s="970"/>
      <c r="AA84" s="970"/>
      <c r="AB84" s="970"/>
      <c r="AC84" s="970"/>
      <c r="AD84" s="970"/>
      <c r="AE84" s="970"/>
      <c r="AF84" s="970"/>
      <c r="AG84" s="970"/>
      <c r="AH84" s="970"/>
      <c r="AI84" s="970"/>
      <c r="AJ84" s="970"/>
      <c r="AK84" s="970"/>
    </row>
    <row r="85" spans="1:38">
      <c r="A85" s="5"/>
      <c r="C85" s="3"/>
      <c r="D85" s="5"/>
      <c r="E85" s="5" t="s">
        <v>53</v>
      </c>
      <c r="F85" s="5" t="s">
        <v>151</v>
      </c>
      <c r="G85" s="5"/>
      <c r="H85" s="5"/>
      <c r="I85" s="5"/>
      <c r="J85" s="5"/>
      <c r="K85" s="5"/>
      <c r="L85" s="5"/>
      <c r="M85" s="5"/>
      <c r="P85" s="5"/>
      <c r="Q85" s="5"/>
      <c r="R85" s="5"/>
      <c r="S85" s="5"/>
      <c r="T85" s="5"/>
      <c r="U85" s="5"/>
      <c r="V85" s="5"/>
      <c r="W85" s="5"/>
      <c r="X85" s="5"/>
      <c r="Y85" s="5"/>
      <c r="Z85" s="5"/>
      <c r="AA85" s="5"/>
      <c r="AB85" s="5"/>
    </row>
    <row r="86" spans="1:38">
      <c r="A86" s="5"/>
      <c r="C86" s="3"/>
      <c r="D86" s="5"/>
      <c r="E86" s="5"/>
      <c r="F86" s="12"/>
      <c r="G86" s="970" t="s">
        <v>1764</v>
      </c>
      <c r="H86" s="970"/>
      <c r="I86" s="970"/>
      <c r="J86" s="970"/>
      <c r="K86" s="970"/>
      <c r="L86" s="970"/>
      <c r="M86" s="970"/>
      <c r="N86" s="970"/>
      <c r="O86" s="970"/>
      <c r="P86" s="970"/>
      <c r="Q86" s="970"/>
      <c r="R86" s="970"/>
      <c r="S86" s="970"/>
      <c r="T86" s="970"/>
      <c r="U86" s="970"/>
      <c r="V86" s="970"/>
      <c r="W86" s="970"/>
      <c r="X86" s="970"/>
      <c r="Y86" s="970"/>
      <c r="Z86" s="970"/>
      <c r="AA86" s="970"/>
      <c r="AB86" s="970"/>
      <c r="AC86" s="970"/>
      <c r="AD86" s="970"/>
      <c r="AE86" s="970"/>
      <c r="AF86" s="970"/>
      <c r="AG86" s="970"/>
      <c r="AH86" s="970"/>
      <c r="AI86" s="970"/>
      <c r="AJ86" s="970"/>
      <c r="AK86" s="970"/>
    </row>
    <row r="87" spans="1:38">
      <c r="A87" s="5"/>
      <c r="C87" s="3"/>
      <c r="D87" s="5"/>
      <c r="E87" s="5"/>
      <c r="G87" s="970"/>
      <c r="H87" s="970"/>
      <c r="I87" s="970"/>
      <c r="J87" s="970"/>
      <c r="K87" s="970"/>
      <c r="L87" s="970"/>
      <c r="M87" s="970"/>
      <c r="N87" s="970"/>
      <c r="O87" s="970"/>
      <c r="P87" s="970"/>
      <c r="Q87" s="970"/>
      <c r="R87" s="970"/>
      <c r="S87" s="970"/>
      <c r="T87" s="970"/>
      <c r="U87" s="970"/>
      <c r="V87" s="970"/>
      <c r="W87" s="970"/>
      <c r="X87" s="970"/>
      <c r="Y87" s="970"/>
      <c r="Z87" s="970"/>
      <c r="AA87" s="970"/>
      <c r="AB87" s="970"/>
      <c r="AC87" s="970"/>
      <c r="AD87" s="970"/>
      <c r="AE87" s="970"/>
      <c r="AF87" s="970"/>
      <c r="AG87" s="970"/>
      <c r="AH87" s="970"/>
      <c r="AI87" s="970"/>
      <c r="AJ87" s="970"/>
      <c r="AK87" s="970"/>
    </row>
    <row r="88" spans="1:38">
      <c r="A88" s="5"/>
      <c r="C88" s="3"/>
      <c r="D88" s="5"/>
      <c r="E88" s="5" t="s">
        <v>266</v>
      </c>
      <c r="F88" s="5" t="s">
        <v>1038</v>
      </c>
      <c r="G88" s="5"/>
      <c r="L88" s="5"/>
      <c r="M88" s="5"/>
      <c r="P88" s="5"/>
      <c r="Q88" s="5"/>
      <c r="R88" s="5"/>
      <c r="S88" s="5"/>
      <c r="T88" s="5"/>
      <c r="U88" s="5"/>
      <c r="V88" s="5"/>
      <c r="W88" s="5"/>
      <c r="X88" s="5"/>
      <c r="Y88" s="5"/>
      <c r="Z88" s="5"/>
      <c r="AA88" s="5"/>
      <c r="AB88" s="5"/>
    </row>
    <row r="89" spans="1:38">
      <c r="A89" s="5"/>
      <c r="C89" s="3"/>
      <c r="D89" s="5"/>
      <c r="E89" s="5"/>
      <c r="F89" s="12"/>
      <c r="G89" s="970" t="s">
        <v>1768</v>
      </c>
      <c r="H89" s="970"/>
      <c r="I89" s="970"/>
      <c r="J89" s="970"/>
      <c r="K89" s="970"/>
      <c r="L89" s="970"/>
      <c r="M89" s="970"/>
      <c r="N89" s="970"/>
      <c r="O89" s="970"/>
      <c r="P89" s="970"/>
      <c r="Q89" s="970"/>
      <c r="R89" s="970"/>
      <c r="S89" s="970"/>
      <c r="T89" s="970"/>
      <c r="U89" s="970"/>
      <c r="V89" s="970"/>
      <c r="W89" s="970"/>
      <c r="X89" s="970"/>
      <c r="Y89" s="970"/>
      <c r="Z89" s="970"/>
      <c r="AA89" s="970"/>
      <c r="AB89" s="970"/>
      <c r="AC89" s="970"/>
      <c r="AD89" s="970"/>
      <c r="AE89" s="970"/>
      <c r="AF89" s="970"/>
      <c r="AG89" s="970"/>
      <c r="AH89" s="970"/>
      <c r="AI89" s="970"/>
      <c r="AJ89" s="970"/>
      <c r="AK89" s="970"/>
    </row>
    <row r="90" spans="1:38">
      <c r="A90" s="5"/>
      <c r="C90" s="3"/>
      <c r="D90" s="5"/>
      <c r="E90" s="5"/>
      <c r="F90" s="5"/>
      <c r="G90" s="970"/>
      <c r="H90" s="970"/>
      <c r="I90" s="970"/>
      <c r="J90" s="970"/>
      <c r="K90" s="970"/>
      <c r="L90" s="970"/>
      <c r="M90" s="970"/>
      <c r="N90" s="970"/>
      <c r="O90" s="970"/>
      <c r="P90" s="970"/>
      <c r="Q90" s="970"/>
      <c r="R90" s="970"/>
      <c r="S90" s="970"/>
      <c r="T90" s="970"/>
      <c r="U90" s="970"/>
      <c r="V90" s="970"/>
      <c r="W90" s="970"/>
      <c r="X90" s="970"/>
      <c r="Y90" s="970"/>
      <c r="Z90" s="970"/>
      <c r="AA90" s="970"/>
      <c r="AB90" s="970"/>
      <c r="AC90" s="970"/>
      <c r="AD90" s="970"/>
      <c r="AE90" s="970"/>
      <c r="AF90" s="970"/>
      <c r="AG90" s="970"/>
      <c r="AH90" s="970"/>
      <c r="AI90" s="970"/>
      <c r="AJ90" s="970"/>
      <c r="AK90" s="970"/>
    </row>
    <row r="91" spans="1:38">
      <c r="A91" s="5"/>
      <c r="C91" s="3"/>
      <c r="D91" s="5"/>
      <c r="E91" s="5"/>
      <c r="F91" s="5"/>
      <c r="G91" s="970"/>
      <c r="H91" s="970"/>
      <c r="I91" s="970"/>
      <c r="J91" s="970"/>
      <c r="K91" s="970"/>
      <c r="L91" s="970"/>
      <c r="M91" s="970"/>
      <c r="N91" s="970"/>
      <c r="O91" s="970"/>
      <c r="P91" s="970"/>
      <c r="Q91" s="970"/>
      <c r="R91" s="970"/>
      <c r="S91" s="970"/>
      <c r="T91" s="970"/>
      <c r="U91" s="970"/>
      <c r="V91" s="970"/>
      <c r="W91" s="970"/>
      <c r="X91" s="970"/>
      <c r="Y91" s="970"/>
      <c r="Z91" s="970"/>
      <c r="AA91" s="970"/>
      <c r="AB91" s="970"/>
      <c r="AC91" s="970"/>
      <c r="AD91" s="970"/>
      <c r="AE91" s="970"/>
      <c r="AF91" s="970"/>
      <c r="AG91" s="970"/>
      <c r="AH91" s="970"/>
      <c r="AI91" s="970"/>
      <c r="AJ91" s="970"/>
      <c r="AK91" s="970"/>
    </row>
    <row r="92" spans="1:38">
      <c r="A92" s="5"/>
      <c r="C92" s="3"/>
      <c r="D92" s="5"/>
      <c r="E92" s="5"/>
      <c r="F92" s="5"/>
      <c r="G92" s="970"/>
      <c r="H92" s="970"/>
      <c r="I92" s="970"/>
      <c r="J92" s="970"/>
      <c r="K92" s="970"/>
      <c r="L92" s="970"/>
      <c r="M92" s="970"/>
      <c r="N92" s="970"/>
      <c r="O92" s="970"/>
      <c r="P92" s="970"/>
      <c r="Q92" s="970"/>
      <c r="R92" s="970"/>
      <c r="S92" s="970"/>
      <c r="T92" s="970"/>
      <c r="U92" s="970"/>
      <c r="V92" s="970"/>
      <c r="W92" s="970"/>
      <c r="X92" s="970"/>
      <c r="Y92" s="970"/>
      <c r="Z92" s="970"/>
      <c r="AA92" s="970"/>
      <c r="AB92" s="970"/>
      <c r="AC92" s="970"/>
      <c r="AD92" s="970"/>
      <c r="AE92" s="970"/>
      <c r="AF92" s="970"/>
      <c r="AG92" s="970"/>
      <c r="AH92" s="970"/>
      <c r="AI92" s="970"/>
      <c r="AJ92" s="970"/>
      <c r="AK92" s="970"/>
    </row>
    <row r="93" spans="1:38">
      <c r="A93" s="365"/>
      <c r="B93" s="365"/>
      <c r="C93" s="377"/>
      <c r="D93" s="365"/>
      <c r="E93" s="365" t="s">
        <v>1037</v>
      </c>
      <c r="F93" s="365" t="s">
        <v>1094</v>
      </c>
      <c r="G93" s="365"/>
      <c r="H93" s="365"/>
      <c r="I93" s="365"/>
      <c r="J93" s="365"/>
      <c r="K93" s="365"/>
      <c r="L93" s="365"/>
      <c r="M93" s="365"/>
      <c r="N93" s="365"/>
      <c r="O93" s="365"/>
      <c r="P93" s="365"/>
      <c r="Q93" s="365"/>
      <c r="R93" s="365"/>
      <c r="S93" s="365"/>
      <c r="T93" s="365"/>
      <c r="U93" s="365"/>
      <c r="V93" s="365"/>
      <c r="W93" s="365"/>
      <c r="X93" s="365"/>
      <c r="Y93" s="365"/>
      <c r="Z93" s="365"/>
      <c r="AA93" s="365"/>
      <c r="AB93" s="365"/>
      <c r="AC93" s="365"/>
      <c r="AD93" s="365"/>
      <c r="AE93" s="365"/>
      <c r="AF93" s="365"/>
      <c r="AG93" s="365"/>
      <c r="AH93" s="365"/>
      <c r="AI93" s="365"/>
      <c r="AJ93" s="365"/>
      <c r="AK93" s="365"/>
      <c r="AL93" s="365"/>
    </row>
    <row r="94" spans="1:38">
      <c r="A94" s="365"/>
      <c r="B94" s="365"/>
      <c r="C94" s="377"/>
      <c r="D94" s="365"/>
      <c r="E94" s="365"/>
      <c r="F94" s="365"/>
      <c r="G94" s="971" t="s">
        <v>1769</v>
      </c>
      <c r="H94" s="971"/>
      <c r="I94" s="971"/>
      <c r="J94" s="971"/>
      <c r="K94" s="971"/>
      <c r="L94" s="971"/>
      <c r="M94" s="971"/>
      <c r="N94" s="971"/>
      <c r="O94" s="971"/>
      <c r="P94" s="971"/>
      <c r="Q94" s="971"/>
      <c r="R94" s="971"/>
      <c r="S94" s="971"/>
      <c r="T94" s="971"/>
      <c r="U94" s="971"/>
      <c r="V94" s="971"/>
      <c r="W94" s="971"/>
      <c r="X94" s="971"/>
      <c r="Y94" s="971"/>
      <c r="Z94" s="971"/>
      <c r="AA94" s="971"/>
      <c r="AB94" s="971"/>
      <c r="AC94" s="971"/>
      <c r="AD94" s="971"/>
      <c r="AE94" s="971"/>
      <c r="AF94" s="971"/>
      <c r="AG94" s="971"/>
      <c r="AH94" s="971"/>
      <c r="AI94" s="971"/>
      <c r="AJ94" s="971"/>
      <c r="AK94" s="971"/>
      <c r="AL94" s="365"/>
    </row>
    <row r="95" spans="1:38">
      <c r="A95" s="365"/>
      <c r="B95" s="365"/>
      <c r="C95" s="377"/>
      <c r="D95" s="365"/>
      <c r="E95" s="365"/>
      <c r="F95" s="365"/>
      <c r="G95" s="971"/>
      <c r="H95" s="971"/>
      <c r="I95" s="971"/>
      <c r="J95" s="971"/>
      <c r="K95" s="971"/>
      <c r="L95" s="971"/>
      <c r="M95" s="971"/>
      <c r="N95" s="971"/>
      <c r="O95" s="971"/>
      <c r="P95" s="971"/>
      <c r="Q95" s="971"/>
      <c r="R95" s="971"/>
      <c r="S95" s="971"/>
      <c r="T95" s="971"/>
      <c r="U95" s="971"/>
      <c r="V95" s="971"/>
      <c r="W95" s="971"/>
      <c r="X95" s="971"/>
      <c r="Y95" s="971"/>
      <c r="Z95" s="971"/>
      <c r="AA95" s="971"/>
      <c r="AB95" s="971"/>
      <c r="AC95" s="971"/>
      <c r="AD95" s="971"/>
      <c r="AE95" s="971"/>
      <c r="AF95" s="971"/>
      <c r="AG95" s="971"/>
      <c r="AH95" s="971"/>
      <c r="AI95" s="971"/>
      <c r="AJ95" s="971"/>
      <c r="AK95" s="971"/>
      <c r="AL95" s="365"/>
    </row>
    <row r="96" spans="1:38">
      <c r="A96" s="365"/>
      <c r="B96" s="365"/>
      <c r="C96" s="377"/>
      <c r="D96" s="365"/>
      <c r="E96" s="365"/>
      <c r="F96" s="365"/>
      <c r="G96" s="971"/>
      <c r="H96" s="971"/>
      <c r="I96" s="971"/>
      <c r="J96" s="971"/>
      <c r="K96" s="971"/>
      <c r="L96" s="971"/>
      <c r="M96" s="971"/>
      <c r="N96" s="971"/>
      <c r="O96" s="971"/>
      <c r="P96" s="971"/>
      <c r="Q96" s="971"/>
      <c r="R96" s="971"/>
      <c r="S96" s="971"/>
      <c r="T96" s="971"/>
      <c r="U96" s="971"/>
      <c r="V96" s="971"/>
      <c r="W96" s="971"/>
      <c r="X96" s="971"/>
      <c r="Y96" s="971"/>
      <c r="Z96" s="971"/>
      <c r="AA96" s="971"/>
      <c r="AB96" s="971"/>
      <c r="AC96" s="971"/>
      <c r="AD96" s="971"/>
      <c r="AE96" s="971"/>
      <c r="AF96" s="971"/>
      <c r="AG96" s="971"/>
      <c r="AH96" s="971"/>
      <c r="AI96" s="971"/>
      <c r="AJ96" s="971"/>
      <c r="AK96" s="971"/>
      <c r="AL96" s="365"/>
    </row>
    <row r="97" spans="1:38">
      <c r="A97" s="365"/>
      <c r="B97" s="365"/>
      <c r="C97" s="377"/>
      <c r="D97" s="365"/>
      <c r="E97" s="365"/>
      <c r="F97" s="365"/>
      <c r="G97" s="971"/>
      <c r="H97" s="971"/>
      <c r="I97" s="971"/>
      <c r="J97" s="971"/>
      <c r="K97" s="971"/>
      <c r="L97" s="971"/>
      <c r="M97" s="971"/>
      <c r="N97" s="971"/>
      <c r="O97" s="971"/>
      <c r="P97" s="971"/>
      <c r="Q97" s="971"/>
      <c r="R97" s="971"/>
      <c r="S97" s="971"/>
      <c r="T97" s="971"/>
      <c r="U97" s="971"/>
      <c r="V97" s="971"/>
      <c r="W97" s="971"/>
      <c r="X97" s="971"/>
      <c r="Y97" s="971"/>
      <c r="Z97" s="971"/>
      <c r="AA97" s="971"/>
      <c r="AB97" s="971"/>
      <c r="AC97" s="971"/>
      <c r="AD97" s="971"/>
      <c r="AE97" s="971"/>
      <c r="AF97" s="971"/>
      <c r="AG97" s="971"/>
      <c r="AH97" s="971"/>
      <c r="AI97" s="971"/>
      <c r="AJ97" s="971"/>
      <c r="AK97" s="971"/>
      <c r="AL97" s="365"/>
    </row>
    <row r="98" spans="1:38">
      <c r="A98" s="5"/>
      <c r="C98" s="3"/>
      <c r="D98" s="5"/>
      <c r="E98" s="5" t="s">
        <v>1039</v>
      </c>
      <c r="F98" s="5" t="s">
        <v>567</v>
      </c>
      <c r="G98" s="5"/>
      <c r="H98" s="5"/>
      <c r="I98" s="5"/>
      <c r="J98" s="5"/>
      <c r="K98" s="5"/>
      <c r="L98" s="5"/>
      <c r="M98" s="5"/>
      <c r="P98" s="5"/>
      <c r="Q98" s="5"/>
      <c r="R98" s="5"/>
      <c r="S98" s="5"/>
      <c r="T98" s="5"/>
      <c r="U98" s="5"/>
      <c r="V98" s="5"/>
      <c r="W98" s="5"/>
      <c r="X98" s="5"/>
      <c r="Y98" s="5"/>
      <c r="Z98" s="5"/>
      <c r="AA98" s="5"/>
      <c r="AB98" s="5"/>
    </row>
    <row r="99" spans="1:38">
      <c r="A99" s="5"/>
      <c r="C99" s="3"/>
      <c r="D99" s="5"/>
      <c r="E99" s="5"/>
      <c r="F99" s="5"/>
      <c r="G99" s="970" t="s">
        <v>1770</v>
      </c>
      <c r="H99" s="970"/>
      <c r="I99" s="970"/>
      <c r="J99" s="970"/>
      <c r="K99" s="970"/>
      <c r="L99" s="970"/>
      <c r="M99" s="970"/>
      <c r="N99" s="970"/>
      <c r="O99" s="970"/>
      <c r="P99" s="970"/>
      <c r="Q99" s="970"/>
      <c r="R99" s="970"/>
      <c r="S99" s="970"/>
      <c r="T99" s="970"/>
      <c r="U99" s="970"/>
      <c r="V99" s="970"/>
      <c r="W99" s="970"/>
      <c r="X99" s="970"/>
      <c r="Y99" s="970"/>
      <c r="Z99" s="970"/>
      <c r="AA99" s="970"/>
      <c r="AB99" s="970"/>
      <c r="AC99" s="970"/>
      <c r="AD99" s="970"/>
      <c r="AE99" s="970"/>
      <c r="AF99" s="970"/>
      <c r="AG99" s="970"/>
      <c r="AH99" s="970"/>
      <c r="AI99" s="970"/>
      <c r="AJ99" s="970"/>
      <c r="AK99" s="970"/>
    </row>
    <row r="100" spans="1:38">
      <c r="A100" s="5"/>
      <c r="C100" s="3"/>
      <c r="D100" s="5"/>
      <c r="E100" s="5"/>
      <c r="G100" s="970"/>
      <c r="H100" s="970"/>
      <c r="I100" s="970"/>
      <c r="J100" s="970"/>
      <c r="K100" s="970"/>
      <c r="L100" s="970"/>
      <c r="M100" s="970"/>
      <c r="N100" s="970"/>
      <c r="O100" s="970"/>
      <c r="P100" s="970"/>
      <c r="Q100" s="970"/>
      <c r="R100" s="970"/>
      <c r="S100" s="970"/>
      <c r="T100" s="970"/>
      <c r="U100" s="970"/>
      <c r="V100" s="970"/>
      <c r="W100" s="970"/>
      <c r="X100" s="970"/>
      <c r="Y100" s="970"/>
      <c r="Z100" s="970"/>
      <c r="AA100" s="970"/>
      <c r="AB100" s="970"/>
      <c r="AC100" s="970"/>
      <c r="AD100" s="970"/>
      <c r="AE100" s="970"/>
      <c r="AF100" s="970"/>
      <c r="AG100" s="970"/>
      <c r="AH100" s="970"/>
      <c r="AI100" s="970"/>
      <c r="AJ100" s="970"/>
      <c r="AK100" s="970"/>
    </row>
    <row r="101" spans="1:38">
      <c r="A101" s="5"/>
      <c r="C101" s="3"/>
      <c r="D101" s="5"/>
      <c r="E101" s="5" t="s">
        <v>1040</v>
      </c>
      <c r="F101" s="5" t="s">
        <v>1041</v>
      </c>
      <c r="G101" s="5"/>
      <c r="H101" s="5"/>
      <c r="I101" s="5"/>
      <c r="J101" s="5"/>
      <c r="K101" s="5"/>
      <c r="L101" s="5"/>
      <c r="M101" s="5"/>
      <c r="P101" s="5"/>
      <c r="Q101" s="5"/>
      <c r="R101" s="5"/>
      <c r="S101" s="5"/>
      <c r="T101" s="5"/>
      <c r="U101" s="5"/>
      <c r="V101" s="5"/>
      <c r="W101" s="5"/>
      <c r="X101" s="5"/>
      <c r="Y101" s="5"/>
      <c r="Z101" s="5"/>
      <c r="AA101" s="5"/>
      <c r="AB101" s="5"/>
    </row>
    <row r="102" spans="1:38">
      <c r="A102" s="5"/>
      <c r="C102" s="3"/>
      <c r="D102" s="5"/>
      <c r="E102" s="5"/>
      <c r="F102" s="5"/>
      <c r="G102" s="970" t="s">
        <v>1771</v>
      </c>
      <c r="H102" s="970"/>
      <c r="I102" s="970"/>
      <c r="J102" s="970"/>
      <c r="K102" s="970"/>
      <c r="L102" s="970"/>
      <c r="M102" s="970"/>
      <c r="N102" s="970"/>
      <c r="O102" s="970"/>
      <c r="P102" s="970"/>
      <c r="Q102" s="970"/>
      <c r="R102" s="970"/>
      <c r="S102" s="970"/>
      <c r="T102" s="970"/>
      <c r="U102" s="970"/>
      <c r="V102" s="970"/>
      <c r="W102" s="970"/>
      <c r="X102" s="970"/>
      <c r="Y102" s="970"/>
      <c r="Z102" s="970"/>
      <c r="AA102" s="970"/>
      <c r="AB102" s="970"/>
      <c r="AC102" s="970"/>
      <c r="AD102" s="970"/>
      <c r="AE102" s="970"/>
      <c r="AF102" s="970"/>
      <c r="AG102" s="970"/>
      <c r="AH102" s="970"/>
      <c r="AI102" s="970"/>
      <c r="AJ102" s="970"/>
      <c r="AK102" s="970"/>
    </row>
    <row r="103" spans="1:38">
      <c r="A103" s="5"/>
      <c r="C103" s="3"/>
      <c r="D103" s="5"/>
      <c r="E103" s="5"/>
      <c r="G103" s="970"/>
      <c r="H103" s="970"/>
      <c r="I103" s="970"/>
      <c r="J103" s="970"/>
      <c r="K103" s="970"/>
      <c r="L103" s="970"/>
      <c r="M103" s="970"/>
      <c r="N103" s="970"/>
      <c r="O103" s="970"/>
      <c r="P103" s="970"/>
      <c r="Q103" s="970"/>
      <c r="R103" s="970"/>
      <c r="S103" s="970"/>
      <c r="T103" s="970"/>
      <c r="U103" s="970"/>
      <c r="V103" s="970"/>
      <c r="W103" s="970"/>
      <c r="X103" s="970"/>
      <c r="Y103" s="970"/>
      <c r="Z103" s="970"/>
      <c r="AA103" s="970"/>
      <c r="AB103" s="970"/>
      <c r="AC103" s="970"/>
      <c r="AD103" s="970"/>
      <c r="AE103" s="970"/>
      <c r="AF103" s="970"/>
      <c r="AG103" s="970"/>
      <c r="AH103" s="970"/>
      <c r="AI103" s="970"/>
      <c r="AJ103" s="970"/>
      <c r="AK103" s="970"/>
    </row>
    <row r="104" spans="1:38">
      <c r="A104" s="5"/>
      <c r="C104" s="3"/>
      <c r="D104" s="5"/>
      <c r="E104" s="5" t="s">
        <v>1042</v>
      </c>
      <c r="F104" s="5" t="s">
        <v>1043</v>
      </c>
      <c r="G104" s="5"/>
      <c r="L104" s="5"/>
      <c r="M104" s="5"/>
      <c r="P104" s="5"/>
      <c r="Q104" s="5"/>
      <c r="R104" s="5"/>
      <c r="S104" s="5"/>
      <c r="T104" s="5"/>
      <c r="U104" s="5"/>
      <c r="V104" s="5"/>
      <c r="W104" s="5"/>
      <c r="X104" s="5"/>
      <c r="Y104" s="5"/>
      <c r="Z104" s="5"/>
      <c r="AA104" s="5"/>
      <c r="AB104" s="5"/>
    </row>
    <row r="105" spans="1:38">
      <c r="A105" s="5"/>
      <c r="C105" s="3"/>
      <c r="D105" s="5"/>
      <c r="E105" s="5"/>
      <c r="F105" s="5"/>
      <c r="G105" s="970" t="s">
        <v>1772</v>
      </c>
      <c r="H105" s="970"/>
      <c r="I105" s="970"/>
      <c r="J105" s="970"/>
      <c r="K105" s="970"/>
      <c r="L105" s="970"/>
      <c r="M105" s="970"/>
      <c r="N105" s="970"/>
      <c r="O105" s="970"/>
      <c r="P105" s="970"/>
      <c r="Q105" s="970"/>
      <c r="R105" s="970"/>
      <c r="S105" s="970"/>
      <c r="T105" s="970"/>
      <c r="U105" s="970"/>
      <c r="V105" s="970"/>
      <c r="W105" s="970"/>
      <c r="X105" s="970"/>
      <c r="Y105" s="970"/>
      <c r="Z105" s="970"/>
      <c r="AA105" s="970"/>
      <c r="AB105" s="970"/>
      <c r="AC105" s="970"/>
      <c r="AD105" s="970"/>
      <c r="AE105" s="970"/>
      <c r="AF105" s="970"/>
      <c r="AG105" s="970"/>
      <c r="AH105" s="970"/>
      <c r="AI105" s="970"/>
      <c r="AJ105" s="970"/>
      <c r="AK105" s="970"/>
    </row>
    <row r="106" spans="1:38">
      <c r="A106" s="5"/>
      <c r="C106" s="3"/>
      <c r="D106" s="5"/>
      <c r="E106" s="5"/>
      <c r="F106" s="5"/>
      <c r="G106" s="970"/>
      <c r="H106" s="970"/>
      <c r="I106" s="970"/>
      <c r="J106" s="970"/>
      <c r="K106" s="970"/>
      <c r="L106" s="970"/>
      <c r="M106" s="970"/>
      <c r="N106" s="970"/>
      <c r="O106" s="970"/>
      <c r="P106" s="970"/>
      <c r="Q106" s="970"/>
      <c r="R106" s="970"/>
      <c r="S106" s="970"/>
      <c r="T106" s="970"/>
      <c r="U106" s="970"/>
      <c r="V106" s="970"/>
      <c r="W106" s="970"/>
      <c r="X106" s="970"/>
      <c r="Y106" s="970"/>
      <c r="Z106" s="970"/>
      <c r="AA106" s="970"/>
      <c r="AB106" s="970"/>
      <c r="AC106" s="970"/>
      <c r="AD106" s="970"/>
      <c r="AE106" s="970"/>
      <c r="AF106" s="970"/>
      <c r="AG106" s="970"/>
      <c r="AH106" s="970"/>
      <c r="AI106" s="970"/>
      <c r="AJ106" s="970"/>
      <c r="AK106" s="970"/>
    </row>
    <row r="107" spans="1:38">
      <c r="A107" s="5"/>
      <c r="C107" s="3"/>
      <c r="D107" s="3"/>
      <c r="E107" s="5"/>
      <c r="F107" s="5"/>
      <c r="G107" s="970"/>
      <c r="H107" s="970"/>
      <c r="I107" s="970"/>
      <c r="J107" s="970"/>
      <c r="K107" s="970"/>
      <c r="L107" s="970"/>
      <c r="M107" s="970"/>
      <c r="N107" s="970"/>
      <c r="O107" s="970"/>
      <c r="P107" s="970"/>
      <c r="Q107" s="970"/>
      <c r="R107" s="970"/>
      <c r="S107" s="970"/>
      <c r="T107" s="970"/>
      <c r="U107" s="970"/>
      <c r="V107" s="970"/>
      <c r="W107" s="970"/>
      <c r="X107" s="970"/>
      <c r="Y107" s="970"/>
      <c r="Z107" s="970"/>
      <c r="AA107" s="970"/>
      <c r="AB107" s="970"/>
      <c r="AC107" s="970"/>
      <c r="AD107" s="970"/>
      <c r="AE107" s="970"/>
      <c r="AF107" s="970"/>
      <c r="AG107" s="970"/>
      <c r="AH107" s="970"/>
      <c r="AI107" s="970"/>
      <c r="AJ107" s="970"/>
      <c r="AK107" s="970"/>
    </row>
    <row r="108" spans="1:38">
      <c r="A108" s="5"/>
      <c r="C108" s="3"/>
      <c r="D108" s="3"/>
      <c r="E108" s="5" t="s">
        <v>1067</v>
      </c>
      <c r="F108" s="5" t="s">
        <v>1068</v>
      </c>
      <c r="G108" s="5"/>
      <c r="P108" s="5"/>
      <c r="Q108" s="5"/>
      <c r="R108" s="5"/>
      <c r="S108" s="5"/>
      <c r="T108" s="5"/>
      <c r="U108" s="5"/>
      <c r="V108" s="5"/>
      <c r="W108" s="5"/>
      <c r="X108" s="5"/>
      <c r="Y108" s="5"/>
      <c r="Z108" s="5"/>
      <c r="AA108" s="5"/>
      <c r="AB108" s="5"/>
    </row>
    <row r="109" spans="1:38">
      <c r="A109" s="5"/>
      <c r="C109" s="3"/>
      <c r="D109" s="3"/>
      <c r="E109" s="5"/>
      <c r="F109" s="5"/>
      <c r="G109" s="970" t="s">
        <v>1773</v>
      </c>
      <c r="H109" s="970"/>
      <c r="I109" s="970"/>
      <c r="J109" s="970"/>
      <c r="K109" s="970"/>
      <c r="L109" s="970"/>
      <c r="M109" s="970"/>
      <c r="N109" s="970"/>
      <c r="O109" s="970"/>
      <c r="P109" s="970"/>
      <c r="Q109" s="970"/>
      <c r="R109" s="970"/>
      <c r="S109" s="970"/>
      <c r="T109" s="970"/>
      <c r="U109" s="970"/>
      <c r="V109" s="970"/>
      <c r="W109" s="970"/>
      <c r="X109" s="970"/>
      <c r="Y109" s="970"/>
      <c r="Z109" s="970"/>
      <c r="AA109" s="970"/>
      <c r="AB109" s="970"/>
      <c r="AC109" s="970"/>
      <c r="AD109" s="970"/>
      <c r="AE109" s="970"/>
      <c r="AF109" s="970"/>
      <c r="AG109" s="970"/>
      <c r="AH109" s="970"/>
      <c r="AI109" s="970"/>
      <c r="AJ109" s="970"/>
      <c r="AK109" s="970"/>
    </row>
    <row r="110" spans="1:38">
      <c r="A110" s="5"/>
      <c r="C110" s="3"/>
      <c r="D110" s="3"/>
      <c r="E110" s="5"/>
      <c r="F110" s="5"/>
      <c r="G110" s="970"/>
      <c r="H110" s="970"/>
      <c r="I110" s="970"/>
      <c r="J110" s="970"/>
      <c r="K110" s="970"/>
      <c r="L110" s="970"/>
      <c r="M110" s="970"/>
      <c r="N110" s="970"/>
      <c r="O110" s="970"/>
      <c r="P110" s="970"/>
      <c r="Q110" s="970"/>
      <c r="R110" s="970"/>
      <c r="S110" s="970"/>
      <c r="T110" s="970"/>
      <c r="U110" s="970"/>
      <c r="V110" s="970"/>
      <c r="W110" s="970"/>
      <c r="X110" s="970"/>
      <c r="Y110" s="970"/>
      <c r="Z110" s="970"/>
      <c r="AA110" s="970"/>
      <c r="AB110" s="970"/>
      <c r="AC110" s="970"/>
      <c r="AD110" s="970"/>
      <c r="AE110" s="970"/>
      <c r="AF110" s="970"/>
      <c r="AG110" s="970"/>
      <c r="AH110" s="970"/>
      <c r="AI110" s="970"/>
      <c r="AJ110" s="970"/>
      <c r="AK110" s="970"/>
    </row>
    <row r="111" spans="1:38">
      <c r="A111" s="5"/>
      <c r="C111" s="3"/>
      <c r="D111" s="3"/>
      <c r="E111" s="5"/>
      <c r="F111" s="5"/>
      <c r="G111" s="5" t="s">
        <v>1069</v>
      </c>
      <c r="P111" s="5"/>
      <c r="Q111" s="5"/>
      <c r="R111" s="5"/>
      <c r="S111" s="5"/>
      <c r="T111" s="5"/>
      <c r="U111" s="5"/>
      <c r="V111" s="5"/>
      <c r="W111" s="5"/>
      <c r="X111" s="5"/>
      <c r="Y111" s="5"/>
      <c r="Z111" s="5"/>
      <c r="AA111" s="5"/>
      <c r="AB111" s="5"/>
    </row>
    <row r="112" spans="1:38">
      <c r="A112" s="5"/>
      <c r="D112" s="666"/>
      <c r="E112" s="977" t="s">
        <v>1774</v>
      </c>
      <c r="F112" s="977"/>
      <c r="G112" s="977"/>
      <c r="H112" s="977"/>
      <c r="I112" s="977"/>
      <c r="J112" s="977"/>
      <c r="K112" s="977"/>
      <c r="L112" s="977"/>
      <c r="M112" s="977"/>
      <c r="N112" s="977"/>
      <c r="O112" s="977"/>
      <c r="P112" s="977"/>
      <c r="Q112" s="977"/>
      <c r="R112" s="977"/>
      <c r="S112" s="977"/>
      <c r="T112" s="977"/>
      <c r="U112" s="977"/>
      <c r="V112" s="977"/>
      <c r="W112" s="977"/>
      <c r="X112" s="977"/>
      <c r="Y112" s="977"/>
      <c r="Z112" s="977"/>
      <c r="AA112" s="977"/>
      <c r="AB112" s="977"/>
      <c r="AC112" s="977"/>
      <c r="AD112" s="977"/>
      <c r="AE112" s="977"/>
      <c r="AF112" s="977"/>
      <c r="AG112" s="977"/>
      <c r="AH112" s="977"/>
      <c r="AI112" s="977"/>
      <c r="AJ112" s="977"/>
      <c r="AK112" s="977"/>
    </row>
    <row r="113" spans="1:38">
      <c r="A113" s="5"/>
      <c r="D113" s="666"/>
      <c r="E113" s="977"/>
      <c r="F113" s="977"/>
      <c r="G113" s="977"/>
      <c r="H113" s="977"/>
      <c r="I113" s="977"/>
      <c r="J113" s="977"/>
      <c r="K113" s="977"/>
      <c r="L113" s="977"/>
      <c r="M113" s="977"/>
      <c r="N113" s="977"/>
      <c r="O113" s="977"/>
      <c r="P113" s="977"/>
      <c r="Q113" s="977"/>
      <c r="R113" s="977"/>
      <c r="S113" s="977"/>
      <c r="T113" s="977"/>
      <c r="U113" s="977"/>
      <c r="V113" s="977"/>
      <c r="W113" s="977"/>
      <c r="X113" s="977"/>
      <c r="Y113" s="977"/>
      <c r="Z113" s="977"/>
      <c r="AA113" s="977"/>
      <c r="AB113" s="977"/>
      <c r="AC113" s="977"/>
      <c r="AD113" s="977"/>
      <c r="AE113" s="977"/>
      <c r="AF113" s="977"/>
      <c r="AG113" s="977"/>
      <c r="AH113" s="977"/>
      <c r="AI113" s="977"/>
      <c r="AJ113" s="977"/>
      <c r="AK113" s="977"/>
    </row>
    <row r="114" spans="1:38" ht="12.75" customHeight="1">
      <c r="A114" s="5"/>
      <c r="B114" s="667"/>
      <c r="C114" s="666"/>
      <c r="D114" s="666"/>
      <c r="E114" s="667"/>
      <c r="F114" s="666"/>
      <c r="G114" s="666"/>
      <c r="H114" s="666"/>
      <c r="I114" s="3"/>
      <c r="J114" s="3"/>
      <c r="K114" s="3"/>
      <c r="L114" s="3"/>
      <c r="M114" s="3"/>
      <c r="N114" s="3"/>
      <c r="P114" s="5"/>
      <c r="Q114" s="5"/>
      <c r="R114" s="5"/>
      <c r="S114" s="5"/>
      <c r="T114" s="5"/>
      <c r="U114" s="5"/>
      <c r="V114" s="5"/>
      <c r="W114" s="5"/>
      <c r="X114" s="5"/>
      <c r="Y114" s="5"/>
      <c r="Z114" s="5"/>
      <c r="AA114" s="5"/>
      <c r="AB114" s="5"/>
    </row>
    <row r="115" spans="1:38">
      <c r="A115" s="9"/>
      <c r="B115" s="168" t="s">
        <v>492</v>
      </c>
      <c r="C115" s="168" t="s">
        <v>721</v>
      </c>
      <c r="D115" s="168"/>
      <c r="E115" s="168"/>
      <c r="F115" s="168"/>
      <c r="G115" s="168"/>
      <c r="H115" s="168"/>
      <c r="I115" s="168"/>
      <c r="J115" s="168"/>
      <c r="K115" s="168"/>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291</v>
      </c>
      <c r="E117" s="3"/>
      <c r="F117" s="3"/>
      <c r="G117" s="3" t="s">
        <v>1957</v>
      </c>
      <c r="H117" s="3"/>
      <c r="I117" s="3"/>
      <c r="K117" s="3"/>
    </row>
    <row r="118" spans="1:38">
      <c r="B118" s="3"/>
      <c r="C118" s="3"/>
      <c r="D118" s="3" t="s">
        <v>859</v>
      </c>
      <c r="E118" s="3" t="s">
        <v>1957</v>
      </c>
      <c r="F118" s="3"/>
      <c r="G118" s="3"/>
      <c r="H118" s="3"/>
      <c r="I118" s="3"/>
      <c r="J118" s="3"/>
      <c r="K118" s="3"/>
      <c r="L118" s="3"/>
      <c r="M118" s="3"/>
    </row>
    <row r="119" spans="1:38">
      <c r="B119" s="3"/>
      <c r="C119" s="3"/>
      <c r="E119" s="5" t="s">
        <v>943</v>
      </c>
      <c r="F119" s="269" t="s">
        <v>860</v>
      </c>
      <c r="G119" s="3"/>
      <c r="H119" s="3"/>
      <c r="I119" s="3"/>
      <c r="J119" s="3"/>
      <c r="K119" s="3"/>
    </row>
    <row r="120" spans="1:38">
      <c r="E120" s="5"/>
      <c r="F120" t="s">
        <v>862</v>
      </c>
    </row>
    <row r="121" spans="1:38" s="158" customFormat="1">
      <c r="A121"/>
      <c r="B121"/>
      <c r="C121"/>
      <c r="D121"/>
      <c r="E121" s="5"/>
      <c r="F121" t="s">
        <v>863</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58" customFormat="1">
      <c r="A122"/>
      <c r="B122"/>
      <c r="C122"/>
      <c r="D122"/>
      <c r="E122" s="5"/>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5" t="s">
        <v>944</v>
      </c>
      <c r="F123" s="269" t="s">
        <v>864</v>
      </c>
      <c r="G123" s="3"/>
      <c r="H123" s="3"/>
      <c r="I123" s="3"/>
      <c r="J123" s="3"/>
    </row>
    <row r="124" spans="1:38">
      <c r="E124" s="5"/>
      <c r="F124" t="s">
        <v>865</v>
      </c>
    </row>
    <row r="125" spans="1:38">
      <c r="E125" s="5"/>
    </row>
    <row r="126" spans="1:38">
      <c r="E126" s="5" t="s">
        <v>950</v>
      </c>
      <c r="F126" s="269" t="s">
        <v>480</v>
      </c>
      <c r="G126" s="3"/>
      <c r="H126" s="3"/>
      <c r="I126" s="3"/>
      <c r="J126" s="3"/>
      <c r="K126" s="3"/>
      <c r="L126" s="3"/>
      <c r="M126" s="3"/>
      <c r="N126" s="3"/>
      <c r="O126" s="3"/>
      <c r="P126" s="3"/>
    </row>
    <row r="127" spans="1:38">
      <c r="E127" s="5"/>
      <c r="F127" s="5" t="s">
        <v>1229</v>
      </c>
    </row>
    <row r="128" spans="1:38">
      <c r="E128" s="5"/>
      <c r="F128" s="5" t="s">
        <v>1255</v>
      </c>
    </row>
    <row r="129" spans="2:14"/>
    <row r="130" spans="2:14">
      <c r="E130" t="s">
        <v>459</v>
      </c>
      <c r="F130" s="269" t="s">
        <v>1230</v>
      </c>
    </row>
    <row r="131" spans="2:14">
      <c r="F131" s="5" t="s">
        <v>1095</v>
      </c>
      <c r="G131" s="5"/>
    </row>
    <row r="132" spans="2:14">
      <c r="F132" s="666" t="s">
        <v>1958</v>
      </c>
      <c r="G132" s="666"/>
    </row>
    <row r="133" spans="2:14">
      <c r="G133" s="666"/>
    </row>
    <row r="134" spans="2:14">
      <c r="E134" s="5" t="s">
        <v>182</v>
      </c>
      <c r="F134" s="269" t="s">
        <v>540</v>
      </c>
    </row>
    <row r="135" spans="2:14">
      <c r="E135" s="5"/>
      <c r="F135" s="5" t="s">
        <v>1357</v>
      </c>
    </row>
    <row r="136" spans="2:14" ht="12.75" customHeight="1">
      <c r="B136" s="3"/>
      <c r="C136" s="3"/>
      <c r="F136" s="3"/>
    </row>
    <row r="137" spans="2:14">
      <c r="B137" s="3"/>
      <c r="C137" s="3" t="s">
        <v>292</v>
      </c>
      <c r="G137" s="3" t="s">
        <v>541</v>
      </c>
    </row>
    <row r="138" spans="2:14">
      <c r="B138" s="3"/>
      <c r="C138" s="3"/>
      <c r="D138" s="3" t="s">
        <v>859</v>
      </c>
      <c r="E138" s="3" t="s">
        <v>689</v>
      </c>
      <c r="F138" s="3"/>
      <c r="G138" s="3"/>
      <c r="H138" s="3"/>
      <c r="I138" s="3"/>
      <c r="J138" s="3"/>
    </row>
    <row r="139" spans="2:14">
      <c r="B139" s="3"/>
      <c r="C139" s="3"/>
      <c r="E139" s="5" t="s">
        <v>1231</v>
      </c>
      <c r="F139" s="5"/>
    </row>
    <row r="140" spans="2:14"/>
    <row r="141" spans="2:14">
      <c r="D141" s="3" t="s">
        <v>493</v>
      </c>
      <c r="E141" s="3" t="s">
        <v>9</v>
      </c>
    </row>
    <row r="142" spans="2:14">
      <c r="E142" s="41" t="s">
        <v>1231</v>
      </c>
      <c r="F142" s="5"/>
    </row>
    <row r="143" spans="2:14"/>
    <row r="144" spans="2:14">
      <c r="D144" s="3" t="s">
        <v>890</v>
      </c>
      <c r="E144" s="3" t="s">
        <v>908</v>
      </c>
      <c r="G144" s="3"/>
      <c r="H144" s="3"/>
      <c r="I144" s="3"/>
      <c r="J144" s="3"/>
      <c r="K144" s="3"/>
      <c r="L144" s="3"/>
      <c r="M144" s="3"/>
      <c r="N144" s="3"/>
    </row>
    <row r="145" spans="4:37">
      <c r="E145" s="970" t="s">
        <v>1777</v>
      </c>
      <c r="F145" s="970"/>
      <c r="G145" s="970"/>
      <c r="H145" s="970"/>
      <c r="I145" s="970"/>
      <c r="J145" s="970"/>
      <c r="K145" s="970"/>
      <c r="L145" s="970"/>
      <c r="M145" s="970"/>
      <c r="N145" s="970"/>
      <c r="O145" s="970"/>
      <c r="P145" s="970"/>
      <c r="Q145" s="970"/>
      <c r="R145" s="970"/>
      <c r="S145" s="970"/>
      <c r="T145" s="970"/>
      <c r="U145" s="970"/>
      <c r="V145" s="970"/>
      <c r="W145" s="970"/>
      <c r="X145" s="970"/>
      <c r="Y145" s="970"/>
      <c r="Z145" s="970"/>
      <c r="AA145" s="970"/>
      <c r="AB145" s="970"/>
      <c r="AC145" s="970"/>
      <c r="AD145" s="970"/>
      <c r="AE145" s="970"/>
      <c r="AF145" s="970"/>
      <c r="AG145" s="970"/>
      <c r="AH145" s="970"/>
      <c r="AI145" s="970"/>
      <c r="AJ145" s="970"/>
      <c r="AK145" s="970"/>
    </row>
    <row r="146" spans="4:37">
      <c r="E146" s="970"/>
      <c r="F146" s="970"/>
      <c r="G146" s="970"/>
      <c r="H146" s="970"/>
      <c r="I146" s="970"/>
      <c r="J146" s="970"/>
      <c r="K146" s="970"/>
      <c r="L146" s="970"/>
      <c r="M146" s="970"/>
      <c r="N146" s="970"/>
      <c r="O146" s="970"/>
      <c r="P146" s="970"/>
      <c r="Q146" s="970"/>
      <c r="R146" s="970"/>
      <c r="S146" s="970"/>
      <c r="T146" s="970"/>
      <c r="U146" s="970"/>
      <c r="V146" s="970"/>
      <c r="W146" s="970"/>
      <c r="X146" s="970"/>
      <c r="Y146" s="970"/>
      <c r="Z146" s="970"/>
      <c r="AA146" s="970"/>
      <c r="AB146" s="970"/>
      <c r="AC146" s="970"/>
      <c r="AD146" s="970"/>
      <c r="AE146" s="970"/>
      <c r="AF146" s="970"/>
      <c r="AG146" s="970"/>
      <c r="AH146" s="970"/>
      <c r="AI146" s="970"/>
      <c r="AJ146" s="970"/>
      <c r="AK146" s="970"/>
    </row>
    <row r="147" spans="4:37"/>
    <row r="148" spans="4:37">
      <c r="D148" s="3" t="s">
        <v>785</v>
      </c>
      <c r="E148" s="3" t="s">
        <v>803</v>
      </c>
      <c r="G148" s="3"/>
      <c r="H148" s="3"/>
      <c r="I148" s="3"/>
      <c r="J148" s="3"/>
      <c r="K148" s="3"/>
      <c r="L148" s="3"/>
      <c r="M148" s="3"/>
      <c r="N148" s="3"/>
      <c r="O148" s="3"/>
      <c r="P148" s="3"/>
      <c r="Q148" s="3"/>
      <c r="R148" s="3"/>
      <c r="S148" s="3"/>
      <c r="T148" s="3"/>
      <c r="U148" s="3"/>
      <c r="V148" s="3"/>
      <c r="W148" s="3"/>
      <c r="X148" s="3"/>
      <c r="Y148" s="3"/>
    </row>
    <row r="149" spans="4:37">
      <c r="E149" s="41" t="s">
        <v>1822</v>
      </c>
      <c r="F149" s="5"/>
    </row>
    <row r="150" spans="4:37"/>
    <row r="151" spans="4:37">
      <c r="D151" s="3" t="s">
        <v>532</v>
      </c>
      <c r="E151" s="3" t="s">
        <v>2276</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533</v>
      </c>
    </row>
    <row r="153" spans="4:37"/>
    <row r="154" spans="4:37">
      <c r="D154" s="3" t="s">
        <v>290</v>
      </c>
      <c r="E154" s="3" t="s">
        <v>2277</v>
      </c>
    </row>
    <row r="155" spans="4:37">
      <c r="E155" t="s">
        <v>943</v>
      </c>
      <c r="F155" t="s">
        <v>534</v>
      </c>
    </row>
    <row r="156" spans="4:37">
      <c r="E156" t="s">
        <v>944</v>
      </c>
      <c r="F156" t="s">
        <v>390</v>
      </c>
    </row>
    <row r="157" spans="4:37">
      <c r="F157" t="s">
        <v>861</v>
      </c>
      <c r="G157" s="41" t="s">
        <v>2278</v>
      </c>
    </row>
    <row r="158" spans="4:37">
      <c r="F158" t="s">
        <v>77</v>
      </c>
      <c r="G158" s="970" t="s">
        <v>1778</v>
      </c>
      <c r="H158" s="970"/>
      <c r="I158" s="970"/>
      <c r="J158" s="970"/>
      <c r="K158" s="970"/>
      <c r="L158" s="970"/>
      <c r="M158" s="970"/>
      <c r="N158" s="970"/>
      <c r="O158" s="970"/>
      <c r="P158" s="970"/>
      <c r="Q158" s="970"/>
      <c r="R158" s="970"/>
      <c r="S158" s="970"/>
      <c r="T158" s="970"/>
      <c r="U158" s="970"/>
      <c r="V158" s="970"/>
      <c r="W158" s="970"/>
      <c r="X158" s="970"/>
      <c r="Y158" s="970"/>
      <c r="Z158" s="970"/>
      <c r="AA158" s="970"/>
      <c r="AB158" s="970"/>
      <c r="AC158" s="970"/>
      <c r="AD158" s="970"/>
      <c r="AE158" s="970"/>
      <c r="AF158" s="970"/>
      <c r="AG158" s="970"/>
      <c r="AH158" s="970"/>
      <c r="AI158" s="970"/>
      <c r="AJ158" s="970"/>
      <c r="AK158" s="970"/>
    </row>
    <row r="159" spans="4:37">
      <c r="G159" s="970"/>
      <c r="H159" s="970"/>
      <c r="I159" s="970"/>
      <c r="J159" s="970"/>
      <c r="K159" s="970"/>
      <c r="L159" s="970"/>
      <c r="M159" s="970"/>
      <c r="N159" s="970"/>
      <c r="O159" s="970"/>
      <c r="P159" s="970"/>
      <c r="Q159" s="970"/>
      <c r="R159" s="970"/>
      <c r="S159" s="970"/>
      <c r="T159" s="970"/>
      <c r="U159" s="970"/>
      <c r="V159" s="970"/>
      <c r="W159" s="970"/>
      <c r="X159" s="970"/>
      <c r="Y159" s="970"/>
      <c r="Z159" s="970"/>
      <c r="AA159" s="970"/>
      <c r="AB159" s="970"/>
      <c r="AC159" s="970"/>
      <c r="AD159" s="970"/>
      <c r="AE159" s="970"/>
      <c r="AF159" s="970"/>
      <c r="AG159" s="970"/>
      <c r="AH159" s="970"/>
      <c r="AI159" s="970"/>
      <c r="AJ159" s="970"/>
      <c r="AK159" s="970"/>
    </row>
    <row r="160" spans="4:37"/>
    <row r="161" spans="3:9">
      <c r="D161" s="3" t="s">
        <v>765</v>
      </c>
      <c r="E161" s="3" t="s">
        <v>2279</v>
      </c>
    </row>
    <row r="162" spans="3:9">
      <c r="E162" s="761" t="s">
        <v>2280</v>
      </c>
      <c r="F162" s="365"/>
    </row>
    <row r="163" spans="3:9">
      <c r="D163" s="3"/>
      <c r="E163" s="3"/>
    </row>
    <row r="164" spans="3:9">
      <c r="C164" s="3" t="s">
        <v>350</v>
      </c>
      <c r="G164" s="3" t="s">
        <v>542</v>
      </c>
    </row>
    <row r="165" spans="3:9">
      <c r="C165" s="3"/>
      <c r="D165" s="3" t="s">
        <v>859</v>
      </c>
      <c r="E165" s="3" t="s">
        <v>659</v>
      </c>
      <c r="F165" s="3"/>
      <c r="G165" s="3"/>
      <c r="H165" s="3"/>
    </row>
    <row r="166" spans="3:9">
      <c r="E166" t="s">
        <v>1044</v>
      </c>
    </row>
    <row r="167" spans="3:9"/>
    <row r="168" spans="3:9">
      <c r="D168" s="3" t="s">
        <v>493</v>
      </c>
      <c r="E168" s="3" t="s">
        <v>878</v>
      </c>
      <c r="F168" s="3"/>
      <c r="G168" s="3"/>
      <c r="H168" s="3"/>
      <c r="I168" s="3"/>
    </row>
    <row r="169" spans="3:9">
      <c r="E169" s="5" t="s">
        <v>1233</v>
      </c>
    </row>
    <row r="170" spans="3:9">
      <c r="E170" s="5" t="s">
        <v>1232</v>
      </c>
      <c r="G170" s="5"/>
    </row>
    <row r="171" spans="3:9"/>
    <row r="172" spans="3:9">
      <c r="D172" s="3" t="s">
        <v>890</v>
      </c>
      <c r="E172" s="3" t="s">
        <v>668</v>
      </c>
    </row>
    <row r="173" spans="3:9">
      <c r="E173" t="s">
        <v>943</v>
      </c>
      <c r="F173" s="5" t="s">
        <v>1234</v>
      </c>
    </row>
    <row r="174" spans="3:9">
      <c r="E174" s="5" t="s">
        <v>944</v>
      </c>
      <c r="F174" s="5" t="s">
        <v>1235</v>
      </c>
    </row>
    <row r="175" spans="3:9">
      <c r="E175" s="5" t="s">
        <v>950</v>
      </c>
      <c r="F175" t="s">
        <v>909</v>
      </c>
    </row>
    <row r="176" spans="3:9"/>
    <row r="177" spans="3:20">
      <c r="D177" s="3" t="s">
        <v>785</v>
      </c>
      <c r="E177" s="3" t="s">
        <v>543</v>
      </c>
    </row>
    <row r="178" spans="3:20">
      <c r="E178" s="5" t="s">
        <v>1236</v>
      </c>
    </row>
    <row r="179" spans="3:20"/>
    <row r="180" spans="3:20">
      <c r="D180" s="3" t="s">
        <v>532</v>
      </c>
      <c r="E180" s="3" t="s">
        <v>481</v>
      </c>
    </row>
    <row r="181" spans="3:20">
      <c r="E181" s="5" t="s">
        <v>1237</v>
      </c>
    </row>
    <row r="182" spans="3:20">
      <c r="E182" s="5" t="s">
        <v>1238</v>
      </c>
    </row>
    <row r="183" spans="3:20">
      <c r="F183" s="158" t="s">
        <v>841</v>
      </c>
    </row>
    <row r="184" spans="3:20">
      <c r="F184" s="158"/>
      <c r="I184" s="158"/>
    </row>
    <row r="185" spans="3:20">
      <c r="D185" s="3" t="s">
        <v>290</v>
      </c>
      <c r="E185" s="3" t="s">
        <v>196</v>
      </c>
    </row>
    <row r="186" spans="3:20">
      <c r="E186" t="s">
        <v>943</v>
      </c>
      <c r="F186" t="s">
        <v>304</v>
      </c>
    </row>
    <row r="187" spans="3:20">
      <c r="E187" t="s">
        <v>944</v>
      </c>
      <c r="F187" t="s">
        <v>410</v>
      </c>
    </row>
    <row r="188" spans="3:20">
      <c r="F188" s="5"/>
    </row>
    <row r="189" spans="3:20">
      <c r="C189" s="3" t="s">
        <v>351</v>
      </c>
      <c r="E189" s="5"/>
      <c r="G189" s="3" t="s">
        <v>544</v>
      </c>
    </row>
    <row r="190" spans="3:20">
      <c r="E190" s="365" t="s">
        <v>1096</v>
      </c>
      <c r="F190" s="365"/>
      <c r="I190" s="5"/>
      <c r="J190" s="5"/>
      <c r="K190" s="5"/>
      <c r="L190" s="5"/>
      <c r="M190" s="5"/>
      <c r="N190" s="5"/>
      <c r="O190" s="5"/>
      <c r="P190" s="5"/>
      <c r="Q190" s="5"/>
      <c r="R190" s="5"/>
      <c r="S190" s="5"/>
      <c r="T190" s="5"/>
    </row>
    <row r="191" spans="3:20">
      <c r="F191" s="5"/>
      <c r="H191" s="5"/>
      <c r="I191" s="5"/>
      <c r="J191" s="5"/>
      <c r="K191" s="5"/>
      <c r="L191" s="5"/>
      <c r="M191" s="5"/>
      <c r="N191" s="5"/>
      <c r="O191" s="5"/>
      <c r="P191" s="5"/>
      <c r="Q191" s="5"/>
      <c r="R191" s="5"/>
      <c r="S191" s="5"/>
      <c r="T191" s="5"/>
    </row>
    <row r="192" spans="3:20">
      <c r="C192" s="3" t="s">
        <v>352</v>
      </c>
      <c r="D192" s="3"/>
      <c r="F192" s="5"/>
      <c r="G192" s="3" t="s">
        <v>9</v>
      </c>
    </row>
    <row r="193" spans="2:14">
      <c r="D193" s="3" t="s">
        <v>859</v>
      </c>
      <c r="E193" s="3" t="s">
        <v>411</v>
      </c>
      <c r="G193" s="5"/>
      <c r="H193" s="5"/>
      <c r="I193" s="5"/>
      <c r="J193" s="5"/>
      <c r="K193" s="5"/>
      <c r="L193" s="5"/>
      <c r="M193" s="5"/>
      <c r="N193" s="5"/>
    </row>
    <row r="194" spans="2:14">
      <c r="E194" t="s">
        <v>943</v>
      </c>
      <c r="F194" s="365" t="s">
        <v>1239</v>
      </c>
    </row>
    <row r="195" spans="2:14">
      <c r="F195" s="158" t="s">
        <v>1651</v>
      </c>
      <c r="I195" s="158"/>
    </row>
    <row r="196" spans="2:14">
      <c r="I196" s="158"/>
    </row>
    <row r="197" spans="2:14">
      <c r="B197" s="5"/>
      <c r="C197" s="5"/>
      <c r="E197" t="s">
        <v>944</v>
      </c>
      <c r="F197" s="365" t="s">
        <v>1097</v>
      </c>
      <c r="H197" s="5"/>
    </row>
    <row r="198" spans="2:14">
      <c r="B198" s="5"/>
      <c r="C198" s="5"/>
      <c r="F198" t="s">
        <v>861</v>
      </c>
      <c r="G198" t="s">
        <v>332</v>
      </c>
      <c r="H198" s="5"/>
    </row>
    <row r="199" spans="2:14">
      <c r="B199" s="5"/>
      <c r="C199" s="5"/>
      <c r="H199" s="5"/>
    </row>
    <row r="200" spans="2:14">
      <c r="D200" s="3" t="s">
        <v>493</v>
      </c>
      <c r="E200" s="3" t="s">
        <v>1886</v>
      </c>
    </row>
    <row r="201" spans="2:14">
      <c r="B201" s="5"/>
      <c r="C201" s="5"/>
      <c r="E201" s="5" t="s">
        <v>336</v>
      </c>
      <c r="F201" s="5"/>
      <c r="I201" s="5"/>
    </row>
    <row r="202" spans="2:14">
      <c r="B202" s="5"/>
      <c r="C202" s="5"/>
      <c r="E202" s="5" t="s">
        <v>1358</v>
      </c>
      <c r="F202" s="158"/>
      <c r="G202" s="5"/>
      <c r="I202" s="158"/>
    </row>
    <row r="203" spans="2:14">
      <c r="B203" s="5"/>
      <c r="C203" s="5"/>
      <c r="F203" s="158"/>
      <c r="G203" s="5"/>
      <c r="I203" s="158"/>
    </row>
    <row r="204" spans="2:14">
      <c r="B204" s="5"/>
      <c r="C204" s="5"/>
      <c r="D204" s="3" t="s">
        <v>890</v>
      </c>
      <c r="E204" s="3" t="s">
        <v>70</v>
      </c>
      <c r="F204" s="158"/>
      <c r="G204" s="5"/>
      <c r="I204" s="158"/>
    </row>
    <row r="205" spans="2:14">
      <c r="B205" s="5"/>
      <c r="C205" s="5"/>
      <c r="D205" s="3"/>
      <c r="E205" s="5" t="s">
        <v>407</v>
      </c>
      <c r="F205" s="5"/>
      <c r="G205" s="5"/>
      <c r="I205" s="158"/>
    </row>
    <row r="206" spans="2:14">
      <c r="B206" s="5"/>
      <c r="C206" s="5"/>
      <c r="F206" s="158"/>
      <c r="G206" s="5"/>
      <c r="I206" s="158"/>
    </row>
    <row r="207" spans="2:14">
      <c r="D207" s="3" t="s">
        <v>785</v>
      </c>
      <c r="E207" s="3" t="s">
        <v>942</v>
      </c>
    </row>
    <row r="208" spans="2:14">
      <c r="B208" s="5"/>
      <c r="C208" s="3"/>
      <c r="E208" t="s">
        <v>943</v>
      </c>
      <c r="F208" s="5" t="s">
        <v>562</v>
      </c>
      <c r="G208" s="5"/>
      <c r="H208" s="5"/>
      <c r="I208" s="5"/>
    </row>
    <row r="209" spans="2:37">
      <c r="B209" s="5"/>
      <c r="C209" s="3"/>
      <c r="F209" s="5" t="s">
        <v>861</v>
      </c>
      <c r="G209" s="41" t="s">
        <v>1809</v>
      </c>
    </row>
    <row r="210" spans="2:37">
      <c r="B210" s="5"/>
      <c r="C210" s="5"/>
      <c r="F210" s="5" t="s">
        <v>77</v>
      </c>
      <c r="G210" s="41" t="s">
        <v>1810</v>
      </c>
      <c r="I210" s="5"/>
      <c r="J210" s="5"/>
      <c r="M210" s="5"/>
      <c r="N210" s="5"/>
      <c r="O210" s="5"/>
      <c r="P210" s="5"/>
      <c r="Q210" s="5"/>
      <c r="R210" s="5"/>
      <c r="S210" s="5"/>
    </row>
    <row r="211" spans="2:37">
      <c r="B211" s="5"/>
      <c r="C211" s="5"/>
      <c r="F211" s="5" t="s">
        <v>565</v>
      </c>
      <c r="G211" s="5" t="s">
        <v>1240</v>
      </c>
      <c r="I211" s="5"/>
      <c r="J211" s="5"/>
      <c r="M211" s="5"/>
      <c r="N211" s="5"/>
      <c r="O211" s="5"/>
      <c r="P211" s="5"/>
      <c r="Q211" s="5"/>
      <c r="R211" s="5"/>
      <c r="S211" s="5"/>
    </row>
    <row r="212" spans="2:37">
      <c r="B212" s="5"/>
      <c r="C212" s="5"/>
      <c r="F212" s="5"/>
      <c r="G212" s="5"/>
      <c r="I212" s="5"/>
      <c r="J212" s="5"/>
      <c r="M212" s="5"/>
      <c r="N212" s="5"/>
      <c r="O212" s="5"/>
      <c r="P212" s="5"/>
      <c r="Q212" s="5"/>
      <c r="R212" s="5"/>
      <c r="S212" s="5"/>
    </row>
    <row r="213" spans="2:37">
      <c r="B213" s="5"/>
      <c r="C213" s="5"/>
      <c r="D213" s="3" t="s">
        <v>532</v>
      </c>
      <c r="E213" s="3" t="s">
        <v>945</v>
      </c>
      <c r="G213" s="5"/>
      <c r="H213" s="5"/>
      <c r="I213" s="5"/>
      <c r="J213" s="5"/>
      <c r="M213" s="5"/>
      <c r="N213" s="5"/>
      <c r="O213" s="5"/>
      <c r="P213" s="5"/>
      <c r="Q213" s="5"/>
      <c r="R213" s="5"/>
      <c r="S213" s="5"/>
    </row>
    <row r="214" spans="2:37">
      <c r="B214" s="5"/>
      <c r="C214" s="5"/>
      <c r="D214" s="5"/>
      <c r="E214" s="5" t="s">
        <v>1241</v>
      </c>
      <c r="F214" s="5"/>
      <c r="G214" s="5"/>
      <c r="H214" s="5"/>
      <c r="I214" s="5"/>
      <c r="J214" s="5"/>
      <c r="M214" s="5"/>
      <c r="N214" s="5"/>
      <c r="O214" s="5"/>
      <c r="P214" s="5"/>
      <c r="Q214" s="5"/>
      <c r="R214" s="5"/>
      <c r="S214" s="5"/>
    </row>
    <row r="215" spans="2:37">
      <c r="B215" s="5"/>
      <c r="C215" s="5"/>
      <c r="D215" s="5"/>
      <c r="F215" s="5"/>
      <c r="G215" s="5"/>
      <c r="H215" s="5"/>
      <c r="I215" s="5"/>
      <c r="J215" s="5"/>
      <c r="M215" s="5"/>
      <c r="N215" s="5"/>
      <c r="O215" s="5"/>
      <c r="P215" s="5"/>
      <c r="Q215" s="5"/>
      <c r="R215" s="5"/>
      <c r="S215" s="5"/>
    </row>
    <row r="216" spans="2:37">
      <c r="B216" s="5"/>
      <c r="C216" s="5"/>
      <c r="D216" s="3" t="s">
        <v>290</v>
      </c>
      <c r="E216" s="3" t="s">
        <v>951</v>
      </c>
      <c r="G216" s="5"/>
      <c r="H216" s="5"/>
      <c r="I216" s="5"/>
      <c r="J216" s="5"/>
      <c r="M216" s="5"/>
      <c r="N216" s="5"/>
      <c r="O216" s="5"/>
      <c r="P216" s="5"/>
      <c r="Q216" s="5"/>
      <c r="R216" s="5"/>
      <c r="S216" s="5"/>
    </row>
    <row r="217" spans="2:37">
      <c r="B217" s="5"/>
      <c r="C217" s="5"/>
      <c r="D217" s="3"/>
      <c r="E217" s="5" t="s">
        <v>943</v>
      </c>
      <c r="F217" s="5" t="s">
        <v>1242</v>
      </c>
      <c r="M217" s="5"/>
      <c r="N217" s="5"/>
      <c r="O217" s="5"/>
      <c r="P217" s="5"/>
      <c r="Q217" s="5"/>
      <c r="R217" s="5"/>
      <c r="S217" s="5"/>
    </row>
    <row r="218" spans="2:37">
      <c r="B218" s="5"/>
      <c r="C218" s="5"/>
      <c r="D218" s="3"/>
      <c r="E218" s="5" t="s">
        <v>944</v>
      </c>
      <c r="F218" s="5" t="s">
        <v>485</v>
      </c>
      <c r="I218" s="5"/>
      <c r="J218" s="5"/>
      <c r="M218" s="5"/>
      <c r="N218" s="5"/>
      <c r="O218" s="5"/>
      <c r="P218" s="5"/>
      <c r="Q218" s="5"/>
      <c r="R218" s="5"/>
      <c r="S218" s="5"/>
      <c r="T218" s="5"/>
      <c r="U218" s="5"/>
      <c r="V218" s="5"/>
      <c r="W218" s="5"/>
      <c r="X218" s="5"/>
      <c r="Y218" s="5"/>
      <c r="Z218" s="5"/>
      <c r="AA218" s="5"/>
      <c r="AB218" s="5"/>
      <c r="AC218" s="5"/>
      <c r="AD218" s="5"/>
      <c r="AE218" s="5"/>
      <c r="AF218" s="5"/>
      <c r="AG218" s="5"/>
    </row>
    <row r="219" spans="2:37">
      <c r="B219" s="5"/>
      <c r="C219" s="5"/>
      <c r="D219" s="3"/>
      <c r="E219" s="5" t="s">
        <v>950</v>
      </c>
      <c r="F219" s="5" t="s">
        <v>486</v>
      </c>
      <c r="I219" s="5"/>
      <c r="J219" s="5"/>
      <c r="M219" s="5"/>
      <c r="N219" s="5"/>
      <c r="O219" s="5"/>
      <c r="P219" s="5"/>
      <c r="Q219" s="5"/>
      <c r="R219" s="5"/>
      <c r="S219" s="5"/>
      <c r="T219" s="5"/>
      <c r="U219" s="5"/>
      <c r="V219" s="5"/>
      <c r="W219" s="5"/>
      <c r="X219" s="5"/>
      <c r="Y219" s="5"/>
      <c r="Z219" s="5"/>
      <c r="AA219" s="5"/>
      <c r="AB219" s="5"/>
      <c r="AC219" s="5"/>
      <c r="AD219" s="5"/>
      <c r="AE219" s="5"/>
      <c r="AF219" s="5"/>
      <c r="AG219" s="5"/>
    </row>
    <row r="220" spans="2:37">
      <c r="B220" s="5"/>
      <c r="C220" s="5"/>
      <c r="F220" s="5" t="s">
        <v>861</v>
      </c>
      <c r="G220" s="5" t="s">
        <v>1244</v>
      </c>
      <c r="I220" s="5"/>
      <c r="J220" s="5"/>
      <c r="M220" s="5"/>
      <c r="N220" s="5"/>
      <c r="O220" s="5"/>
      <c r="P220" s="5"/>
      <c r="Q220" s="5"/>
      <c r="R220" s="5"/>
      <c r="S220" s="5"/>
      <c r="T220" s="5"/>
      <c r="U220" s="5"/>
      <c r="V220" s="5"/>
      <c r="W220" s="5"/>
      <c r="X220" s="5"/>
      <c r="Y220" s="5"/>
    </row>
    <row r="221" spans="2:37">
      <c r="B221" s="5"/>
      <c r="C221" s="5"/>
      <c r="D221" s="3"/>
      <c r="E221" s="5" t="s">
        <v>459</v>
      </c>
      <c r="F221" s="5" t="s">
        <v>1243</v>
      </c>
      <c r="M221" s="5"/>
      <c r="N221" s="5"/>
      <c r="O221" s="5"/>
      <c r="P221" s="5"/>
      <c r="Q221" s="5"/>
      <c r="R221" s="5"/>
      <c r="S221" s="5"/>
    </row>
    <row r="222" spans="2:37">
      <c r="B222" s="5"/>
      <c r="C222" s="5"/>
      <c r="D222" s="3"/>
      <c r="F222" t="s">
        <v>861</v>
      </c>
      <c r="G222" s="970" t="s">
        <v>1779</v>
      </c>
      <c r="H222" s="970"/>
      <c r="I222" s="970"/>
      <c r="J222" s="970"/>
      <c r="K222" s="970"/>
      <c r="L222" s="970"/>
      <c r="M222" s="970"/>
      <c r="N222" s="970"/>
      <c r="O222" s="970"/>
      <c r="P222" s="970"/>
      <c r="Q222" s="970"/>
      <c r="R222" s="970"/>
      <c r="S222" s="970"/>
      <c r="T222" s="970"/>
      <c r="U222" s="970"/>
      <c r="V222" s="970"/>
      <c r="W222" s="970"/>
      <c r="X222" s="970"/>
      <c r="Y222" s="970"/>
      <c r="Z222" s="970"/>
      <c r="AA222" s="970"/>
      <c r="AB222" s="970"/>
      <c r="AC222" s="970"/>
      <c r="AD222" s="970"/>
      <c r="AE222" s="970"/>
      <c r="AF222" s="970"/>
      <c r="AG222" s="970"/>
      <c r="AH222" s="970"/>
      <c r="AI222" s="970"/>
      <c r="AJ222" s="970"/>
      <c r="AK222" s="970"/>
    </row>
    <row r="223" spans="2:37">
      <c r="B223" s="5"/>
      <c r="C223" s="5"/>
      <c r="D223" s="3"/>
      <c r="G223" s="970"/>
      <c r="H223" s="970"/>
      <c r="I223" s="970"/>
      <c r="J223" s="970"/>
      <c r="K223" s="970"/>
      <c r="L223" s="970"/>
      <c r="M223" s="970"/>
      <c r="N223" s="970"/>
      <c r="O223" s="970"/>
      <c r="P223" s="970"/>
      <c r="Q223" s="970"/>
      <c r="R223" s="970"/>
      <c r="S223" s="970"/>
      <c r="T223" s="970"/>
      <c r="U223" s="970"/>
      <c r="V223" s="970"/>
      <c r="W223" s="970"/>
      <c r="X223" s="970"/>
      <c r="Y223" s="970"/>
      <c r="Z223" s="970"/>
      <c r="AA223" s="970"/>
      <c r="AB223" s="970"/>
      <c r="AC223" s="970"/>
      <c r="AD223" s="970"/>
      <c r="AE223" s="970"/>
      <c r="AF223" s="970"/>
      <c r="AG223" s="970"/>
      <c r="AH223" s="970"/>
      <c r="AI223" s="970"/>
      <c r="AJ223" s="970"/>
      <c r="AK223" s="970"/>
    </row>
    <row r="224" spans="2:37">
      <c r="B224" s="5"/>
      <c r="C224" s="5"/>
      <c r="D224" s="3"/>
      <c r="M224" s="5"/>
      <c r="N224" s="5"/>
      <c r="O224" s="5"/>
      <c r="P224" s="5"/>
      <c r="Q224" s="5"/>
      <c r="R224" s="5"/>
      <c r="S224" s="5"/>
    </row>
    <row r="225" spans="1:38">
      <c r="B225" s="5"/>
      <c r="C225" s="5"/>
      <c r="D225" s="3" t="s">
        <v>765</v>
      </c>
      <c r="E225" s="3" t="s">
        <v>183</v>
      </c>
      <c r="G225" s="5"/>
      <c r="H225" s="5"/>
      <c r="I225" s="5"/>
      <c r="J225" s="5"/>
      <c r="M225" s="5"/>
      <c r="N225" s="5"/>
      <c r="O225" s="5"/>
      <c r="P225" s="5"/>
      <c r="Q225" s="5"/>
      <c r="R225" s="5"/>
      <c r="S225" s="5"/>
      <c r="T225" s="5"/>
      <c r="U225" s="5"/>
      <c r="V225" s="5"/>
      <c r="W225" s="5"/>
    </row>
    <row r="226" spans="1:38">
      <c r="B226" s="5"/>
      <c r="C226" s="5"/>
      <c r="E226" s="5" t="s">
        <v>47</v>
      </c>
      <c r="F226" s="5"/>
      <c r="I226" s="5"/>
      <c r="J226" s="5"/>
      <c r="M226" s="5"/>
      <c r="N226" s="5"/>
      <c r="O226" s="5"/>
      <c r="P226" s="5"/>
      <c r="Q226" s="5"/>
      <c r="R226" s="5"/>
      <c r="S226" s="5"/>
      <c r="T226" s="5"/>
      <c r="U226" s="5"/>
      <c r="V226" s="5"/>
      <c r="W226" s="5"/>
    </row>
    <row r="227" spans="1:38">
      <c r="B227" s="5"/>
      <c r="C227" s="5"/>
      <c r="F227" s="5"/>
      <c r="G227" s="5"/>
      <c r="I227" s="5"/>
      <c r="J227" s="5"/>
      <c r="M227" s="5"/>
      <c r="N227" s="5"/>
      <c r="O227" s="5"/>
      <c r="P227" s="5"/>
      <c r="Q227" s="5"/>
      <c r="R227" s="5"/>
      <c r="S227" s="5"/>
      <c r="T227" s="5"/>
      <c r="U227" s="5"/>
      <c r="V227" s="5"/>
      <c r="W227" s="5"/>
    </row>
    <row r="228" spans="1:38">
      <c r="B228" s="5"/>
      <c r="C228" s="5"/>
      <c r="D228" s="3" t="s">
        <v>762</v>
      </c>
      <c r="E228" s="3" t="s">
        <v>226</v>
      </c>
      <c r="F228" s="5"/>
      <c r="G228" s="5"/>
      <c r="I228" s="5"/>
      <c r="J228" s="5"/>
      <c r="M228" s="5"/>
      <c r="N228" s="5"/>
      <c r="O228" s="5"/>
      <c r="P228" s="5"/>
      <c r="Q228" s="5"/>
      <c r="R228" s="5"/>
      <c r="S228" s="5"/>
      <c r="T228" s="5"/>
      <c r="U228" s="5"/>
      <c r="V228" s="5"/>
      <c r="W228" s="5"/>
    </row>
    <row r="229" spans="1:38">
      <c r="B229" s="5"/>
      <c r="C229" s="5"/>
      <c r="D229" s="3"/>
      <c r="E229" s="5" t="s">
        <v>407</v>
      </c>
      <c r="F229" s="5"/>
      <c r="G229" s="5"/>
      <c r="I229" s="5"/>
      <c r="J229" s="5"/>
      <c r="M229" s="5"/>
      <c r="N229" s="5"/>
      <c r="O229" s="5"/>
      <c r="P229" s="5"/>
      <c r="Q229" s="5"/>
      <c r="R229" s="5"/>
      <c r="S229" s="5"/>
      <c r="T229" s="5"/>
      <c r="U229" s="5"/>
      <c r="V229" s="5"/>
      <c r="W229" s="5"/>
    </row>
    <row r="230" spans="1:38">
      <c r="B230" s="5"/>
      <c r="C230" s="5"/>
      <c r="D230" s="3"/>
      <c r="M230" s="5"/>
      <c r="N230" s="5"/>
      <c r="O230" s="5"/>
      <c r="P230" s="5"/>
      <c r="Q230" s="5"/>
      <c r="R230" s="5"/>
      <c r="S230" s="5"/>
    </row>
    <row r="231" spans="1:38">
      <c r="C231" s="3" t="s">
        <v>353</v>
      </c>
      <c r="D231" s="3"/>
      <c r="G231" s="3" t="s">
        <v>1070</v>
      </c>
      <c r="M231" s="5"/>
      <c r="N231" s="5"/>
      <c r="O231" s="5"/>
      <c r="P231" s="5"/>
      <c r="Q231" s="5"/>
      <c r="R231" s="5"/>
      <c r="S231" s="5"/>
    </row>
    <row r="232" spans="1:38">
      <c r="B232" s="5"/>
      <c r="C232" s="5"/>
      <c r="E232" t="s">
        <v>943</v>
      </c>
      <c r="F232" s="5" t="s">
        <v>1071</v>
      </c>
      <c r="G232" s="5"/>
      <c r="H232" s="5"/>
      <c r="I232" s="5"/>
      <c r="L232" s="5"/>
      <c r="N232" s="5"/>
      <c r="O232" s="5"/>
      <c r="P232" s="5"/>
      <c r="Q232" s="5"/>
      <c r="R232" s="5"/>
      <c r="S232" s="5"/>
    </row>
    <row r="233" spans="1:38">
      <c r="B233" s="5"/>
      <c r="C233" s="5"/>
      <c r="F233" s="5" t="s">
        <v>861</v>
      </c>
      <c r="G233" s="970" t="s">
        <v>1780</v>
      </c>
      <c r="H233" s="970"/>
      <c r="I233" s="970"/>
      <c r="J233" s="970"/>
      <c r="K233" s="970"/>
      <c r="L233" s="970"/>
      <c r="M233" s="970"/>
      <c r="N233" s="970"/>
      <c r="O233" s="970"/>
      <c r="P233" s="970"/>
      <c r="Q233" s="970"/>
      <c r="R233" s="970"/>
      <c r="S233" s="970"/>
      <c r="T233" s="970"/>
      <c r="U233" s="970"/>
      <c r="V233" s="970"/>
      <c r="W233" s="970"/>
      <c r="X233" s="970"/>
      <c r="Y233" s="970"/>
      <c r="Z233" s="970"/>
      <c r="AA233" s="970"/>
      <c r="AB233" s="970"/>
      <c r="AC233" s="970"/>
      <c r="AD233" s="970"/>
      <c r="AE233" s="970"/>
      <c r="AF233" s="970"/>
      <c r="AG233" s="970"/>
      <c r="AH233" s="970"/>
      <c r="AI233" s="970"/>
      <c r="AJ233" s="970"/>
      <c r="AK233" s="970"/>
    </row>
    <row r="234" spans="1:38">
      <c r="B234" s="5"/>
      <c r="C234" s="5"/>
      <c r="F234" s="5"/>
      <c r="G234" s="970"/>
      <c r="H234" s="970"/>
      <c r="I234" s="970"/>
      <c r="J234" s="970"/>
      <c r="K234" s="970"/>
      <c r="L234" s="970"/>
      <c r="M234" s="970"/>
      <c r="N234" s="970"/>
      <c r="O234" s="970"/>
      <c r="P234" s="970"/>
      <c r="Q234" s="970"/>
      <c r="R234" s="970"/>
      <c r="S234" s="970"/>
      <c r="T234" s="970"/>
      <c r="U234" s="970"/>
      <c r="V234" s="970"/>
      <c r="W234" s="970"/>
      <c r="X234" s="970"/>
      <c r="Y234" s="970"/>
      <c r="Z234" s="970"/>
      <c r="AA234" s="970"/>
      <c r="AB234" s="970"/>
      <c r="AC234" s="970"/>
      <c r="AD234" s="970"/>
      <c r="AE234" s="970"/>
      <c r="AF234" s="970"/>
      <c r="AG234" s="970"/>
      <c r="AH234" s="970"/>
      <c r="AI234" s="970"/>
      <c r="AJ234" s="970"/>
      <c r="AK234" s="970"/>
    </row>
    <row r="235" spans="1:38">
      <c r="B235" s="5"/>
      <c r="C235" s="5"/>
      <c r="E235" t="s">
        <v>944</v>
      </c>
      <c r="F235" s="5" t="s">
        <v>259</v>
      </c>
      <c r="G235" s="5"/>
      <c r="H235" s="5"/>
      <c r="I235" s="5"/>
      <c r="M235" s="5"/>
      <c r="N235" s="5"/>
      <c r="O235" s="5"/>
      <c r="P235" s="5"/>
      <c r="Q235" s="5"/>
      <c r="R235" s="5"/>
      <c r="S235" s="5"/>
    </row>
    <row r="236" spans="1:38">
      <c r="B236" s="5"/>
      <c r="C236" s="5"/>
      <c r="F236" s="5" t="s">
        <v>861</v>
      </c>
      <c r="G236" s="970" t="s">
        <v>1781</v>
      </c>
      <c r="H236" s="970"/>
      <c r="I236" s="970"/>
      <c r="J236" s="970"/>
      <c r="K236" s="970"/>
      <c r="L236" s="970"/>
      <c r="M236" s="970"/>
      <c r="N236" s="970"/>
      <c r="O236" s="970"/>
      <c r="P236" s="970"/>
      <c r="Q236" s="970"/>
      <c r="R236" s="970"/>
      <c r="S236" s="970"/>
      <c r="T236" s="970"/>
      <c r="U236" s="970"/>
      <c r="V236" s="970"/>
      <c r="W236" s="970"/>
      <c r="X236" s="970"/>
      <c r="Y236" s="970"/>
      <c r="Z236" s="970"/>
      <c r="AA236" s="970"/>
      <c r="AB236" s="970"/>
      <c r="AC236" s="970"/>
      <c r="AD236" s="970"/>
      <c r="AE236" s="970"/>
      <c r="AF236" s="970"/>
      <c r="AG236" s="970"/>
      <c r="AH236" s="970"/>
      <c r="AI236" s="970"/>
      <c r="AJ236" s="970"/>
      <c r="AK236" s="970"/>
    </row>
    <row r="237" spans="1:38">
      <c r="B237" s="5"/>
      <c r="C237" s="5"/>
      <c r="F237" s="5"/>
      <c r="G237" s="970"/>
      <c r="H237" s="970"/>
      <c r="I237" s="970"/>
      <c r="J237" s="970"/>
      <c r="K237" s="970"/>
      <c r="L237" s="970"/>
      <c r="M237" s="970"/>
      <c r="N237" s="970"/>
      <c r="O237" s="970"/>
      <c r="P237" s="970"/>
      <c r="Q237" s="970"/>
      <c r="R237" s="970"/>
      <c r="S237" s="970"/>
      <c r="T237" s="970"/>
      <c r="U237" s="970"/>
      <c r="V237" s="970"/>
      <c r="W237" s="970"/>
      <c r="X237" s="970"/>
      <c r="Y237" s="970"/>
      <c r="Z237" s="970"/>
      <c r="AA237" s="970"/>
      <c r="AB237" s="970"/>
      <c r="AC237" s="970"/>
      <c r="AD237" s="970"/>
      <c r="AE237" s="970"/>
      <c r="AF237" s="970"/>
      <c r="AG237" s="970"/>
      <c r="AH237" s="970"/>
      <c r="AI237" s="970"/>
      <c r="AJ237" s="970"/>
      <c r="AK237" s="970"/>
    </row>
    <row r="238" spans="1:38">
      <c r="B238" s="5"/>
      <c r="C238" s="5"/>
      <c r="D238" s="3"/>
      <c r="E238" s="3"/>
      <c r="F238" s="5"/>
      <c r="G238" s="5"/>
      <c r="H238" s="5"/>
      <c r="I238" s="5"/>
      <c r="J238" s="5"/>
      <c r="K238" s="5"/>
      <c r="M238" s="5"/>
      <c r="N238" s="5"/>
      <c r="O238" s="5"/>
      <c r="P238" s="5"/>
      <c r="Q238" s="5"/>
      <c r="R238" s="5"/>
      <c r="S238" s="5"/>
    </row>
    <row r="239" spans="1:38">
      <c r="A239" s="9"/>
      <c r="B239" s="168" t="s">
        <v>354</v>
      </c>
      <c r="C239" s="168" t="s">
        <v>892</v>
      </c>
      <c r="D239" s="9"/>
      <c r="E239" s="89"/>
      <c r="F239" s="89"/>
      <c r="G239" s="89"/>
      <c r="H239" s="89"/>
      <c r="I239" s="89"/>
      <c r="J239" s="89"/>
      <c r="K239" s="9"/>
      <c r="L239" s="89"/>
      <c r="M239" s="89"/>
      <c r="N239" s="89"/>
      <c r="O239" s="89"/>
      <c r="P239" s="89"/>
      <c r="Q239" s="89"/>
      <c r="R239" s="89"/>
      <c r="S239" s="89"/>
      <c r="T239" s="9"/>
      <c r="U239" s="9"/>
      <c r="V239" s="9"/>
      <c r="W239" s="9"/>
      <c r="X239" s="9"/>
      <c r="Y239" s="9"/>
      <c r="Z239" s="9"/>
      <c r="AA239" s="9"/>
      <c r="AB239" s="9"/>
      <c r="AC239" s="9"/>
      <c r="AD239" s="9"/>
      <c r="AE239" s="9"/>
      <c r="AF239" s="9"/>
      <c r="AG239" s="9"/>
      <c r="AH239" s="9"/>
      <c r="AI239" s="9"/>
      <c r="AJ239" s="9"/>
      <c r="AK239" s="9"/>
      <c r="AL239" s="9"/>
    </row>
    <row r="240" spans="1:38">
      <c r="B240" s="3"/>
      <c r="D240" s="3"/>
      <c r="E240" s="5"/>
      <c r="F240" s="5"/>
      <c r="G240" s="5"/>
      <c r="H240" s="5"/>
      <c r="I240" s="5"/>
      <c r="J240" s="5"/>
      <c r="L240" s="5"/>
      <c r="M240" s="5"/>
      <c r="N240" s="5"/>
      <c r="O240" s="5"/>
      <c r="P240" s="5"/>
      <c r="Q240" s="5"/>
      <c r="R240" s="5"/>
      <c r="S240" s="5"/>
    </row>
    <row r="241" spans="2:21">
      <c r="B241" s="5"/>
      <c r="C241" s="3" t="s">
        <v>291</v>
      </c>
      <c r="D241" s="5"/>
      <c r="E241" s="5"/>
      <c r="F241" s="5"/>
      <c r="G241" s="3" t="s">
        <v>774</v>
      </c>
      <c r="I241" s="5"/>
      <c r="J241" s="5"/>
      <c r="K241" s="5"/>
      <c r="M241" s="5"/>
      <c r="N241" s="5"/>
      <c r="O241" s="5"/>
      <c r="P241" s="5"/>
      <c r="Q241" s="5"/>
      <c r="R241" s="5"/>
      <c r="S241" s="5"/>
    </row>
    <row r="242" spans="2:21">
      <c r="B242" s="3"/>
      <c r="E242" s="5" t="s">
        <v>943</v>
      </c>
      <c r="F242" s="5" t="s">
        <v>926</v>
      </c>
      <c r="G242" s="5"/>
      <c r="I242" s="5"/>
      <c r="J242" s="5"/>
      <c r="K242" s="5"/>
      <c r="L242" s="5"/>
      <c r="M242" s="5"/>
      <c r="N242" s="5"/>
      <c r="O242" s="5"/>
      <c r="P242" s="5"/>
      <c r="Q242" s="5"/>
      <c r="R242" s="5"/>
      <c r="S242" s="5"/>
    </row>
    <row r="243" spans="2:21">
      <c r="B243" s="3"/>
      <c r="E243" s="5" t="s">
        <v>944</v>
      </c>
      <c r="F243" s="5" t="s">
        <v>242</v>
      </c>
      <c r="G243" s="5"/>
      <c r="I243" s="5"/>
      <c r="J243" s="5"/>
      <c r="K243" s="5"/>
      <c r="L243" s="5"/>
      <c r="M243" s="5"/>
      <c r="N243" s="5"/>
      <c r="O243" s="5"/>
      <c r="P243" s="5"/>
      <c r="Q243" s="5"/>
      <c r="R243" s="5"/>
      <c r="S243" s="5"/>
    </row>
    <row r="244" spans="2:21">
      <c r="B244" s="3"/>
      <c r="E244" s="5"/>
      <c r="F244" s="5"/>
      <c r="G244" s="5"/>
      <c r="H244" s="5"/>
      <c r="I244" s="5"/>
      <c r="J244" s="5"/>
      <c r="K244" s="5"/>
      <c r="L244" s="5"/>
      <c r="M244" s="5"/>
      <c r="N244" s="5"/>
      <c r="O244" s="5"/>
      <c r="P244" s="5"/>
      <c r="Q244" s="5"/>
      <c r="R244" s="5"/>
      <c r="S244" s="5"/>
    </row>
    <row r="245" spans="2:21">
      <c r="B245" s="3"/>
      <c r="C245" s="3" t="s">
        <v>292</v>
      </c>
      <c r="D245" s="5"/>
      <c r="E245" s="5"/>
      <c r="F245" s="5"/>
      <c r="G245" s="3" t="s">
        <v>877</v>
      </c>
      <c r="I245" s="5"/>
      <c r="J245" s="5"/>
      <c r="K245" s="5"/>
      <c r="L245" s="5"/>
      <c r="M245" s="5"/>
      <c r="N245" s="5"/>
      <c r="O245" s="5"/>
      <c r="P245" s="5"/>
      <c r="Q245" s="5"/>
      <c r="R245" s="5"/>
      <c r="S245" s="5"/>
    </row>
    <row r="246" spans="2:21">
      <c r="B246" s="3"/>
      <c r="E246" s="5" t="s">
        <v>943</v>
      </c>
      <c r="F246" s="5" t="s">
        <v>927</v>
      </c>
      <c r="G246" s="5"/>
      <c r="I246" s="5"/>
      <c r="J246" s="5"/>
      <c r="K246" s="5"/>
      <c r="L246" s="5"/>
      <c r="M246" s="5"/>
      <c r="N246" s="5"/>
      <c r="O246" s="5"/>
      <c r="P246" s="5"/>
      <c r="Q246" s="5"/>
      <c r="R246" s="5"/>
      <c r="S246" s="5"/>
    </row>
    <row r="247" spans="2:21">
      <c r="B247" s="3"/>
      <c r="E247" s="5"/>
      <c r="F247" s="5" t="s">
        <v>349</v>
      </c>
      <c r="G247" s="5"/>
      <c r="H247" s="5"/>
      <c r="I247" s="5"/>
      <c r="J247" s="5"/>
      <c r="K247" s="5"/>
      <c r="L247" s="5"/>
      <c r="M247" s="5"/>
      <c r="N247" s="5"/>
      <c r="O247" s="5"/>
      <c r="P247" s="5"/>
      <c r="Q247" s="5"/>
      <c r="R247" s="5"/>
      <c r="S247" s="5"/>
    </row>
    <row r="248" spans="2:21">
      <c r="B248" s="3"/>
      <c r="D248" s="5"/>
      <c r="E248" s="5" t="s">
        <v>944</v>
      </c>
      <c r="F248" s="5" t="s">
        <v>242</v>
      </c>
      <c r="G248" s="5"/>
      <c r="I248" s="5"/>
      <c r="J248" s="5"/>
      <c r="K248" s="5"/>
      <c r="L248" s="5"/>
      <c r="M248" s="5"/>
      <c r="N248" s="5"/>
      <c r="O248" s="5"/>
      <c r="P248" s="5"/>
      <c r="Q248" s="5"/>
      <c r="R248" s="5"/>
      <c r="S248" s="5"/>
    </row>
    <row r="249" spans="2:21">
      <c r="B249" s="3"/>
      <c r="E249" s="5" t="s">
        <v>950</v>
      </c>
      <c r="F249" s="269" t="s">
        <v>1256</v>
      </c>
      <c r="G249" s="5"/>
      <c r="I249" s="5"/>
      <c r="J249" s="5"/>
      <c r="K249" s="5"/>
      <c r="L249" s="5"/>
      <c r="M249" s="5"/>
      <c r="N249" s="5"/>
      <c r="O249" s="5"/>
      <c r="P249" s="5"/>
      <c r="Q249" s="5"/>
      <c r="R249" s="5"/>
      <c r="S249" s="5"/>
    </row>
    <row r="250" spans="2:21">
      <c r="B250" s="3"/>
      <c r="D250" s="5"/>
      <c r="E250" s="5"/>
      <c r="F250" s="5"/>
      <c r="G250" s="5"/>
      <c r="H250" s="5"/>
      <c r="I250" s="5"/>
      <c r="J250" s="5"/>
      <c r="K250" s="5"/>
      <c r="L250" s="5"/>
      <c r="M250" s="5"/>
      <c r="N250" s="5"/>
      <c r="O250" s="5"/>
      <c r="P250" s="5"/>
      <c r="Q250" s="5"/>
      <c r="R250" s="5"/>
      <c r="S250" s="5"/>
    </row>
    <row r="251" spans="2:21">
      <c r="B251" s="3"/>
      <c r="C251" s="3" t="s">
        <v>350</v>
      </c>
      <c r="E251" s="5"/>
      <c r="F251" s="5"/>
      <c r="G251" s="3" t="s">
        <v>160</v>
      </c>
      <c r="I251" s="5"/>
      <c r="J251" s="5"/>
      <c r="K251" s="5"/>
      <c r="L251" s="5"/>
      <c r="M251" s="5"/>
      <c r="N251" s="5"/>
      <c r="O251" s="5"/>
      <c r="P251" s="5"/>
      <c r="Q251" s="5"/>
      <c r="R251" s="5"/>
      <c r="S251" s="5"/>
    </row>
    <row r="252" spans="2:21">
      <c r="B252" s="3"/>
      <c r="C252" s="3"/>
      <c r="E252" s="5" t="s">
        <v>943</v>
      </c>
      <c r="F252" s="5" t="s">
        <v>821</v>
      </c>
      <c r="G252" s="5"/>
      <c r="I252" s="5"/>
      <c r="J252" s="5"/>
      <c r="K252" s="5"/>
      <c r="L252" s="5"/>
      <c r="M252" s="5"/>
      <c r="N252" s="5"/>
      <c r="O252" s="5"/>
      <c r="P252" s="5"/>
      <c r="Q252" s="5"/>
      <c r="R252" s="5"/>
      <c r="S252" s="5"/>
      <c r="T252" s="5"/>
      <c r="U252" s="5"/>
    </row>
    <row r="253" spans="2:21">
      <c r="B253" s="3"/>
      <c r="C253" s="3"/>
      <c r="E253" s="5"/>
      <c r="F253" s="158" t="s">
        <v>1654</v>
      </c>
      <c r="G253" s="5"/>
      <c r="J253" s="5"/>
      <c r="K253" s="5"/>
      <c r="L253" s="5"/>
      <c r="M253" s="5"/>
      <c r="N253" s="5"/>
      <c r="O253" s="5"/>
      <c r="P253" s="5"/>
      <c r="Q253" s="5"/>
      <c r="R253" s="5"/>
      <c r="S253" s="5"/>
      <c r="T253" s="5"/>
      <c r="U253" s="5"/>
    </row>
    <row r="254" spans="2:21">
      <c r="B254" s="3"/>
      <c r="C254" s="3"/>
      <c r="E254" s="5" t="s">
        <v>944</v>
      </c>
      <c r="F254" s="5" t="s">
        <v>1245</v>
      </c>
      <c r="I254" s="5"/>
      <c r="J254" s="5"/>
      <c r="K254" s="5"/>
      <c r="L254" s="5"/>
      <c r="M254" s="5"/>
      <c r="N254" s="5"/>
      <c r="O254" s="5"/>
      <c r="P254" s="5"/>
      <c r="Q254" s="5"/>
      <c r="R254" s="5"/>
      <c r="S254" s="5"/>
      <c r="T254" s="5"/>
      <c r="U254" s="5"/>
    </row>
    <row r="255" spans="2:21">
      <c r="B255" s="3"/>
      <c r="C255" s="3"/>
      <c r="E255" s="5"/>
      <c r="F255" s="5" t="s">
        <v>861</v>
      </c>
      <c r="G255" s="5" t="s">
        <v>1073</v>
      </c>
      <c r="I255" s="41"/>
      <c r="K255" s="41"/>
      <c r="L255" s="41"/>
      <c r="M255" s="41"/>
      <c r="N255" s="41"/>
      <c r="O255" s="41"/>
      <c r="P255" s="41"/>
    </row>
    <row r="256" spans="2:21">
      <c r="B256" s="3"/>
      <c r="C256" s="3"/>
      <c r="E256" s="5"/>
      <c r="G256" s="5" t="s">
        <v>1074</v>
      </c>
      <c r="I256" s="41"/>
      <c r="K256" s="41"/>
      <c r="L256" s="41"/>
      <c r="M256" s="41"/>
      <c r="N256" s="41"/>
      <c r="O256" s="41"/>
      <c r="P256" s="41"/>
    </row>
    <row r="257" spans="2:21">
      <c r="B257" s="3"/>
      <c r="C257" s="3"/>
      <c r="E257" s="5"/>
      <c r="F257" t="s">
        <v>77</v>
      </c>
      <c r="G257" s="5" t="s">
        <v>1250</v>
      </c>
      <c r="I257" s="5"/>
      <c r="K257" s="5"/>
      <c r="L257" s="5"/>
      <c r="M257" s="5"/>
      <c r="N257" s="5"/>
      <c r="O257" s="5"/>
      <c r="P257" s="5"/>
      <c r="Q257" s="41"/>
      <c r="R257" s="41"/>
      <c r="S257" s="41"/>
      <c r="T257" s="41"/>
      <c r="U257" s="41"/>
    </row>
    <row r="258" spans="2:21">
      <c r="B258" s="3"/>
      <c r="C258" s="3"/>
      <c r="E258" s="5"/>
      <c r="G258" s="5" t="s">
        <v>1099</v>
      </c>
      <c r="I258" s="5"/>
      <c r="K258" s="5"/>
      <c r="L258" s="5"/>
      <c r="M258" s="5"/>
      <c r="N258" s="5"/>
      <c r="O258" s="5"/>
      <c r="P258" s="5"/>
      <c r="Q258" s="5"/>
      <c r="R258" s="5"/>
      <c r="S258" s="5"/>
      <c r="T258" s="5"/>
      <c r="U258" s="5"/>
    </row>
    <row r="259" spans="2:21">
      <c r="B259" s="3"/>
      <c r="C259" s="3"/>
      <c r="E259" s="5"/>
      <c r="G259" s="5"/>
      <c r="I259" s="5"/>
      <c r="K259" s="5"/>
      <c r="L259" s="5"/>
      <c r="M259" s="5"/>
      <c r="N259" s="5"/>
      <c r="O259" s="5"/>
      <c r="P259" s="5"/>
      <c r="Q259" s="5"/>
      <c r="R259" s="5"/>
      <c r="S259" s="5"/>
      <c r="T259" s="5"/>
      <c r="U259" s="5"/>
    </row>
    <row r="260" spans="2:21">
      <c r="B260" s="3"/>
      <c r="C260" s="3"/>
      <c r="D260" s="3" t="s">
        <v>859</v>
      </c>
      <c r="E260" s="3" t="s">
        <v>161</v>
      </c>
      <c r="G260" s="5"/>
      <c r="H260" s="5"/>
      <c r="I260" s="5"/>
      <c r="J260" s="5"/>
      <c r="K260" s="5"/>
      <c r="L260" s="5"/>
      <c r="M260" s="5"/>
      <c r="N260" s="5"/>
      <c r="O260" s="5"/>
      <c r="P260" s="5"/>
      <c r="Q260" s="5"/>
      <c r="R260" s="5"/>
      <c r="S260" s="5"/>
    </row>
    <row r="261" spans="2:21">
      <c r="B261" s="3"/>
      <c r="C261" s="3"/>
      <c r="E261" s="5" t="s">
        <v>943</v>
      </c>
      <c r="F261" s="5" t="s">
        <v>370</v>
      </c>
      <c r="G261" s="5"/>
      <c r="I261" s="5"/>
      <c r="J261" s="5"/>
      <c r="K261" s="5"/>
      <c r="L261" s="5"/>
      <c r="M261" s="5"/>
      <c r="N261" s="5"/>
      <c r="O261" s="5"/>
      <c r="P261" s="5"/>
      <c r="Q261" s="5"/>
      <c r="R261" s="5"/>
      <c r="S261" s="5"/>
    </row>
    <row r="262" spans="2:21">
      <c r="B262" s="3"/>
      <c r="C262" s="3"/>
      <c r="E262" s="5" t="s">
        <v>944</v>
      </c>
      <c r="F262" s="5" t="s">
        <v>1054</v>
      </c>
      <c r="G262" s="5"/>
      <c r="I262" s="5"/>
      <c r="J262" s="5"/>
      <c r="K262" s="5"/>
      <c r="L262" s="5"/>
      <c r="M262" s="5"/>
      <c r="N262" s="5"/>
      <c r="O262" s="5"/>
      <c r="P262" s="5"/>
      <c r="Q262" s="5"/>
      <c r="R262" s="5"/>
      <c r="S262" s="5"/>
    </row>
    <row r="263" spans="2:21">
      <c r="B263" s="3"/>
      <c r="C263" s="3"/>
      <c r="E263" s="5" t="s">
        <v>950</v>
      </c>
      <c r="F263" s="5" t="s">
        <v>371</v>
      </c>
      <c r="I263" s="5"/>
      <c r="J263" s="5"/>
      <c r="K263" s="5"/>
      <c r="L263" s="5"/>
      <c r="M263" s="5"/>
      <c r="N263" s="5"/>
      <c r="O263" s="5"/>
      <c r="P263" s="5"/>
      <c r="Q263" s="5"/>
      <c r="R263" s="5"/>
      <c r="S263" s="5"/>
    </row>
    <row r="264" spans="2:21">
      <c r="B264" s="3"/>
      <c r="C264" s="3"/>
      <c r="E264" s="3"/>
      <c r="F264" s="5" t="s">
        <v>1055</v>
      </c>
      <c r="I264" s="5"/>
      <c r="J264" s="5"/>
      <c r="K264" s="5"/>
      <c r="L264" s="5"/>
      <c r="M264" s="5"/>
      <c r="N264" s="5"/>
      <c r="O264" s="5"/>
      <c r="P264" s="5"/>
      <c r="Q264" s="5"/>
      <c r="R264" s="5"/>
      <c r="S264" s="5"/>
    </row>
    <row r="265" spans="2:21">
      <c r="B265" s="3"/>
      <c r="C265" s="3"/>
      <c r="E265" s="5" t="s">
        <v>459</v>
      </c>
      <c r="F265" s="5" t="s">
        <v>1075</v>
      </c>
      <c r="I265" s="5"/>
      <c r="J265" s="5"/>
      <c r="K265" s="5"/>
      <c r="L265" s="5"/>
      <c r="M265" s="5"/>
      <c r="N265" s="5"/>
      <c r="O265" s="5"/>
      <c r="P265" s="5"/>
      <c r="Q265" s="5"/>
      <c r="R265" s="5"/>
      <c r="S265" s="5"/>
    </row>
    <row r="266" spans="2:21">
      <c r="B266" s="3"/>
      <c r="C266" s="3"/>
      <c r="E266" s="3"/>
      <c r="F266" s="5"/>
      <c r="H266" s="5"/>
      <c r="I266" s="5"/>
      <c r="J266" s="5"/>
      <c r="K266" s="5"/>
      <c r="L266" s="5"/>
      <c r="M266" s="5"/>
      <c r="N266" s="5"/>
      <c r="O266" s="5"/>
      <c r="P266" s="5"/>
      <c r="Q266" s="5"/>
      <c r="R266" s="5"/>
      <c r="S266" s="5"/>
    </row>
    <row r="267" spans="2:21">
      <c r="B267" s="3"/>
      <c r="C267" s="3"/>
      <c r="D267" s="3" t="s">
        <v>493</v>
      </c>
      <c r="E267" s="3" t="s">
        <v>822</v>
      </c>
      <c r="G267" s="5"/>
      <c r="H267" s="5"/>
      <c r="I267" s="5"/>
      <c r="J267" s="5"/>
      <c r="K267" s="5"/>
      <c r="L267" s="5"/>
      <c r="M267" s="5"/>
      <c r="N267" s="5"/>
      <c r="O267" s="5"/>
      <c r="P267" s="5"/>
      <c r="Q267" s="5"/>
      <c r="R267" s="5"/>
      <c r="S267" s="5"/>
    </row>
    <row r="268" spans="2:21">
      <c r="B268" s="3"/>
      <c r="C268" s="3"/>
      <c r="E268" s="5" t="s">
        <v>48</v>
      </c>
      <c r="F268" s="5"/>
      <c r="G268" s="5"/>
    </row>
    <row r="269" spans="2:21">
      <c r="B269" s="3"/>
      <c r="C269" s="3"/>
      <c r="E269" s="3"/>
      <c r="G269" s="5"/>
      <c r="H269" s="5"/>
    </row>
    <row r="270" spans="2:21">
      <c r="B270" s="3"/>
      <c r="C270" s="3"/>
      <c r="D270" s="3" t="s">
        <v>890</v>
      </c>
      <c r="E270" s="3" t="s">
        <v>274</v>
      </c>
      <c r="G270" s="5"/>
    </row>
    <row r="271" spans="2:21">
      <c r="B271" s="3"/>
      <c r="C271" s="3"/>
      <c r="E271" s="5" t="s">
        <v>49</v>
      </c>
      <c r="F271" s="5"/>
      <c r="G271" s="5"/>
      <c r="J271" s="5"/>
      <c r="K271" s="5"/>
      <c r="L271" s="5"/>
      <c r="M271" s="5"/>
      <c r="N271" s="5"/>
      <c r="O271" s="5"/>
      <c r="P271" s="5"/>
      <c r="Q271" s="5"/>
      <c r="R271" s="5"/>
      <c r="S271" s="5"/>
      <c r="T271" s="5"/>
      <c r="U271" s="5"/>
    </row>
    <row r="272" spans="2:21">
      <c r="B272" s="3"/>
      <c r="C272" s="3"/>
      <c r="E272" s="5" t="s">
        <v>50</v>
      </c>
      <c r="F272" s="5"/>
      <c r="G272" s="5"/>
      <c r="J272" s="5"/>
      <c r="K272" s="5"/>
      <c r="L272" s="5"/>
      <c r="M272" s="5"/>
      <c r="N272" s="5"/>
      <c r="O272" s="5"/>
      <c r="P272" s="5"/>
      <c r="Q272" s="5"/>
      <c r="R272" s="5"/>
      <c r="S272" s="5"/>
      <c r="T272" s="5"/>
      <c r="U272" s="5"/>
    </row>
    <row r="273" spans="2:21">
      <c r="B273" s="3"/>
      <c r="C273" s="3"/>
      <c r="E273" s="3"/>
      <c r="G273" s="5"/>
      <c r="H273" s="5"/>
      <c r="J273" s="5"/>
      <c r="K273" s="5"/>
      <c r="L273" s="5"/>
      <c r="M273" s="5"/>
      <c r="N273" s="5"/>
      <c r="O273" s="5"/>
      <c r="P273" s="5"/>
      <c r="Q273" s="5"/>
      <c r="R273" s="5"/>
      <c r="S273" s="5"/>
      <c r="T273" s="5"/>
      <c r="U273" s="5"/>
    </row>
    <row r="274" spans="2:21">
      <c r="B274" s="3"/>
      <c r="D274" s="3" t="s">
        <v>785</v>
      </c>
      <c r="E274" s="3" t="s">
        <v>162</v>
      </c>
      <c r="G274" s="5"/>
      <c r="H274" s="5"/>
      <c r="J274" s="5"/>
      <c r="K274" s="5"/>
      <c r="L274" s="5"/>
      <c r="M274" s="5"/>
      <c r="N274" s="5"/>
      <c r="O274" s="5"/>
      <c r="P274" s="5"/>
      <c r="Q274" s="5"/>
      <c r="R274" s="5"/>
      <c r="S274" s="5"/>
      <c r="T274" s="5"/>
      <c r="U274" s="5"/>
    </row>
    <row r="275" spans="2:21">
      <c r="B275" s="3"/>
      <c r="D275" s="5"/>
      <c r="E275" s="41" t="s">
        <v>2008</v>
      </c>
      <c r="J275" s="5"/>
      <c r="K275" s="5"/>
      <c r="L275" s="5"/>
      <c r="M275" s="5"/>
      <c r="N275" s="5"/>
      <c r="O275" s="5"/>
      <c r="P275" s="5"/>
      <c r="Q275" s="5"/>
      <c r="R275" s="5"/>
      <c r="S275" s="5"/>
      <c r="T275" s="5"/>
      <c r="U275" s="5"/>
    </row>
    <row r="276" spans="2:21">
      <c r="B276" s="3"/>
      <c r="D276" s="5"/>
      <c r="E276" s="41" t="s">
        <v>2009</v>
      </c>
      <c r="F276" s="5"/>
      <c r="J276" s="5"/>
      <c r="K276" s="5"/>
      <c r="L276" s="5"/>
      <c r="M276" s="5"/>
      <c r="N276" s="5"/>
      <c r="O276" s="5"/>
      <c r="P276" s="5"/>
      <c r="Q276" s="5"/>
      <c r="R276" s="5"/>
      <c r="S276" s="5"/>
      <c r="T276" s="5"/>
      <c r="U276" s="5"/>
    </row>
    <row r="277" spans="2:21">
      <c r="B277" s="3"/>
      <c r="D277" s="5"/>
      <c r="E277" s="5"/>
      <c r="J277" s="5"/>
      <c r="K277" s="5"/>
      <c r="L277" s="5"/>
      <c r="M277" s="5"/>
      <c r="N277" s="5"/>
      <c r="O277" s="5"/>
      <c r="P277" s="5"/>
      <c r="Q277" s="5"/>
      <c r="R277" s="5"/>
      <c r="S277" s="5"/>
      <c r="T277" s="5"/>
      <c r="U277" s="5"/>
    </row>
    <row r="278" spans="2:21">
      <c r="B278" s="3"/>
      <c r="D278" s="3" t="s">
        <v>532</v>
      </c>
      <c r="E278" s="3" t="s">
        <v>275</v>
      </c>
      <c r="K278" s="5"/>
      <c r="L278" s="5"/>
      <c r="M278" s="5"/>
      <c r="N278" s="5"/>
      <c r="O278" s="5"/>
      <c r="P278" s="5"/>
      <c r="Q278" s="5"/>
      <c r="R278" s="5"/>
      <c r="S278" s="5"/>
    </row>
    <row r="279" spans="2:21">
      <c r="B279" s="3"/>
      <c r="D279" s="3"/>
      <c r="E279" t="s">
        <v>51</v>
      </c>
      <c r="K279" s="5"/>
      <c r="L279" s="5"/>
      <c r="M279" s="5"/>
      <c r="N279" s="5"/>
      <c r="O279" s="5"/>
      <c r="P279" s="5"/>
      <c r="Q279" s="5"/>
      <c r="R279" s="5"/>
      <c r="S279" s="5"/>
    </row>
    <row r="280" spans="2:21">
      <c r="B280" s="3"/>
      <c r="D280" s="5"/>
      <c r="E280" s="5" t="s">
        <v>1246</v>
      </c>
      <c r="F280" s="5"/>
      <c r="I280" s="5"/>
      <c r="J280" s="5"/>
      <c r="K280" s="5"/>
      <c r="L280" s="5"/>
      <c r="M280" s="5"/>
      <c r="N280" s="5"/>
      <c r="O280" s="5"/>
      <c r="P280" s="5"/>
      <c r="Q280" s="5"/>
      <c r="R280" s="5"/>
      <c r="S280" s="5"/>
    </row>
    <row r="281" spans="2:21">
      <c r="B281" s="3"/>
      <c r="D281" s="3"/>
      <c r="E281" s="5"/>
      <c r="I281" s="5"/>
      <c r="J281" s="5"/>
      <c r="K281" s="5"/>
      <c r="L281" s="5"/>
      <c r="M281" s="5"/>
      <c r="N281" s="5"/>
      <c r="O281" s="5"/>
      <c r="P281" s="5"/>
      <c r="Q281" s="5"/>
      <c r="R281" s="5"/>
      <c r="S281" s="5"/>
    </row>
    <row r="282" spans="2:21">
      <c r="B282" s="3"/>
      <c r="D282" s="3" t="s">
        <v>290</v>
      </c>
      <c r="E282" s="3" t="s">
        <v>379</v>
      </c>
      <c r="G282" s="5"/>
      <c r="H282" s="5"/>
      <c r="I282" s="5"/>
      <c r="J282" s="5"/>
      <c r="K282" s="5"/>
      <c r="L282" s="5"/>
      <c r="M282" s="5"/>
      <c r="P282" s="5"/>
      <c r="Q282" s="5"/>
      <c r="R282" s="5"/>
      <c r="S282" s="5"/>
    </row>
    <row r="283" spans="2:21">
      <c r="B283" s="3"/>
      <c r="D283" s="3"/>
      <c r="E283" t="s">
        <v>55</v>
      </c>
      <c r="G283" s="5"/>
      <c r="H283" s="5"/>
      <c r="I283" s="5"/>
      <c r="J283" s="5"/>
      <c r="K283" s="5"/>
      <c r="L283" s="5"/>
      <c r="M283" s="5"/>
      <c r="P283" s="5"/>
      <c r="Q283" s="5"/>
      <c r="R283" s="5"/>
      <c r="S283" s="5"/>
    </row>
    <row r="284" spans="2:21">
      <c r="B284" s="3"/>
      <c r="D284" s="3"/>
      <c r="E284" t="s">
        <v>56</v>
      </c>
      <c r="G284" s="5"/>
      <c r="H284" s="5"/>
      <c r="I284" s="5"/>
      <c r="J284" s="5"/>
      <c r="K284" s="5"/>
      <c r="L284" s="5"/>
      <c r="M284" s="5"/>
      <c r="P284" s="5"/>
      <c r="Q284" s="5"/>
      <c r="R284" s="5"/>
      <c r="S284" s="5"/>
    </row>
    <row r="285" spans="2:21">
      <c r="B285" s="3"/>
      <c r="D285" s="3"/>
      <c r="E285" s="158" t="s">
        <v>1652</v>
      </c>
      <c r="F285" s="158"/>
      <c r="G285" s="5"/>
      <c r="H285" s="158"/>
      <c r="I285" s="158"/>
      <c r="J285" s="5"/>
      <c r="K285" s="5"/>
      <c r="L285" s="5"/>
      <c r="M285" s="5"/>
      <c r="P285" s="5"/>
      <c r="Q285" s="5"/>
      <c r="R285" s="5"/>
      <c r="S285" s="5"/>
    </row>
    <row r="286" spans="2:21">
      <c r="B286" s="3"/>
      <c r="D286" s="3"/>
      <c r="E286" s="668" t="s">
        <v>1098</v>
      </c>
      <c r="G286" s="5"/>
      <c r="H286" s="668"/>
      <c r="I286" s="668"/>
      <c r="J286" s="5"/>
      <c r="K286" s="5"/>
      <c r="L286" s="5"/>
      <c r="M286" s="5"/>
      <c r="P286" s="5"/>
      <c r="Q286" s="5"/>
      <c r="R286" s="5"/>
      <c r="S286" s="5"/>
    </row>
    <row r="287" spans="2:21">
      <c r="B287" s="3"/>
      <c r="D287" s="3"/>
      <c r="E287" s="5"/>
      <c r="F287" s="5"/>
      <c r="G287" s="5"/>
      <c r="H287" s="5"/>
      <c r="I287" s="5"/>
      <c r="J287" s="5"/>
      <c r="K287" s="5"/>
      <c r="L287" s="5"/>
      <c r="M287" s="5"/>
      <c r="P287" s="5"/>
      <c r="Q287" s="5"/>
      <c r="R287" s="5"/>
      <c r="S287" s="5"/>
    </row>
    <row r="288" spans="2:21">
      <c r="B288" s="3"/>
      <c r="D288" s="3" t="s">
        <v>765</v>
      </c>
      <c r="E288" s="3" t="s">
        <v>142</v>
      </c>
      <c r="K288" s="5"/>
      <c r="L288" s="5"/>
      <c r="M288" s="5"/>
      <c r="N288" s="5"/>
      <c r="O288" s="5"/>
      <c r="P288" s="5"/>
      <c r="Q288" s="5"/>
      <c r="R288" s="5"/>
      <c r="S288" s="5"/>
    </row>
    <row r="289" spans="2:24">
      <c r="B289" s="3"/>
      <c r="D289" s="5"/>
      <c r="E289" s="5" t="s">
        <v>943</v>
      </c>
      <c r="F289" s="5" t="s">
        <v>143</v>
      </c>
      <c r="G289" s="5"/>
    </row>
    <row r="290" spans="2:24">
      <c r="B290" s="3"/>
      <c r="D290" s="5"/>
      <c r="E290" s="5"/>
      <c r="F290" s="158" t="s">
        <v>1653</v>
      </c>
      <c r="G290" s="158"/>
      <c r="H290" s="158"/>
      <c r="I290" s="158"/>
      <c r="J290" s="158"/>
      <c r="K290" s="158"/>
      <c r="L290" s="158"/>
      <c r="M290" s="158"/>
      <c r="N290" s="158"/>
      <c r="O290" s="158"/>
      <c r="P290" s="158"/>
      <c r="Q290" s="158"/>
      <c r="R290" s="158"/>
      <c r="S290" s="158"/>
      <c r="T290" s="158"/>
      <c r="U290" s="158"/>
      <c r="V290" s="158"/>
      <c r="W290" s="158"/>
      <c r="X290" s="158"/>
    </row>
    <row r="291" spans="2:24">
      <c r="B291" s="3"/>
      <c r="D291" s="5"/>
      <c r="E291" s="5" t="s">
        <v>944</v>
      </c>
      <c r="F291" s="5" t="s">
        <v>1045</v>
      </c>
      <c r="G291" s="5"/>
      <c r="L291" s="5"/>
      <c r="M291" s="5"/>
      <c r="N291" s="5"/>
      <c r="O291" s="5"/>
      <c r="P291" s="5"/>
      <c r="Q291" s="5"/>
      <c r="R291" s="5"/>
      <c r="S291" s="5"/>
      <c r="T291" s="5"/>
      <c r="U291" s="5"/>
      <c r="V291" s="5"/>
      <c r="W291" s="5"/>
    </row>
    <row r="292" spans="2:24">
      <c r="B292" s="3"/>
      <c r="D292" s="5"/>
      <c r="E292" s="5" t="s">
        <v>950</v>
      </c>
      <c r="F292" s="5" t="s">
        <v>54</v>
      </c>
      <c r="G292" s="5"/>
      <c r="H292" s="5"/>
      <c r="K292" s="5"/>
      <c r="L292" s="5"/>
      <c r="M292" s="5"/>
      <c r="N292" s="5"/>
      <c r="O292" s="5"/>
      <c r="P292" s="5"/>
      <c r="Q292" s="5"/>
      <c r="R292" s="5"/>
      <c r="S292" s="5"/>
      <c r="T292" s="5"/>
      <c r="U292" s="5"/>
      <c r="V292" s="5"/>
      <c r="W292" s="5"/>
    </row>
    <row r="293" spans="2:24">
      <c r="B293" s="3"/>
      <c r="D293" s="5"/>
      <c r="E293" s="5"/>
      <c r="F293" s="5" t="s">
        <v>861</v>
      </c>
      <c r="G293" s="5" t="s">
        <v>577</v>
      </c>
      <c r="K293" s="5"/>
      <c r="L293" s="5"/>
      <c r="M293" s="5"/>
      <c r="N293" s="5"/>
      <c r="O293" s="5"/>
      <c r="P293" s="5"/>
      <c r="Q293" s="5"/>
      <c r="R293" s="5"/>
      <c r="S293" s="5"/>
      <c r="T293" s="5"/>
      <c r="U293" s="5"/>
      <c r="V293" s="5"/>
      <c r="W293" s="5"/>
    </row>
    <row r="294" spans="2:24">
      <c r="B294" s="3"/>
      <c r="D294" s="5"/>
      <c r="E294" s="5"/>
      <c r="F294" s="5" t="s">
        <v>77</v>
      </c>
      <c r="G294" s="5" t="s">
        <v>1247</v>
      </c>
      <c r="H294" s="5"/>
      <c r="K294" s="5"/>
      <c r="L294" s="5"/>
      <c r="M294" s="5"/>
      <c r="N294" s="5"/>
      <c r="O294" s="5"/>
      <c r="P294" s="5"/>
      <c r="Q294" s="5"/>
      <c r="R294" s="5"/>
      <c r="S294" s="5"/>
      <c r="T294" s="5"/>
      <c r="U294" s="5"/>
      <c r="V294" s="5"/>
      <c r="W294" s="5"/>
    </row>
    <row r="295" spans="2:24">
      <c r="B295" s="3"/>
      <c r="D295" s="5"/>
      <c r="E295" s="5"/>
      <c r="F295" s="5" t="s">
        <v>565</v>
      </c>
      <c r="G295" s="5" t="s">
        <v>769</v>
      </c>
      <c r="K295" s="5"/>
      <c r="L295" s="5"/>
      <c r="M295" s="5"/>
      <c r="N295" s="5"/>
      <c r="O295" s="5"/>
      <c r="P295" s="5"/>
      <c r="Q295" s="5"/>
      <c r="R295" s="5"/>
      <c r="S295" s="5"/>
      <c r="T295" s="5"/>
      <c r="U295" s="5"/>
      <c r="V295" s="5"/>
      <c r="W295" s="5"/>
    </row>
    <row r="296" spans="2:24">
      <c r="B296" s="3"/>
      <c r="D296" s="5"/>
      <c r="E296" s="5"/>
      <c r="F296" s="5" t="s">
        <v>487</v>
      </c>
      <c r="G296" s="5" t="s">
        <v>578</v>
      </c>
      <c r="H296" s="5"/>
      <c r="K296" s="5"/>
      <c r="L296" s="5"/>
      <c r="M296" s="5"/>
      <c r="N296" s="5"/>
      <c r="O296" s="5"/>
      <c r="P296" s="5"/>
      <c r="Q296" s="5"/>
      <c r="R296" s="5"/>
      <c r="S296" s="5"/>
      <c r="T296" s="5"/>
      <c r="U296" s="5"/>
      <c r="V296" s="5"/>
      <c r="W296" s="5"/>
    </row>
    <row r="297" spans="2:24">
      <c r="B297" s="3"/>
      <c r="D297" s="5"/>
      <c r="E297" s="5"/>
      <c r="F297" s="5" t="s">
        <v>52</v>
      </c>
      <c r="G297" s="5" t="s">
        <v>59</v>
      </c>
      <c r="K297" s="5"/>
      <c r="L297" s="5"/>
      <c r="M297" s="5"/>
      <c r="N297" s="5"/>
      <c r="O297" s="5"/>
      <c r="P297" s="5"/>
      <c r="Q297" s="5"/>
      <c r="R297" s="5"/>
      <c r="S297" s="5"/>
      <c r="T297" s="5"/>
      <c r="U297" s="5"/>
      <c r="V297" s="5"/>
      <c r="W297" s="5"/>
    </row>
    <row r="298" spans="2:24">
      <c r="B298" s="3"/>
      <c r="D298" s="5"/>
      <c r="E298" s="5"/>
      <c r="F298" s="5" t="s">
        <v>53</v>
      </c>
      <c r="G298" s="5" t="s">
        <v>527</v>
      </c>
      <c r="H298" s="5"/>
      <c r="K298" s="5"/>
      <c r="L298" s="5"/>
      <c r="M298" s="5"/>
      <c r="N298" s="5"/>
      <c r="O298" s="5"/>
      <c r="P298" s="5"/>
      <c r="Q298" s="5"/>
      <c r="R298" s="5"/>
      <c r="S298" s="5"/>
      <c r="T298" s="5"/>
      <c r="U298" s="5"/>
      <c r="V298" s="5"/>
      <c r="W298" s="5"/>
    </row>
    <row r="299" spans="2:24">
      <c r="B299" s="3"/>
      <c r="D299" s="5"/>
      <c r="E299" s="5" t="s">
        <v>459</v>
      </c>
      <c r="F299" s="5" t="s">
        <v>503</v>
      </c>
      <c r="G299" s="5"/>
      <c r="K299" s="5"/>
      <c r="L299" s="5"/>
      <c r="M299" s="5"/>
      <c r="N299" s="5"/>
      <c r="O299" s="5"/>
      <c r="P299" s="5"/>
      <c r="Q299" s="5"/>
      <c r="R299" s="5"/>
      <c r="S299" s="5"/>
      <c r="T299" s="5"/>
      <c r="U299" s="5"/>
      <c r="V299" s="5"/>
      <c r="W299" s="5"/>
    </row>
    <row r="300" spans="2:24">
      <c r="B300" s="3"/>
      <c r="D300" s="5"/>
      <c r="E300" s="5" t="s">
        <v>182</v>
      </c>
      <c r="F300" s="5" t="s">
        <v>1248</v>
      </c>
      <c r="G300" s="5"/>
      <c r="K300" s="5"/>
      <c r="L300" s="5"/>
      <c r="M300" s="5"/>
      <c r="N300" s="5"/>
      <c r="O300" s="5"/>
      <c r="P300" s="5"/>
      <c r="Q300" s="5"/>
      <c r="R300" s="5"/>
      <c r="S300" s="5"/>
      <c r="T300" s="5"/>
      <c r="U300" s="5"/>
      <c r="V300" s="5"/>
      <c r="W300" s="5"/>
    </row>
    <row r="301" spans="2:24">
      <c r="B301" s="3"/>
      <c r="D301" s="5"/>
      <c r="E301" s="5"/>
      <c r="F301" s="158" t="s">
        <v>1049</v>
      </c>
      <c r="G301" s="158"/>
      <c r="H301" s="158"/>
      <c r="I301" s="158"/>
      <c r="J301" s="158"/>
      <c r="K301" s="158"/>
      <c r="L301" s="158"/>
      <c r="M301" s="5"/>
      <c r="N301" s="5"/>
      <c r="O301" s="5"/>
      <c r="P301" s="5"/>
      <c r="Q301" s="5"/>
      <c r="R301" s="5"/>
      <c r="S301" s="5"/>
      <c r="T301" s="5"/>
      <c r="U301" s="5"/>
      <c r="V301" s="5"/>
      <c r="W301" s="5"/>
    </row>
    <row r="302" spans="2:24">
      <c r="B302" s="3"/>
      <c r="D302" s="5"/>
      <c r="E302" s="5"/>
      <c r="F302" s="158" t="s">
        <v>1273</v>
      </c>
      <c r="G302" s="158"/>
      <c r="H302" s="158"/>
      <c r="I302" s="158"/>
      <c r="J302" s="158"/>
      <c r="K302" s="158"/>
      <c r="L302" s="158"/>
      <c r="M302" s="5"/>
      <c r="N302" s="5"/>
      <c r="O302" s="5"/>
      <c r="P302" s="5"/>
      <c r="Q302" s="5"/>
      <c r="R302" s="5"/>
      <c r="S302" s="5"/>
      <c r="T302" s="5"/>
      <c r="U302" s="5"/>
      <c r="V302" s="5"/>
      <c r="W302" s="5"/>
    </row>
    <row r="303" spans="2:24">
      <c r="B303" s="3"/>
      <c r="D303" s="5"/>
      <c r="E303" s="5"/>
      <c r="F303" s="158" t="s">
        <v>1046</v>
      </c>
      <c r="G303" s="158"/>
      <c r="H303" s="158"/>
      <c r="I303" s="158"/>
      <c r="J303" s="158"/>
      <c r="K303" s="158"/>
      <c r="L303" s="158"/>
      <c r="M303" s="5"/>
      <c r="N303" s="5"/>
      <c r="O303" s="5"/>
      <c r="P303" s="5"/>
      <c r="Q303" s="5"/>
      <c r="R303" s="5"/>
      <c r="S303" s="5"/>
      <c r="T303" s="5"/>
      <c r="U303" s="5"/>
      <c r="V303" s="5"/>
      <c r="W303" s="5"/>
    </row>
    <row r="304" spans="2:24">
      <c r="B304" s="3"/>
      <c r="D304" s="5"/>
      <c r="E304" s="5"/>
      <c r="F304" s="158"/>
      <c r="G304" s="158"/>
      <c r="H304" s="158"/>
      <c r="I304" s="158"/>
      <c r="J304" s="158"/>
      <c r="K304" s="158"/>
      <c r="L304" s="158"/>
      <c r="M304" s="5"/>
      <c r="N304" s="5"/>
      <c r="O304" s="5"/>
      <c r="P304" s="5"/>
      <c r="Q304" s="5"/>
      <c r="R304" s="5"/>
      <c r="S304" s="5"/>
      <c r="T304" s="5"/>
      <c r="U304" s="5"/>
      <c r="V304" s="5"/>
      <c r="W304" s="5"/>
    </row>
    <row r="305" spans="1:38">
      <c r="B305" s="3"/>
      <c r="D305" s="3" t="s">
        <v>762</v>
      </c>
      <c r="E305" s="3" t="s">
        <v>276</v>
      </c>
      <c r="G305" s="5"/>
      <c r="H305" s="5"/>
      <c r="I305" s="158"/>
      <c r="J305" s="158"/>
      <c r="K305" s="158"/>
      <c r="L305" s="158"/>
      <c r="M305" s="5"/>
      <c r="N305" s="5"/>
      <c r="O305" s="5"/>
      <c r="P305" s="5"/>
      <c r="Q305" s="5"/>
      <c r="R305" s="5"/>
      <c r="S305" s="5"/>
      <c r="T305" s="5"/>
      <c r="U305" s="5"/>
      <c r="V305" s="5"/>
      <c r="W305" s="5"/>
    </row>
    <row r="306" spans="1:38">
      <c r="B306" s="3"/>
      <c r="D306" s="3"/>
      <c r="E306" s="5" t="s">
        <v>1249</v>
      </c>
      <c r="I306" s="158"/>
      <c r="J306" s="158"/>
      <c r="K306" s="158"/>
      <c r="L306" s="158"/>
      <c r="M306" s="5"/>
      <c r="N306" s="5"/>
      <c r="O306" s="5"/>
      <c r="P306" s="5"/>
      <c r="Q306" s="5"/>
      <c r="R306" s="5"/>
      <c r="S306" s="5"/>
      <c r="T306" s="5"/>
      <c r="U306" s="5"/>
      <c r="V306" s="5"/>
      <c r="W306" s="5"/>
    </row>
    <row r="307" spans="1:38">
      <c r="B307" s="3"/>
      <c r="D307" s="3"/>
      <c r="E307" s="5" t="s">
        <v>1246</v>
      </c>
      <c r="F307" s="5"/>
      <c r="I307" s="158"/>
      <c r="J307" s="158"/>
      <c r="K307" s="158"/>
      <c r="L307" s="158"/>
      <c r="M307" s="5"/>
      <c r="N307" s="5"/>
      <c r="O307" s="5"/>
      <c r="P307" s="5"/>
      <c r="Q307" s="5"/>
      <c r="R307" s="5"/>
      <c r="S307" s="5"/>
      <c r="T307" s="5"/>
      <c r="U307" s="5"/>
      <c r="V307" s="5"/>
      <c r="W307" s="5"/>
    </row>
    <row r="308" spans="1:38">
      <c r="B308" s="3"/>
      <c r="F308" s="3"/>
      <c r="G308" s="5"/>
      <c r="H308" s="5"/>
      <c r="I308" s="5"/>
      <c r="J308" s="5"/>
      <c r="K308" s="5"/>
      <c r="L308" s="5"/>
      <c r="M308" s="5"/>
      <c r="N308" s="5"/>
      <c r="O308" s="5"/>
      <c r="Q308" s="5"/>
      <c r="R308" s="5"/>
      <c r="S308" s="5"/>
      <c r="T308" s="5"/>
      <c r="U308" s="5"/>
      <c r="V308" s="5"/>
      <c r="W308" s="5"/>
    </row>
    <row r="309" spans="1:38">
      <c r="B309" s="3"/>
      <c r="C309" s="3" t="s">
        <v>351</v>
      </c>
      <c r="D309" s="3"/>
      <c r="F309" s="3"/>
      <c r="G309" s="3" t="s">
        <v>164</v>
      </c>
      <c r="I309" s="5"/>
      <c r="J309" s="5"/>
      <c r="K309" s="5"/>
      <c r="L309" s="5"/>
      <c r="M309" s="5"/>
      <c r="N309" s="5"/>
      <c r="O309" s="5"/>
      <c r="P309" s="5"/>
    </row>
    <row r="310" spans="1:38">
      <c r="B310" s="3"/>
      <c r="D310" s="3" t="s">
        <v>859</v>
      </c>
      <c r="E310" s="3" t="s">
        <v>579</v>
      </c>
      <c r="G310" s="3"/>
      <c r="H310" s="3"/>
      <c r="I310" s="3"/>
      <c r="J310" s="3"/>
      <c r="K310" s="3"/>
      <c r="L310" s="3"/>
      <c r="M310" s="3"/>
      <c r="N310" s="3"/>
      <c r="O310" s="3"/>
      <c r="P310" s="3"/>
      <c r="Q310" s="3"/>
      <c r="R310" s="3"/>
    </row>
    <row r="311" spans="1:38">
      <c r="B311" s="3"/>
      <c r="D311" s="3"/>
      <c r="E311" t="s">
        <v>943</v>
      </c>
      <c r="F311" t="s">
        <v>580</v>
      </c>
      <c r="G311" s="5"/>
      <c r="I311" s="5"/>
      <c r="K311" s="5"/>
    </row>
    <row r="312" spans="1:38">
      <c r="B312" s="3"/>
      <c r="D312" s="3"/>
      <c r="F312" s="5" t="s">
        <v>1047</v>
      </c>
      <c r="G312" s="5"/>
      <c r="I312" s="5"/>
      <c r="K312" s="5"/>
    </row>
    <row r="313" spans="1:38">
      <c r="B313" s="3"/>
      <c r="D313" s="3"/>
      <c r="F313" s="5" t="s">
        <v>1251</v>
      </c>
      <c r="G313" s="5"/>
      <c r="I313" s="5"/>
      <c r="K313" s="5"/>
    </row>
    <row r="314" spans="1:38">
      <c r="B314" s="3"/>
      <c r="D314" s="3"/>
      <c r="F314" s="5" t="s">
        <v>1050</v>
      </c>
      <c r="G314" s="5"/>
      <c r="I314" s="5"/>
      <c r="K314" s="5"/>
    </row>
    <row r="315" spans="1:38">
      <c r="B315" s="3"/>
      <c r="D315" s="3"/>
      <c r="G315" s="5"/>
      <c r="I315" s="5"/>
      <c r="K315" s="5"/>
    </row>
    <row r="316" spans="1:38">
      <c r="B316" s="3"/>
      <c r="D316" s="3" t="s">
        <v>493</v>
      </c>
      <c r="E316" s="3" t="s">
        <v>491</v>
      </c>
      <c r="G316" s="5"/>
      <c r="H316" s="5"/>
      <c r="I316" s="5"/>
      <c r="J316" s="5"/>
      <c r="K316" s="5"/>
    </row>
    <row r="317" spans="1:38">
      <c r="B317" s="3"/>
      <c r="D317" s="3"/>
      <c r="E317" t="s">
        <v>328</v>
      </c>
      <c r="G317" s="5"/>
      <c r="I317" s="5"/>
      <c r="J317" s="5"/>
      <c r="K317" s="5"/>
      <c r="L317" s="5"/>
      <c r="M317" s="5"/>
      <c r="N317" s="5"/>
      <c r="O317" s="5"/>
      <c r="P317" s="5"/>
      <c r="Q317" s="5"/>
      <c r="R317" s="5"/>
      <c r="S317" s="5"/>
    </row>
    <row r="318" spans="1:38">
      <c r="B318" s="3"/>
      <c r="D318" s="3"/>
      <c r="G318" s="5"/>
      <c r="I318" s="5"/>
      <c r="J318" s="5"/>
      <c r="K318" s="5"/>
      <c r="L318" s="5"/>
      <c r="M318" s="5"/>
      <c r="N318" s="5"/>
      <c r="O318" s="5"/>
      <c r="P318" s="5"/>
      <c r="Q318" s="5"/>
      <c r="R318" s="5"/>
      <c r="S318" s="5"/>
    </row>
    <row r="319" spans="1:38">
      <c r="A319" s="41"/>
      <c r="B319" s="669"/>
      <c r="C319" s="43"/>
      <c r="D319" s="669" t="s">
        <v>890</v>
      </c>
      <c r="E319" s="669" t="s">
        <v>840</v>
      </c>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row>
    <row r="320" spans="1:38">
      <c r="B320" s="3"/>
      <c r="E320" t="s">
        <v>329</v>
      </c>
      <c r="I320" s="5"/>
      <c r="J320" s="5"/>
      <c r="K320" s="5"/>
      <c r="L320" s="5"/>
      <c r="M320" s="5"/>
      <c r="N320" s="5"/>
      <c r="O320" s="5"/>
      <c r="P320" s="5"/>
      <c r="Q320" s="5"/>
      <c r="R320" s="5"/>
      <c r="S320" s="5"/>
    </row>
    <row r="321" spans="1:38">
      <c r="B321" s="3"/>
      <c r="E321" t="s">
        <v>330</v>
      </c>
      <c r="I321" s="5"/>
      <c r="J321" s="5"/>
      <c r="K321" s="5"/>
      <c r="L321" s="5"/>
      <c r="M321" s="5"/>
      <c r="N321" s="5"/>
      <c r="O321" s="5"/>
      <c r="P321" s="5"/>
      <c r="Q321" s="5"/>
      <c r="R321" s="5"/>
      <c r="S321" s="5"/>
    </row>
    <row r="322" spans="1:38">
      <c r="B322" s="3"/>
      <c r="E322" t="s">
        <v>331</v>
      </c>
      <c r="I322" s="5"/>
      <c r="J322" s="5"/>
      <c r="K322" s="5"/>
      <c r="L322" s="5"/>
      <c r="M322" s="5"/>
      <c r="N322" s="5"/>
      <c r="O322" s="5"/>
      <c r="P322" s="5"/>
      <c r="Q322" s="5"/>
      <c r="R322" s="5"/>
      <c r="S322" s="5"/>
    </row>
    <row r="323" spans="1:38">
      <c r="B323" s="3"/>
      <c r="I323" s="5"/>
      <c r="J323" s="5"/>
      <c r="K323" s="5"/>
      <c r="L323" s="5"/>
      <c r="M323" s="5"/>
      <c r="N323" s="5"/>
      <c r="O323" s="5"/>
      <c r="P323" s="5"/>
      <c r="Q323" s="5"/>
      <c r="R323" s="5"/>
      <c r="S323" s="5"/>
    </row>
    <row r="324" spans="1:38">
      <c r="B324" s="3"/>
      <c r="C324" s="3" t="s">
        <v>352</v>
      </c>
      <c r="G324" s="3" t="s">
        <v>165</v>
      </c>
      <c r="I324" s="5"/>
      <c r="J324" s="5"/>
      <c r="K324" s="5"/>
      <c r="L324" s="5"/>
      <c r="M324" s="5"/>
      <c r="N324" s="5"/>
      <c r="O324" s="5"/>
      <c r="P324" s="5"/>
      <c r="Q324" s="5"/>
      <c r="R324" s="5"/>
      <c r="S324" s="5"/>
    </row>
    <row r="325" spans="1:38">
      <c r="A325" t="s">
        <v>243</v>
      </c>
      <c r="D325" s="3" t="s">
        <v>859</v>
      </c>
      <c r="E325" s="3" t="s">
        <v>165</v>
      </c>
      <c r="J325" s="3"/>
      <c r="K325" s="3"/>
      <c r="L325" s="3"/>
      <c r="M325" s="5"/>
      <c r="N325" s="5"/>
      <c r="O325" s="5"/>
      <c r="P325" s="5"/>
      <c r="Q325" s="5"/>
      <c r="R325" s="5"/>
      <c r="S325" s="5"/>
    </row>
    <row r="326" spans="1:38">
      <c r="E326" t="s">
        <v>943</v>
      </c>
      <c r="F326" s="5" t="s">
        <v>1252</v>
      </c>
      <c r="J326" s="5"/>
      <c r="K326" s="5"/>
      <c r="L326" s="5"/>
      <c r="M326" s="5"/>
      <c r="N326" s="5"/>
      <c r="O326" s="5"/>
      <c r="P326" s="5"/>
      <c r="Q326" s="5"/>
      <c r="R326" s="5"/>
      <c r="S326" s="5"/>
    </row>
    <row r="327" spans="1:38">
      <c r="E327" s="5" t="s">
        <v>944</v>
      </c>
      <c r="F327" t="s">
        <v>920</v>
      </c>
      <c r="J327" s="5"/>
      <c r="K327" s="5"/>
      <c r="L327" s="5"/>
      <c r="M327" s="5"/>
      <c r="N327" s="5"/>
      <c r="O327" s="5"/>
      <c r="P327" s="5"/>
      <c r="Q327" s="5"/>
      <c r="R327" s="5"/>
      <c r="S327" s="5"/>
    </row>
    <row r="328" spans="1:38">
      <c r="F328" s="158" t="s">
        <v>1655</v>
      </c>
      <c r="I328" s="158"/>
      <c r="J328" s="5"/>
      <c r="K328" s="5"/>
      <c r="L328" s="5"/>
      <c r="M328" s="5"/>
      <c r="N328" s="5"/>
      <c r="O328" s="5"/>
      <c r="P328" s="5"/>
      <c r="Q328" s="5"/>
      <c r="R328" s="5"/>
      <c r="S328" s="5"/>
    </row>
    <row r="329" spans="1:38">
      <c r="F329" s="158" t="s">
        <v>1656</v>
      </c>
      <c r="I329" s="158"/>
      <c r="J329" s="5"/>
      <c r="K329" s="5"/>
      <c r="L329" s="5"/>
      <c r="M329" s="5"/>
      <c r="N329" s="5"/>
      <c r="O329" s="5"/>
      <c r="P329" s="5"/>
      <c r="Q329" s="5"/>
      <c r="R329" s="5"/>
      <c r="S329" s="5"/>
    </row>
    <row r="330" spans="1:38">
      <c r="J330" s="5"/>
      <c r="K330" s="5"/>
      <c r="L330" s="5"/>
      <c r="M330" s="5"/>
      <c r="N330" s="5"/>
      <c r="O330" s="5"/>
      <c r="P330" s="5"/>
      <c r="Q330" s="5"/>
      <c r="R330" s="5"/>
      <c r="S330" s="5"/>
    </row>
    <row r="331" spans="1:38">
      <c r="A331" s="9"/>
      <c r="B331" s="168" t="s">
        <v>786</v>
      </c>
      <c r="C331" s="168" t="s">
        <v>834</v>
      </c>
      <c r="D331" s="9"/>
      <c r="E331" s="168"/>
      <c r="F331" s="168"/>
      <c r="G331" s="168"/>
      <c r="H331" s="168"/>
      <c r="I331" s="168"/>
      <c r="J331" s="89"/>
      <c r="K331" s="89"/>
      <c r="L331" s="89"/>
      <c r="M331" s="89"/>
      <c r="N331" s="89"/>
      <c r="O331" s="89"/>
      <c r="P331" s="89"/>
      <c r="Q331" s="89"/>
      <c r="R331" s="89"/>
      <c r="S331" s="89"/>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5"/>
      <c r="K332" s="5"/>
      <c r="L332" s="5"/>
      <c r="M332" s="5"/>
      <c r="N332" s="5"/>
      <c r="O332" s="5"/>
      <c r="P332" s="5"/>
      <c r="Q332" s="5"/>
      <c r="R332" s="5"/>
      <c r="S332" s="5"/>
    </row>
    <row r="333" spans="1:38">
      <c r="B333" s="3"/>
      <c r="C333" s="3" t="s">
        <v>291</v>
      </c>
      <c r="G333" s="3" t="s">
        <v>834</v>
      </c>
      <c r="I333" s="3"/>
      <c r="J333" s="5"/>
      <c r="K333" s="5"/>
      <c r="L333" s="5"/>
      <c r="M333" s="5"/>
      <c r="N333" s="5"/>
      <c r="O333" s="5"/>
      <c r="P333" s="5"/>
      <c r="Q333" s="5"/>
      <c r="R333" s="5"/>
      <c r="S333" s="5"/>
    </row>
    <row r="334" spans="1:38">
      <c r="B334" s="3"/>
      <c r="C334" s="3"/>
      <c r="D334" s="3" t="s">
        <v>859</v>
      </c>
      <c r="E334" s="3" t="s">
        <v>834</v>
      </c>
      <c r="G334" s="3"/>
      <c r="I334" s="3"/>
      <c r="J334" s="5"/>
      <c r="K334" s="5"/>
      <c r="L334" s="5"/>
      <c r="M334" s="5"/>
      <c r="N334" s="5"/>
      <c r="O334" s="5"/>
      <c r="P334" s="5"/>
      <c r="Q334" s="5"/>
      <c r="R334" s="5"/>
      <c r="S334" s="5"/>
    </row>
    <row r="335" spans="1:38">
      <c r="B335" s="3"/>
      <c r="E335" t="s">
        <v>943</v>
      </c>
      <c r="F335" t="s">
        <v>500</v>
      </c>
      <c r="J335" s="5"/>
      <c r="K335" s="5"/>
      <c r="L335" s="5"/>
      <c r="M335" s="5"/>
      <c r="N335" s="5"/>
      <c r="O335" s="5"/>
      <c r="P335" s="5"/>
      <c r="Q335" s="5"/>
      <c r="R335" s="5"/>
      <c r="S335" s="5"/>
    </row>
    <row r="336" spans="1:38">
      <c r="B336" s="3"/>
      <c r="E336" s="5"/>
      <c r="F336" s="5" t="s">
        <v>501</v>
      </c>
      <c r="J336" s="5"/>
      <c r="K336" s="5"/>
      <c r="L336" s="5"/>
      <c r="M336" s="5"/>
      <c r="N336" s="5"/>
      <c r="O336" s="5"/>
      <c r="P336" s="5"/>
      <c r="Q336" s="5"/>
      <c r="R336" s="5"/>
      <c r="S336" s="5"/>
    </row>
    <row r="337" spans="2:37">
      <c r="B337" s="3"/>
      <c r="E337" s="5"/>
      <c r="F337" s="5" t="s">
        <v>502</v>
      </c>
      <c r="I337" s="5"/>
      <c r="J337" s="5"/>
      <c r="K337" s="5"/>
      <c r="L337" s="5"/>
      <c r="M337" s="5"/>
      <c r="N337" s="5"/>
      <c r="O337" s="5"/>
      <c r="P337" s="5"/>
      <c r="Q337" s="5"/>
      <c r="R337" s="5"/>
      <c r="S337" s="5"/>
    </row>
    <row r="338" spans="2:37">
      <c r="B338" s="3"/>
      <c r="E338" s="5" t="s">
        <v>944</v>
      </c>
      <c r="F338" s="5" t="s">
        <v>1657</v>
      </c>
      <c r="I338" s="5"/>
      <c r="J338" s="5"/>
      <c r="K338" s="5"/>
      <c r="L338" s="5"/>
      <c r="M338" s="5"/>
      <c r="N338" s="5"/>
      <c r="O338" s="5"/>
      <c r="P338" s="5"/>
      <c r="Q338" s="5"/>
      <c r="R338" s="5"/>
      <c r="S338" s="5"/>
    </row>
    <row r="339" spans="2:37">
      <c r="B339" s="3"/>
      <c r="E339" s="5"/>
      <c r="F339" s="5" t="s">
        <v>1658</v>
      </c>
      <c r="I339" s="5"/>
      <c r="J339" s="5"/>
      <c r="K339" s="5"/>
      <c r="L339" s="5"/>
      <c r="M339" s="5"/>
      <c r="N339" s="5"/>
      <c r="O339" s="5"/>
      <c r="P339" s="5"/>
      <c r="Q339" s="5"/>
      <c r="R339" s="5"/>
      <c r="S339" s="5"/>
    </row>
    <row r="340" spans="2:37">
      <c r="B340" s="3"/>
      <c r="E340" s="5"/>
      <c r="F340" s="5" t="s">
        <v>1258</v>
      </c>
      <c r="I340" s="5"/>
      <c r="J340" s="5"/>
      <c r="K340" s="5"/>
      <c r="L340" s="5"/>
      <c r="M340" s="5"/>
      <c r="N340" s="5"/>
      <c r="O340" s="5"/>
      <c r="P340" s="5"/>
      <c r="Q340" s="5"/>
      <c r="R340" s="5"/>
      <c r="S340" s="5"/>
    </row>
    <row r="341" spans="2:37">
      <c r="B341" s="3"/>
      <c r="F341" s="5"/>
      <c r="H341" s="5"/>
      <c r="I341" s="5"/>
      <c r="J341" s="5"/>
      <c r="K341" s="5"/>
      <c r="L341" s="5"/>
      <c r="M341" s="5"/>
      <c r="N341" s="5"/>
      <c r="O341" s="5"/>
      <c r="P341" s="5"/>
      <c r="Q341" s="5"/>
      <c r="R341" s="5"/>
      <c r="S341" s="5"/>
    </row>
    <row r="342" spans="2:37">
      <c r="B342" s="3"/>
      <c r="C342" s="3" t="s">
        <v>292</v>
      </c>
      <c r="G342" s="3" t="s">
        <v>1893</v>
      </c>
      <c r="I342" s="3"/>
      <c r="J342" s="5"/>
      <c r="K342" s="5"/>
      <c r="L342" s="5"/>
      <c r="M342" s="5"/>
      <c r="N342" s="5"/>
      <c r="O342" s="5"/>
      <c r="P342" s="5"/>
      <c r="Q342" s="5"/>
      <c r="R342" s="5"/>
      <c r="S342" s="5"/>
    </row>
    <row r="343" spans="2:37" ht="13.7" customHeight="1">
      <c r="B343" s="3"/>
      <c r="E343" s="972" t="s">
        <v>1894</v>
      </c>
      <c r="F343" s="972"/>
      <c r="G343" s="972"/>
      <c r="H343" s="972"/>
      <c r="I343" s="972"/>
      <c r="J343" s="972"/>
      <c r="K343" s="972"/>
      <c r="L343" s="972"/>
      <c r="M343" s="972"/>
      <c r="N343" s="972"/>
      <c r="O343" s="972"/>
      <c r="P343" s="972"/>
      <c r="Q343" s="972"/>
      <c r="R343" s="972"/>
      <c r="S343" s="972"/>
      <c r="T343" s="972"/>
      <c r="U343" s="972"/>
      <c r="V343" s="972"/>
      <c r="W343" s="972"/>
      <c r="X343" s="972"/>
      <c r="Y343" s="972"/>
      <c r="Z343" s="972"/>
      <c r="AA343" s="972"/>
      <c r="AB343" s="972"/>
      <c r="AC343" s="972"/>
      <c r="AD343" s="972"/>
      <c r="AE343" s="972"/>
      <c r="AF343" s="972"/>
      <c r="AG343" s="972"/>
      <c r="AH343" s="972"/>
      <c r="AI343" s="972"/>
      <c r="AJ343" s="972"/>
      <c r="AK343" s="972"/>
    </row>
    <row r="344" spans="2:37">
      <c r="B344" s="3"/>
      <c r="E344" s="972"/>
      <c r="F344" s="972"/>
      <c r="G344" s="972"/>
      <c r="H344" s="972"/>
      <c r="I344" s="972"/>
      <c r="J344" s="972"/>
      <c r="K344" s="972"/>
      <c r="L344" s="972"/>
      <c r="M344" s="972"/>
      <c r="N344" s="972"/>
      <c r="O344" s="972"/>
      <c r="P344" s="972"/>
      <c r="Q344" s="972"/>
      <c r="R344" s="972"/>
      <c r="S344" s="972"/>
      <c r="T344" s="972"/>
      <c r="U344" s="972"/>
      <c r="V344" s="972"/>
      <c r="W344" s="972"/>
      <c r="X344" s="972"/>
      <c r="Y344" s="972"/>
      <c r="Z344" s="972"/>
      <c r="AA344" s="972"/>
      <c r="AB344" s="972"/>
      <c r="AC344" s="972"/>
      <c r="AD344" s="972"/>
      <c r="AE344" s="972"/>
      <c r="AF344" s="972"/>
      <c r="AG344" s="972"/>
      <c r="AH344" s="972"/>
      <c r="AI344" s="972"/>
      <c r="AJ344" s="972"/>
      <c r="AK344" s="972"/>
    </row>
    <row r="345" spans="2:37">
      <c r="B345" s="3"/>
      <c r="E345" s="972"/>
      <c r="F345" s="972"/>
      <c r="G345" s="972"/>
      <c r="H345" s="972"/>
      <c r="I345" s="972"/>
      <c r="J345" s="972"/>
      <c r="K345" s="972"/>
      <c r="L345" s="972"/>
      <c r="M345" s="972"/>
      <c r="N345" s="972"/>
      <c r="O345" s="972"/>
      <c r="P345" s="972"/>
      <c r="Q345" s="972"/>
      <c r="R345" s="972"/>
      <c r="S345" s="972"/>
      <c r="T345" s="972"/>
      <c r="U345" s="972"/>
      <c r="V345" s="972"/>
      <c r="W345" s="972"/>
      <c r="X345" s="972"/>
      <c r="Y345" s="972"/>
      <c r="Z345" s="972"/>
      <c r="AA345" s="972"/>
      <c r="AB345" s="972"/>
      <c r="AC345" s="972"/>
      <c r="AD345" s="972"/>
      <c r="AE345" s="972"/>
      <c r="AF345" s="972"/>
      <c r="AG345" s="972"/>
      <c r="AH345" s="972"/>
      <c r="AI345" s="972"/>
      <c r="AJ345" s="972"/>
      <c r="AK345" s="972"/>
    </row>
    <row r="346" spans="2:37">
      <c r="B346" s="3"/>
      <c r="E346" s="972"/>
      <c r="F346" s="972"/>
      <c r="G346" s="972"/>
      <c r="H346" s="972"/>
      <c r="I346" s="972"/>
      <c r="J346" s="972"/>
      <c r="K346" s="972"/>
      <c r="L346" s="972"/>
      <c r="M346" s="972"/>
      <c r="N346" s="972"/>
      <c r="O346" s="972"/>
      <c r="P346" s="972"/>
      <c r="Q346" s="972"/>
      <c r="R346" s="972"/>
      <c r="S346" s="972"/>
      <c r="T346" s="972"/>
      <c r="U346" s="972"/>
      <c r="V346" s="972"/>
      <c r="W346" s="972"/>
      <c r="X346" s="972"/>
      <c r="Y346" s="972"/>
      <c r="Z346" s="972"/>
      <c r="AA346" s="972"/>
      <c r="AB346" s="972"/>
      <c r="AC346" s="972"/>
      <c r="AD346" s="972"/>
      <c r="AE346" s="972"/>
      <c r="AF346" s="972"/>
      <c r="AG346" s="972"/>
      <c r="AH346" s="972"/>
      <c r="AI346" s="972"/>
      <c r="AJ346" s="972"/>
      <c r="AK346" s="972"/>
    </row>
    <row r="347" spans="2:37">
      <c r="B347" s="3"/>
      <c r="E347" s="972"/>
      <c r="F347" s="972"/>
      <c r="G347" s="972"/>
      <c r="H347" s="972"/>
      <c r="I347" s="972"/>
      <c r="J347" s="972"/>
      <c r="K347" s="972"/>
      <c r="L347" s="972"/>
      <c r="M347" s="972"/>
      <c r="N347" s="972"/>
      <c r="O347" s="972"/>
      <c r="P347" s="972"/>
      <c r="Q347" s="972"/>
      <c r="R347" s="972"/>
      <c r="S347" s="972"/>
      <c r="T347" s="972"/>
      <c r="U347" s="972"/>
      <c r="V347" s="972"/>
      <c r="W347" s="972"/>
      <c r="X347" s="972"/>
      <c r="Y347" s="972"/>
      <c r="Z347" s="972"/>
      <c r="AA347" s="972"/>
      <c r="AB347" s="972"/>
      <c r="AC347" s="972"/>
      <c r="AD347" s="972"/>
      <c r="AE347" s="972"/>
      <c r="AF347" s="972"/>
      <c r="AG347" s="972"/>
      <c r="AH347" s="972"/>
      <c r="AI347" s="972"/>
      <c r="AJ347" s="972"/>
      <c r="AK347" s="972"/>
    </row>
    <row r="348" spans="2:37">
      <c r="B348" s="3"/>
      <c r="E348" s="5" t="s">
        <v>943</v>
      </c>
      <c r="F348" s="970" t="s">
        <v>1895</v>
      </c>
      <c r="G348" s="976"/>
      <c r="H348" s="976"/>
      <c r="I348" s="976"/>
      <c r="J348" s="976"/>
      <c r="K348" s="976"/>
      <c r="L348" s="976"/>
      <c r="M348" s="976"/>
      <c r="N348" s="976"/>
      <c r="O348" s="976"/>
      <c r="P348" s="976"/>
      <c r="Q348" s="976"/>
      <c r="R348" s="976"/>
      <c r="S348" s="976"/>
      <c r="T348" s="976"/>
      <c r="U348" s="976"/>
      <c r="V348" s="976"/>
      <c r="W348" s="976"/>
      <c r="X348" s="976"/>
      <c r="Y348" s="976"/>
      <c r="Z348" s="976"/>
      <c r="AA348" s="976"/>
      <c r="AB348" s="976"/>
      <c r="AC348" s="976"/>
      <c r="AD348" s="976"/>
      <c r="AE348" s="976"/>
      <c r="AF348" s="976"/>
      <c r="AG348" s="976"/>
      <c r="AH348" s="976"/>
      <c r="AI348" s="976"/>
      <c r="AJ348" s="976"/>
      <c r="AK348" s="976"/>
    </row>
    <row r="349" spans="2:37">
      <c r="B349" s="3"/>
      <c r="E349" s="5"/>
      <c r="F349" s="970"/>
      <c r="G349" s="976"/>
      <c r="H349" s="976"/>
      <c r="I349" s="976"/>
      <c r="J349" s="976"/>
      <c r="K349" s="976"/>
      <c r="L349" s="976"/>
      <c r="M349" s="976"/>
      <c r="N349" s="976"/>
      <c r="O349" s="976"/>
      <c r="P349" s="976"/>
      <c r="Q349" s="976"/>
      <c r="R349" s="976"/>
      <c r="S349" s="976"/>
      <c r="T349" s="976"/>
      <c r="U349" s="976"/>
      <c r="V349" s="976"/>
      <c r="W349" s="976"/>
      <c r="X349" s="976"/>
      <c r="Y349" s="976"/>
      <c r="Z349" s="976"/>
      <c r="AA349" s="976"/>
      <c r="AB349" s="976"/>
      <c r="AC349" s="976"/>
      <c r="AD349" s="976"/>
      <c r="AE349" s="976"/>
      <c r="AF349" s="976"/>
      <c r="AG349" s="976"/>
      <c r="AH349" s="976"/>
      <c r="AI349" s="976"/>
      <c r="AJ349" s="976"/>
      <c r="AK349" s="976"/>
    </row>
    <row r="350" spans="2:37">
      <c r="B350" s="3"/>
      <c r="E350" s="5"/>
      <c r="F350" s="976"/>
      <c r="G350" s="976"/>
      <c r="H350" s="976"/>
      <c r="I350" s="976"/>
      <c r="J350" s="976"/>
      <c r="K350" s="976"/>
      <c r="L350" s="976"/>
      <c r="M350" s="976"/>
      <c r="N350" s="976"/>
      <c r="O350" s="976"/>
      <c r="P350" s="976"/>
      <c r="Q350" s="976"/>
      <c r="R350" s="976"/>
      <c r="S350" s="976"/>
      <c r="T350" s="976"/>
      <c r="U350" s="976"/>
      <c r="V350" s="976"/>
      <c r="W350" s="976"/>
      <c r="X350" s="976"/>
      <c r="Y350" s="976"/>
      <c r="Z350" s="976"/>
      <c r="AA350" s="976"/>
      <c r="AB350" s="976"/>
      <c r="AC350" s="976"/>
      <c r="AD350" s="976"/>
      <c r="AE350" s="976"/>
      <c r="AF350" s="976"/>
      <c r="AG350" s="976"/>
      <c r="AH350" s="976"/>
      <c r="AI350" s="976"/>
      <c r="AJ350" s="976"/>
      <c r="AK350" s="976"/>
    </row>
    <row r="351" spans="2:37">
      <c r="B351" s="3"/>
      <c r="E351" s="5"/>
      <c r="F351" s="976"/>
      <c r="G351" s="976"/>
      <c r="H351" s="976"/>
      <c r="I351" s="976"/>
      <c r="J351" s="976"/>
      <c r="K351" s="976"/>
      <c r="L351" s="976"/>
      <c r="M351" s="976"/>
      <c r="N351" s="976"/>
      <c r="O351" s="976"/>
      <c r="P351" s="976"/>
      <c r="Q351" s="976"/>
      <c r="R351" s="976"/>
      <c r="S351" s="976"/>
      <c r="T351" s="976"/>
      <c r="U351" s="976"/>
      <c r="V351" s="976"/>
      <c r="W351" s="976"/>
      <c r="X351" s="976"/>
      <c r="Y351" s="976"/>
      <c r="Z351" s="976"/>
      <c r="AA351" s="976"/>
      <c r="AB351" s="976"/>
      <c r="AC351" s="976"/>
      <c r="AD351" s="976"/>
      <c r="AE351" s="976"/>
      <c r="AF351" s="976"/>
      <c r="AG351" s="976"/>
      <c r="AH351" s="976"/>
      <c r="AI351" s="976"/>
      <c r="AJ351" s="976"/>
      <c r="AK351" s="976"/>
    </row>
    <row r="352" spans="2:37">
      <c r="B352" s="3"/>
      <c r="E352" s="5" t="s">
        <v>944</v>
      </c>
      <c r="F352" s="970" t="s">
        <v>1896</v>
      </c>
      <c r="G352" s="976"/>
      <c r="H352" s="976"/>
      <c r="I352" s="976"/>
      <c r="J352" s="976"/>
      <c r="K352" s="976"/>
      <c r="L352" s="976"/>
      <c r="M352" s="976"/>
      <c r="N352" s="976"/>
      <c r="O352" s="976"/>
      <c r="P352" s="976"/>
      <c r="Q352" s="976"/>
      <c r="R352" s="976"/>
      <c r="S352" s="976"/>
      <c r="T352" s="976"/>
      <c r="U352" s="976"/>
      <c r="V352" s="976"/>
      <c r="W352" s="976"/>
      <c r="X352" s="976"/>
      <c r="Y352" s="976"/>
      <c r="Z352" s="976"/>
      <c r="AA352" s="976"/>
      <c r="AB352" s="976"/>
      <c r="AC352" s="976"/>
      <c r="AD352" s="976"/>
      <c r="AE352" s="976"/>
      <c r="AF352" s="976"/>
      <c r="AG352" s="976"/>
      <c r="AH352" s="976"/>
      <c r="AI352" s="976"/>
      <c r="AJ352" s="976"/>
      <c r="AK352" s="976"/>
    </row>
    <row r="353" spans="1:38">
      <c r="B353" s="3"/>
      <c r="F353" s="976"/>
      <c r="G353" s="976"/>
      <c r="H353" s="976"/>
      <c r="I353" s="976"/>
      <c r="J353" s="976"/>
      <c r="K353" s="976"/>
      <c r="L353" s="976"/>
      <c r="M353" s="976"/>
      <c r="N353" s="976"/>
      <c r="O353" s="976"/>
      <c r="P353" s="976"/>
      <c r="Q353" s="976"/>
      <c r="R353" s="976"/>
      <c r="S353" s="976"/>
      <c r="T353" s="976"/>
      <c r="U353" s="976"/>
      <c r="V353" s="976"/>
      <c r="W353" s="976"/>
      <c r="X353" s="976"/>
      <c r="Y353" s="976"/>
      <c r="Z353" s="976"/>
      <c r="AA353" s="976"/>
      <c r="AB353" s="976"/>
      <c r="AC353" s="976"/>
      <c r="AD353" s="976"/>
      <c r="AE353" s="976"/>
      <c r="AF353" s="976"/>
      <c r="AG353" s="976"/>
      <c r="AH353" s="976"/>
      <c r="AI353" s="976"/>
      <c r="AJ353" s="976"/>
      <c r="AK353" s="976"/>
    </row>
    <row r="354" spans="1:38">
      <c r="B354" s="3"/>
      <c r="F354" s="976"/>
      <c r="G354" s="976"/>
      <c r="H354" s="976"/>
      <c r="I354" s="976"/>
      <c r="J354" s="976"/>
      <c r="K354" s="976"/>
      <c r="L354" s="976"/>
      <c r="M354" s="976"/>
      <c r="N354" s="976"/>
      <c r="O354" s="976"/>
      <c r="P354" s="976"/>
      <c r="Q354" s="976"/>
      <c r="R354" s="976"/>
      <c r="S354" s="976"/>
      <c r="T354" s="976"/>
      <c r="U354" s="976"/>
      <c r="V354" s="976"/>
      <c r="W354" s="976"/>
      <c r="X354" s="976"/>
      <c r="Y354" s="976"/>
      <c r="Z354" s="976"/>
      <c r="AA354" s="976"/>
      <c r="AB354" s="976"/>
      <c r="AC354" s="976"/>
      <c r="AD354" s="976"/>
      <c r="AE354" s="976"/>
      <c r="AF354" s="976"/>
      <c r="AG354" s="976"/>
      <c r="AH354" s="976"/>
      <c r="AI354" s="976"/>
      <c r="AJ354" s="976"/>
      <c r="AK354" s="976"/>
    </row>
    <row r="355" spans="1:38">
      <c r="B355" s="3"/>
      <c r="F355" s="976"/>
      <c r="G355" s="976"/>
      <c r="H355" s="976"/>
      <c r="I355" s="976"/>
      <c r="J355" s="976"/>
      <c r="K355" s="976"/>
      <c r="L355" s="976"/>
      <c r="M355" s="976"/>
      <c r="N355" s="976"/>
      <c r="O355" s="976"/>
      <c r="P355" s="976"/>
      <c r="Q355" s="976"/>
      <c r="R355" s="976"/>
      <c r="S355" s="976"/>
      <c r="T355" s="976"/>
      <c r="U355" s="976"/>
      <c r="V355" s="976"/>
      <c r="W355" s="976"/>
      <c r="X355" s="976"/>
      <c r="Y355" s="976"/>
      <c r="Z355" s="976"/>
      <c r="AA355" s="976"/>
      <c r="AB355" s="976"/>
      <c r="AC355" s="976"/>
      <c r="AD355" s="976"/>
      <c r="AE355" s="976"/>
      <c r="AF355" s="976"/>
      <c r="AG355" s="976"/>
      <c r="AH355" s="976"/>
      <c r="AI355" s="976"/>
      <c r="AJ355" s="976"/>
      <c r="AK355" s="976"/>
    </row>
    <row r="356" spans="1:38">
      <c r="A356" s="9"/>
      <c r="B356" s="168" t="s">
        <v>476</v>
      </c>
      <c r="C356" s="168" t="s">
        <v>166</v>
      </c>
      <c r="D356" s="9"/>
      <c r="E356" s="168"/>
      <c r="F356" s="9"/>
      <c r="G356" s="9"/>
      <c r="H356" s="9"/>
      <c r="I356" s="9"/>
      <c r="J356" s="9"/>
      <c r="K356" s="9"/>
      <c r="L356" s="9"/>
      <c r="M356" s="89"/>
      <c r="N356" s="89"/>
      <c r="O356" s="89"/>
      <c r="P356" s="89"/>
      <c r="Q356" s="89"/>
      <c r="R356" s="89"/>
      <c r="S356" s="89"/>
      <c r="T356" s="89"/>
      <c r="U356" s="9"/>
      <c r="V356" s="9"/>
      <c r="W356" s="9"/>
      <c r="X356" s="9"/>
      <c r="Y356" s="9"/>
      <c r="Z356" s="9"/>
      <c r="AA356" s="9"/>
      <c r="AB356" s="9"/>
      <c r="AC356" s="9"/>
      <c r="AD356" s="9"/>
      <c r="AE356" s="9"/>
      <c r="AF356" s="9"/>
      <c r="AG356" s="9"/>
      <c r="AH356" s="9"/>
      <c r="AI356" s="9"/>
      <c r="AJ356" s="9"/>
      <c r="AK356" s="9"/>
      <c r="AL356" s="9"/>
    </row>
    <row r="357" spans="1:38">
      <c r="B357" s="3"/>
      <c r="D357" s="3"/>
      <c r="E357" s="3"/>
      <c r="M357" s="5"/>
      <c r="N357" s="5"/>
      <c r="O357" s="5"/>
      <c r="P357" s="5"/>
      <c r="Q357" s="5"/>
      <c r="R357" s="5"/>
      <c r="S357" s="5"/>
      <c r="T357" s="5"/>
    </row>
    <row r="358" spans="1:38">
      <c r="B358" s="3"/>
      <c r="D358" s="3" t="s">
        <v>859</v>
      </c>
      <c r="E358" s="3" t="s">
        <v>220</v>
      </c>
      <c r="I358" s="5"/>
      <c r="J358" s="5"/>
      <c r="K358" s="5"/>
      <c r="L358" s="5"/>
      <c r="M358" s="5"/>
      <c r="N358" s="5"/>
      <c r="O358" s="5"/>
      <c r="P358" s="5"/>
      <c r="Q358" s="5"/>
      <c r="R358" s="5"/>
      <c r="S358" s="5"/>
    </row>
    <row r="359" spans="1:38">
      <c r="B359" s="3"/>
      <c r="E359" t="s">
        <v>943</v>
      </c>
      <c r="F359" s="5" t="s">
        <v>598</v>
      </c>
      <c r="I359" s="5"/>
      <c r="J359" s="5"/>
      <c r="K359" s="5"/>
      <c r="L359" s="5"/>
      <c r="M359" s="5"/>
      <c r="N359" s="5"/>
      <c r="O359" s="5"/>
      <c r="P359" s="5"/>
      <c r="Q359" s="5"/>
      <c r="R359" s="5"/>
      <c r="S359" s="5"/>
    </row>
    <row r="360" spans="1:38">
      <c r="B360" s="3"/>
      <c r="F360" s="5" t="s">
        <v>599</v>
      </c>
      <c r="I360" s="5"/>
      <c r="J360" s="5"/>
      <c r="K360" s="5"/>
      <c r="L360" s="5"/>
      <c r="M360" s="5"/>
      <c r="N360" s="5"/>
      <c r="O360" s="5"/>
      <c r="P360" s="5"/>
      <c r="Q360" s="5"/>
      <c r="R360" s="5"/>
      <c r="S360" s="5"/>
    </row>
    <row r="361" spans="1:38">
      <c r="B361" s="3"/>
      <c r="F361" s="5" t="s">
        <v>1100</v>
      </c>
      <c r="G361" s="5"/>
      <c r="K361" s="5"/>
      <c r="L361" s="5"/>
      <c r="M361" s="5"/>
      <c r="N361" s="5"/>
      <c r="O361" s="5"/>
      <c r="P361" s="5"/>
      <c r="Q361" s="5"/>
      <c r="R361" s="5"/>
      <c r="S361" s="5"/>
    </row>
    <row r="362" spans="1:38">
      <c r="B362" s="3"/>
      <c r="E362" t="s">
        <v>944</v>
      </c>
      <c r="F362" s="5" t="s">
        <v>1101</v>
      </c>
      <c r="I362" s="5"/>
      <c r="J362" s="5"/>
      <c r="K362" s="5"/>
      <c r="L362" s="5"/>
      <c r="M362" s="5"/>
      <c r="N362" s="5"/>
      <c r="O362" s="5"/>
      <c r="P362" s="5"/>
      <c r="Q362" s="5"/>
      <c r="R362" s="5"/>
      <c r="S362" s="5"/>
    </row>
    <row r="363" spans="1:38">
      <c r="B363" s="3"/>
      <c r="E363" t="s">
        <v>950</v>
      </c>
      <c r="F363" s="5" t="s">
        <v>600</v>
      </c>
      <c r="I363" s="5"/>
      <c r="J363" s="5"/>
      <c r="K363" s="5"/>
      <c r="L363" s="5"/>
      <c r="M363" s="5"/>
      <c r="N363" s="5"/>
      <c r="O363" s="5"/>
      <c r="P363" s="5"/>
      <c r="Q363" s="5"/>
      <c r="R363" s="5"/>
      <c r="S363" s="5"/>
    </row>
    <row r="364" spans="1:38">
      <c r="B364" s="3"/>
      <c r="F364" s="5" t="s">
        <v>601</v>
      </c>
      <c r="J364" s="5"/>
      <c r="K364" s="5"/>
      <c r="L364" s="5"/>
      <c r="M364" s="5"/>
      <c r="N364" s="5"/>
      <c r="O364" s="5"/>
      <c r="P364" s="5"/>
      <c r="Q364" s="5"/>
      <c r="R364" s="5"/>
      <c r="S364" s="5"/>
    </row>
    <row r="365" spans="1:38" s="975" customFormat="1">
      <c r="A365"/>
      <c r="B365" s="3"/>
      <c r="C365"/>
      <c r="D365"/>
      <c r="E365" s="975" t="s">
        <v>1891</v>
      </c>
    </row>
    <row r="366" spans="1:38" s="975" customFormat="1">
      <c r="A366"/>
      <c r="B366" s="3"/>
      <c r="C366"/>
      <c r="D366"/>
    </row>
    <row r="367" spans="1:38">
      <c r="B367" s="3"/>
      <c r="F367" s="973" t="s">
        <v>1892</v>
      </c>
      <c r="G367" s="974"/>
      <c r="H367" s="974"/>
      <c r="I367" s="974"/>
      <c r="J367" s="974"/>
      <c r="K367" s="974"/>
      <c r="L367" s="974"/>
      <c r="M367" s="974"/>
      <c r="N367" s="974"/>
      <c r="O367" s="974"/>
      <c r="P367" s="974"/>
      <c r="Q367" s="974"/>
      <c r="R367" s="974"/>
      <c r="S367" s="974"/>
      <c r="T367" s="974"/>
      <c r="U367" s="974"/>
      <c r="V367" s="974"/>
      <c r="W367" s="974"/>
      <c r="X367" s="974"/>
      <c r="Y367" s="974"/>
      <c r="Z367" s="974"/>
      <c r="AA367" s="974"/>
      <c r="AB367" s="974"/>
      <c r="AC367" s="974"/>
      <c r="AD367" s="974"/>
      <c r="AE367" s="974"/>
      <c r="AF367" s="974"/>
      <c r="AG367" s="974"/>
      <c r="AH367" s="974"/>
      <c r="AI367" s="974"/>
      <c r="AJ367" s="974"/>
      <c r="AK367" s="974"/>
      <c r="AL367" s="974"/>
    </row>
    <row r="368" spans="1:38">
      <c r="B368" s="3"/>
      <c r="F368" s="974"/>
      <c r="G368" s="974"/>
      <c r="H368" s="974"/>
      <c r="I368" s="974"/>
      <c r="J368" s="974"/>
      <c r="K368" s="974"/>
      <c r="L368" s="974"/>
      <c r="M368" s="974"/>
      <c r="N368" s="974"/>
      <c r="O368" s="974"/>
      <c r="P368" s="974"/>
      <c r="Q368" s="974"/>
      <c r="R368" s="974"/>
      <c r="S368" s="974"/>
      <c r="T368" s="974"/>
      <c r="U368" s="974"/>
      <c r="V368" s="974"/>
      <c r="W368" s="974"/>
      <c r="X368" s="974"/>
      <c r="Y368" s="974"/>
      <c r="Z368" s="974"/>
      <c r="AA368" s="974"/>
      <c r="AB368" s="974"/>
      <c r="AC368" s="974"/>
      <c r="AD368" s="974"/>
      <c r="AE368" s="974"/>
      <c r="AF368" s="974"/>
      <c r="AG368" s="974"/>
      <c r="AH368" s="974"/>
      <c r="AI368" s="974"/>
      <c r="AJ368" s="974"/>
      <c r="AK368" s="974"/>
      <c r="AL368" s="974"/>
    </row>
    <row r="369" spans="2:19">
      <c r="B369" s="3"/>
      <c r="E369" s="5"/>
      <c r="F369" s="5"/>
      <c r="G369" s="5"/>
      <c r="H369" s="5"/>
      <c r="I369" s="5"/>
      <c r="J369" s="5"/>
      <c r="K369" s="5"/>
      <c r="L369" s="5"/>
      <c r="M369" s="5"/>
      <c r="N369" s="5"/>
      <c r="O369" s="5"/>
      <c r="P369" s="5"/>
      <c r="Q369" s="5"/>
      <c r="R369" s="5"/>
      <c r="S369" s="5"/>
    </row>
    <row r="370" spans="2:19">
      <c r="B370" s="3"/>
      <c r="D370" s="3" t="s">
        <v>493</v>
      </c>
      <c r="E370" s="3" t="s">
        <v>221</v>
      </c>
      <c r="J370" s="5"/>
      <c r="K370" s="5"/>
      <c r="L370" s="5"/>
      <c r="M370" s="5"/>
      <c r="N370" s="5"/>
      <c r="O370" s="5"/>
      <c r="P370" s="5"/>
      <c r="Q370" s="5"/>
      <c r="R370" s="5"/>
      <c r="S370" s="5"/>
    </row>
    <row r="371" spans="2:19">
      <c r="B371" s="3"/>
      <c r="E371" s="5" t="s">
        <v>581</v>
      </c>
      <c r="F371" s="5"/>
      <c r="G371" s="5"/>
      <c r="H371" s="5"/>
      <c r="I371" s="5"/>
      <c r="J371" s="5"/>
      <c r="K371" s="5"/>
      <c r="L371" s="5"/>
      <c r="M371" s="5"/>
      <c r="N371" s="5"/>
      <c r="O371" s="5"/>
      <c r="P371" s="5"/>
      <c r="Q371" s="5"/>
      <c r="R371" s="5"/>
      <c r="S371" s="5"/>
    </row>
    <row r="372" spans="2:19">
      <c r="B372" s="3"/>
      <c r="E372" s="5" t="s">
        <v>582</v>
      </c>
      <c r="F372" s="5"/>
      <c r="G372" s="5"/>
      <c r="H372" s="5"/>
      <c r="I372" s="5"/>
      <c r="J372" s="5"/>
      <c r="K372" s="5"/>
      <c r="L372" s="5"/>
      <c r="M372" s="5"/>
      <c r="N372" s="5"/>
      <c r="O372" s="5"/>
      <c r="P372" s="5"/>
      <c r="Q372" s="5"/>
      <c r="R372" s="5"/>
      <c r="S372" s="5"/>
    </row>
    <row r="373" spans="2:19">
      <c r="B373" s="3"/>
      <c r="E373" s="5"/>
      <c r="F373" s="5"/>
      <c r="G373" s="5"/>
      <c r="H373" s="5"/>
      <c r="I373" s="5"/>
      <c r="J373" s="5"/>
      <c r="K373" s="5"/>
      <c r="L373" s="5"/>
      <c r="M373" s="5"/>
      <c r="N373" s="5"/>
      <c r="O373" s="5"/>
      <c r="P373" s="5"/>
      <c r="Q373" s="5"/>
      <c r="R373" s="5"/>
      <c r="S373" s="5"/>
    </row>
    <row r="374" spans="2:19">
      <c r="B374" s="3"/>
      <c r="D374" s="3" t="s">
        <v>890</v>
      </c>
      <c r="E374" s="3" t="s">
        <v>267</v>
      </c>
      <c r="J374" s="5"/>
      <c r="K374" s="5"/>
      <c r="L374" s="5"/>
      <c r="M374" s="5"/>
      <c r="N374" s="5"/>
      <c r="O374" s="5"/>
      <c r="P374" s="5"/>
      <c r="Q374" s="5"/>
      <c r="R374" s="5"/>
      <c r="S374" s="5"/>
    </row>
    <row r="375" spans="2:19">
      <c r="B375" s="3"/>
      <c r="E375" s="5" t="s">
        <v>943</v>
      </c>
      <c r="F375" s="5" t="s">
        <v>795</v>
      </c>
      <c r="G375" s="5"/>
      <c r="I375" s="5"/>
      <c r="J375" s="5"/>
      <c r="K375" s="5"/>
      <c r="L375" s="5"/>
      <c r="M375" s="5"/>
      <c r="N375" s="5"/>
      <c r="O375" s="5"/>
      <c r="P375" s="5"/>
      <c r="Q375" s="5"/>
      <c r="R375" s="5"/>
      <c r="S375" s="5"/>
    </row>
    <row r="376" spans="2:19">
      <c r="B376" s="3"/>
      <c r="E376" s="5"/>
      <c r="F376" s="158" t="s">
        <v>1659</v>
      </c>
      <c r="G376" s="5"/>
      <c r="I376" s="158"/>
      <c r="J376" s="5"/>
      <c r="K376" s="5"/>
      <c r="L376" s="5"/>
      <c r="M376" s="5"/>
      <c r="N376" s="5"/>
      <c r="O376" s="5"/>
      <c r="P376" s="5"/>
      <c r="Q376" s="5"/>
      <c r="R376" s="5"/>
      <c r="S376" s="5"/>
    </row>
    <row r="377" spans="2:19">
      <c r="B377" s="3"/>
      <c r="E377" s="5" t="s">
        <v>944</v>
      </c>
      <c r="F377" s="5" t="s">
        <v>796</v>
      </c>
      <c r="G377" s="5"/>
      <c r="I377" s="158"/>
      <c r="J377" s="5"/>
      <c r="K377" s="5"/>
      <c r="L377" s="5"/>
      <c r="M377" s="5"/>
      <c r="N377" s="5"/>
      <c r="O377" s="5"/>
      <c r="P377" s="5"/>
      <c r="Q377" s="5"/>
      <c r="R377" s="5"/>
      <c r="S377" s="5"/>
    </row>
    <row r="378" spans="2:19">
      <c r="B378" s="3"/>
      <c r="E378" s="5"/>
      <c r="F378" s="5" t="s">
        <v>797</v>
      </c>
      <c r="G378" s="5"/>
      <c r="I378" s="670"/>
      <c r="J378" s="5"/>
      <c r="K378" s="5"/>
      <c r="L378" s="5"/>
      <c r="M378" s="5"/>
      <c r="N378" s="5"/>
      <c r="O378" s="5"/>
      <c r="P378" s="5"/>
      <c r="Q378" s="5"/>
      <c r="R378" s="5"/>
      <c r="S378" s="5"/>
    </row>
    <row r="379" spans="2:19">
      <c r="B379" s="3"/>
      <c r="E379" s="5"/>
      <c r="F379" s="5" t="s">
        <v>1076</v>
      </c>
      <c r="G379" s="5"/>
      <c r="I379" s="670"/>
      <c r="J379" s="5"/>
      <c r="K379" s="5"/>
      <c r="L379" s="5"/>
      <c r="M379" s="5"/>
      <c r="N379" s="5"/>
      <c r="O379" s="5"/>
      <c r="P379" s="5"/>
      <c r="Q379" s="5"/>
      <c r="R379" s="5"/>
      <c r="S379" s="5"/>
    </row>
    <row r="380" spans="2:19">
      <c r="B380" s="3"/>
      <c r="E380" s="5"/>
      <c r="F380" s="5"/>
      <c r="G380" s="5"/>
      <c r="I380" s="158"/>
      <c r="J380" s="5"/>
      <c r="K380" s="5"/>
      <c r="L380" s="5"/>
      <c r="M380" s="5"/>
      <c r="N380" s="5"/>
      <c r="O380" s="5"/>
      <c r="P380" s="5"/>
      <c r="Q380" s="5"/>
      <c r="R380" s="5"/>
      <c r="S380" s="5"/>
    </row>
    <row r="381" spans="2:19">
      <c r="B381" s="3"/>
      <c r="D381" s="3" t="s">
        <v>785</v>
      </c>
      <c r="E381" s="3" t="s">
        <v>539</v>
      </c>
      <c r="J381" s="5"/>
      <c r="K381" s="5"/>
      <c r="L381" s="5"/>
      <c r="M381" s="5"/>
      <c r="N381" s="5"/>
      <c r="O381" s="5"/>
      <c r="P381" s="5"/>
      <c r="Q381" s="5"/>
      <c r="R381" s="5"/>
      <c r="S381" s="5"/>
    </row>
    <row r="382" spans="2:19">
      <c r="B382" s="3"/>
      <c r="D382" s="3"/>
      <c r="E382" s="5" t="s">
        <v>1048</v>
      </c>
      <c r="F382" s="5"/>
      <c r="G382" s="5"/>
      <c r="J382" s="5"/>
      <c r="K382" s="5"/>
      <c r="L382" s="5"/>
      <c r="M382" s="5"/>
      <c r="N382" s="5"/>
      <c r="O382" s="5"/>
      <c r="P382" s="5"/>
      <c r="Q382" s="5"/>
      <c r="R382" s="5"/>
      <c r="S382" s="5"/>
    </row>
    <row r="383" spans="2:19">
      <c r="B383" s="3"/>
      <c r="D383" s="3"/>
      <c r="E383" s="5" t="s">
        <v>583</v>
      </c>
      <c r="F383" s="5"/>
      <c r="G383" s="5"/>
      <c r="J383" s="5"/>
      <c r="K383" s="5"/>
      <c r="L383" s="5"/>
      <c r="M383" s="5"/>
      <c r="N383" s="5"/>
      <c r="O383" s="5"/>
      <c r="P383" s="5"/>
      <c r="Q383" s="5"/>
      <c r="R383" s="5"/>
      <c r="S383" s="5"/>
    </row>
    <row r="384" spans="2:19">
      <c r="B384" s="3"/>
      <c r="D384" s="3"/>
      <c r="E384" s="5"/>
      <c r="F384" s="5"/>
      <c r="G384" s="5"/>
      <c r="J384" s="5"/>
      <c r="K384" s="5"/>
      <c r="L384" s="5"/>
      <c r="M384" s="5"/>
      <c r="N384" s="5"/>
      <c r="O384" s="5"/>
      <c r="P384" s="5"/>
      <c r="Q384" s="5"/>
      <c r="R384" s="5"/>
      <c r="S384" s="5"/>
    </row>
    <row r="385" spans="1:38">
      <c r="B385" s="3"/>
      <c r="D385" s="3" t="s">
        <v>532</v>
      </c>
      <c r="E385" s="3" t="s">
        <v>269</v>
      </c>
      <c r="J385" s="5"/>
      <c r="K385" s="5"/>
      <c r="L385" s="5"/>
      <c r="M385" s="5"/>
      <c r="N385" s="5"/>
      <c r="O385" s="5"/>
      <c r="P385" s="5"/>
      <c r="Q385" s="5"/>
      <c r="R385" s="5"/>
      <c r="S385" s="5"/>
    </row>
    <row r="386" spans="1:38">
      <c r="B386" s="3"/>
      <c r="E386" s="5" t="s">
        <v>943</v>
      </c>
      <c r="F386" s="5" t="s">
        <v>798</v>
      </c>
      <c r="G386" s="5"/>
      <c r="I386" s="5"/>
      <c r="J386" s="5"/>
      <c r="K386" s="5"/>
      <c r="L386" s="5"/>
      <c r="M386" s="5"/>
      <c r="N386" s="5"/>
      <c r="O386" s="5"/>
      <c r="P386" s="5"/>
      <c r="Q386" s="5"/>
      <c r="R386" s="5"/>
      <c r="S386" s="5"/>
    </row>
    <row r="387" spans="1:38">
      <c r="B387" s="3"/>
      <c r="E387" s="5"/>
      <c r="F387" s="158" t="s">
        <v>1659</v>
      </c>
      <c r="G387" s="5"/>
      <c r="I387" s="158"/>
      <c r="J387" s="5"/>
      <c r="K387" s="5"/>
      <c r="L387" s="5"/>
      <c r="M387" s="5"/>
      <c r="N387" s="5"/>
      <c r="O387" s="5"/>
      <c r="P387" s="5"/>
      <c r="Q387" s="5"/>
      <c r="R387" s="5"/>
      <c r="S387" s="5"/>
    </row>
    <row r="388" spans="1:38">
      <c r="B388" s="3"/>
      <c r="E388" s="5" t="s">
        <v>944</v>
      </c>
      <c r="F388" s="5" t="s">
        <v>799</v>
      </c>
      <c r="G388" s="5"/>
      <c r="I388" s="158"/>
      <c r="J388" s="5"/>
      <c r="K388" s="5"/>
      <c r="L388" s="5"/>
      <c r="M388" s="5"/>
      <c r="N388" s="5"/>
      <c r="O388" s="5"/>
      <c r="P388" s="5"/>
      <c r="Q388" s="5"/>
      <c r="R388" s="5"/>
      <c r="S388" s="5"/>
    </row>
    <row r="389" spans="1:38">
      <c r="B389" s="3"/>
      <c r="E389" s="5"/>
      <c r="F389" s="5" t="s">
        <v>800</v>
      </c>
      <c r="G389" s="5"/>
      <c r="I389" s="670"/>
      <c r="J389" s="5"/>
      <c r="K389" s="5"/>
      <c r="L389" s="5"/>
      <c r="M389" s="5"/>
      <c r="N389" s="5"/>
      <c r="O389" s="5"/>
      <c r="P389" s="5"/>
      <c r="Q389" s="5"/>
      <c r="R389" s="5"/>
      <c r="S389" s="5"/>
    </row>
    <row r="390" spans="1:38">
      <c r="B390" s="3"/>
      <c r="E390" s="5"/>
      <c r="F390" s="5" t="s">
        <v>1077</v>
      </c>
      <c r="G390" s="5"/>
      <c r="I390" s="670"/>
      <c r="J390" s="5"/>
      <c r="K390" s="5"/>
      <c r="L390" s="5"/>
      <c r="M390" s="5"/>
      <c r="N390" s="5"/>
      <c r="O390" s="5"/>
      <c r="P390" s="5"/>
      <c r="Q390" s="5"/>
      <c r="R390" s="5"/>
      <c r="S390" s="5"/>
    </row>
    <row r="391" spans="1:38">
      <c r="B391" s="3"/>
      <c r="E391" s="5"/>
      <c r="F391" s="5"/>
      <c r="G391" s="5"/>
      <c r="H391" s="5"/>
      <c r="I391" s="5"/>
      <c r="J391" s="5"/>
      <c r="K391" s="5"/>
      <c r="L391" s="5"/>
      <c r="M391" s="5"/>
      <c r="N391" s="5"/>
      <c r="O391" s="5"/>
      <c r="P391" s="5"/>
      <c r="Q391" s="5"/>
      <c r="R391" s="5"/>
      <c r="S391" s="5"/>
    </row>
    <row r="392" spans="1:38">
      <c r="B392" s="3"/>
      <c r="E392" s="5"/>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row>
    <row r="393" spans="1:38">
      <c r="A393" s="9"/>
      <c r="B393" s="168" t="s">
        <v>787</v>
      </c>
      <c r="C393" s="168" t="s">
        <v>893</v>
      </c>
      <c r="D393" s="9"/>
      <c r="E393" s="9"/>
      <c r="F393" s="89"/>
      <c r="G393" s="89"/>
      <c r="H393" s="89"/>
      <c r="I393" s="89"/>
      <c r="J393" s="89"/>
      <c r="K393" s="89"/>
      <c r="L393" s="89"/>
      <c r="M393" s="89"/>
      <c r="N393" s="89"/>
      <c r="O393" s="89"/>
      <c r="P393" s="89"/>
      <c r="Q393" s="89"/>
      <c r="R393" s="89"/>
      <c r="S393" s="89"/>
      <c r="T393" s="9"/>
      <c r="U393" s="9"/>
      <c r="V393" s="9"/>
      <c r="W393" s="9"/>
      <c r="X393" s="9"/>
      <c r="Y393" s="9"/>
      <c r="Z393" s="9"/>
      <c r="AA393" s="9"/>
      <c r="AB393" s="9"/>
      <c r="AC393" s="9"/>
      <c r="AD393" s="9"/>
      <c r="AE393" s="9"/>
      <c r="AF393" s="9"/>
      <c r="AG393" s="9"/>
      <c r="AH393" s="9"/>
      <c r="AI393" s="9"/>
      <c r="AJ393" s="9"/>
      <c r="AK393" s="9"/>
      <c r="AL393" s="9"/>
    </row>
    <row r="394" spans="1:38">
      <c r="B394" s="3"/>
      <c r="D394" s="3"/>
      <c r="F394" s="5"/>
      <c r="G394" s="5"/>
      <c r="H394" s="5"/>
      <c r="I394" s="5"/>
      <c r="J394" s="5"/>
      <c r="K394" s="5"/>
      <c r="L394" s="5"/>
      <c r="M394" s="5"/>
      <c r="N394" s="5"/>
      <c r="O394" s="5"/>
      <c r="P394" s="5"/>
      <c r="Q394" s="5"/>
      <c r="R394" s="5"/>
      <c r="S394" s="5"/>
    </row>
    <row r="395" spans="1:38">
      <c r="B395" s="3"/>
      <c r="C395" s="3" t="s">
        <v>291</v>
      </c>
      <c r="G395" s="3" t="s">
        <v>893</v>
      </c>
      <c r="I395" s="5"/>
      <c r="J395" s="5"/>
      <c r="K395" s="5"/>
      <c r="L395" s="5"/>
      <c r="M395" s="5"/>
      <c r="N395" s="5"/>
      <c r="O395" s="5"/>
      <c r="P395" s="5"/>
      <c r="Q395" s="5"/>
      <c r="R395" s="5"/>
      <c r="S395" s="5"/>
    </row>
    <row r="396" spans="1:38">
      <c r="B396" s="3"/>
      <c r="D396" s="5"/>
      <c r="E396" s="5" t="s">
        <v>943</v>
      </c>
      <c r="F396" s="5" t="s">
        <v>265</v>
      </c>
      <c r="G396" s="5"/>
      <c r="I396" s="5"/>
      <c r="J396" s="5"/>
      <c r="K396" s="5"/>
      <c r="L396" s="5"/>
      <c r="M396" s="5"/>
      <c r="N396" s="5"/>
      <c r="O396" s="5"/>
      <c r="P396" s="5"/>
      <c r="Q396" s="5"/>
      <c r="R396" s="5"/>
      <c r="S396" s="5"/>
    </row>
    <row r="397" spans="1:38">
      <c r="B397" s="3"/>
      <c r="E397" s="5" t="s">
        <v>944</v>
      </c>
      <c r="F397" s="5" t="s">
        <v>930</v>
      </c>
      <c r="G397" s="5"/>
      <c r="I397" s="5"/>
      <c r="J397" s="5"/>
      <c r="K397" s="5"/>
      <c r="L397" s="5"/>
      <c r="M397" s="5"/>
      <c r="N397" s="5"/>
      <c r="O397" s="5"/>
      <c r="P397" s="5"/>
      <c r="Q397" s="5"/>
      <c r="R397" s="5"/>
      <c r="S397" s="5"/>
    </row>
    <row r="398" spans="1:38">
      <c r="B398" s="3"/>
      <c r="E398" s="5" t="s">
        <v>950</v>
      </c>
      <c r="F398" s="5" t="s">
        <v>2281</v>
      </c>
      <c r="I398" s="5"/>
      <c r="J398" s="5"/>
      <c r="K398" s="5"/>
      <c r="L398" s="5"/>
      <c r="M398" s="5"/>
      <c r="N398" s="5"/>
      <c r="O398" s="5"/>
      <c r="P398" s="5"/>
      <c r="Q398" s="5"/>
      <c r="R398" s="5"/>
      <c r="S398" s="5"/>
    </row>
    <row r="399" spans="1:38"/>
    <row r="400" spans="1:38">
      <c r="B400" s="3"/>
      <c r="C400" s="3" t="s">
        <v>292</v>
      </c>
      <c r="G400" s="3" t="s">
        <v>925</v>
      </c>
      <c r="I400" s="5"/>
      <c r="S400" s="5"/>
    </row>
    <row r="401" spans="1:38">
      <c r="B401" s="3"/>
      <c r="F401" s="5" t="s">
        <v>1254</v>
      </c>
      <c r="S401" s="5"/>
    </row>
    <row r="402" spans="1:38">
      <c r="B402" s="3"/>
      <c r="S402" s="5"/>
    </row>
    <row r="403" spans="1:38">
      <c r="B403" s="3"/>
      <c r="C403" s="3" t="s">
        <v>350</v>
      </c>
      <c r="G403" s="3" t="s">
        <v>151</v>
      </c>
      <c r="S403" s="5"/>
    </row>
    <row r="404" spans="1:38">
      <c r="B404" s="3"/>
      <c r="E404" t="s">
        <v>943</v>
      </c>
      <c r="F404" t="s">
        <v>152</v>
      </c>
      <c r="S404" s="5"/>
    </row>
    <row r="405" spans="1:38">
      <c r="B405" s="3"/>
      <c r="E405" t="s">
        <v>944</v>
      </c>
      <c r="F405" s="5" t="s">
        <v>1253</v>
      </c>
      <c r="S405" s="5"/>
    </row>
    <row r="406" spans="1:38">
      <c r="B406" s="3"/>
      <c r="F406" t="s">
        <v>153</v>
      </c>
      <c r="S406" s="5"/>
    </row>
    <row r="407" spans="1:38">
      <c r="B407" s="3"/>
      <c r="S407" s="5"/>
    </row>
    <row r="408" spans="1:38">
      <c r="A408" s="9"/>
      <c r="B408" s="59" t="s">
        <v>154</v>
      </c>
      <c r="C408" s="168" t="s">
        <v>155</v>
      </c>
      <c r="D408" s="9"/>
      <c r="E408" s="9"/>
      <c r="F408" s="89"/>
      <c r="G408" s="89"/>
      <c r="H408" s="89"/>
      <c r="I408" s="89"/>
      <c r="J408" s="89"/>
      <c r="K408" s="89"/>
      <c r="L408" s="89"/>
      <c r="M408" s="89"/>
      <c r="N408" s="89"/>
      <c r="O408" s="89"/>
      <c r="P408" s="89"/>
      <c r="Q408" s="89"/>
      <c r="R408" s="89"/>
      <c r="S408" s="89"/>
      <c r="T408" s="9"/>
      <c r="U408" s="9"/>
      <c r="V408" s="9"/>
      <c r="W408" s="9"/>
      <c r="X408" s="9"/>
      <c r="Y408" s="9"/>
      <c r="Z408" s="9"/>
      <c r="AA408" s="9"/>
      <c r="AB408" s="9"/>
      <c r="AC408" s="9"/>
      <c r="AD408" s="9"/>
      <c r="AE408" s="9"/>
      <c r="AF408" s="9"/>
      <c r="AG408" s="9"/>
      <c r="AH408" s="9"/>
      <c r="AI408" s="9"/>
      <c r="AJ408" s="9"/>
      <c r="AK408" s="9"/>
      <c r="AL408" s="9"/>
    </row>
    <row r="409" spans="1:38">
      <c r="B409" s="3"/>
      <c r="C409" s="41" t="s">
        <v>2282</v>
      </c>
      <c r="G409" s="3"/>
      <c r="I409" s="5"/>
      <c r="S409" s="5"/>
    </row>
    <row r="410" spans="1:38">
      <c r="B410" s="3"/>
      <c r="C410" s="41" t="s">
        <v>2010</v>
      </c>
      <c r="S410" s="5"/>
    </row>
    <row r="411" spans="1:38">
      <c r="B411" s="3"/>
      <c r="C411" s="5" t="s">
        <v>2283</v>
      </c>
      <c r="S411" s="5"/>
    </row>
    <row r="412" spans="1:38"/>
    <row r="413" spans="1:38"/>
    <row r="414" spans="1:38"/>
    <row r="415" spans="1:38"/>
    <row r="416" spans="1:38"/>
    <row r="417"/>
    <row r="418"/>
    <row r="419"/>
  </sheetData>
  <sheetProtection algorithmName="SHA-512" hashValue="q6USNLCgIjv4wsWkoMytfSQJjiIzRXmVHwvDjdLmy9kDmS68JuibliBE1aApM/xUTef9QqDEpFN4kXjJNsoqCw==" saltValue="F9W+PBgQU63hU0OJakOaxg=="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75" right="0.75" top="0.75" bottom="0.75" header="0.5" footer="0.5"/>
      <pageSetup scale="92" fitToHeight="10" orientation="portrait" r:id="rId1"/>
      <headerFooter alignWithMargins="0"/>
    </customSheetView>
  </customSheetViews>
  <mergeCells count="37">
    <mergeCell ref="D19:AK25"/>
    <mergeCell ref="D29:AK30"/>
    <mergeCell ref="F36:AK37"/>
    <mergeCell ref="F42:AK44"/>
    <mergeCell ref="E26:AK26"/>
    <mergeCell ref="E27:AK27"/>
    <mergeCell ref="E31:AK31"/>
    <mergeCell ref="E32:AK32"/>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s>
  <phoneticPr fontId="0" type="noConversion"/>
  <hyperlinks>
    <hyperlink ref="E27" r:id="rId2"/>
    <hyperlink ref="E31" r:id="rId3"/>
    <hyperlink ref="E32" r:id="rId4"/>
    <hyperlink ref="E26" r:id="rId5"/>
    <hyperlink ref="E27:AK27" r:id="rId6" display="https://www.treasurer.ca.gov/ctcac/2023/index.asp"/>
    <hyperlink ref="E26:AK26" r:id="rId7" display="https://www.treasurer.ca.gov/ctcac/2023/applications/competitive-tax-app-instructions.asp"/>
  </hyperlinks>
  <pageMargins left="0.75" right="0.75" top="0.75" bottom="0.75" header="0.5" footer="0.5"/>
  <pageSetup scale="96" fitToHeight="0" orientation="portrait" r:id="rId8"/>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C110"/>
  <sheetViews>
    <sheetView showGridLines="0" topLeftCell="A73" workbookViewId="0">
      <selection activeCell="D90" sqref="D90"/>
    </sheetView>
  </sheetViews>
  <sheetFormatPr defaultColWidth="0" defaultRowHeight="15" customHeight="1"/>
  <cols>
    <col min="1" max="1" width="3.42578125" style="761" customWidth="1"/>
    <col min="2" max="4" width="17.42578125" style="761" customWidth="1"/>
    <col min="5" max="5" width="15.42578125" style="761" customWidth="1"/>
    <col min="6" max="6" width="2.42578125" style="761" customWidth="1"/>
    <col min="7" max="7" width="14.42578125" style="761" customWidth="1"/>
    <col min="8" max="9" width="2.42578125" style="761" customWidth="1"/>
    <col min="10" max="10" width="3.42578125" style="761" customWidth="1"/>
    <col min="11" max="14" width="2.42578125" style="761" customWidth="1"/>
    <col min="15" max="15" width="43.7109375" style="761" customWidth="1"/>
    <col min="16" max="16" width="7.42578125" style="761" customWidth="1"/>
    <col min="17" max="17" width="3.42578125" style="761" customWidth="1"/>
    <col min="18" max="19" width="10.42578125" style="761" customWidth="1"/>
    <col min="20" max="20" width="8.85546875" style="761" customWidth="1"/>
    <col min="21" max="16384" width="8.85546875" style="761" hidden="1"/>
  </cols>
  <sheetData>
    <row r="1" spans="1:19" ht="15" customHeight="1">
      <c r="A1" s="1922" t="s">
        <v>1948</v>
      </c>
      <c r="B1" s="1922"/>
      <c r="C1" s="1922"/>
      <c r="D1" s="1922"/>
      <c r="E1" s="1922"/>
      <c r="F1" s="1922"/>
      <c r="G1" s="1922"/>
      <c r="H1" s="1922"/>
      <c r="I1" s="1922"/>
      <c r="J1" s="1922"/>
      <c r="K1" s="1922"/>
      <c r="L1" s="1922"/>
      <c r="M1" s="1922"/>
      <c r="N1" s="1922"/>
      <c r="O1" s="1922"/>
      <c r="P1" s="1922"/>
      <c r="Q1" s="1922"/>
      <c r="R1" s="1922"/>
      <c r="S1" s="1922"/>
    </row>
    <row r="2" spans="1:19" ht="15" customHeight="1">
      <c r="A2" s="1922"/>
      <c r="B2" s="1922"/>
      <c r="C2" s="1922"/>
      <c r="D2" s="1922"/>
      <c r="E2" s="1922"/>
      <c r="F2" s="1922"/>
      <c r="G2" s="1922"/>
      <c r="H2" s="1922"/>
      <c r="I2" s="1922"/>
      <c r="J2" s="1922"/>
      <c r="K2" s="1922"/>
      <c r="L2" s="1922"/>
      <c r="M2" s="1922"/>
      <c r="N2" s="1922"/>
      <c r="O2" s="1922"/>
      <c r="P2" s="1922"/>
      <c r="Q2" s="1922"/>
      <c r="R2" s="1922"/>
      <c r="S2" s="1922"/>
    </row>
    <row r="3" spans="1:19" ht="15" customHeight="1">
      <c r="A3" s="514"/>
      <c r="B3" s="514"/>
      <c r="C3" s="514"/>
      <c r="D3" s="514"/>
      <c r="E3" s="514"/>
      <c r="F3" s="514"/>
      <c r="G3" s="514"/>
      <c r="H3" s="514"/>
      <c r="I3" s="514"/>
      <c r="J3" s="514"/>
      <c r="K3" s="514"/>
      <c r="L3" s="514"/>
      <c r="M3" s="514"/>
      <c r="N3" s="514"/>
      <c r="O3" s="514"/>
      <c r="P3" s="514"/>
      <c r="Q3" s="514"/>
      <c r="R3" s="514"/>
    </row>
    <row r="4" spans="1:19" ht="15" customHeight="1">
      <c r="A4" s="514"/>
      <c r="B4" s="1907" t="s">
        <v>2236</v>
      </c>
      <c r="C4" s="1907"/>
      <c r="D4" s="1907"/>
      <c r="E4" s="1907"/>
      <c r="F4" s="1907"/>
      <c r="G4" s="1907"/>
      <c r="H4" s="1907"/>
      <c r="I4" s="1907"/>
      <c r="J4" s="1907"/>
      <c r="K4" s="1907"/>
      <c r="L4" s="1907"/>
      <c r="M4" s="1907"/>
      <c r="N4" s="1907"/>
      <c r="O4" s="1907"/>
      <c r="P4" s="1907"/>
      <c r="Q4" s="1907"/>
      <c r="R4" s="1907"/>
    </row>
    <row r="5" spans="1:19" ht="15" customHeight="1">
      <c r="A5" s="514"/>
      <c r="B5" s="1907"/>
      <c r="C5" s="1907"/>
      <c r="D5" s="1907"/>
      <c r="E5" s="1907"/>
      <c r="F5" s="1907"/>
      <c r="G5" s="1907"/>
      <c r="H5" s="1907"/>
      <c r="I5" s="1907"/>
      <c r="J5" s="1907"/>
      <c r="K5" s="1907"/>
      <c r="L5" s="1907"/>
      <c r="M5" s="1907"/>
      <c r="N5" s="1907"/>
      <c r="O5" s="1907"/>
      <c r="P5" s="1907"/>
      <c r="Q5" s="1907"/>
      <c r="R5" s="1907"/>
    </row>
    <row r="6" spans="1:19" ht="15" customHeight="1">
      <c r="A6" s="514"/>
      <c r="B6" s="1907"/>
      <c r="C6" s="1907"/>
      <c r="D6" s="1907"/>
      <c r="E6" s="1907"/>
      <c r="F6" s="1907"/>
      <c r="G6" s="1907"/>
      <c r="H6" s="1907"/>
      <c r="I6" s="1907"/>
      <c r="J6" s="1907"/>
      <c r="K6" s="1907"/>
      <c r="L6" s="1907"/>
      <c r="M6" s="1907"/>
      <c r="N6" s="1907"/>
      <c r="O6" s="1907"/>
      <c r="P6" s="1907"/>
      <c r="Q6" s="1907"/>
      <c r="R6" s="1907"/>
    </row>
    <row r="7" spans="1:19" ht="15" customHeight="1">
      <c r="A7" s="514"/>
      <c r="B7" s="656"/>
      <c r="C7" s="656"/>
      <c r="D7" s="656"/>
      <c r="E7" s="656"/>
      <c r="F7" s="656"/>
      <c r="G7" s="656"/>
      <c r="H7" s="656"/>
      <c r="I7" s="656"/>
      <c r="J7" s="656"/>
      <c r="K7" s="656"/>
      <c r="L7" s="656"/>
      <c r="M7" s="656"/>
      <c r="N7" s="656"/>
      <c r="O7" s="656"/>
      <c r="P7" s="656"/>
      <c r="Q7" s="656"/>
      <c r="R7" s="656"/>
    </row>
    <row r="8" spans="1:19" ht="32.25" customHeight="1">
      <c r="A8" s="514"/>
      <c r="B8" s="1907" t="s">
        <v>2358</v>
      </c>
      <c r="C8" s="1907"/>
      <c r="D8" s="1907"/>
      <c r="E8" s="1907"/>
      <c r="F8" s="1907"/>
      <c r="G8" s="1907"/>
      <c r="H8" s="1907"/>
      <c r="I8" s="1907"/>
      <c r="J8" s="1907"/>
      <c r="K8" s="1907"/>
      <c r="L8" s="1907"/>
      <c r="M8" s="1907"/>
      <c r="N8" s="1907"/>
      <c r="O8" s="1907"/>
      <c r="P8" s="1907"/>
      <c r="Q8" s="1907"/>
      <c r="R8" s="1907"/>
    </row>
    <row r="9" spans="1:19" ht="15" customHeight="1">
      <c r="A9" s="514"/>
      <c r="B9" s="387"/>
      <c r="C9" s="514"/>
      <c r="D9" s="514"/>
      <c r="E9" s="514"/>
      <c r="F9" s="514"/>
      <c r="G9" s="514"/>
      <c r="H9" s="514"/>
      <c r="I9" s="514"/>
      <c r="J9" s="514"/>
      <c r="K9" s="514"/>
      <c r="L9" s="514"/>
      <c r="M9" s="514"/>
      <c r="N9" s="514"/>
      <c r="O9" s="514"/>
      <c r="P9" s="514"/>
      <c r="Q9" s="514"/>
      <c r="R9" s="514"/>
    </row>
    <row r="10" spans="1:19" ht="15" customHeight="1">
      <c r="A10" s="514"/>
      <c r="B10" s="1907" t="s">
        <v>2324</v>
      </c>
      <c r="C10" s="1907"/>
      <c r="D10" s="1907"/>
      <c r="E10" s="1907"/>
      <c r="F10" s="1907"/>
      <c r="G10" s="1907"/>
      <c r="H10" s="1907"/>
      <c r="I10" s="1907"/>
      <c r="J10" s="1907"/>
      <c r="K10" s="1907"/>
      <c r="L10" s="1907"/>
      <c r="M10" s="1907"/>
      <c r="N10" s="1907"/>
      <c r="O10" s="1907"/>
      <c r="P10" s="1907"/>
      <c r="Q10" s="1907"/>
      <c r="R10" s="1907"/>
    </row>
    <row r="11" spans="1:19" ht="29.25" customHeight="1">
      <c r="A11" s="514"/>
      <c r="B11" s="1907"/>
      <c r="C11" s="1907"/>
      <c r="D11" s="1907"/>
      <c r="E11" s="1907"/>
      <c r="F11" s="1907"/>
      <c r="G11" s="1907"/>
      <c r="H11" s="1907"/>
      <c r="I11" s="1907"/>
      <c r="J11" s="1907"/>
      <c r="K11" s="1907"/>
      <c r="L11" s="1907"/>
      <c r="M11" s="1907"/>
      <c r="N11" s="1907"/>
      <c r="O11" s="1907"/>
      <c r="P11" s="1907"/>
      <c r="Q11" s="1907"/>
      <c r="R11" s="1907"/>
    </row>
    <row r="12" spans="1:19" ht="15" customHeight="1">
      <c r="A12" s="514"/>
      <c r="B12" s="656"/>
      <c r="C12" s="656"/>
      <c r="D12" s="656"/>
      <c r="E12" s="656"/>
      <c r="F12" s="656"/>
      <c r="G12" s="656"/>
      <c r="H12" s="656"/>
      <c r="I12" s="656"/>
      <c r="J12" s="656"/>
      <c r="K12" s="656"/>
      <c r="L12" s="656"/>
      <c r="M12" s="656"/>
      <c r="N12" s="656"/>
      <c r="O12" s="656"/>
      <c r="P12" s="656"/>
      <c r="Q12" s="656"/>
      <c r="R12" s="656"/>
    </row>
    <row r="13" spans="1:19" ht="15" customHeight="1">
      <c r="A13" s="514"/>
      <c r="B13" s="1907" t="s">
        <v>2237</v>
      </c>
      <c r="C13" s="1907"/>
      <c r="D13" s="1907"/>
      <c r="E13" s="1907"/>
      <c r="F13" s="1907"/>
      <c r="G13" s="1907"/>
      <c r="H13" s="1907"/>
      <c r="I13" s="1907"/>
      <c r="J13" s="1907"/>
      <c r="K13" s="1907"/>
      <c r="L13" s="1907"/>
      <c r="M13" s="1907"/>
      <c r="N13" s="1907"/>
      <c r="O13" s="1907"/>
      <c r="P13" s="1907"/>
      <c r="Q13" s="1907"/>
      <c r="R13" s="1907"/>
    </row>
    <row r="14" spans="1:19" ht="15" customHeight="1">
      <c r="A14" s="514"/>
      <c r="B14" s="1907"/>
      <c r="C14" s="1907"/>
      <c r="D14" s="1907"/>
      <c r="E14" s="1907"/>
      <c r="F14" s="1907"/>
      <c r="G14" s="1907"/>
      <c r="H14" s="1907"/>
      <c r="I14" s="1907"/>
      <c r="J14" s="1907"/>
      <c r="K14" s="1907"/>
      <c r="L14" s="1907"/>
      <c r="M14" s="1907"/>
      <c r="N14" s="1907"/>
      <c r="O14" s="1907"/>
      <c r="P14" s="1907"/>
      <c r="Q14" s="1907"/>
      <c r="R14" s="1907"/>
    </row>
    <row r="15" spans="1:19" ht="15" customHeight="1">
      <c r="A15" s="514"/>
      <c r="B15" s="1907"/>
      <c r="C15" s="1907"/>
      <c r="D15" s="1907"/>
      <c r="E15" s="1907"/>
      <c r="F15" s="1907"/>
      <c r="G15" s="1907"/>
      <c r="H15" s="1907"/>
      <c r="I15" s="1907"/>
      <c r="J15" s="1907"/>
      <c r="K15" s="1907"/>
      <c r="L15" s="1907"/>
      <c r="M15" s="1907"/>
      <c r="N15" s="1907"/>
      <c r="O15" s="1907"/>
      <c r="P15" s="1907"/>
      <c r="Q15" s="1907"/>
      <c r="R15" s="1907"/>
    </row>
    <row r="16" spans="1:19" ht="15" customHeight="1">
      <c r="A16" s="514"/>
      <c r="B16" s="1907"/>
      <c r="C16" s="1907"/>
      <c r="D16" s="1907"/>
      <c r="E16" s="1907"/>
      <c r="F16" s="1907"/>
      <c r="G16" s="1907"/>
      <c r="H16" s="1907"/>
      <c r="I16" s="1907"/>
      <c r="J16" s="1907"/>
      <c r="K16" s="1907"/>
      <c r="L16" s="1907"/>
      <c r="M16" s="1907"/>
      <c r="N16" s="1907"/>
      <c r="O16" s="1907"/>
      <c r="P16" s="1907"/>
      <c r="Q16" s="1907"/>
      <c r="R16" s="1907"/>
    </row>
    <row r="17" spans="1:18" ht="15" customHeight="1">
      <c r="A17" s="514"/>
      <c r="B17" s="1907"/>
      <c r="C17" s="1907"/>
      <c r="D17" s="1907"/>
      <c r="E17" s="1907"/>
      <c r="F17" s="1907"/>
      <c r="G17" s="1907"/>
      <c r="H17" s="1907"/>
      <c r="I17" s="1907"/>
      <c r="J17" s="1907"/>
      <c r="K17" s="1907"/>
      <c r="L17" s="1907"/>
      <c r="M17" s="1907"/>
      <c r="N17" s="1907"/>
      <c r="O17" s="1907"/>
      <c r="P17" s="1907"/>
      <c r="Q17" s="1907"/>
      <c r="R17" s="1907"/>
    </row>
    <row r="18" spans="1:18" ht="15" customHeight="1">
      <c r="A18" s="514"/>
      <c r="B18" s="387"/>
      <c r="C18" s="514"/>
      <c r="D18" s="514"/>
      <c r="E18" s="514"/>
      <c r="F18" s="514"/>
      <c r="G18" s="514"/>
      <c r="H18" s="514"/>
      <c r="I18" s="514"/>
      <c r="J18" s="514"/>
      <c r="K18" s="514"/>
      <c r="L18" s="514"/>
      <c r="M18" s="514"/>
      <c r="N18" s="514"/>
      <c r="O18" s="514"/>
      <c r="P18" s="514"/>
      <c r="Q18" s="514"/>
      <c r="R18" s="514"/>
    </row>
    <row r="19" spans="1:18" ht="15" customHeight="1">
      <c r="A19" s="514"/>
      <c r="B19" s="1907" t="s">
        <v>1875</v>
      </c>
      <c r="C19" s="1907"/>
      <c r="D19" s="1907"/>
      <c r="E19" s="1907"/>
      <c r="F19" s="1907"/>
      <c r="G19" s="1907"/>
      <c r="H19" s="1907"/>
      <c r="I19" s="1907"/>
      <c r="J19" s="1907"/>
      <c r="K19" s="1907"/>
      <c r="L19" s="1907"/>
      <c r="M19" s="1907"/>
      <c r="N19" s="1907"/>
      <c r="O19" s="1907"/>
      <c r="P19" s="1907"/>
      <c r="Q19" s="1907"/>
      <c r="R19" s="1907"/>
    </row>
    <row r="20" spans="1:18" ht="15" customHeight="1">
      <c r="A20" s="514"/>
      <c r="B20" s="1907"/>
      <c r="C20" s="1907"/>
      <c r="D20" s="1907"/>
      <c r="E20" s="1907"/>
      <c r="F20" s="1907"/>
      <c r="G20" s="1907"/>
      <c r="H20" s="1907"/>
      <c r="I20" s="1907"/>
      <c r="J20" s="1907"/>
      <c r="K20" s="1907"/>
      <c r="L20" s="1907"/>
      <c r="M20" s="1907"/>
      <c r="N20" s="1907"/>
      <c r="O20" s="1907"/>
      <c r="P20" s="1907"/>
      <c r="Q20" s="1907"/>
      <c r="R20" s="1907"/>
    </row>
    <row r="21" spans="1:18" ht="15" customHeight="1">
      <c r="A21" s="514"/>
      <c r="B21" s="1907"/>
      <c r="C21" s="1907"/>
      <c r="D21" s="1907"/>
      <c r="E21" s="1907"/>
      <c r="F21" s="1907"/>
      <c r="G21" s="1907"/>
      <c r="H21" s="1907"/>
      <c r="I21" s="1907"/>
      <c r="J21" s="1907"/>
      <c r="K21" s="1907"/>
      <c r="L21" s="1907"/>
      <c r="M21" s="1907"/>
      <c r="N21" s="1907"/>
      <c r="O21" s="1907"/>
      <c r="P21" s="1907"/>
      <c r="Q21" s="1907"/>
      <c r="R21" s="1907"/>
    </row>
    <row r="22" spans="1:18" ht="15" customHeight="1">
      <c r="A22" s="514"/>
      <c r="B22" s="656"/>
      <c r="C22" s="656"/>
      <c r="D22" s="656"/>
      <c r="E22" s="656"/>
      <c r="F22" s="656"/>
      <c r="G22" s="656"/>
      <c r="H22" s="656"/>
      <c r="I22" s="656"/>
      <c r="J22" s="656"/>
      <c r="K22" s="656"/>
      <c r="L22" s="656"/>
      <c r="M22" s="656"/>
      <c r="N22" s="656"/>
      <c r="O22" s="656"/>
      <c r="P22" s="656"/>
      <c r="Q22" s="656"/>
      <c r="R22" s="656"/>
    </row>
    <row r="23" spans="1:18" ht="15" customHeight="1">
      <c r="A23" s="514"/>
      <c r="B23" s="1907" t="s">
        <v>1876</v>
      </c>
      <c r="C23" s="1907"/>
      <c r="D23" s="1907"/>
      <c r="E23" s="1907"/>
      <c r="F23" s="1907"/>
      <c r="G23" s="1907"/>
      <c r="H23" s="1907"/>
      <c r="I23" s="1907"/>
      <c r="J23" s="1907"/>
      <c r="K23" s="1907"/>
      <c r="L23" s="1907"/>
      <c r="M23" s="1907"/>
      <c r="N23" s="1907"/>
      <c r="O23" s="1907"/>
      <c r="P23" s="1907"/>
      <c r="Q23" s="1907"/>
      <c r="R23" s="1907"/>
    </row>
    <row r="24" spans="1:18" ht="15" customHeight="1">
      <c r="B24" s="1907"/>
      <c r="C24" s="1907"/>
      <c r="D24" s="1907"/>
      <c r="E24" s="1907"/>
      <c r="F24" s="1907"/>
      <c r="G24" s="1907"/>
      <c r="H24" s="1907"/>
      <c r="I24" s="1907"/>
      <c r="J24" s="1907"/>
      <c r="K24" s="1907"/>
      <c r="L24" s="1907"/>
      <c r="M24" s="1907"/>
      <c r="N24" s="1907"/>
      <c r="O24" s="1907"/>
      <c r="P24" s="1907"/>
      <c r="Q24" s="1907"/>
      <c r="R24" s="1907"/>
    </row>
    <row r="25" spans="1:18" ht="15" customHeight="1">
      <c r="B25" s="656"/>
      <c r="C25" s="656"/>
      <c r="D25" s="656"/>
      <c r="E25" s="656"/>
      <c r="F25" s="656"/>
      <c r="G25" s="656"/>
      <c r="H25" s="656"/>
      <c r="I25" s="656"/>
      <c r="J25" s="656"/>
      <c r="K25" s="656"/>
      <c r="L25" s="656"/>
      <c r="M25" s="656"/>
      <c r="N25" s="656"/>
      <c r="O25" s="656"/>
      <c r="P25" s="656"/>
      <c r="Q25" s="656"/>
      <c r="R25" s="656"/>
    </row>
    <row r="26" spans="1:18" ht="15" customHeight="1">
      <c r="B26" s="1907" t="s">
        <v>1765</v>
      </c>
      <c r="C26" s="1907"/>
      <c r="D26" s="1907"/>
      <c r="E26" s="1907"/>
      <c r="F26" s="1907"/>
      <c r="G26" s="1907"/>
      <c r="H26" s="1907"/>
      <c r="I26" s="1907"/>
      <c r="J26" s="1907"/>
      <c r="K26" s="1907"/>
      <c r="L26" s="1907"/>
      <c r="M26" s="1907"/>
      <c r="N26" s="1907"/>
      <c r="O26" s="1907"/>
      <c r="P26" s="1907"/>
      <c r="Q26" s="1907"/>
      <c r="R26" s="1907"/>
    </row>
    <row r="27" spans="1:18" ht="15" customHeight="1">
      <c r="B27" s="656"/>
      <c r="C27" s="656"/>
      <c r="D27" s="656"/>
      <c r="E27" s="656"/>
      <c r="F27" s="656"/>
      <c r="G27" s="656"/>
      <c r="H27" s="656"/>
      <c r="I27" s="656"/>
      <c r="J27" s="656"/>
      <c r="K27" s="656"/>
      <c r="L27" s="656"/>
      <c r="M27" s="656"/>
      <c r="N27" s="656"/>
      <c r="O27" s="656"/>
      <c r="P27" s="656"/>
      <c r="Q27" s="656"/>
      <c r="R27" s="656"/>
    </row>
    <row r="28" spans="1:18" ht="15" customHeight="1">
      <c r="B28" s="515" t="s">
        <v>150</v>
      </c>
    </row>
    <row r="29" spans="1:18" ht="15" customHeight="1">
      <c r="B29" s="1933" t="s">
        <v>1677</v>
      </c>
      <c r="C29" s="1933"/>
      <c r="D29" s="1933"/>
      <c r="E29" s="1933"/>
      <c r="F29" s="1933"/>
      <c r="G29" s="1933"/>
      <c r="H29" s="380"/>
      <c r="I29" s="380"/>
      <c r="J29" s="380"/>
      <c r="K29" s="380"/>
      <c r="L29" s="380"/>
      <c r="M29" s="380"/>
      <c r="N29" s="380"/>
      <c r="O29" s="1931" t="s">
        <v>1686</v>
      </c>
    </row>
    <row r="30" spans="1:18" ht="15" customHeight="1">
      <c r="B30" s="1933"/>
      <c r="C30" s="1933"/>
      <c r="D30" s="1933"/>
      <c r="E30" s="1933"/>
      <c r="F30" s="1933"/>
      <c r="G30" s="1933"/>
      <c r="H30" s="380"/>
      <c r="I30" s="380"/>
      <c r="J30" s="380"/>
      <c r="K30" s="380"/>
      <c r="L30" s="380"/>
      <c r="M30" s="380"/>
      <c r="N30" s="380"/>
      <c r="O30" s="1931"/>
    </row>
    <row r="31" spans="1:18" ht="15" customHeight="1">
      <c r="B31" s="1933"/>
      <c r="C31" s="1933"/>
      <c r="D31" s="1933"/>
      <c r="E31" s="1933"/>
      <c r="F31" s="1933"/>
      <c r="G31" s="1933"/>
      <c r="H31" s="380"/>
      <c r="I31" s="380"/>
      <c r="J31" s="380"/>
      <c r="K31" s="380"/>
      <c r="L31" s="380"/>
      <c r="M31" s="380"/>
      <c r="N31" s="380"/>
      <c r="O31" s="1931"/>
    </row>
    <row r="32" spans="1:18" ht="15" customHeight="1">
      <c r="B32" s="1934"/>
      <c r="C32" s="1934"/>
      <c r="D32" s="1934"/>
      <c r="E32" s="1934"/>
      <c r="F32" s="1934"/>
      <c r="G32" s="1934"/>
      <c r="I32" s="1900" t="s">
        <v>149</v>
      </c>
      <c r="J32" s="1901" t="s">
        <v>1035</v>
      </c>
      <c r="K32" s="1935">
        <v>1</v>
      </c>
      <c r="M32" s="516"/>
      <c r="O32" s="1932"/>
      <c r="P32" s="1901" t="s">
        <v>2033</v>
      </c>
    </row>
    <row r="33" spans="1:21" ht="15" customHeight="1">
      <c r="B33" s="1936" t="s">
        <v>1681</v>
      </c>
      <c r="C33" s="1936"/>
      <c r="D33" s="1936"/>
      <c r="E33" s="1936"/>
      <c r="F33" s="1936"/>
      <c r="G33" s="1936"/>
      <c r="I33" s="1900"/>
      <c r="J33" s="1901"/>
      <c r="K33" s="1935"/>
      <c r="M33" s="517"/>
      <c r="O33" s="1936" t="s">
        <v>1681</v>
      </c>
      <c r="P33" s="1901"/>
    </row>
    <row r="34" spans="1:21" ht="15" customHeight="1">
      <c r="B34" s="1900"/>
      <c r="C34" s="1900"/>
      <c r="D34" s="1900"/>
      <c r="E34" s="1900"/>
      <c r="F34" s="1900"/>
      <c r="G34" s="1900"/>
      <c r="I34" s="655"/>
      <c r="J34" s="654"/>
      <c r="K34" s="534"/>
      <c r="M34" s="517"/>
      <c r="O34" s="1900"/>
      <c r="P34" s="654"/>
    </row>
    <row r="35" spans="1:21" ht="15" customHeight="1">
      <c r="B35" s="518"/>
      <c r="C35" s="518"/>
      <c r="D35" s="518"/>
      <c r="E35" s="518"/>
      <c r="F35" s="518"/>
      <c r="G35" s="518"/>
      <c r="H35" s="399"/>
      <c r="I35" s="519"/>
      <c r="J35" s="520"/>
      <c r="K35" s="521"/>
      <c r="L35" s="399"/>
      <c r="M35" s="516"/>
      <c r="N35" s="399"/>
      <c r="O35" s="518"/>
      <c r="P35" s="520"/>
      <c r="Q35" s="399"/>
      <c r="R35" s="399"/>
    </row>
    <row r="36" spans="1:21" ht="15" customHeight="1">
      <c r="B36" s="546"/>
      <c r="C36" s="546"/>
      <c r="D36" s="546"/>
      <c r="E36" s="546"/>
      <c r="F36" s="546"/>
      <c r="G36" s="546"/>
      <c r="I36" s="655"/>
      <c r="J36" s="654"/>
      <c r="K36" s="534"/>
      <c r="M36" s="517"/>
      <c r="O36" s="546"/>
      <c r="P36" s="654"/>
    </row>
    <row r="37" spans="1:21" ht="15" customHeight="1">
      <c r="A37" s="522"/>
      <c r="B37" s="1923" t="s">
        <v>1670</v>
      </c>
      <c r="C37" s="1923"/>
      <c r="D37" s="1923"/>
      <c r="E37" s="1923"/>
      <c r="F37" s="523"/>
      <c r="G37" s="523"/>
      <c r="H37" s="524"/>
      <c r="I37" s="380"/>
      <c r="J37" s="380"/>
      <c r="L37" s="536"/>
      <c r="M37" s="536"/>
      <c r="N37" s="536"/>
      <c r="O37" s="536"/>
      <c r="P37" s="536"/>
      <c r="Q37" s="536"/>
      <c r="R37" s="536"/>
      <c r="S37" s="536"/>
    </row>
    <row r="38" spans="1:21" ht="15" customHeight="1">
      <c r="B38" s="1910" t="s">
        <v>1687</v>
      </c>
      <c r="C38" s="1910"/>
      <c r="D38" s="1910"/>
      <c r="E38" s="1910"/>
      <c r="F38" s="657"/>
      <c r="G38" s="525">
        <f>D110</f>
        <v>1581395.4641361875</v>
      </c>
      <c r="H38" s="388"/>
      <c r="I38" s="526"/>
      <c r="J38" s="388"/>
      <c r="K38" s="1919" t="s">
        <v>2354</v>
      </c>
      <c r="L38" s="1919"/>
      <c r="M38" s="1919"/>
      <c r="N38" s="1919"/>
      <c r="O38" s="1919"/>
      <c r="P38" s="1919"/>
      <c r="Q38" s="1919"/>
      <c r="R38" s="1919"/>
      <c r="S38" s="1919"/>
    </row>
    <row r="39" spans="1:21" ht="15" customHeight="1">
      <c r="B39" s="1918" t="s">
        <v>1334</v>
      </c>
      <c r="C39" s="1918"/>
      <c r="D39" s="1918"/>
      <c r="E39" s="1918"/>
      <c r="F39" s="657"/>
      <c r="G39" s="639"/>
      <c r="H39" s="388"/>
      <c r="I39" s="526"/>
      <c r="J39" s="388"/>
      <c r="K39" s="1919"/>
      <c r="L39" s="1919"/>
      <c r="M39" s="1919"/>
      <c r="N39" s="1919"/>
      <c r="O39" s="1919"/>
      <c r="P39" s="1919"/>
      <c r="Q39" s="1919"/>
      <c r="R39" s="1919"/>
      <c r="S39" s="1919"/>
    </row>
    <row r="40" spans="1:21" ht="15" customHeight="1">
      <c r="B40" s="1918" t="s">
        <v>1335</v>
      </c>
      <c r="C40" s="1918"/>
      <c r="D40" s="1918"/>
      <c r="E40" s="1918"/>
      <c r="F40" s="657"/>
      <c r="G40" s="639"/>
      <c r="H40" s="388"/>
      <c r="I40" s="526"/>
      <c r="J40" s="388"/>
      <c r="K40" s="1919"/>
      <c r="L40" s="1919"/>
      <c r="M40" s="1919"/>
      <c r="N40" s="1919"/>
      <c r="O40" s="1919"/>
      <c r="P40" s="1919"/>
      <c r="Q40" s="1919"/>
      <c r="R40" s="1919"/>
      <c r="S40" s="1919"/>
    </row>
    <row r="41" spans="1:21" ht="15" customHeight="1">
      <c r="B41" s="1928" t="s">
        <v>1682</v>
      </c>
      <c r="C41" s="1928"/>
      <c r="D41" s="1928"/>
      <c r="E41" s="1928"/>
      <c r="F41" s="657"/>
      <c r="G41" s="388"/>
      <c r="H41" s="388"/>
      <c r="I41" s="526"/>
      <c r="J41" s="388"/>
      <c r="K41" s="1912" t="s">
        <v>132</v>
      </c>
      <c r="L41" s="1912"/>
      <c r="M41" s="1912"/>
      <c r="N41" s="1912"/>
      <c r="O41" s="1912"/>
      <c r="P41" s="1912"/>
      <c r="Q41" s="1912"/>
      <c r="R41" s="1912"/>
      <c r="S41" s="1912"/>
    </row>
    <row r="42" spans="1:21" ht="15" customHeight="1">
      <c r="B42" s="641" t="str">
        <f>Application!C618</f>
        <v>Sponsor Loan - HomeKey</v>
      </c>
      <c r="C42" s="641"/>
      <c r="D42" s="635"/>
      <c r="E42" s="659">
        <f>Application!AO618</f>
        <v>3759124</v>
      </c>
      <c r="F42" s="657"/>
      <c r="G42" s="388"/>
      <c r="H42" s="388"/>
      <c r="I42" s="526"/>
      <c r="J42" s="388"/>
      <c r="K42" s="1917"/>
      <c r="L42" s="1917"/>
      <c r="M42" s="1917"/>
      <c r="N42" s="1917"/>
      <c r="O42" s="1917"/>
      <c r="Q42" s="1897"/>
      <c r="R42" s="1897"/>
      <c r="U42" s="761" t="s">
        <v>132</v>
      </c>
    </row>
    <row r="43" spans="1:21" ht="15" customHeight="1">
      <c r="B43" s="641"/>
      <c r="C43" s="641"/>
      <c r="D43" s="511"/>
      <c r="E43" s="659"/>
      <c r="F43" s="657"/>
      <c r="G43" s="388"/>
      <c r="H43" s="388"/>
      <c r="I43" s="526"/>
      <c r="J43" s="388"/>
      <c r="L43" s="388"/>
      <c r="M43" s="380"/>
      <c r="N43" s="380"/>
      <c r="O43" s="380"/>
      <c r="Q43" s="527"/>
      <c r="R43" s="527"/>
      <c r="U43" s="761" t="s">
        <v>2353</v>
      </c>
    </row>
    <row r="44" spans="1:21" ht="15" customHeight="1">
      <c r="B44" s="641"/>
      <c r="C44" s="641"/>
      <c r="D44" s="511"/>
      <c r="E44" s="659"/>
      <c r="F44" s="657"/>
      <c r="G44" s="388"/>
      <c r="H44" s="388"/>
      <c r="I44" s="526"/>
      <c r="K44" s="387" t="s">
        <v>1933</v>
      </c>
      <c r="Q44" s="1897"/>
      <c r="R44" s="1897"/>
    </row>
    <row r="45" spans="1:21" ht="15" customHeight="1">
      <c r="B45" s="641"/>
      <c r="C45" s="641"/>
      <c r="D45" s="511"/>
      <c r="E45" s="659"/>
      <c r="F45" s="657"/>
      <c r="G45" s="388"/>
      <c r="H45" s="388"/>
      <c r="I45" s="526"/>
      <c r="K45" s="392" t="s">
        <v>1928</v>
      </c>
      <c r="L45" s="392"/>
      <c r="M45" s="388"/>
      <c r="N45" s="388"/>
      <c r="O45" s="388"/>
      <c r="P45" s="388"/>
    </row>
    <row r="46" spans="1:21" ht="15" customHeight="1">
      <c r="B46" s="641"/>
      <c r="C46" s="641"/>
      <c r="D46" s="511"/>
      <c r="E46" s="659"/>
      <c r="F46" s="657"/>
      <c r="G46" s="388"/>
      <c r="H46" s="388"/>
      <c r="I46" s="526"/>
      <c r="J46" s="388"/>
      <c r="K46" s="1894" t="s">
        <v>1929</v>
      </c>
      <c r="L46" s="1894"/>
      <c r="M46" s="1894"/>
      <c r="N46" s="1894"/>
      <c r="O46" s="1894"/>
      <c r="Q46" s="1892"/>
      <c r="R46" s="1892"/>
    </row>
    <row r="47" spans="1:21" ht="15" customHeight="1">
      <c r="B47" s="641"/>
      <c r="C47" s="641"/>
      <c r="D47" s="511"/>
      <c r="E47" s="659"/>
      <c r="F47" s="657"/>
      <c r="G47" s="388"/>
      <c r="H47" s="388"/>
      <c r="I47" s="526"/>
      <c r="J47" s="388"/>
      <c r="K47" s="1893" t="s">
        <v>1930</v>
      </c>
      <c r="L47" s="1893"/>
      <c r="M47" s="1893"/>
      <c r="N47" s="1893"/>
      <c r="O47" s="1893"/>
      <c r="Q47" s="1930"/>
      <c r="R47" s="1930"/>
    </row>
    <row r="48" spans="1:21" ht="15" customHeight="1">
      <c r="B48" s="641"/>
      <c r="C48" s="641"/>
      <c r="D48" s="511"/>
      <c r="E48" s="659"/>
      <c r="F48" s="657"/>
      <c r="G48" s="388"/>
      <c r="H48" s="388"/>
      <c r="I48" s="526"/>
      <c r="J48" s="388"/>
      <c r="K48" s="1929" t="s">
        <v>1931</v>
      </c>
      <c r="L48" s="1929"/>
      <c r="M48" s="1929"/>
      <c r="N48" s="1929"/>
      <c r="O48" s="1929"/>
      <c r="Q48" s="1894">
        <f>Q46+Q47</f>
        <v>0</v>
      </c>
      <c r="R48" s="1894"/>
    </row>
    <row r="49" spans="1:29" ht="15" customHeight="1">
      <c r="B49" s="641"/>
      <c r="C49" s="641"/>
      <c r="D49" s="511"/>
      <c r="E49" s="659"/>
      <c r="F49" s="657"/>
      <c r="G49" s="388"/>
      <c r="H49" s="388"/>
      <c r="I49" s="526"/>
      <c r="J49" s="388"/>
    </row>
    <row r="50" spans="1:29" ht="15" customHeight="1">
      <c r="B50" s="637" t="s">
        <v>1766</v>
      </c>
      <c r="C50" s="637"/>
      <c r="D50" s="640"/>
      <c r="E50" s="638">
        <f>MAX(IF('Sources and Uses Budget'!B15="",0,'Sources and Uses Budget'!B15),IF(Application!AG387="",0,Application!AG387))</f>
        <v>0</v>
      </c>
      <c r="F50" s="657"/>
      <c r="G50" s="388"/>
      <c r="H50" s="388"/>
      <c r="I50" s="526"/>
      <c r="J50" s="388"/>
    </row>
    <row r="51" spans="1:29" ht="15" customHeight="1">
      <c r="B51" s="636" t="s">
        <v>1397</v>
      </c>
      <c r="C51" s="636"/>
      <c r="D51" s="640"/>
      <c r="E51" s="638"/>
      <c r="F51" s="657"/>
      <c r="G51" s="388"/>
      <c r="H51" s="388"/>
      <c r="I51" s="526"/>
      <c r="J51" s="388"/>
    </row>
    <row r="52" spans="1:29" ht="15" customHeight="1">
      <c r="B52" s="1910" t="s">
        <v>1678</v>
      </c>
      <c r="C52" s="1910"/>
      <c r="D52" s="1910"/>
      <c r="E52" s="1910"/>
      <c r="F52" s="657"/>
      <c r="G52" s="525">
        <f>SUM(E42:E49)-ABS(E50)-ABS(E51)</f>
        <v>3759124</v>
      </c>
      <c r="H52" s="388"/>
      <c r="I52" s="526"/>
      <c r="J52" s="388"/>
    </row>
    <row r="53" spans="1:29" ht="15" customHeight="1">
      <c r="C53" s="530"/>
      <c r="D53" s="530" t="s">
        <v>915</v>
      </c>
      <c r="E53" s="530"/>
      <c r="F53" s="530"/>
      <c r="G53" s="531">
        <f>SUM(G38:G40)+G52</f>
        <v>5340519.464136187</v>
      </c>
      <c r="H53" s="528"/>
      <c r="I53" s="526"/>
      <c r="J53" s="388"/>
      <c r="K53" s="388"/>
      <c r="L53" s="388"/>
    </row>
    <row r="54" spans="1:29" ht="15" customHeight="1">
      <c r="B54" s="532"/>
      <c r="C54" s="532"/>
      <c r="D54" s="532"/>
      <c r="E54" s="532"/>
      <c r="F54" s="532"/>
      <c r="G54" s="532"/>
      <c r="H54" s="399"/>
      <c r="I54" s="529"/>
      <c r="J54" s="529"/>
      <c r="K54" s="529"/>
      <c r="L54" s="529"/>
      <c r="M54" s="529"/>
      <c r="N54" s="529"/>
      <c r="O54" s="399"/>
      <c r="P54" s="399"/>
      <c r="Q54" s="399"/>
      <c r="R54" s="399"/>
    </row>
    <row r="55" spans="1:29" ht="15" customHeight="1">
      <c r="B55" s="657"/>
      <c r="C55" s="657"/>
      <c r="D55" s="657"/>
      <c r="E55" s="657"/>
      <c r="F55" s="657"/>
      <c r="G55" s="657"/>
      <c r="H55" s="657"/>
      <c r="I55" s="657"/>
      <c r="J55" s="657"/>
      <c r="K55" s="657"/>
      <c r="L55" s="657"/>
      <c r="M55" s="657"/>
      <c r="N55" s="657"/>
      <c r="O55" s="657"/>
      <c r="P55" s="657"/>
      <c r="U55" s="761" t="s">
        <v>132</v>
      </c>
      <c r="AC55" s="761" t="s">
        <v>1017</v>
      </c>
    </row>
    <row r="56" spans="1:29" ht="15" customHeight="1">
      <c r="B56" s="1909" t="s">
        <v>1315</v>
      </c>
      <c r="C56" s="1909"/>
      <c r="D56" s="657"/>
      <c r="E56" s="657"/>
      <c r="F56" s="657"/>
      <c r="G56" s="657"/>
      <c r="H56" s="657"/>
      <c r="I56" s="657"/>
      <c r="J56" s="657"/>
      <c r="K56" s="657"/>
      <c r="L56" s="657"/>
      <c r="M56" s="657"/>
      <c r="N56" s="657"/>
      <c r="O56" s="657"/>
      <c r="P56" s="657"/>
      <c r="U56" s="962" t="s">
        <v>1870</v>
      </c>
      <c r="AC56" s="963">
        <v>0.2</v>
      </c>
    </row>
    <row r="57" spans="1:29" ht="15" customHeight="1">
      <c r="A57" s="528"/>
      <c r="B57" s="1908" t="s">
        <v>1672</v>
      </c>
      <c r="C57" s="1908"/>
      <c r="D57" s="1908"/>
      <c r="E57" s="1908"/>
      <c r="F57" s="1908"/>
      <c r="G57" s="1908"/>
      <c r="H57" s="1908"/>
      <c r="I57" s="1908"/>
      <c r="J57" s="1908"/>
      <c r="K57" s="1908"/>
      <c r="L57" s="1908"/>
      <c r="M57" s="1908"/>
      <c r="N57" s="1908"/>
      <c r="O57" s="1908"/>
      <c r="P57" s="657"/>
      <c r="U57" s="962" t="s">
        <v>1871</v>
      </c>
      <c r="AC57" s="963">
        <v>0.1</v>
      </c>
    </row>
    <row r="58" spans="1:29" ht="15" customHeight="1">
      <c r="B58" s="1923" t="s">
        <v>2352</v>
      </c>
      <c r="C58" s="1924"/>
      <c r="D58" s="1924"/>
      <c r="E58" s="1924"/>
      <c r="F58" s="533"/>
      <c r="G58" s="533"/>
      <c r="H58" s="523"/>
      <c r="I58" s="523"/>
      <c r="J58" s="1925">
        <f>('Sources and Uses Budget'!D104+Q47)/('Sources and Uses Budget'!B104+Q48)</f>
        <v>0</v>
      </c>
      <c r="K58" s="1926"/>
      <c r="L58" s="1926"/>
      <c r="M58" s="1926"/>
      <c r="N58" s="1927"/>
      <c r="O58" s="523"/>
      <c r="P58" s="523"/>
      <c r="U58" s="962" t="s">
        <v>1872</v>
      </c>
      <c r="AC58" s="963">
        <v>0.1</v>
      </c>
    </row>
    <row r="59" spans="1:29" ht="15" customHeight="1">
      <c r="B59" s="1907" t="s">
        <v>2238</v>
      </c>
      <c r="C59" s="1907"/>
      <c r="D59" s="1907"/>
      <c r="E59" s="1907"/>
      <c r="F59" s="1907"/>
      <c r="G59" s="1907"/>
      <c r="H59" s="1907"/>
      <c r="I59" s="1907"/>
      <c r="J59" s="1907"/>
      <c r="K59" s="1907"/>
      <c r="L59" s="1907"/>
      <c r="M59" s="1907"/>
      <c r="N59" s="1907"/>
      <c r="O59" s="1907"/>
      <c r="P59" s="523"/>
      <c r="U59" s="962" t="s">
        <v>1873</v>
      </c>
      <c r="AC59" s="963">
        <v>0.05</v>
      </c>
    </row>
    <row r="60" spans="1:29" ht="15" customHeight="1">
      <c r="B60" s="1907"/>
      <c r="C60" s="1907"/>
      <c r="D60" s="1907"/>
      <c r="E60" s="1907"/>
      <c r="F60" s="1907"/>
      <c r="G60" s="1907"/>
      <c r="H60" s="1907"/>
      <c r="I60" s="1907"/>
      <c r="J60" s="1907"/>
      <c r="K60" s="1907"/>
      <c r="L60" s="1907"/>
      <c r="M60" s="1907"/>
      <c r="N60" s="1907"/>
      <c r="O60" s="1907"/>
      <c r="P60" s="523"/>
      <c r="AC60" s="964"/>
    </row>
    <row r="61" spans="1:29" ht="15" customHeight="1">
      <c r="B61" s="1908" t="s">
        <v>1673</v>
      </c>
      <c r="C61" s="1908"/>
      <c r="D61" s="1908"/>
      <c r="E61" s="1908"/>
      <c r="F61" s="1908"/>
      <c r="G61" s="1908"/>
      <c r="H61" s="1908"/>
      <c r="I61" s="1908"/>
      <c r="J61" s="1908"/>
      <c r="K61" s="1908"/>
      <c r="L61" s="1908"/>
      <c r="M61" s="1908"/>
      <c r="N61" s="1908"/>
      <c r="O61" s="1908"/>
      <c r="P61" s="523"/>
    </row>
    <row r="62" spans="1:29" ht="15" customHeight="1">
      <c r="B62" s="399"/>
      <c r="C62" s="399"/>
      <c r="D62" s="399"/>
      <c r="E62" s="399"/>
      <c r="F62" s="399"/>
      <c r="G62" s="399"/>
      <c r="H62" s="399"/>
      <c r="I62" s="399"/>
      <c r="J62" s="399"/>
      <c r="K62" s="399"/>
      <c r="L62" s="399"/>
      <c r="M62" s="399"/>
      <c r="N62" s="399"/>
      <c r="O62" s="399"/>
      <c r="P62" s="399"/>
      <c r="Q62" s="399"/>
      <c r="R62" s="399"/>
    </row>
    <row r="63" spans="1:29" ht="15" customHeight="1" thickBot="1">
      <c r="B63" s="380"/>
      <c r="C63" s="380"/>
      <c r="D63" s="380"/>
      <c r="E63" s="387"/>
      <c r="F63" s="380"/>
      <c r="G63" s="380"/>
      <c r="H63" s="380"/>
      <c r="I63" s="764"/>
      <c r="J63" s="1913" t="s">
        <v>2355</v>
      </c>
      <c r="K63" s="1914"/>
      <c r="L63" s="1914"/>
      <c r="M63" s="1914"/>
      <c r="N63" s="1914"/>
      <c r="O63" s="1914"/>
      <c r="P63" s="1914"/>
      <c r="Q63" s="1914"/>
      <c r="R63" s="1914"/>
    </row>
    <row r="64" spans="1:29" ht="15" customHeight="1" thickBot="1">
      <c r="B64" s="1909" t="s">
        <v>1683</v>
      </c>
      <c r="C64" s="1909"/>
      <c r="D64" s="380"/>
      <c r="F64" s="380"/>
      <c r="G64" s="530" t="s">
        <v>1932</v>
      </c>
      <c r="H64" s="380"/>
      <c r="I64" s="765"/>
      <c r="J64" s="1915"/>
      <c r="K64" s="1916"/>
      <c r="L64" s="1916"/>
      <c r="M64" s="1916"/>
      <c r="N64" s="1916"/>
      <c r="O64" s="1916"/>
      <c r="P64" s="1916"/>
      <c r="Q64" s="1916"/>
      <c r="R64" s="1916"/>
      <c r="U64" s="961">
        <f>IF(K41="Rural project in a county where no tax credit applications have been received within 5 years",AC59,0)</f>
        <v>0</v>
      </c>
    </row>
    <row r="65" spans="1:22" ht="15" customHeight="1" thickBot="1">
      <c r="B65" s="534" t="s">
        <v>1676</v>
      </c>
      <c r="C65" s="519" t="str">
        <f>IF(OR(Application!M349="Yes",Application!M350="Yes"),"Yes","No")</f>
        <v>Yes</v>
      </c>
      <c r="E65" s="795"/>
      <c r="F65" s="795"/>
      <c r="G65" s="530" t="s">
        <v>1934</v>
      </c>
      <c r="H65" s="380"/>
      <c r="I65" s="765"/>
      <c r="J65" s="1915"/>
      <c r="K65" s="1916"/>
      <c r="L65" s="1916"/>
      <c r="M65" s="1916"/>
      <c r="N65" s="1916"/>
      <c r="O65" s="1916"/>
      <c r="P65" s="1916"/>
      <c r="Q65" s="1916"/>
      <c r="R65" s="1916"/>
      <c r="U65" s="961">
        <f>IF(J67="Non-rural project, Census Tract is Highest Resource (20 percentage points)",AC56,0)</f>
        <v>0</v>
      </c>
    </row>
    <row r="66" spans="1:22" ht="15" customHeight="1" thickBot="1">
      <c r="B66" s="535" t="s">
        <v>1753</v>
      </c>
      <c r="C66" s="645">
        <f>Application!AG430-Application!AG431</f>
        <v>39</v>
      </c>
      <c r="D66" s="795"/>
      <c r="E66" s="535" t="s">
        <v>1935</v>
      </c>
      <c r="F66" s="795"/>
      <c r="G66" s="662"/>
      <c r="H66" s="536"/>
      <c r="I66" s="766"/>
      <c r="J66" s="1915"/>
      <c r="K66" s="1916"/>
      <c r="L66" s="1916"/>
      <c r="M66" s="1916"/>
      <c r="N66" s="1916"/>
      <c r="O66" s="1916"/>
      <c r="P66" s="1916"/>
      <c r="Q66" s="1916"/>
      <c r="R66" s="1916"/>
      <c r="U66" s="961">
        <f>IF(J67="Non-rural project, Census Tract is High Resource (10 percentage points)",AC57,0)</f>
        <v>0</v>
      </c>
    </row>
    <row r="67" spans="1:22" ht="15" customHeight="1" thickBot="1">
      <c r="B67" s="535" t="s">
        <v>1671</v>
      </c>
      <c r="C67" s="646">
        <f>MIN(IF(AND(C65="Yes",G67&gt;=50),(0.75+(G67/200)),1),1.5)</f>
        <v>1</v>
      </c>
      <c r="D67" s="536"/>
      <c r="E67" s="535" t="s">
        <v>1754</v>
      </c>
      <c r="G67" s="645">
        <f>C66+G66</f>
        <v>39</v>
      </c>
      <c r="H67" s="536"/>
      <c r="I67" s="766"/>
      <c r="J67" s="1911" t="s">
        <v>132</v>
      </c>
      <c r="K67" s="1912"/>
      <c r="L67" s="1912"/>
      <c r="M67" s="1912"/>
      <c r="N67" s="1912"/>
      <c r="O67" s="1912"/>
      <c r="P67" s="1912"/>
      <c r="Q67" s="1912"/>
      <c r="R67" s="1912"/>
      <c r="U67" s="961">
        <f>IF(J67="Rural project, Census Tract is Highest Resource (10 percentage points)",AC58,0)</f>
        <v>0</v>
      </c>
    </row>
    <row r="68" spans="1:22" ht="15" customHeight="1" thickBot="1">
      <c r="B68" s="399"/>
      <c r="C68" s="399"/>
      <c r="D68" s="399"/>
      <c r="E68" s="399"/>
      <c r="F68" s="399"/>
      <c r="G68" s="399"/>
      <c r="H68" s="399"/>
      <c r="I68" s="767"/>
      <c r="J68" s="399"/>
      <c r="K68" s="399"/>
      <c r="L68" s="399"/>
      <c r="M68" s="399"/>
      <c r="N68" s="399"/>
      <c r="O68" s="399"/>
      <c r="P68" s="399"/>
      <c r="Q68" s="399"/>
      <c r="R68" s="399"/>
      <c r="U68" s="961">
        <f>IF(J67="Rural project, Census Tract is High Resource (5 percentage points)",AC59,0)</f>
        <v>0</v>
      </c>
    </row>
    <row r="69" spans="1:22" ht="15" customHeight="1">
      <c r="U69" s="1920">
        <f>SUM(U62:U68)</f>
        <v>0</v>
      </c>
    </row>
    <row r="70" spans="1:22" ht="15" customHeight="1" thickBot="1">
      <c r="B70" s="515" t="s">
        <v>1680</v>
      </c>
      <c r="C70" s="515"/>
      <c r="D70" s="515"/>
      <c r="E70" s="515"/>
      <c r="F70" s="515"/>
      <c r="G70" s="515"/>
      <c r="U70" s="1921"/>
      <c r="V70" s="377" t="s">
        <v>1874</v>
      </c>
    </row>
    <row r="71" spans="1:22" ht="15" customHeight="1">
      <c r="B71" s="1910" t="s">
        <v>1684</v>
      </c>
      <c r="C71" s="1910"/>
      <c r="D71" s="1910"/>
      <c r="E71" s="515"/>
      <c r="F71" s="515"/>
      <c r="G71" s="525">
        <f>G53*(1-J58)</f>
        <v>5340519.464136187</v>
      </c>
      <c r="J71" s="537"/>
      <c r="K71" s="694" t="s">
        <v>1686</v>
      </c>
      <c r="L71" s="694"/>
      <c r="M71" s="694"/>
      <c r="N71" s="694"/>
      <c r="O71" s="694"/>
      <c r="Q71" s="1894">
        <f>'Basis &amp; Credits'!T23+'Basis &amp; Credits'!Y23+'Basis &amp; Credits'!AD23+'Basis &amp; Credits'!AI23</f>
        <v>19512949</v>
      </c>
      <c r="R71" s="1894"/>
    </row>
    <row r="72" spans="1:22" ht="15" customHeight="1">
      <c r="B72" s="1896" t="s">
        <v>1685</v>
      </c>
      <c r="C72" s="1896"/>
      <c r="D72" s="1896"/>
      <c r="E72" s="515"/>
      <c r="F72" s="515"/>
      <c r="G72" s="525">
        <f>G71*C67</f>
        <v>5340519.464136187</v>
      </c>
      <c r="J72" s="537"/>
      <c r="K72" s="657"/>
      <c r="L72" s="657"/>
      <c r="M72" s="657"/>
      <c r="N72" s="657"/>
      <c r="O72" s="657"/>
      <c r="Q72" s="1897"/>
      <c r="R72" s="1897"/>
    </row>
    <row r="73" spans="1:22" ht="15" customHeight="1">
      <c r="B73" s="642"/>
      <c r="C73" s="643"/>
      <c r="D73" s="531"/>
      <c r="E73" s="515"/>
      <c r="F73" s="515"/>
      <c r="G73" s="388"/>
      <c r="J73" s="537"/>
    </row>
    <row r="74" spans="1:22" ht="15" customHeight="1" thickBot="1">
      <c r="B74" s="515"/>
      <c r="C74" s="515"/>
      <c r="D74" s="515"/>
      <c r="E74" s="515"/>
      <c r="F74" s="515"/>
      <c r="G74" s="515"/>
    </row>
    <row r="75" spans="1:22" ht="15" customHeight="1">
      <c r="A75" s="528"/>
      <c r="B75" s="1898">
        <f>$G$72</f>
        <v>5340519.464136187</v>
      </c>
      <c r="C75" s="1899"/>
      <c r="D75" s="1899"/>
      <c r="E75" s="1899"/>
      <c r="F75" s="1899"/>
      <c r="G75" s="1899"/>
      <c r="H75" s="538"/>
      <c r="I75" s="1900" t="s">
        <v>149</v>
      </c>
      <c r="J75" s="1901" t="s">
        <v>1035</v>
      </c>
      <c r="K75" s="1900">
        <v>1</v>
      </c>
      <c r="M75" s="399"/>
      <c r="N75" s="517"/>
      <c r="O75" s="664">
        <f>$Q$71</f>
        <v>19512949</v>
      </c>
      <c r="P75" s="1901" t="s">
        <v>2033</v>
      </c>
      <c r="Q75" s="1902" t="s">
        <v>148</v>
      </c>
      <c r="R75" s="1905">
        <f>((B75/B76)+((1-(O75/O76))/2))+U69</f>
        <v>0.34720517440434279</v>
      </c>
    </row>
    <row r="76" spans="1:22" ht="15" customHeight="1" thickBot="1">
      <c r="B76" s="1903">
        <f>'Sources and Uses Budget'!$C$104+$Q$46-($E$50+$E$51)*(1-$J$58)</f>
        <v>28901208</v>
      </c>
      <c r="C76" s="1904"/>
      <c r="D76" s="1904"/>
      <c r="E76" s="1904"/>
      <c r="F76" s="1904"/>
      <c r="G76" s="1903"/>
      <c r="I76" s="1900"/>
      <c r="J76" s="1901"/>
      <c r="K76" s="1900"/>
      <c r="M76" s="655"/>
      <c r="O76" s="663">
        <f>B76</f>
        <v>28901208</v>
      </c>
      <c r="P76" s="1901"/>
      <c r="Q76" s="1902"/>
      <c r="R76" s="1906"/>
    </row>
    <row r="77" spans="1:22" ht="15" customHeight="1">
      <c r="B77" s="399"/>
      <c r="C77" s="399"/>
      <c r="D77" s="399"/>
      <c r="E77" s="399"/>
      <c r="F77" s="399"/>
      <c r="G77" s="399"/>
      <c r="H77" s="399"/>
      <c r="I77" s="399"/>
      <c r="J77" s="399"/>
      <c r="K77" s="399"/>
      <c r="L77" s="399"/>
      <c r="M77" s="399"/>
      <c r="N77" s="399"/>
      <c r="O77" s="399"/>
      <c r="P77" s="399"/>
      <c r="Q77" s="399"/>
    </row>
    <row r="79" spans="1:22" ht="15" customHeight="1">
      <c r="B79" s="693" t="s">
        <v>1679</v>
      </c>
      <c r="C79" s="380"/>
      <c r="D79" s="380"/>
      <c r="E79" s="380"/>
      <c r="F79" s="380"/>
      <c r="G79" s="380"/>
      <c r="H79" s="380"/>
      <c r="I79" s="380"/>
      <c r="J79" s="380"/>
      <c r="K79" s="380"/>
      <c r="L79" s="380"/>
      <c r="M79" s="380"/>
      <c r="N79" s="380"/>
      <c r="O79" s="380"/>
      <c r="P79" s="380"/>
      <c r="Q79" s="380"/>
      <c r="R79" s="380"/>
    </row>
    <row r="80" spans="1:22" ht="15" customHeight="1">
      <c r="C80" s="693"/>
      <c r="D80" s="693"/>
      <c r="E80" s="693"/>
      <c r="F80" s="693"/>
      <c r="G80" s="693"/>
      <c r="H80" s="693"/>
      <c r="I80" s="693"/>
      <c r="J80" s="693"/>
      <c r="K80" s="693"/>
      <c r="L80" s="693"/>
      <c r="M80" s="693"/>
      <c r="N80" s="693"/>
      <c r="O80" s="693"/>
    </row>
    <row r="81" spans="2:18" ht="15" customHeight="1">
      <c r="B81" s="387" t="s">
        <v>1926</v>
      </c>
      <c r="C81" s="658"/>
      <c r="D81" s="658"/>
      <c r="E81" s="658"/>
      <c r="F81" s="658"/>
      <c r="H81" s="658"/>
      <c r="I81" s="526"/>
      <c r="J81" s="658"/>
      <c r="K81" s="387" t="s">
        <v>1927</v>
      </c>
      <c r="L81" s="658"/>
      <c r="M81" s="658"/>
      <c r="N81" s="658"/>
      <c r="O81" s="658"/>
    </row>
    <row r="82" spans="2:18" ht="15" customHeight="1">
      <c r="B82" s="781" t="s">
        <v>1879</v>
      </c>
      <c r="C82" s="773"/>
      <c r="D82" s="768"/>
      <c r="E82" s="773"/>
      <c r="F82" s="773"/>
      <c r="G82" s="774"/>
      <c r="I82" s="526"/>
    </row>
    <row r="83" spans="2:18" ht="15" customHeight="1">
      <c r="B83" s="779" t="s">
        <v>1882</v>
      </c>
      <c r="C83" s="773"/>
      <c r="D83" s="773"/>
      <c r="E83" s="771"/>
      <c r="F83" s="771"/>
      <c r="G83" s="774"/>
      <c r="I83" s="526"/>
      <c r="K83" s="762" t="s">
        <v>1755</v>
      </c>
    </row>
    <row r="84" spans="2:18" ht="15" customHeight="1">
      <c r="B84" s="780" t="s">
        <v>2239</v>
      </c>
      <c r="C84" s="775"/>
      <c r="D84" s="775"/>
      <c r="E84" s="769"/>
      <c r="F84" s="769"/>
      <c r="G84" s="776"/>
      <c r="I84" s="526"/>
      <c r="K84" s="762" t="s">
        <v>1693</v>
      </c>
      <c r="L84" s="658"/>
      <c r="M84" s="658"/>
      <c r="N84" s="658"/>
      <c r="O84" s="658"/>
      <c r="P84" s="658"/>
      <c r="Q84" s="1892"/>
      <c r="R84" s="1892"/>
    </row>
    <row r="85" spans="2:18" ht="15" customHeight="1">
      <c r="B85" s="780" t="s">
        <v>1878</v>
      </c>
      <c r="C85" s="777"/>
      <c r="D85" s="777"/>
      <c r="E85" s="772"/>
      <c r="F85" s="772"/>
      <c r="G85" s="778"/>
      <c r="I85" s="526"/>
      <c r="L85" s="691"/>
      <c r="M85" s="691"/>
      <c r="N85" s="691"/>
      <c r="O85" s="691"/>
      <c r="P85" s="691"/>
    </row>
    <row r="86" spans="2:18" ht="15" customHeight="1">
      <c r="B86" s="781" t="s">
        <v>1946</v>
      </c>
      <c r="C86" s="775"/>
      <c r="D86" s="775"/>
      <c r="E86" s="769"/>
      <c r="F86" s="769"/>
      <c r="G86" s="770"/>
      <c r="I86" s="526"/>
      <c r="L86" s="692"/>
      <c r="M86" s="692"/>
      <c r="N86" s="692"/>
      <c r="O86" s="796" t="s">
        <v>1060</v>
      </c>
      <c r="P86" s="692"/>
    </row>
    <row r="87" spans="2:18" ht="15" customHeight="1">
      <c r="B87" s="781" t="s">
        <v>2019</v>
      </c>
      <c r="C87" s="777"/>
      <c r="D87" s="768"/>
      <c r="E87" s="773"/>
      <c r="F87" s="773"/>
      <c r="G87" s="799"/>
      <c r="I87" s="526"/>
    </row>
    <row r="88" spans="2:18" ht="15" customHeight="1">
      <c r="B88" s="797"/>
      <c r="C88" s="773"/>
      <c r="D88" s="773"/>
      <c r="E88" s="798" t="s">
        <v>1877</v>
      </c>
      <c r="F88" s="771"/>
      <c r="G88" s="771" t="s">
        <v>1036</v>
      </c>
      <c r="I88" s="526"/>
      <c r="K88" s="763" t="s">
        <v>1692</v>
      </c>
      <c r="L88" s="658"/>
      <c r="M88" s="658"/>
      <c r="N88" s="658"/>
      <c r="O88" s="658"/>
      <c r="P88" s="658"/>
    </row>
    <row r="89" spans="2:18" ht="15" customHeight="1">
      <c r="B89" s="539" t="s">
        <v>1029</v>
      </c>
      <c r="C89" s="540" t="s">
        <v>1030</v>
      </c>
      <c r="D89" s="782" t="s">
        <v>1880</v>
      </c>
      <c r="E89" s="782" t="s">
        <v>1947</v>
      </c>
      <c r="F89" s="518"/>
      <c r="G89" s="518" t="s">
        <v>1881</v>
      </c>
      <c r="I89" s="526"/>
      <c r="K89" s="763" t="s">
        <v>1694</v>
      </c>
      <c r="L89" s="691"/>
      <c r="M89" s="691"/>
      <c r="N89" s="691"/>
      <c r="O89" s="691"/>
      <c r="P89" s="691"/>
      <c r="Q89" s="1892"/>
      <c r="R89" s="1892"/>
    </row>
    <row r="90" spans="2:18" ht="15" customHeight="1">
      <c r="B90" s="503" t="s">
        <v>2471</v>
      </c>
      <c r="C90" s="504">
        <f>8+3+1</f>
        <v>12</v>
      </c>
      <c r="D90" s="505">
        <v>433</v>
      </c>
      <c r="E90" s="505">
        <v>1024</v>
      </c>
      <c r="F90" s="547"/>
      <c r="G90" s="388">
        <f>MAX(($E90-$D90)*$C90*12,0)</f>
        <v>85104</v>
      </c>
      <c r="I90" s="526"/>
      <c r="K90" s="763" t="s">
        <v>1695</v>
      </c>
      <c r="L90" s="691"/>
      <c r="M90" s="691"/>
      <c r="N90" s="691"/>
      <c r="O90" s="691"/>
      <c r="P90" s="691"/>
      <c r="Q90" s="1895"/>
      <c r="R90" s="1895"/>
    </row>
    <row r="91" spans="2:18" ht="15" customHeight="1">
      <c r="B91" s="503" t="s">
        <v>2472</v>
      </c>
      <c r="C91" s="504">
        <f>2+1</f>
        <v>3</v>
      </c>
      <c r="D91" s="505">
        <v>464</v>
      </c>
      <c r="E91" s="505">
        <v>1196</v>
      </c>
      <c r="F91" s="547"/>
      <c r="G91" s="388">
        <f t="shared" ref="G91:G97" si="0">MAX(($E91-$D91)*$C91*12,0)</f>
        <v>26352</v>
      </c>
      <c r="I91" s="526"/>
      <c r="K91" s="763" t="s">
        <v>1698</v>
      </c>
      <c r="L91" s="691"/>
      <c r="M91" s="691"/>
      <c r="N91" s="691"/>
      <c r="O91" s="691"/>
      <c r="P91" s="691"/>
      <c r="Q91" s="1893">
        <f>IFERROR(Q89/Q90,0)</f>
        <v>0</v>
      </c>
      <c r="R91" s="1893"/>
    </row>
    <row r="92" spans="2:18" ht="15" customHeight="1">
      <c r="B92" s="503" t="s">
        <v>2473</v>
      </c>
      <c r="C92" s="504">
        <f>1+1</f>
        <v>2</v>
      </c>
      <c r="D92" s="505">
        <v>557</v>
      </c>
      <c r="E92" s="505">
        <v>1510</v>
      </c>
      <c r="F92" s="547"/>
      <c r="G92" s="388">
        <f t="shared" si="0"/>
        <v>22872</v>
      </c>
      <c r="I92" s="526"/>
    </row>
    <row r="93" spans="2:18" ht="15" customHeight="1">
      <c r="B93" s="503" t="s">
        <v>2474</v>
      </c>
      <c r="C93" s="504">
        <f>1+1</f>
        <v>2</v>
      </c>
      <c r="D93" s="505">
        <v>643</v>
      </c>
      <c r="E93" s="505">
        <v>2126</v>
      </c>
      <c r="F93" s="547"/>
      <c r="G93" s="388">
        <f t="shared" si="0"/>
        <v>35592</v>
      </c>
      <c r="I93" s="526"/>
      <c r="K93" s="380" t="s">
        <v>1699</v>
      </c>
      <c r="L93" s="535"/>
      <c r="M93" s="535"/>
      <c r="N93" s="535"/>
      <c r="O93" s="535"/>
      <c r="P93" s="535"/>
      <c r="Q93" s="1894">
        <f>MAX(Q84,Q91)</f>
        <v>0</v>
      </c>
      <c r="R93" s="1894"/>
    </row>
    <row r="94" spans="2:18" ht="15" customHeight="1">
      <c r="B94" s="503" t="s">
        <v>650</v>
      </c>
      <c r="C94" s="504"/>
      <c r="D94" s="505"/>
      <c r="E94" s="505"/>
      <c r="F94" s="547"/>
      <c r="G94" s="388">
        <f t="shared" si="0"/>
        <v>0</v>
      </c>
      <c r="I94" s="526"/>
      <c r="K94" s="380"/>
      <c r="L94" s="535"/>
      <c r="M94" s="535"/>
      <c r="N94" s="535"/>
      <c r="O94" s="535"/>
      <c r="P94" s="535"/>
      <c r="Q94" s="527"/>
      <c r="R94" s="527"/>
    </row>
    <row r="95" spans="2:18" ht="15" customHeight="1">
      <c r="B95" s="503" t="s">
        <v>650</v>
      </c>
      <c r="C95" s="504"/>
      <c r="D95" s="505"/>
      <c r="E95" s="505"/>
      <c r="F95" s="547"/>
      <c r="G95" s="388">
        <f t="shared" si="0"/>
        <v>0</v>
      </c>
      <c r="I95" s="526"/>
      <c r="K95" s="380"/>
      <c r="L95" s="535"/>
      <c r="M95" s="535"/>
      <c r="N95" s="535"/>
      <c r="O95" s="535"/>
      <c r="P95" s="535"/>
      <c r="Q95" s="527"/>
      <c r="R95" s="527"/>
    </row>
    <row r="96" spans="2:18" ht="15" customHeight="1">
      <c r="B96" s="503" t="s">
        <v>650</v>
      </c>
      <c r="C96" s="504"/>
      <c r="D96" s="505"/>
      <c r="E96" s="505"/>
      <c r="F96" s="547"/>
      <c r="G96" s="388">
        <f t="shared" si="0"/>
        <v>0</v>
      </c>
      <c r="I96" s="526"/>
    </row>
    <row r="97" spans="2:9" ht="15" customHeight="1">
      <c r="B97" s="503" t="s">
        <v>650</v>
      </c>
      <c r="C97" s="504"/>
      <c r="D97" s="505"/>
      <c r="E97" s="505"/>
      <c r="F97" s="547"/>
      <c r="G97" s="388">
        <f t="shared" si="0"/>
        <v>0</v>
      </c>
      <c r="I97" s="526"/>
    </row>
    <row r="98" spans="2:9" ht="15" customHeight="1">
      <c r="C98" s="542"/>
      <c r="D98" s="380"/>
      <c r="E98" s="535" t="s">
        <v>1788</v>
      </c>
      <c r="F98" s="535"/>
      <c r="G98" s="531">
        <f>SUM(G90:G97)</f>
        <v>169920</v>
      </c>
      <c r="I98" s="526"/>
    </row>
    <row r="99" spans="2:9" ht="15" customHeight="1">
      <c r="I99" s="526"/>
    </row>
    <row r="100" spans="2:9" ht="15" customHeight="1">
      <c r="B100" s="380" t="s">
        <v>1696</v>
      </c>
      <c r="D100" s="527">
        <f>G98+Q93</f>
        <v>169920</v>
      </c>
      <c r="I100" s="526"/>
    </row>
    <row r="101" spans="2:9" ht="15" customHeight="1">
      <c r="B101" s="380" t="s">
        <v>1031</v>
      </c>
      <c r="D101" s="543">
        <v>0.05</v>
      </c>
      <c r="I101" s="526"/>
    </row>
    <row r="102" spans="2:9" ht="15" customHeight="1">
      <c r="B102" s="380" t="s">
        <v>1061</v>
      </c>
      <c r="D102" s="527">
        <f>D100-(D100*D101)</f>
        <v>161424</v>
      </c>
    </row>
    <row r="103" spans="2:9" ht="15" customHeight="1">
      <c r="B103" s="380" t="s">
        <v>1688</v>
      </c>
      <c r="D103" s="544"/>
    </row>
    <row r="104" spans="2:9" ht="15" customHeight="1">
      <c r="B104" s="380" t="s">
        <v>1697</v>
      </c>
      <c r="D104" s="527">
        <f>D102/D108</f>
        <v>140368.69565217392</v>
      </c>
    </row>
    <row r="106" spans="2:9" ht="15" customHeight="1">
      <c r="B106" s="380" t="s">
        <v>1689</v>
      </c>
      <c r="D106" s="380">
        <v>15</v>
      </c>
    </row>
    <row r="107" spans="2:9" ht="15" customHeight="1">
      <c r="B107" s="380" t="s">
        <v>1690</v>
      </c>
      <c r="D107" s="650">
        <v>0.04</v>
      </c>
    </row>
    <row r="108" spans="2:9" ht="15" customHeight="1">
      <c r="B108" s="380" t="s">
        <v>1136</v>
      </c>
      <c r="D108" s="545">
        <v>1.1499999999999999</v>
      </c>
    </row>
    <row r="109" spans="2:9" ht="15" customHeight="1">
      <c r="B109" s="380"/>
      <c r="C109" s="380"/>
      <c r="D109" s="546"/>
      <c r="E109" s="546"/>
      <c r="F109" s="546"/>
    </row>
    <row r="110" spans="2:9" ht="15" customHeight="1">
      <c r="B110" s="380" t="s">
        <v>1691</v>
      </c>
      <c r="C110" s="380"/>
      <c r="D110" s="644">
        <f>PV(D107/12,D106*12,-D104/12, ,0)</f>
        <v>1581395.4641361875</v>
      </c>
      <c r="E110" s="380"/>
      <c r="F110" s="380"/>
      <c r="G110" s="541"/>
    </row>
  </sheetData>
  <sheetProtection algorithmName="SHA-512" hashValue="pi9licdCTw6RsScCgX/yWSLZkh4kln6VYjS/eD3snLETgjTEHcVtKZRwTdmW3EcJipI83EGuxnqIDg3TDdruHg==" saltValue="zawEBFlU3MlSmNfD3OSEfw==" spinCount="100000" sheet="1" objects="1" scenarios="1"/>
  <mergeCells count="60">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57:O57"/>
    <mergeCell ref="K42:O42"/>
    <mergeCell ref="B39:E39"/>
    <mergeCell ref="K46:O46"/>
    <mergeCell ref="K41:S41"/>
    <mergeCell ref="K38:S40"/>
    <mergeCell ref="Q44:R44"/>
    <mergeCell ref="Q42:R42"/>
    <mergeCell ref="B59:O60"/>
    <mergeCell ref="B61:O61"/>
    <mergeCell ref="B64:C64"/>
    <mergeCell ref="B71:D71"/>
    <mergeCell ref="J67:R67"/>
    <mergeCell ref="J63:R66"/>
    <mergeCell ref="B72:D72"/>
    <mergeCell ref="Q72:R72"/>
    <mergeCell ref="B75:G75"/>
    <mergeCell ref="I75:I76"/>
    <mergeCell ref="J75:J76"/>
    <mergeCell ref="K75:K76"/>
    <mergeCell ref="P75:P76"/>
    <mergeCell ref="Q75:Q76"/>
    <mergeCell ref="B76:G76"/>
    <mergeCell ref="R75:R76"/>
    <mergeCell ref="Q84:R84"/>
    <mergeCell ref="Q91:R91"/>
    <mergeCell ref="Q93:R93"/>
    <mergeCell ref="Q89:R89"/>
    <mergeCell ref="Q90:R90"/>
  </mergeCells>
  <dataValidations count="4">
    <dataValidation type="whole" operator="greaterThanOrEqual" allowBlank="1" showInputMessage="1" showErrorMessage="1" sqref="G39:G40 E42:E51 Q90:R90 G66 Q46:R47">
      <formula1>0</formula1>
    </dataValidation>
    <dataValidation type="list" allowBlank="1" showInputMessage="1" showErrorMessage="1" sqref="B90:B97">
      <formula1>"SRO,Studio,1 bedroom,2 bedroom,3 bedroom,4 bedroom,5 bedroom"</formula1>
    </dataValidation>
    <dataValidation type="list" allowBlank="1" showInputMessage="1" showErrorMessage="1" sqref="J67">
      <formula1>$U$55:$U$59</formula1>
    </dataValidation>
    <dataValidation type="list" allowBlank="1" showInputMessage="1" showErrorMessage="1" sqref="K41:S41">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AI217"/>
  <sheetViews>
    <sheetView workbookViewId="0">
      <selection activeCell="C10" sqref="C10"/>
    </sheetView>
  </sheetViews>
  <sheetFormatPr defaultColWidth="0" defaultRowHeight="12.75" zeroHeight="1"/>
  <cols>
    <col min="1" max="1" width="3.42578125" customWidth="1"/>
    <col min="2" max="2" width="31.42578125" customWidth="1"/>
    <col min="3" max="3" width="9.42578125" customWidth="1"/>
    <col min="4" max="4" width="2.42578125" customWidth="1"/>
    <col min="5" max="5" width="12.42578125" customWidth="1"/>
    <col min="6" max="6" width="2.42578125" customWidth="1"/>
    <col min="7" max="7" width="12.42578125" customWidth="1"/>
    <col min="8" max="8" width="2.42578125" customWidth="1"/>
    <col min="9" max="9" width="12.42578125" customWidth="1"/>
    <col min="10" max="10" width="2.42578125" customWidth="1"/>
    <col min="11" max="11" width="12.42578125" customWidth="1"/>
    <col min="12" max="12" width="2.42578125" customWidth="1"/>
    <col min="13" max="13" width="12.42578125" customWidth="1"/>
    <col min="14" max="14" width="2.42578125" customWidth="1"/>
    <col min="15" max="15" width="12.42578125" customWidth="1"/>
    <col min="16" max="16" width="2.42578125" customWidth="1"/>
    <col min="17" max="17" width="12.42578125" customWidth="1"/>
    <col min="18" max="18" width="2.42578125" customWidth="1"/>
    <col min="19" max="19" width="12.42578125" customWidth="1"/>
    <col min="20" max="20" width="2.42578125" customWidth="1"/>
    <col min="21" max="21" width="12.42578125" customWidth="1"/>
    <col min="22" max="22" width="2.42578125" customWidth="1"/>
    <col min="23" max="23" width="12.42578125" customWidth="1"/>
    <col min="24" max="24" width="2.42578125" customWidth="1"/>
    <col min="25" max="25" width="12.42578125" customWidth="1"/>
    <col min="26" max="26" width="2.42578125" customWidth="1"/>
    <col min="27" max="27" width="12.42578125" customWidth="1"/>
    <col min="28" max="28" width="2.42578125" customWidth="1"/>
    <col min="29" max="29" width="12.42578125" customWidth="1"/>
    <col min="30" max="30" width="2.42578125" customWidth="1"/>
    <col min="31" max="31" width="12.42578125" customWidth="1"/>
    <col min="32" max="32" width="2.42578125" customWidth="1"/>
    <col min="33" max="33" width="12.42578125" customWidth="1"/>
    <col min="34" max="34" width="2.42578125" customWidth="1"/>
  </cols>
  <sheetData>
    <row r="1" spans="1:34" ht="18">
      <c r="A1" s="381" t="s">
        <v>2240</v>
      </c>
      <c r="B1" s="381"/>
      <c r="C1" s="365"/>
      <c r="D1" s="365"/>
      <c r="E1" s="365"/>
      <c r="F1" s="365"/>
      <c r="G1" s="365"/>
      <c r="H1" s="365"/>
      <c r="I1" s="365"/>
      <c r="J1" s="365"/>
      <c r="K1" s="365"/>
      <c r="L1" s="365"/>
      <c r="M1" s="365"/>
      <c r="N1" s="365"/>
      <c r="O1" s="365"/>
      <c r="P1" s="365"/>
      <c r="Q1" s="365"/>
      <c r="R1" s="365"/>
      <c r="S1" s="365"/>
      <c r="T1" s="365"/>
      <c r="U1" s="365"/>
      <c r="V1" s="365"/>
      <c r="W1" s="365"/>
      <c r="X1" s="365"/>
      <c r="Y1" s="365"/>
      <c r="Z1" s="365"/>
      <c r="AA1" s="365"/>
      <c r="AB1" s="365"/>
      <c r="AC1" s="365"/>
      <c r="AD1" s="365"/>
      <c r="AE1" s="365"/>
      <c r="AF1" s="365"/>
      <c r="AG1" s="365"/>
      <c r="AH1" s="365"/>
    </row>
    <row r="2" spans="1:34"/>
    <row r="3" spans="1:34" ht="15.75">
      <c r="A3" s="382" t="s">
        <v>1102</v>
      </c>
      <c r="B3" s="382"/>
      <c r="C3" s="408" t="s">
        <v>1103</v>
      </c>
      <c r="D3" s="383"/>
      <c r="E3" s="409" t="s">
        <v>1104</v>
      </c>
      <c r="F3" s="379"/>
      <c r="G3" s="409" t="s">
        <v>1105</v>
      </c>
      <c r="H3" s="379"/>
      <c r="I3" s="409" t="s">
        <v>1106</v>
      </c>
      <c r="J3" s="379"/>
      <c r="K3" s="409" t="s">
        <v>1107</v>
      </c>
      <c r="L3" s="379"/>
      <c r="M3" s="409" t="s">
        <v>1108</v>
      </c>
      <c r="N3" s="379"/>
      <c r="O3" s="409" t="s">
        <v>1109</v>
      </c>
      <c r="P3" s="379"/>
      <c r="Q3" s="409" t="s">
        <v>1110</v>
      </c>
      <c r="R3" s="379"/>
      <c r="S3" s="409" t="s">
        <v>1111</v>
      </c>
      <c r="T3" s="379"/>
      <c r="U3" s="409" t="s">
        <v>1112</v>
      </c>
      <c r="V3" s="379"/>
      <c r="W3" s="409" t="s">
        <v>1113</v>
      </c>
      <c r="X3" s="379"/>
      <c r="Y3" s="409" t="s">
        <v>1114</v>
      </c>
      <c r="Z3" s="379"/>
      <c r="AA3" s="409" t="s">
        <v>1115</v>
      </c>
      <c r="AB3" s="379"/>
      <c r="AC3" s="409" t="s">
        <v>1116</v>
      </c>
      <c r="AD3" s="379"/>
      <c r="AE3" s="409" t="s">
        <v>1117</v>
      </c>
      <c r="AF3" s="379"/>
      <c r="AG3" s="409" t="s">
        <v>1118</v>
      </c>
      <c r="AH3" s="383"/>
    </row>
    <row r="4" spans="1:34" ht="14.25">
      <c r="A4" s="388" t="s">
        <v>1119</v>
      </c>
      <c r="B4" s="388"/>
      <c r="C4" s="411">
        <v>1.0249999999999999</v>
      </c>
      <c r="D4" s="388"/>
      <c r="E4" s="388">
        <f>Application!Y765</f>
        <v>330048</v>
      </c>
      <c r="F4" s="388"/>
      <c r="G4" s="388">
        <f>E4*$C$4</f>
        <v>338299.19999999995</v>
      </c>
      <c r="H4" s="388"/>
      <c r="I4" s="388">
        <f>G4*$C$4</f>
        <v>346756.67999999993</v>
      </c>
      <c r="J4" s="388"/>
      <c r="K4" s="388">
        <f>I4*$C$4</f>
        <v>355425.59699999989</v>
      </c>
      <c r="L4" s="388"/>
      <c r="M4" s="388">
        <f>K4*$C$4</f>
        <v>364311.23692499986</v>
      </c>
      <c r="N4" s="388"/>
      <c r="O4" s="388">
        <f>M4*$C$4</f>
        <v>373419.01784812484</v>
      </c>
      <c r="P4" s="388"/>
      <c r="Q4" s="388">
        <f>O4*$C$4</f>
        <v>382754.49329432793</v>
      </c>
      <c r="R4" s="388"/>
      <c r="S4" s="388">
        <f>Q4*$C$4</f>
        <v>392323.35562668607</v>
      </c>
      <c r="T4" s="388"/>
      <c r="U4" s="388">
        <f>S4*$C$4</f>
        <v>402131.4395173532</v>
      </c>
      <c r="V4" s="388"/>
      <c r="W4" s="388">
        <f>U4*$C$4</f>
        <v>412184.725505287</v>
      </c>
      <c r="X4" s="388"/>
      <c r="Y4" s="388">
        <f>W4*$C$4</f>
        <v>422489.34364291915</v>
      </c>
      <c r="Z4" s="388"/>
      <c r="AA4" s="388">
        <f>Y4*$C$4</f>
        <v>433051.57723399211</v>
      </c>
      <c r="AB4" s="388"/>
      <c r="AC4" s="388">
        <f>AA4*$C$4</f>
        <v>443877.86666484189</v>
      </c>
      <c r="AD4" s="388"/>
      <c r="AE4" s="388">
        <f>AC4*$C$4</f>
        <v>454974.81333146291</v>
      </c>
      <c r="AF4" s="388"/>
      <c r="AG4" s="388">
        <f>AE4*$C$4</f>
        <v>466349.18366474943</v>
      </c>
      <c r="AH4" s="388"/>
    </row>
    <row r="5" spans="1:34" ht="14.25">
      <c r="A5" s="380"/>
      <c r="B5" s="380" t="s">
        <v>1031</v>
      </c>
      <c r="C5" s="412">
        <v>0.05</v>
      </c>
      <c r="D5" s="380"/>
      <c r="E5" s="390">
        <f>-E4*$C$5</f>
        <v>-16502.400000000001</v>
      </c>
      <c r="F5" s="390"/>
      <c r="G5" s="390">
        <f>-G4*$C$5</f>
        <v>-16914.96</v>
      </c>
      <c r="H5" s="390"/>
      <c r="I5" s="390">
        <f>-I4*$C$5</f>
        <v>-17337.833999999999</v>
      </c>
      <c r="J5" s="390"/>
      <c r="K5" s="390">
        <f>-K4*$C$5</f>
        <v>-17771.279849999995</v>
      </c>
      <c r="L5" s="390"/>
      <c r="M5" s="390">
        <f>-M4*$C$5</f>
        <v>-18215.561846249995</v>
      </c>
      <c r="N5" s="390"/>
      <c r="O5" s="390">
        <f>-O4*$C$5</f>
        <v>-18670.950892406243</v>
      </c>
      <c r="P5" s="390"/>
      <c r="Q5" s="390">
        <f>-Q4*$C$5</f>
        <v>-19137.724664716396</v>
      </c>
      <c r="R5" s="390"/>
      <c r="S5" s="390">
        <f>-S4*$C$5</f>
        <v>-19616.167781334305</v>
      </c>
      <c r="T5" s="390"/>
      <c r="U5" s="390">
        <f>-U4*$C$5</f>
        <v>-20106.571975867661</v>
      </c>
      <c r="V5" s="390"/>
      <c r="W5" s="390">
        <f>-W4*$C$5</f>
        <v>-20609.236275264353</v>
      </c>
      <c r="X5" s="390"/>
      <c r="Y5" s="390">
        <f>-Y4*$C$5</f>
        <v>-21124.46718214596</v>
      </c>
      <c r="Z5" s="390"/>
      <c r="AA5" s="390">
        <f>-AA4*$C$5</f>
        <v>-21652.578861699607</v>
      </c>
      <c r="AB5" s="390"/>
      <c r="AC5" s="390">
        <f>-AC4*$C$5</f>
        <v>-22193.893333242097</v>
      </c>
      <c r="AD5" s="390"/>
      <c r="AE5" s="390">
        <f>-AE4*$C$5</f>
        <v>-22748.740666573147</v>
      </c>
      <c r="AF5" s="390"/>
      <c r="AG5" s="390">
        <f>-AG4*$C$5</f>
        <v>-23317.459183237472</v>
      </c>
      <c r="AH5" s="380"/>
    </row>
    <row r="6" spans="1:34" ht="14.25">
      <c r="A6" s="380" t="s">
        <v>1120</v>
      </c>
      <c r="B6" s="380"/>
      <c r="C6" s="411">
        <v>1.0249999999999999</v>
      </c>
      <c r="D6" s="380"/>
      <c r="E6" s="391">
        <f>Application!Z773</f>
        <v>178068</v>
      </c>
      <c r="F6" s="391"/>
      <c r="G6" s="391">
        <f>E6*$C$6</f>
        <v>182519.69999999998</v>
      </c>
      <c r="H6" s="391"/>
      <c r="I6" s="391">
        <f>G6*$C$6</f>
        <v>187082.69249999998</v>
      </c>
      <c r="J6" s="391"/>
      <c r="K6" s="391">
        <f>I6*$C$6</f>
        <v>191759.75981249995</v>
      </c>
      <c r="L6" s="391"/>
      <c r="M6" s="391">
        <f>K6*$C$6</f>
        <v>196553.75380781243</v>
      </c>
      <c r="N6" s="391"/>
      <c r="O6" s="391">
        <f>M6*$C$6</f>
        <v>201467.59765300772</v>
      </c>
      <c r="P6" s="391"/>
      <c r="Q6" s="391">
        <f>O6*$C$6</f>
        <v>206504.28759433288</v>
      </c>
      <c r="R6" s="391"/>
      <c r="S6" s="391">
        <f>Q6*$C$6</f>
        <v>211666.89478419119</v>
      </c>
      <c r="T6" s="391"/>
      <c r="U6" s="391">
        <f>S6*$C$6</f>
        <v>216958.56715379594</v>
      </c>
      <c r="V6" s="391"/>
      <c r="W6" s="391">
        <f>U6*$C$6</f>
        <v>222382.53133264082</v>
      </c>
      <c r="X6" s="391"/>
      <c r="Y6" s="391">
        <f>W6*$C$6</f>
        <v>227942.09461595683</v>
      </c>
      <c r="Z6" s="391"/>
      <c r="AA6" s="391">
        <f>Y6*$C$6</f>
        <v>233640.64698135573</v>
      </c>
      <c r="AB6" s="391"/>
      <c r="AC6" s="391">
        <f>AA6*$C$6</f>
        <v>239481.6631558896</v>
      </c>
      <c r="AD6" s="391"/>
      <c r="AE6" s="391">
        <f>AC6*$C$6</f>
        <v>245468.70473478682</v>
      </c>
      <c r="AF6" s="391"/>
      <c r="AG6" s="391">
        <f>AE6*$C$6</f>
        <v>251605.42235315646</v>
      </c>
      <c r="AH6" s="380"/>
    </row>
    <row r="7" spans="1:34" ht="14.25">
      <c r="A7" s="380"/>
      <c r="B7" s="380" t="s">
        <v>1031</v>
      </c>
      <c r="C7" s="412">
        <v>0.05</v>
      </c>
      <c r="D7" s="380"/>
      <c r="E7" s="390">
        <f>-E6*$C$7</f>
        <v>-8903.4</v>
      </c>
      <c r="F7" s="390"/>
      <c r="G7" s="390">
        <f>-G6*$C$7</f>
        <v>-9125.9849999999988</v>
      </c>
      <c r="H7" s="390"/>
      <c r="I7" s="390">
        <f>-I6*$C$7</f>
        <v>-9354.1346249999988</v>
      </c>
      <c r="J7" s="390"/>
      <c r="K7" s="390">
        <f>-K6*$C$7</f>
        <v>-9587.9879906249971</v>
      </c>
      <c r="L7" s="390"/>
      <c r="M7" s="390">
        <f>-M6*$C$7</f>
        <v>-9827.6876903906214</v>
      </c>
      <c r="N7" s="390"/>
      <c r="O7" s="390">
        <f>-O6*$C$7</f>
        <v>-10073.379882650386</v>
      </c>
      <c r="P7" s="390"/>
      <c r="Q7" s="390">
        <f>-Q6*$C$7</f>
        <v>-10325.214379716645</v>
      </c>
      <c r="R7" s="390"/>
      <c r="S7" s="390">
        <f>-S6*$C$7</f>
        <v>-10583.34473920956</v>
      </c>
      <c r="T7" s="390"/>
      <c r="U7" s="390">
        <f>-U6*$C$7</f>
        <v>-10847.928357689798</v>
      </c>
      <c r="V7" s="390"/>
      <c r="W7" s="390">
        <f>-W6*$C$7</f>
        <v>-11119.126566632041</v>
      </c>
      <c r="X7" s="390"/>
      <c r="Y7" s="390">
        <f>-Y6*$C$7</f>
        <v>-11397.104730797842</v>
      </c>
      <c r="Z7" s="390"/>
      <c r="AA7" s="390">
        <f>-AA6*$C$7</f>
        <v>-11682.032349067787</v>
      </c>
      <c r="AB7" s="390"/>
      <c r="AC7" s="390">
        <f>-AC6*$C$7</f>
        <v>-11974.083157794481</v>
      </c>
      <c r="AD7" s="390"/>
      <c r="AE7" s="390">
        <f>-AE6*$C$7</f>
        <v>-12273.435236739342</v>
      </c>
      <c r="AF7" s="390"/>
      <c r="AG7" s="390">
        <f>-AG6*$C$7</f>
        <v>-12580.271117657823</v>
      </c>
      <c r="AH7" s="380"/>
    </row>
    <row r="8" spans="1:34" ht="14.25">
      <c r="A8" s="380" t="s">
        <v>275</v>
      </c>
      <c r="B8" s="380"/>
      <c r="C8" s="411">
        <v>1.0249999999999999</v>
      </c>
      <c r="D8" s="380"/>
      <c r="E8" s="391">
        <f>Application!Z781</f>
        <v>0</v>
      </c>
      <c r="F8" s="391"/>
      <c r="G8" s="391">
        <f>E8*$C$8</f>
        <v>0</v>
      </c>
      <c r="H8" s="391"/>
      <c r="I8" s="391">
        <f>G8*$C$8</f>
        <v>0</v>
      </c>
      <c r="J8" s="391"/>
      <c r="K8" s="391">
        <f>I8*$C$8</f>
        <v>0</v>
      </c>
      <c r="L8" s="391"/>
      <c r="M8" s="391">
        <f>K8*$C$8</f>
        <v>0</v>
      </c>
      <c r="N8" s="391"/>
      <c r="O8" s="391">
        <f>M8*$C$8</f>
        <v>0</v>
      </c>
      <c r="P8" s="391"/>
      <c r="Q8" s="391">
        <f>O8*$C$8</f>
        <v>0</v>
      </c>
      <c r="R8" s="391"/>
      <c r="S8" s="391">
        <f>Q8*$C$8</f>
        <v>0</v>
      </c>
      <c r="T8" s="391"/>
      <c r="U8" s="391">
        <f>S8*$C$8</f>
        <v>0</v>
      </c>
      <c r="V8" s="391"/>
      <c r="W8" s="391">
        <f>U8*$C$8</f>
        <v>0</v>
      </c>
      <c r="X8" s="391"/>
      <c r="Y8" s="391">
        <f>W8*$C$8</f>
        <v>0</v>
      </c>
      <c r="Z8" s="391"/>
      <c r="AA8" s="391">
        <f>Y8*$C$8</f>
        <v>0</v>
      </c>
      <c r="AB8" s="391"/>
      <c r="AC8" s="391">
        <f>AA8*$C$8</f>
        <v>0</v>
      </c>
      <c r="AD8" s="391"/>
      <c r="AE8" s="391">
        <f>AC8*$C$8</f>
        <v>0</v>
      </c>
      <c r="AF8" s="391"/>
      <c r="AG8" s="391">
        <f>AE8*$C$8</f>
        <v>0</v>
      </c>
      <c r="AH8" s="380"/>
    </row>
    <row r="9" spans="1:34" ht="14.25">
      <c r="A9" s="380"/>
      <c r="B9" s="380" t="s">
        <v>1031</v>
      </c>
      <c r="C9" s="412">
        <v>0.05</v>
      </c>
      <c r="D9" s="380"/>
      <c r="E9" s="390">
        <f>-E8*$C$9</f>
        <v>0</v>
      </c>
      <c r="F9" s="390"/>
      <c r="G9" s="390">
        <f>-G8*$C$9</f>
        <v>0</v>
      </c>
      <c r="H9" s="390"/>
      <c r="I9" s="390">
        <f>-I8*$C$9</f>
        <v>0</v>
      </c>
      <c r="J9" s="390"/>
      <c r="K9" s="390">
        <f>-K8*$C$9</f>
        <v>0</v>
      </c>
      <c r="L9" s="390"/>
      <c r="M9" s="390">
        <f>-M8*$C$9</f>
        <v>0</v>
      </c>
      <c r="N9" s="390"/>
      <c r="O9" s="390">
        <f>-O8*$C$9</f>
        <v>0</v>
      </c>
      <c r="P9" s="390"/>
      <c r="Q9" s="390">
        <f>-Q8*$C$9</f>
        <v>0</v>
      </c>
      <c r="R9" s="390"/>
      <c r="S9" s="390">
        <f>-S8*$C$9</f>
        <v>0</v>
      </c>
      <c r="T9" s="390"/>
      <c r="U9" s="390">
        <f>-U8*$C$9</f>
        <v>0</v>
      </c>
      <c r="V9" s="390"/>
      <c r="W9" s="390">
        <f>-W8*$C$9</f>
        <v>0</v>
      </c>
      <c r="X9" s="390"/>
      <c r="Y9" s="390">
        <f>-Y8*$C$9</f>
        <v>0</v>
      </c>
      <c r="Z9" s="390"/>
      <c r="AA9" s="390">
        <f>-AA8*$C$9</f>
        <v>0</v>
      </c>
      <c r="AB9" s="390"/>
      <c r="AC9" s="390">
        <f>-AC8*$C$9</f>
        <v>0</v>
      </c>
      <c r="AD9" s="390"/>
      <c r="AE9" s="390">
        <f>-AE8*$C$9</f>
        <v>0</v>
      </c>
      <c r="AF9" s="390"/>
      <c r="AG9" s="390">
        <f>-AG8*$C$9</f>
        <v>0</v>
      </c>
      <c r="AH9" s="380"/>
    </row>
    <row r="10" spans="1:34" ht="14.25">
      <c r="A10" s="942" t="s">
        <v>2196</v>
      </c>
      <c r="B10" s="942"/>
      <c r="C10" s="412"/>
      <c r="D10" s="380"/>
      <c r="E10" s="943"/>
      <c r="F10" s="390"/>
      <c r="G10" s="943"/>
      <c r="H10" s="390"/>
      <c r="I10" s="943"/>
      <c r="J10" s="390"/>
      <c r="K10" s="943"/>
      <c r="L10" s="390"/>
      <c r="M10" s="943"/>
      <c r="N10" s="390"/>
      <c r="O10" s="943"/>
      <c r="P10" s="390"/>
      <c r="Q10" s="943"/>
      <c r="R10" s="390"/>
      <c r="S10" s="943"/>
      <c r="T10" s="390"/>
      <c r="U10" s="943"/>
      <c r="V10" s="390"/>
      <c r="W10" s="943"/>
      <c r="X10" s="390"/>
      <c r="Y10" s="943"/>
      <c r="Z10" s="390"/>
      <c r="AA10" s="943"/>
      <c r="AB10" s="390"/>
      <c r="AC10" s="943"/>
      <c r="AD10" s="390"/>
      <c r="AE10" s="943"/>
      <c r="AF10" s="390"/>
      <c r="AG10" s="943"/>
      <c r="AH10" s="380"/>
    </row>
    <row r="11" spans="1:34" ht="15">
      <c r="A11" s="392" t="s">
        <v>1121</v>
      </c>
      <c r="B11" s="392"/>
      <c r="C11" s="385"/>
      <c r="D11" s="392"/>
      <c r="E11" s="392">
        <f>SUM(E4:E10)</f>
        <v>482710.19999999995</v>
      </c>
      <c r="F11" s="392"/>
      <c r="G11" s="392">
        <f>SUM(G4:G10)</f>
        <v>494777.95499999996</v>
      </c>
      <c r="H11" s="392"/>
      <c r="I11" s="392">
        <f>SUM(I4:I10)</f>
        <v>507147.4038749999</v>
      </c>
      <c r="J11" s="392"/>
      <c r="K11" s="392">
        <f>SUM(K4:K10)</f>
        <v>519826.08897187491</v>
      </c>
      <c r="L11" s="392"/>
      <c r="M11" s="392">
        <f>SUM(M4:M10)</f>
        <v>532821.74119617173</v>
      </c>
      <c r="N11" s="392"/>
      <c r="O11" s="392">
        <f>SUM(O4:O10)</f>
        <v>546142.28472607594</v>
      </c>
      <c r="P11" s="392"/>
      <c r="Q11" s="392">
        <f>SUM(Q4:Q10)</f>
        <v>559795.84184422775</v>
      </c>
      <c r="R11" s="392"/>
      <c r="S11" s="392">
        <f>SUM(S4:S10)</f>
        <v>573790.7378903334</v>
      </c>
      <c r="T11" s="392"/>
      <c r="U11" s="392">
        <f>SUM(U4:U10)</f>
        <v>588135.50633759168</v>
      </c>
      <c r="V11" s="392"/>
      <c r="W11" s="392">
        <f>SUM(W4:W10)</f>
        <v>602838.89399603137</v>
      </c>
      <c r="X11" s="392"/>
      <c r="Y11" s="392">
        <f>SUM(Y4:Y10)</f>
        <v>617909.86634593213</v>
      </c>
      <c r="Z11" s="392"/>
      <c r="AA11" s="392">
        <f>SUM(AA4:AA10)</f>
        <v>633357.61300458049</v>
      </c>
      <c r="AB11" s="392"/>
      <c r="AC11" s="392">
        <f>SUM(AC4:AC10)</f>
        <v>649191.5533296949</v>
      </c>
      <c r="AD11" s="392"/>
      <c r="AE11" s="392">
        <f>SUM(AE4:AE10)</f>
        <v>665421.34216293728</v>
      </c>
      <c r="AF11" s="392"/>
      <c r="AG11" s="392">
        <f>SUM(AG4:AG10)</f>
        <v>682056.8757170107</v>
      </c>
      <c r="AH11" s="392"/>
    </row>
    <row r="12" spans="1:34">
      <c r="A12" s="365"/>
      <c r="B12" s="365"/>
      <c r="C12" s="402"/>
      <c r="D12" s="365"/>
      <c r="E12" s="384"/>
      <c r="F12" s="384"/>
      <c r="G12" s="384"/>
      <c r="H12" s="384"/>
      <c r="I12" s="384"/>
      <c r="J12" s="384"/>
      <c r="K12" s="384"/>
      <c r="L12" s="384"/>
      <c r="M12" s="384"/>
      <c r="N12" s="384"/>
      <c r="O12" s="384"/>
      <c r="P12" s="384"/>
      <c r="Q12" s="384"/>
      <c r="R12" s="384"/>
      <c r="S12" s="384"/>
      <c r="T12" s="384"/>
      <c r="U12" s="384"/>
      <c r="V12" s="384"/>
      <c r="W12" s="384"/>
      <c r="X12" s="384"/>
      <c r="Y12" s="384"/>
      <c r="Z12" s="384"/>
      <c r="AA12" s="384"/>
      <c r="AB12" s="384"/>
      <c r="AC12" s="384"/>
      <c r="AD12" s="384"/>
      <c r="AE12" s="384"/>
      <c r="AF12" s="384"/>
      <c r="AG12" s="384"/>
      <c r="AH12" s="365"/>
    </row>
    <row r="13" spans="1:34" ht="15.75">
      <c r="A13" s="382" t="s">
        <v>1122</v>
      </c>
      <c r="B13" s="365"/>
      <c r="C13" s="402"/>
      <c r="D13" s="365"/>
      <c r="E13" s="384"/>
      <c r="F13" s="384"/>
      <c r="G13" s="384"/>
      <c r="H13" s="384"/>
      <c r="I13" s="384"/>
      <c r="J13" s="384"/>
      <c r="K13" s="384"/>
      <c r="L13" s="384"/>
      <c r="M13" s="384"/>
      <c r="N13" s="384"/>
      <c r="O13" s="384"/>
      <c r="P13" s="384"/>
      <c r="Q13" s="384"/>
      <c r="R13" s="384"/>
      <c r="S13" s="384"/>
      <c r="T13" s="384"/>
      <c r="U13" s="384"/>
      <c r="V13" s="384"/>
      <c r="W13" s="384"/>
      <c r="X13" s="384"/>
      <c r="Y13" s="384"/>
      <c r="Z13" s="384"/>
      <c r="AA13" s="384"/>
      <c r="AB13" s="384"/>
      <c r="AC13" s="384"/>
      <c r="AD13" s="384"/>
      <c r="AE13" s="384"/>
      <c r="AF13" s="384"/>
      <c r="AG13" s="384"/>
      <c r="AH13" s="365"/>
    </row>
    <row r="14" spans="1:34" ht="14.25">
      <c r="A14" s="380" t="s">
        <v>1123</v>
      </c>
      <c r="B14" s="380"/>
      <c r="C14" s="411">
        <v>1.0349999999999999</v>
      </c>
      <c r="D14" s="380"/>
      <c r="E14" s="391"/>
      <c r="F14" s="391"/>
      <c r="G14" s="391"/>
      <c r="H14" s="391"/>
      <c r="I14" s="391"/>
      <c r="J14" s="391"/>
      <c r="K14" s="391"/>
      <c r="L14" s="391"/>
      <c r="M14" s="391"/>
      <c r="N14" s="391"/>
      <c r="O14" s="391"/>
      <c r="P14" s="391"/>
      <c r="Q14" s="391"/>
      <c r="R14" s="391"/>
      <c r="S14" s="391"/>
      <c r="T14" s="391"/>
      <c r="U14" s="391"/>
      <c r="V14" s="391"/>
      <c r="W14" s="391"/>
      <c r="X14" s="391"/>
      <c r="Y14" s="391"/>
      <c r="Z14" s="391"/>
      <c r="AA14" s="391"/>
      <c r="AB14" s="391"/>
      <c r="AC14" s="391"/>
      <c r="AD14" s="391"/>
      <c r="AE14" s="391"/>
      <c r="AF14" s="391"/>
      <c r="AG14" s="391"/>
      <c r="AH14" s="380"/>
    </row>
    <row r="15" spans="1:34" ht="14.25">
      <c r="A15" s="388" t="s">
        <v>1124</v>
      </c>
      <c r="B15" s="388"/>
      <c r="C15" s="403"/>
      <c r="D15" s="388"/>
      <c r="E15" s="388">
        <f>Application!W811</f>
        <v>50300</v>
      </c>
      <c r="F15" s="388"/>
      <c r="G15" s="388">
        <f t="shared" ref="G15:G21" si="0">E15*$C$14</f>
        <v>52060.499999999993</v>
      </c>
      <c r="H15" s="388"/>
      <c r="I15" s="388">
        <f t="shared" ref="I15:I21" si="1">G15*$C$14</f>
        <v>53882.617499999986</v>
      </c>
      <c r="J15" s="388"/>
      <c r="K15" s="388">
        <f t="shared" ref="K15:K21" si="2">I15*$C$14</f>
        <v>55768.509112499982</v>
      </c>
      <c r="L15" s="388"/>
      <c r="M15" s="388">
        <f t="shared" ref="M15:M21" si="3">K15*$C$14</f>
        <v>57720.406931437479</v>
      </c>
      <c r="N15" s="388"/>
      <c r="O15" s="388">
        <f t="shared" ref="O15:O21" si="4">M15*$C$14</f>
        <v>59740.621174037784</v>
      </c>
      <c r="P15" s="388"/>
      <c r="Q15" s="388">
        <f t="shared" ref="Q15:Q21" si="5">O15*$C$14</f>
        <v>61831.542915129103</v>
      </c>
      <c r="R15" s="388"/>
      <c r="S15" s="388">
        <f t="shared" ref="S15:S21" si="6">Q15*$C$14</f>
        <v>63995.646917158614</v>
      </c>
      <c r="T15" s="388"/>
      <c r="U15" s="388">
        <f t="shared" ref="U15:U21" si="7">S15*$C$14</f>
        <v>66235.494559259154</v>
      </c>
      <c r="V15" s="388"/>
      <c r="W15" s="388">
        <f t="shared" ref="W15:W21" si="8">U15*$C$14</f>
        <v>68553.736868833221</v>
      </c>
      <c r="X15" s="388"/>
      <c r="Y15" s="388">
        <f t="shared" ref="Y15:Y21" si="9">W15*$C$14</f>
        <v>70953.117659242373</v>
      </c>
      <c r="Z15" s="388"/>
      <c r="AA15" s="388">
        <f t="shared" ref="AA15:AA21" si="10">Y15*$C$14</f>
        <v>73436.476777315853</v>
      </c>
      <c r="AB15" s="388"/>
      <c r="AC15" s="388">
        <f t="shared" ref="AC15:AC21" si="11">AA15*$C$14</f>
        <v>76006.753464521898</v>
      </c>
      <c r="AD15" s="388"/>
      <c r="AE15" s="388">
        <f t="shared" ref="AE15:AE21" si="12">AC15*$C$14</f>
        <v>78666.989835780158</v>
      </c>
      <c r="AF15" s="388"/>
      <c r="AG15" s="388">
        <f t="shared" ref="AG15:AG21" si="13">AE15*$C$14</f>
        <v>81420.334480032456</v>
      </c>
      <c r="AH15" s="388"/>
    </row>
    <row r="16" spans="1:34" ht="14.25">
      <c r="A16" s="380" t="s">
        <v>496</v>
      </c>
      <c r="B16" s="380"/>
      <c r="C16" s="402"/>
      <c r="D16" s="380"/>
      <c r="E16" s="391">
        <f>Application!W813</f>
        <v>27360</v>
      </c>
      <c r="F16" s="391"/>
      <c r="G16" s="391">
        <f t="shared" si="0"/>
        <v>28317.599999999999</v>
      </c>
      <c r="H16" s="391"/>
      <c r="I16" s="391">
        <f t="shared" si="1"/>
        <v>29308.715999999997</v>
      </c>
      <c r="J16" s="391"/>
      <c r="K16" s="391">
        <f t="shared" si="2"/>
        <v>30334.521059999995</v>
      </c>
      <c r="L16" s="391"/>
      <c r="M16" s="391">
        <f t="shared" si="3"/>
        <v>31396.229297099992</v>
      </c>
      <c r="N16" s="391"/>
      <c r="O16" s="391">
        <f t="shared" si="4"/>
        <v>32495.097322498488</v>
      </c>
      <c r="P16" s="391"/>
      <c r="Q16" s="391">
        <f t="shared" si="5"/>
        <v>33632.425728785929</v>
      </c>
      <c r="R16" s="391"/>
      <c r="S16" s="391">
        <f t="shared" si="6"/>
        <v>34809.560629293432</v>
      </c>
      <c r="T16" s="391"/>
      <c r="U16" s="391">
        <f t="shared" si="7"/>
        <v>36027.895251318696</v>
      </c>
      <c r="V16" s="391"/>
      <c r="W16" s="391">
        <f t="shared" si="8"/>
        <v>37288.871585114844</v>
      </c>
      <c r="X16" s="391"/>
      <c r="Y16" s="391">
        <f t="shared" si="9"/>
        <v>38593.982090593861</v>
      </c>
      <c r="Z16" s="391"/>
      <c r="AA16" s="391">
        <f t="shared" si="10"/>
        <v>39944.771463764642</v>
      </c>
      <c r="AB16" s="391"/>
      <c r="AC16" s="391">
        <f t="shared" si="11"/>
        <v>41342.838464996399</v>
      </c>
      <c r="AD16" s="391"/>
      <c r="AE16" s="391">
        <f t="shared" si="12"/>
        <v>42789.837811271267</v>
      </c>
      <c r="AF16" s="391"/>
      <c r="AG16" s="391">
        <f t="shared" si="13"/>
        <v>44287.482134665755</v>
      </c>
      <c r="AH16" s="380"/>
    </row>
    <row r="17" spans="1:34" ht="14.25">
      <c r="A17" s="380" t="s">
        <v>769</v>
      </c>
      <c r="B17" s="380"/>
      <c r="C17" s="402"/>
      <c r="D17" s="380"/>
      <c r="E17" s="391">
        <f>Application!W819</f>
        <v>60000</v>
      </c>
      <c r="F17" s="391"/>
      <c r="G17" s="391">
        <f t="shared" si="0"/>
        <v>62099.999999999993</v>
      </c>
      <c r="H17" s="391"/>
      <c r="I17" s="391">
        <f t="shared" si="1"/>
        <v>64273.499999999985</v>
      </c>
      <c r="J17" s="391"/>
      <c r="K17" s="391">
        <f t="shared" si="2"/>
        <v>66523.07249999998</v>
      </c>
      <c r="L17" s="391"/>
      <c r="M17" s="391">
        <f t="shared" si="3"/>
        <v>68851.38003749997</v>
      </c>
      <c r="N17" s="391"/>
      <c r="O17" s="391">
        <f t="shared" si="4"/>
        <v>71261.17833881246</v>
      </c>
      <c r="P17" s="391"/>
      <c r="Q17" s="391">
        <f t="shared" si="5"/>
        <v>73755.319580670897</v>
      </c>
      <c r="R17" s="391"/>
      <c r="S17" s="391">
        <f t="shared" si="6"/>
        <v>76336.75576599437</v>
      </c>
      <c r="T17" s="391"/>
      <c r="U17" s="391">
        <f t="shared" si="7"/>
        <v>79008.542217804163</v>
      </c>
      <c r="V17" s="391"/>
      <c r="W17" s="391">
        <f t="shared" si="8"/>
        <v>81773.841195427303</v>
      </c>
      <c r="X17" s="391"/>
      <c r="Y17" s="391">
        <f t="shared" si="9"/>
        <v>84635.925637267253</v>
      </c>
      <c r="Z17" s="391"/>
      <c r="AA17" s="391">
        <f t="shared" si="10"/>
        <v>87598.183034571601</v>
      </c>
      <c r="AB17" s="391"/>
      <c r="AC17" s="391">
        <f t="shared" si="11"/>
        <v>90664.119440781593</v>
      </c>
      <c r="AD17" s="391"/>
      <c r="AE17" s="391">
        <f t="shared" si="12"/>
        <v>93837.363621208948</v>
      </c>
      <c r="AF17" s="391"/>
      <c r="AG17" s="391">
        <f t="shared" si="13"/>
        <v>97121.671347951255</v>
      </c>
      <c r="AH17" s="380"/>
    </row>
    <row r="18" spans="1:34" ht="14.25">
      <c r="A18" s="380" t="s">
        <v>1125</v>
      </c>
      <c r="B18" s="380"/>
      <c r="C18" s="402"/>
      <c r="D18" s="380"/>
      <c r="E18" s="391">
        <f>Application!W826</f>
        <v>76500</v>
      </c>
      <c r="F18" s="391"/>
      <c r="G18" s="391">
        <f t="shared" si="0"/>
        <v>79177.5</v>
      </c>
      <c r="H18" s="391"/>
      <c r="I18" s="391">
        <f t="shared" si="1"/>
        <v>81948.712499999994</v>
      </c>
      <c r="J18" s="391"/>
      <c r="K18" s="391">
        <f t="shared" si="2"/>
        <v>84816.917437499986</v>
      </c>
      <c r="L18" s="391"/>
      <c r="M18" s="391">
        <f t="shared" si="3"/>
        <v>87785.509547812471</v>
      </c>
      <c r="N18" s="391"/>
      <c r="O18" s="391">
        <f t="shared" si="4"/>
        <v>90858.002381985905</v>
      </c>
      <c r="P18" s="391"/>
      <c r="Q18" s="391">
        <f t="shared" si="5"/>
        <v>94038.032465355398</v>
      </c>
      <c r="R18" s="391"/>
      <c r="S18" s="391">
        <f t="shared" si="6"/>
        <v>97329.363601642835</v>
      </c>
      <c r="T18" s="391"/>
      <c r="U18" s="391">
        <f t="shared" si="7"/>
        <v>100735.89132770033</v>
      </c>
      <c r="V18" s="391"/>
      <c r="W18" s="391">
        <f t="shared" si="8"/>
        <v>104261.64752416984</v>
      </c>
      <c r="X18" s="391"/>
      <c r="Y18" s="391">
        <f t="shared" si="9"/>
        <v>107910.80518751577</v>
      </c>
      <c r="Z18" s="391"/>
      <c r="AA18" s="391">
        <f t="shared" si="10"/>
        <v>111687.68336907882</v>
      </c>
      <c r="AB18" s="391"/>
      <c r="AC18" s="391">
        <f t="shared" si="11"/>
        <v>115596.75228699656</v>
      </c>
      <c r="AD18" s="391"/>
      <c r="AE18" s="391">
        <f t="shared" si="12"/>
        <v>119642.63861704143</v>
      </c>
      <c r="AF18" s="391"/>
      <c r="AG18" s="391">
        <f t="shared" si="13"/>
        <v>123830.13096863788</v>
      </c>
    </row>
    <row r="19" spans="1:34" ht="14.25">
      <c r="A19" s="380" t="s">
        <v>974</v>
      </c>
      <c r="B19" s="380"/>
      <c r="C19" s="402"/>
      <c r="D19" s="380"/>
      <c r="E19" s="391">
        <f>Application!W827</f>
        <v>20000</v>
      </c>
      <c r="F19" s="391"/>
      <c r="G19" s="391">
        <f t="shared" si="0"/>
        <v>20700</v>
      </c>
      <c r="H19" s="391"/>
      <c r="I19" s="391">
        <f t="shared" si="1"/>
        <v>21424.5</v>
      </c>
      <c r="J19" s="391"/>
      <c r="K19" s="391">
        <f t="shared" si="2"/>
        <v>22174.357499999998</v>
      </c>
      <c r="L19" s="391"/>
      <c r="M19" s="391">
        <f t="shared" si="3"/>
        <v>22950.460012499996</v>
      </c>
      <c r="N19" s="391"/>
      <c r="O19" s="391">
        <f t="shared" si="4"/>
        <v>23753.726112937493</v>
      </c>
      <c r="P19" s="391"/>
      <c r="Q19" s="391">
        <f t="shared" si="5"/>
        <v>24585.106526890304</v>
      </c>
      <c r="R19" s="391"/>
      <c r="S19" s="391">
        <f t="shared" si="6"/>
        <v>25445.585255331462</v>
      </c>
      <c r="T19" s="391"/>
      <c r="U19" s="391">
        <f t="shared" si="7"/>
        <v>26336.18073926806</v>
      </c>
      <c r="V19" s="391"/>
      <c r="W19" s="391">
        <f t="shared" si="8"/>
        <v>27257.947065142442</v>
      </c>
      <c r="X19" s="391"/>
      <c r="Y19" s="391">
        <f t="shared" si="9"/>
        <v>28211.975212422425</v>
      </c>
      <c r="Z19" s="391"/>
      <c r="AA19" s="391">
        <f t="shared" si="10"/>
        <v>29199.394344857206</v>
      </c>
      <c r="AB19" s="391"/>
      <c r="AC19" s="391">
        <f t="shared" si="11"/>
        <v>30221.373146927206</v>
      </c>
      <c r="AD19" s="391"/>
      <c r="AE19" s="391">
        <f t="shared" si="12"/>
        <v>31279.121207069657</v>
      </c>
      <c r="AF19" s="391"/>
      <c r="AG19" s="391">
        <f t="shared" si="13"/>
        <v>32373.890449317092</v>
      </c>
    </row>
    <row r="20" spans="1:34" ht="14.25">
      <c r="A20" s="380" t="s">
        <v>59</v>
      </c>
      <c r="B20" s="380"/>
      <c r="C20" s="402"/>
      <c r="D20" s="380"/>
      <c r="E20" s="391">
        <f>Application!W836</f>
        <v>62300</v>
      </c>
      <c r="F20" s="391"/>
      <c r="G20" s="391">
        <f t="shared" si="0"/>
        <v>64480.499999999993</v>
      </c>
      <c r="H20" s="391"/>
      <c r="I20" s="391">
        <f t="shared" si="1"/>
        <v>66737.31749999999</v>
      </c>
      <c r="J20" s="391"/>
      <c r="K20" s="391">
        <f t="shared" si="2"/>
        <v>69073.123612499985</v>
      </c>
      <c r="L20" s="391"/>
      <c r="M20" s="391">
        <f t="shared" si="3"/>
        <v>71490.682938937476</v>
      </c>
      <c r="N20" s="391"/>
      <c r="O20" s="391">
        <f t="shared" si="4"/>
        <v>73992.856841800283</v>
      </c>
      <c r="P20" s="391"/>
      <c r="Q20" s="391">
        <f t="shared" si="5"/>
        <v>76582.606831263285</v>
      </c>
      <c r="R20" s="391"/>
      <c r="S20" s="391">
        <f t="shared" si="6"/>
        <v>79262.998070357498</v>
      </c>
      <c r="T20" s="391"/>
      <c r="U20" s="391">
        <f t="shared" si="7"/>
        <v>82037.20300282001</v>
      </c>
      <c r="V20" s="391"/>
      <c r="W20" s="391">
        <f t="shared" si="8"/>
        <v>84908.505107918711</v>
      </c>
      <c r="X20" s="391"/>
      <c r="Y20" s="391">
        <f t="shared" si="9"/>
        <v>87880.302786695858</v>
      </c>
      <c r="Z20" s="391"/>
      <c r="AA20" s="391">
        <f t="shared" si="10"/>
        <v>90956.113384230208</v>
      </c>
      <c r="AB20" s="391"/>
      <c r="AC20" s="391">
        <f t="shared" si="11"/>
        <v>94139.577352678258</v>
      </c>
      <c r="AD20" s="391"/>
      <c r="AE20" s="391">
        <f t="shared" si="12"/>
        <v>97434.462560021988</v>
      </c>
      <c r="AF20" s="391"/>
      <c r="AG20" s="391">
        <f t="shared" si="13"/>
        <v>100844.66874962275</v>
      </c>
    </row>
    <row r="21" spans="1:34" ht="14.25">
      <c r="A21" s="606" t="s">
        <v>1269</v>
      </c>
      <c r="B21" s="606"/>
      <c r="C21" s="402"/>
      <c r="D21" s="380"/>
      <c r="E21" s="401">
        <f>Application!W843</f>
        <v>1100</v>
      </c>
      <c r="F21" s="391"/>
      <c r="G21" s="401">
        <f t="shared" si="0"/>
        <v>1138.5</v>
      </c>
      <c r="H21" s="391"/>
      <c r="I21" s="401">
        <f t="shared" si="1"/>
        <v>1178.3474999999999</v>
      </c>
      <c r="J21" s="391"/>
      <c r="K21" s="401">
        <f t="shared" si="2"/>
        <v>1219.5896624999998</v>
      </c>
      <c r="L21" s="391"/>
      <c r="M21" s="401">
        <f t="shared" si="3"/>
        <v>1262.2753006874998</v>
      </c>
      <c r="N21" s="391"/>
      <c r="O21" s="401">
        <f t="shared" si="4"/>
        <v>1306.4549362115622</v>
      </c>
      <c r="P21" s="391"/>
      <c r="Q21" s="401">
        <f t="shared" si="5"/>
        <v>1352.1808589789669</v>
      </c>
      <c r="R21" s="391"/>
      <c r="S21" s="401">
        <f t="shared" si="6"/>
        <v>1399.5071890432305</v>
      </c>
      <c r="T21" s="391"/>
      <c r="U21" s="401">
        <f t="shared" si="7"/>
        <v>1448.4899406597435</v>
      </c>
      <c r="V21" s="391"/>
      <c r="W21" s="401">
        <f t="shared" si="8"/>
        <v>1499.1870885828343</v>
      </c>
      <c r="X21" s="391"/>
      <c r="Y21" s="401">
        <f t="shared" si="9"/>
        <v>1551.6586366832335</v>
      </c>
      <c r="Z21" s="391"/>
      <c r="AA21" s="401">
        <f t="shared" si="10"/>
        <v>1605.9666889671464</v>
      </c>
      <c r="AB21" s="391"/>
      <c r="AC21" s="401">
        <f t="shared" si="11"/>
        <v>1662.1755230809963</v>
      </c>
      <c r="AD21" s="391"/>
      <c r="AE21" s="401">
        <f t="shared" si="12"/>
        <v>1720.3516663888311</v>
      </c>
      <c r="AF21" s="391"/>
      <c r="AG21" s="401">
        <f t="shared" si="13"/>
        <v>1780.5639747124401</v>
      </c>
    </row>
    <row r="22" spans="1:34" ht="15">
      <c r="A22" s="392" t="s">
        <v>1126</v>
      </c>
      <c r="B22" s="392"/>
      <c r="C22" s="402"/>
      <c r="D22" s="392"/>
      <c r="E22" s="392">
        <f>SUM(E15:E21)</f>
        <v>297560</v>
      </c>
      <c r="F22" s="392"/>
      <c r="G22" s="392">
        <f>SUM(G15:G21)</f>
        <v>307974.59999999998</v>
      </c>
      <c r="H22" s="392"/>
      <c r="I22" s="392">
        <f>SUM(I15:I21)</f>
        <v>318753.71099999989</v>
      </c>
      <c r="J22" s="392"/>
      <c r="K22" s="392">
        <f>SUM(K15:K21)</f>
        <v>329910.0908849999</v>
      </c>
      <c r="L22" s="392"/>
      <c r="M22" s="392">
        <f>SUM(M15:M21)</f>
        <v>341456.94406597491</v>
      </c>
      <c r="N22" s="392"/>
      <c r="O22" s="392">
        <f>SUM(O15:O21)</f>
        <v>353407.93710828398</v>
      </c>
      <c r="P22" s="392"/>
      <c r="Q22" s="392">
        <f>SUM(Q15:Q21)</f>
        <v>365777.21490707388</v>
      </c>
      <c r="R22" s="392"/>
      <c r="S22" s="392">
        <f>SUM(S15:S21)</f>
        <v>378579.41742882144</v>
      </c>
      <c r="T22" s="392"/>
      <c r="U22" s="392">
        <f>SUM(U15:U21)</f>
        <v>391829.6970388302</v>
      </c>
      <c r="V22" s="392"/>
      <c r="W22" s="392">
        <f>SUM(W15:W21)</f>
        <v>405543.7364351892</v>
      </c>
      <c r="X22" s="392"/>
      <c r="Y22" s="392">
        <f>SUM(Y15:Y21)</f>
        <v>419737.7672104208</v>
      </c>
      <c r="Z22" s="392"/>
      <c r="AA22" s="392">
        <f>SUM(AA15:AA21)</f>
        <v>434428.58906278544</v>
      </c>
      <c r="AB22" s="392"/>
      <c r="AC22" s="392">
        <f>SUM(AC15:AC21)</f>
        <v>449633.58967998286</v>
      </c>
      <c r="AD22" s="392"/>
      <c r="AE22" s="392">
        <f>SUM(AE15:AE21)</f>
        <v>465370.76531878224</v>
      </c>
      <c r="AF22" s="392"/>
      <c r="AG22" s="392">
        <f>SUM(AG15:AG21)</f>
        <v>481658.74210493965</v>
      </c>
    </row>
    <row r="23" spans="1:34" ht="15">
      <c r="A23" s="392"/>
      <c r="B23" s="392"/>
      <c r="C23" s="402"/>
      <c r="D23" s="392"/>
      <c r="E23" s="392"/>
      <c r="F23" s="392"/>
      <c r="G23" s="392"/>
      <c r="H23" s="392"/>
      <c r="I23" s="392"/>
      <c r="J23" s="392"/>
      <c r="K23" s="392"/>
      <c r="L23" s="392"/>
      <c r="M23" s="392"/>
      <c r="N23" s="392"/>
      <c r="O23" s="392"/>
      <c r="P23" s="392"/>
      <c r="Q23" s="392"/>
      <c r="R23" s="392"/>
      <c r="S23" s="392"/>
      <c r="T23" s="392"/>
      <c r="U23" s="392"/>
      <c r="V23" s="392"/>
      <c r="W23" s="392"/>
      <c r="X23" s="392"/>
      <c r="Y23" s="392"/>
      <c r="Z23" s="392"/>
      <c r="AA23" s="392"/>
      <c r="AB23" s="392"/>
      <c r="AC23" s="392"/>
      <c r="AD23" s="392"/>
      <c r="AE23" s="392"/>
      <c r="AF23" s="392"/>
      <c r="AG23" s="392"/>
    </row>
    <row r="24" spans="1:34" ht="15">
      <c r="A24" s="606" t="s">
        <v>2029</v>
      </c>
      <c r="B24" s="606"/>
      <c r="C24" s="822"/>
      <c r="D24" s="606"/>
      <c r="E24" s="823"/>
      <c r="F24" s="392"/>
      <c r="G24" s="388">
        <f>E24*$C$24</f>
        <v>0</v>
      </c>
      <c r="H24" s="388"/>
      <c r="I24" s="388">
        <f>G24*$C$24</f>
        <v>0</v>
      </c>
      <c r="J24" s="388"/>
      <c r="K24" s="388">
        <f>I24*$C$24</f>
        <v>0</v>
      </c>
      <c r="L24" s="388"/>
      <c r="M24" s="388">
        <f>K24*$C$24</f>
        <v>0</v>
      </c>
      <c r="N24" s="388"/>
      <c r="O24" s="388">
        <f>M24*$C$24</f>
        <v>0</v>
      </c>
      <c r="P24" s="388"/>
      <c r="Q24" s="388">
        <f>O24*$C$24</f>
        <v>0</v>
      </c>
      <c r="R24" s="388"/>
      <c r="S24" s="388">
        <f>Q24*$C$24</f>
        <v>0</v>
      </c>
      <c r="T24" s="388"/>
      <c r="U24" s="388">
        <f>S24*$C$24</f>
        <v>0</v>
      </c>
      <c r="V24" s="388"/>
      <c r="W24" s="388">
        <f>U24*$C$24</f>
        <v>0</v>
      </c>
      <c r="X24" s="388"/>
      <c r="Y24" s="388">
        <f>W24*$C$24</f>
        <v>0</v>
      </c>
      <c r="Z24" s="388"/>
      <c r="AA24" s="388">
        <f>Y24*$C$24</f>
        <v>0</v>
      </c>
      <c r="AB24" s="388"/>
      <c r="AC24" s="388">
        <f>AA24*$C$24</f>
        <v>0</v>
      </c>
      <c r="AD24" s="388"/>
      <c r="AE24" s="388">
        <f>AC24*$C$24</f>
        <v>0</v>
      </c>
      <c r="AF24" s="388"/>
      <c r="AG24" s="388">
        <f>AE24*$C$24</f>
        <v>0</v>
      </c>
    </row>
    <row r="25" spans="1:34" ht="14.25">
      <c r="A25" s="380"/>
      <c r="B25" s="380"/>
      <c r="C25" s="402"/>
      <c r="D25" s="380"/>
      <c r="E25" s="391"/>
      <c r="F25" s="391"/>
      <c r="G25" s="391"/>
      <c r="H25" s="391"/>
      <c r="I25" s="391"/>
      <c r="J25" s="391"/>
      <c r="K25" s="391"/>
      <c r="L25" s="391"/>
      <c r="M25" s="391"/>
      <c r="N25" s="391"/>
      <c r="O25" s="391"/>
      <c r="P25" s="391"/>
      <c r="Q25" s="391"/>
      <c r="R25" s="391"/>
      <c r="S25" s="391"/>
      <c r="T25" s="391"/>
      <c r="U25" s="391"/>
      <c r="V25" s="391"/>
      <c r="W25" s="391"/>
      <c r="X25" s="391"/>
      <c r="Y25" s="391"/>
      <c r="Z25" s="391"/>
      <c r="AA25" s="391"/>
      <c r="AB25" s="391"/>
      <c r="AC25" s="391"/>
      <c r="AD25" s="391"/>
      <c r="AE25" s="391"/>
      <c r="AF25" s="391"/>
      <c r="AG25" s="391"/>
    </row>
    <row r="26" spans="1:34" ht="14.25">
      <c r="A26" s="380" t="s">
        <v>1422</v>
      </c>
      <c r="B26" s="380"/>
      <c r="C26" s="411">
        <v>1.0349999999999999</v>
      </c>
      <c r="D26" s="380"/>
      <c r="E26" s="388">
        <f>Application!AC851</f>
        <v>10000</v>
      </c>
      <c r="F26" s="388"/>
      <c r="G26" s="388">
        <f>E26*$C$26</f>
        <v>10350</v>
      </c>
      <c r="H26" s="388"/>
      <c r="I26" s="388">
        <f>G26*$C$26</f>
        <v>10712.25</v>
      </c>
      <c r="J26" s="388"/>
      <c r="K26" s="388">
        <f>I26*$C$26</f>
        <v>11087.178749999999</v>
      </c>
      <c r="L26" s="388"/>
      <c r="M26" s="388">
        <f>K26*$C$26</f>
        <v>11475.230006249998</v>
      </c>
      <c r="N26" s="388"/>
      <c r="O26" s="388">
        <f>M26*$C$26</f>
        <v>11876.863056468746</v>
      </c>
      <c r="P26" s="388"/>
      <c r="Q26" s="388">
        <f>O26*$C$26</f>
        <v>12292.553263445152</v>
      </c>
      <c r="R26" s="388"/>
      <c r="S26" s="388">
        <f>Q26*$C$26</f>
        <v>12722.792627665731</v>
      </c>
      <c r="T26" s="388"/>
      <c r="U26" s="388">
        <f>S26*$C$26</f>
        <v>13168.09036963403</v>
      </c>
      <c r="V26" s="388"/>
      <c r="W26" s="388">
        <f>U26*$C$26</f>
        <v>13628.973532571221</v>
      </c>
      <c r="X26" s="388"/>
      <c r="Y26" s="388">
        <f>W26*$C$26</f>
        <v>14105.987606211213</v>
      </c>
      <c r="Z26" s="388"/>
      <c r="AA26" s="388">
        <f>Y26*$C$26</f>
        <v>14599.697172428603</v>
      </c>
      <c r="AB26" s="388"/>
      <c r="AC26" s="388">
        <f>AA26*$C$26</f>
        <v>15110.686573463603</v>
      </c>
      <c r="AD26" s="388"/>
      <c r="AE26" s="388">
        <f>AC26*$C$26</f>
        <v>15639.560603534828</v>
      </c>
      <c r="AF26" s="388"/>
      <c r="AG26" s="388">
        <f>AE26*$C$26</f>
        <v>16186.945224658546</v>
      </c>
    </row>
    <row r="27" spans="1:34" ht="14.25">
      <c r="A27" s="380" t="s">
        <v>1127</v>
      </c>
      <c r="B27" s="380"/>
      <c r="C27" s="411">
        <v>1.0349999999999999</v>
      </c>
      <c r="D27" s="380"/>
      <c r="E27" s="391">
        <f>Application!AC852</f>
        <v>99671</v>
      </c>
      <c r="F27" s="391"/>
      <c r="G27" s="391">
        <f>E27*$C$27</f>
        <v>103159.48499999999</v>
      </c>
      <c r="H27" s="391"/>
      <c r="I27" s="391">
        <f>G27*$C$27</f>
        <v>106770.06697499998</v>
      </c>
      <c r="J27" s="391"/>
      <c r="K27" s="391">
        <f>I27*$C$27</f>
        <v>110507.01931912497</v>
      </c>
      <c r="L27" s="391"/>
      <c r="M27" s="391">
        <f>K27*$C$27</f>
        <v>114374.76499529433</v>
      </c>
      <c r="N27" s="391"/>
      <c r="O27" s="391">
        <f>M27*$C$27</f>
        <v>118377.88177012962</v>
      </c>
      <c r="P27" s="391"/>
      <c r="Q27" s="391">
        <f>O27*$C$27</f>
        <v>122521.10763208415</v>
      </c>
      <c r="R27" s="391"/>
      <c r="S27" s="391">
        <f>Q27*$C$27</f>
        <v>126809.34639920709</v>
      </c>
      <c r="T27" s="391"/>
      <c r="U27" s="391">
        <f>S27*$C$27</f>
        <v>131247.67352317931</v>
      </c>
      <c r="V27" s="391"/>
      <c r="W27" s="391">
        <f>U27*$C$27</f>
        <v>135841.34209649058</v>
      </c>
      <c r="X27" s="391"/>
      <c r="Y27" s="391">
        <f>W27*$C$27</f>
        <v>140595.78906986775</v>
      </c>
      <c r="Z27" s="391"/>
      <c r="AA27" s="391">
        <f>Y27*$C$27</f>
        <v>145516.64168731312</v>
      </c>
      <c r="AB27" s="391"/>
      <c r="AC27" s="391">
        <f>AA27*$C$27</f>
        <v>150609.72414636906</v>
      </c>
      <c r="AD27" s="391"/>
      <c r="AE27" s="391">
        <f>AC27*$C$27</f>
        <v>155881.06449149197</v>
      </c>
      <c r="AF27" s="391"/>
      <c r="AG27" s="391">
        <f>AE27*$C$27</f>
        <v>161336.90174869419</v>
      </c>
    </row>
    <row r="28" spans="1:34" ht="14.25">
      <c r="A28" s="606" t="s">
        <v>1128</v>
      </c>
      <c r="B28" s="380"/>
      <c r="C28" s="411"/>
      <c r="D28" s="380"/>
      <c r="E28" s="391">
        <f>Application!AC853</f>
        <v>19500</v>
      </c>
      <c r="F28" s="391"/>
      <c r="G28" s="391">
        <f>$E$28</f>
        <v>19500</v>
      </c>
      <c r="H28" s="391"/>
      <c r="I28" s="391">
        <f>$E$28</f>
        <v>19500</v>
      </c>
      <c r="J28" s="391"/>
      <c r="K28" s="391">
        <f>$E$28</f>
        <v>19500</v>
      </c>
      <c r="L28" s="391"/>
      <c r="M28" s="391">
        <f>$E$28</f>
        <v>19500</v>
      </c>
      <c r="N28" s="391"/>
      <c r="O28" s="391">
        <f>$E$28</f>
        <v>19500</v>
      </c>
      <c r="P28" s="391"/>
      <c r="Q28" s="391">
        <f>$E$28</f>
        <v>19500</v>
      </c>
      <c r="R28" s="391"/>
      <c r="S28" s="391">
        <f>$E$28</f>
        <v>19500</v>
      </c>
      <c r="T28" s="391"/>
      <c r="U28" s="391">
        <f>$E$28</f>
        <v>19500</v>
      </c>
      <c r="V28" s="391"/>
      <c r="W28" s="391">
        <f>$E$28</f>
        <v>19500</v>
      </c>
      <c r="X28" s="391"/>
      <c r="Y28" s="391">
        <f>$E$28</f>
        <v>19500</v>
      </c>
      <c r="Z28" s="391"/>
      <c r="AA28" s="391">
        <f>$E$28</f>
        <v>19500</v>
      </c>
      <c r="AB28" s="391"/>
      <c r="AC28" s="391">
        <f>$E$28</f>
        <v>19500</v>
      </c>
      <c r="AD28" s="391"/>
      <c r="AE28" s="391">
        <f>$E$28</f>
        <v>19500</v>
      </c>
      <c r="AF28" s="391"/>
      <c r="AG28" s="391">
        <f>$E$28</f>
        <v>19500</v>
      </c>
    </row>
    <row r="29" spans="1:34" ht="14.25">
      <c r="A29" s="606" t="s">
        <v>2030</v>
      </c>
      <c r="B29" s="380"/>
      <c r="C29" s="411"/>
      <c r="D29" s="380"/>
      <c r="E29" s="391">
        <f>Application!AC854</f>
        <v>0</v>
      </c>
      <c r="F29" s="391"/>
      <c r="G29" s="391">
        <f>$E$29</f>
        <v>0</v>
      </c>
      <c r="H29" s="391"/>
      <c r="I29" s="391">
        <f>$E$29</f>
        <v>0</v>
      </c>
      <c r="J29" s="391"/>
      <c r="K29" s="391">
        <f>$E$29</f>
        <v>0</v>
      </c>
      <c r="L29" s="391"/>
      <c r="M29" s="391">
        <f>$E$29</f>
        <v>0</v>
      </c>
      <c r="N29" s="391"/>
      <c r="O29" s="391">
        <f>$E$29</f>
        <v>0</v>
      </c>
      <c r="P29" s="391"/>
      <c r="Q29" s="391">
        <f>$E$29</f>
        <v>0</v>
      </c>
      <c r="R29" s="391"/>
      <c r="S29" s="391">
        <f>$E$29</f>
        <v>0</v>
      </c>
      <c r="T29" s="391"/>
      <c r="U29" s="391">
        <f>$E$29</f>
        <v>0</v>
      </c>
      <c r="V29" s="391"/>
      <c r="W29" s="391">
        <f>$E$29</f>
        <v>0</v>
      </c>
      <c r="X29" s="391"/>
      <c r="Y29" s="391">
        <f>$E$29</f>
        <v>0</v>
      </c>
      <c r="Z29" s="391"/>
      <c r="AA29" s="391">
        <f>$E$29</f>
        <v>0</v>
      </c>
      <c r="AB29" s="391"/>
      <c r="AC29" s="391">
        <f>$E$29</f>
        <v>0</v>
      </c>
      <c r="AD29" s="391"/>
      <c r="AE29" s="391">
        <f>$E$29</f>
        <v>0</v>
      </c>
      <c r="AF29" s="391"/>
      <c r="AG29" s="391">
        <f>$E$29</f>
        <v>0</v>
      </c>
    </row>
    <row r="30" spans="1:34" ht="14.25">
      <c r="A30" s="606" t="s">
        <v>1129</v>
      </c>
      <c r="B30" s="380"/>
      <c r="C30" s="411">
        <v>1.02</v>
      </c>
      <c r="D30" s="380"/>
      <c r="E30" s="391">
        <f>Application!AC855</f>
        <v>0</v>
      </c>
      <c r="F30" s="391"/>
      <c r="G30" s="391">
        <f>E30*$C$30</f>
        <v>0</v>
      </c>
      <c r="H30" s="391"/>
      <c r="I30" s="391">
        <f>G30*$C$30</f>
        <v>0</v>
      </c>
      <c r="J30" s="391"/>
      <c r="K30" s="391">
        <f>I30*$C$30</f>
        <v>0</v>
      </c>
      <c r="L30" s="391"/>
      <c r="M30" s="391">
        <f>K30*$C$30</f>
        <v>0</v>
      </c>
      <c r="N30" s="391"/>
      <c r="O30" s="391">
        <f>M30*$C$30</f>
        <v>0</v>
      </c>
      <c r="P30" s="391"/>
      <c r="Q30" s="391">
        <f>O30*$C$30</f>
        <v>0</v>
      </c>
      <c r="R30" s="391"/>
      <c r="S30" s="391">
        <f>Q30*$C$30</f>
        <v>0</v>
      </c>
      <c r="T30" s="391"/>
      <c r="U30" s="391">
        <f>S30*$C$30</f>
        <v>0</v>
      </c>
      <c r="V30" s="391"/>
      <c r="W30" s="391">
        <f>U30*$C$30</f>
        <v>0</v>
      </c>
      <c r="X30" s="391"/>
      <c r="Y30" s="391">
        <f>W30*$C$30</f>
        <v>0</v>
      </c>
      <c r="Z30" s="391"/>
      <c r="AA30" s="391">
        <f>Y30*$C$30</f>
        <v>0</v>
      </c>
      <c r="AB30" s="391"/>
      <c r="AC30" s="391">
        <f>AA30*$C$30</f>
        <v>0</v>
      </c>
      <c r="AD30" s="391"/>
      <c r="AE30" s="391">
        <f>AC30*$C$30</f>
        <v>0</v>
      </c>
      <c r="AF30" s="391"/>
      <c r="AG30" s="391">
        <f>AE30*$C$30</f>
        <v>0</v>
      </c>
    </row>
    <row r="31" spans="1:34" ht="14.25">
      <c r="A31" s="606" t="s">
        <v>2031</v>
      </c>
      <c r="B31" s="380"/>
      <c r="C31" s="411">
        <v>1.02</v>
      </c>
      <c r="D31" s="380"/>
      <c r="E31" s="391">
        <f>Application!AC856</f>
        <v>0</v>
      </c>
      <c r="F31" s="391"/>
      <c r="G31" s="391">
        <f>E31*$C$31</f>
        <v>0</v>
      </c>
      <c r="H31" s="391"/>
      <c r="I31" s="391">
        <f>G31*$C$31</f>
        <v>0</v>
      </c>
      <c r="J31" s="391"/>
      <c r="K31" s="391">
        <f>I31*$C$31</f>
        <v>0</v>
      </c>
      <c r="L31" s="391"/>
      <c r="M31" s="391">
        <f>K31*$C$31</f>
        <v>0</v>
      </c>
      <c r="N31" s="391"/>
      <c r="O31" s="391">
        <f>M31*$C$31</f>
        <v>0</v>
      </c>
      <c r="P31" s="391"/>
      <c r="Q31" s="391">
        <f>O31*$C$31</f>
        <v>0</v>
      </c>
      <c r="R31" s="391"/>
      <c r="S31" s="391">
        <f>Q31*$C$31</f>
        <v>0</v>
      </c>
      <c r="T31" s="391"/>
      <c r="U31" s="391">
        <f>S31*$C$31</f>
        <v>0</v>
      </c>
      <c r="V31" s="391"/>
      <c r="W31" s="391">
        <f>U31*$C$31</f>
        <v>0</v>
      </c>
      <c r="X31" s="391"/>
      <c r="Y31" s="391">
        <f>W31*$C$31</f>
        <v>0</v>
      </c>
      <c r="Z31" s="391"/>
      <c r="AA31" s="391">
        <f>Y31*$C$31</f>
        <v>0</v>
      </c>
      <c r="AB31" s="391"/>
      <c r="AC31" s="391">
        <f>AA31*$C$31</f>
        <v>0</v>
      </c>
      <c r="AD31" s="391"/>
      <c r="AE31" s="391">
        <f>AC31*$C$31</f>
        <v>0</v>
      </c>
      <c r="AF31" s="391"/>
      <c r="AG31" s="391">
        <f>AE31*$C$31</f>
        <v>0</v>
      </c>
    </row>
    <row r="32" spans="1:34" ht="14.25">
      <c r="A32" s="380" t="str">
        <f>Application!E857</f>
        <v>Other (Specify):</v>
      </c>
      <c r="B32" s="380"/>
      <c r="C32" s="494">
        <v>1.0349999999999999</v>
      </c>
      <c r="D32" s="380"/>
      <c r="E32" s="391">
        <f>Application!AC857</f>
        <v>0</v>
      </c>
      <c r="F32" s="391"/>
      <c r="G32" s="391">
        <f>E32*$C$32</f>
        <v>0</v>
      </c>
      <c r="H32" s="391"/>
      <c r="I32" s="391">
        <f>G32*$C$32</f>
        <v>0</v>
      </c>
      <c r="J32" s="391"/>
      <c r="K32" s="391">
        <f>I32*$C$32</f>
        <v>0</v>
      </c>
      <c r="L32" s="391"/>
      <c r="M32" s="391">
        <f>K32*$C$32</f>
        <v>0</v>
      </c>
      <c r="N32" s="391"/>
      <c r="O32" s="391">
        <f>M32*$C$32</f>
        <v>0</v>
      </c>
      <c r="P32" s="391"/>
      <c r="Q32" s="391">
        <f>O32*$C$32</f>
        <v>0</v>
      </c>
      <c r="R32" s="391"/>
      <c r="S32" s="391">
        <f>Q32*$C$32</f>
        <v>0</v>
      </c>
      <c r="T32" s="391"/>
      <c r="U32" s="391">
        <f>S32*$C$32</f>
        <v>0</v>
      </c>
      <c r="V32" s="391"/>
      <c r="W32" s="391">
        <f>U32*$C$32</f>
        <v>0</v>
      </c>
      <c r="X32" s="391"/>
      <c r="Y32" s="391">
        <f>W32*$C$32</f>
        <v>0</v>
      </c>
      <c r="Z32" s="391"/>
      <c r="AA32" s="391">
        <f>Y32*$C$32</f>
        <v>0</v>
      </c>
      <c r="AB32" s="391"/>
      <c r="AC32" s="391">
        <f>AA32*$C$32</f>
        <v>0</v>
      </c>
      <c r="AD32" s="391"/>
      <c r="AE32" s="391">
        <f>AC32*$C$32</f>
        <v>0</v>
      </c>
      <c r="AF32" s="391"/>
      <c r="AG32" s="391">
        <f>AE32*$C$32</f>
        <v>0</v>
      </c>
    </row>
    <row r="33" spans="1:35" ht="14.25">
      <c r="A33" s="380" t="str">
        <f>Application!E858</f>
        <v>Other (Specify):</v>
      </c>
      <c r="B33" s="380"/>
      <c r="C33" s="494">
        <v>1.0349999999999999</v>
      </c>
      <c r="D33" s="380"/>
      <c r="E33" s="391">
        <f>Application!AC858</f>
        <v>0</v>
      </c>
      <c r="F33" s="391"/>
      <c r="G33" s="391">
        <f>E33*$C$33</f>
        <v>0</v>
      </c>
      <c r="H33" s="391"/>
      <c r="I33" s="391">
        <f>G33*$C$33</f>
        <v>0</v>
      </c>
      <c r="J33" s="391"/>
      <c r="K33" s="391">
        <f>I33*$C$33</f>
        <v>0</v>
      </c>
      <c r="L33" s="391"/>
      <c r="M33" s="391">
        <f>K33*$C$33</f>
        <v>0</v>
      </c>
      <c r="N33" s="391"/>
      <c r="O33" s="391">
        <f>M33*$C$33</f>
        <v>0</v>
      </c>
      <c r="P33" s="391"/>
      <c r="Q33" s="391">
        <f>O33*$C$33</f>
        <v>0</v>
      </c>
      <c r="R33" s="391"/>
      <c r="S33" s="391">
        <f>Q33*$C$33</f>
        <v>0</v>
      </c>
      <c r="T33" s="391"/>
      <c r="U33" s="391">
        <f>S33*$C$33</f>
        <v>0</v>
      </c>
      <c r="V33" s="391"/>
      <c r="W33" s="391">
        <f>U33*$C$33</f>
        <v>0</v>
      </c>
      <c r="X33" s="391"/>
      <c r="Y33" s="391">
        <f>W33*$C$33</f>
        <v>0</v>
      </c>
      <c r="Z33" s="391"/>
      <c r="AA33" s="391">
        <f>Y33*$C$33</f>
        <v>0</v>
      </c>
      <c r="AB33" s="391"/>
      <c r="AC33" s="391">
        <f>AA33*$C$33</f>
        <v>0</v>
      </c>
      <c r="AD33" s="391"/>
      <c r="AE33" s="391">
        <f>AC33*$C$33</f>
        <v>0</v>
      </c>
      <c r="AF33" s="391"/>
      <c r="AG33" s="391">
        <f>AE33*$C$33</f>
        <v>0</v>
      </c>
    </row>
    <row r="34" spans="1:35" ht="14.25">
      <c r="A34" s="380"/>
      <c r="B34" s="380"/>
      <c r="C34" s="389"/>
      <c r="D34" s="380"/>
      <c r="E34" s="391"/>
      <c r="F34" s="391"/>
      <c r="G34" s="391"/>
      <c r="H34" s="391"/>
      <c r="I34" s="391"/>
      <c r="J34" s="391"/>
      <c r="K34" s="391"/>
      <c r="L34" s="391"/>
      <c r="M34" s="391"/>
      <c r="N34" s="391"/>
      <c r="O34" s="391"/>
      <c r="P34" s="391"/>
      <c r="Q34" s="391"/>
      <c r="R34" s="391"/>
      <c r="S34" s="391"/>
      <c r="T34" s="391"/>
      <c r="U34" s="391"/>
      <c r="V34" s="391"/>
      <c r="W34" s="391"/>
      <c r="X34" s="391"/>
      <c r="Y34" s="391"/>
      <c r="Z34" s="391"/>
      <c r="AA34" s="391"/>
      <c r="AB34" s="391"/>
      <c r="AC34" s="391"/>
      <c r="AD34" s="391"/>
      <c r="AE34" s="391"/>
      <c r="AF34" s="391"/>
      <c r="AG34" s="391"/>
    </row>
    <row r="35" spans="1:35" ht="15">
      <c r="A35" s="392" t="s">
        <v>159</v>
      </c>
      <c r="B35" s="392"/>
      <c r="C35" s="393"/>
      <c r="D35" s="392"/>
      <c r="E35" s="392">
        <f>SUM(E22:E33)</f>
        <v>426731</v>
      </c>
      <c r="F35" s="392"/>
      <c r="G35" s="392">
        <f>SUM(G22:G33)</f>
        <v>440984.08499999996</v>
      </c>
      <c r="H35" s="392"/>
      <c r="I35" s="392">
        <f>SUM(I22:I33)</f>
        <v>455736.02797499986</v>
      </c>
      <c r="J35" s="392"/>
      <c r="K35" s="392">
        <f>SUM(K22:K33)</f>
        <v>471004.2889541249</v>
      </c>
      <c r="L35" s="392"/>
      <c r="M35" s="392">
        <f>SUM(M22:M33)</f>
        <v>486806.93906751921</v>
      </c>
      <c r="N35" s="392"/>
      <c r="O35" s="392">
        <f>SUM(O22:O33)</f>
        <v>503162.6819348823</v>
      </c>
      <c r="P35" s="392"/>
      <c r="Q35" s="392">
        <f>SUM(Q22:Q33)</f>
        <v>520090.8758026032</v>
      </c>
      <c r="R35" s="392"/>
      <c r="S35" s="392">
        <f>SUM(S22:S33)</f>
        <v>537611.55645569426</v>
      </c>
      <c r="T35" s="392"/>
      <c r="U35" s="392">
        <f>SUM(U22:U33)</f>
        <v>555745.46093164361</v>
      </c>
      <c r="V35" s="392"/>
      <c r="W35" s="392">
        <f>SUM(W22:W33)</f>
        <v>574514.05206425104</v>
      </c>
      <c r="X35" s="392"/>
      <c r="Y35" s="392">
        <f>SUM(Y22:Y33)</f>
        <v>593939.54388649971</v>
      </c>
      <c r="Z35" s="392"/>
      <c r="AA35" s="392">
        <f>SUM(AA22:AA33)</f>
        <v>614044.92792252719</v>
      </c>
      <c r="AB35" s="392"/>
      <c r="AC35" s="392">
        <f>SUM(AC22:AC33)</f>
        <v>634854.0003998155</v>
      </c>
      <c r="AD35" s="392"/>
      <c r="AE35" s="392">
        <f>SUM(AE22:AE33)</f>
        <v>656391.39041380899</v>
      </c>
      <c r="AF35" s="392"/>
      <c r="AG35" s="392">
        <f>SUM(AG22:AG33)</f>
        <v>678682.58907829237</v>
      </c>
    </row>
    <row r="36" spans="1:35" ht="14.25">
      <c r="A36" s="380"/>
      <c r="B36" s="380"/>
      <c r="C36" s="389"/>
      <c r="D36" s="380"/>
      <c r="E36" s="391"/>
      <c r="F36" s="391"/>
      <c r="G36" s="391"/>
      <c r="H36" s="391"/>
      <c r="I36" s="391"/>
      <c r="J36" s="391"/>
      <c r="K36" s="391"/>
      <c r="L36" s="391"/>
      <c r="M36" s="391"/>
      <c r="N36" s="391"/>
      <c r="O36" s="391"/>
      <c r="P36" s="391"/>
      <c r="Q36" s="391"/>
      <c r="R36" s="391"/>
      <c r="S36" s="391"/>
      <c r="T36" s="391"/>
      <c r="U36" s="391"/>
      <c r="V36" s="391"/>
      <c r="W36" s="391"/>
      <c r="X36" s="391"/>
      <c r="Y36" s="391"/>
      <c r="Z36" s="391"/>
      <c r="AA36" s="391"/>
      <c r="AB36" s="391"/>
      <c r="AC36" s="391"/>
      <c r="AD36" s="391"/>
      <c r="AE36" s="391"/>
      <c r="AF36" s="391"/>
      <c r="AG36" s="391"/>
    </row>
    <row r="37" spans="1:35" ht="15">
      <c r="A37" s="392" t="s">
        <v>1130</v>
      </c>
      <c r="B37" s="392"/>
      <c r="C37" s="393"/>
      <c r="D37" s="392"/>
      <c r="E37" s="392">
        <f>E11-E35</f>
        <v>55979.199999999953</v>
      </c>
      <c r="F37" s="392"/>
      <c r="G37" s="392">
        <f>G11-G35</f>
        <v>53793.869999999995</v>
      </c>
      <c r="H37" s="392"/>
      <c r="I37" s="392">
        <f>I11-I35</f>
        <v>51411.375900000043</v>
      </c>
      <c r="J37" s="392"/>
      <c r="K37" s="392">
        <f>K11-K35</f>
        <v>48821.800017750007</v>
      </c>
      <c r="L37" s="392"/>
      <c r="M37" s="392">
        <f>M11-M35</f>
        <v>46014.802128652518</v>
      </c>
      <c r="N37" s="392"/>
      <c r="O37" s="392">
        <f>O11-O35</f>
        <v>42979.60279119364</v>
      </c>
      <c r="P37" s="392"/>
      <c r="Q37" s="392">
        <f>Q11-Q35</f>
        <v>39704.966041624546</v>
      </c>
      <c r="R37" s="392"/>
      <c r="S37" s="392">
        <f>S11-S35</f>
        <v>36179.181434639147</v>
      </c>
      <c r="T37" s="392"/>
      <c r="U37" s="392">
        <f>U11-U35</f>
        <v>32390.045405948069</v>
      </c>
      <c r="V37" s="392"/>
      <c r="W37" s="392">
        <f>W11-W35</f>
        <v>28324.841931780335</v>
      </c>
      <c r="X37" s="392"/>
      <c r="Y37" s="392">
        <f>Y11-Y35</f>
        <v>23970.322459432413</v>
      </c>
      <c r="Z37" s="392"/>
      <c r="AA37" s="392">
        <f>AA11-AA35</f>
        <v>19312.6850820533</v>
      </c>
      <c r="AB37" s="392"/>
      <c r="AC37" s="392">
        <f>AC11-AC35</f>
        <v>14337.552929879399</v>
      </c>
      <c r="AD37" s="392"/>
      <c r="AE37" s="392">
        <f>AE11-AE35</f>
        <v>9029.9517491282895</v>
      </c>
      <c r="AF37" s="392"/>
      <c r="AG37" s="392">
        <f>AG11-AG35</f>
        <v>3374.2866387183312</v>
      </c>
    </row>
    <row r="38" spans="1:35" ht="14.25">
      <c r="A38" s="380"/>
      <c r="B38" s="380"/>
      <c r="C38" s="389"/>
      <c r="D38" s="380"/>
      <c r="E38" s="391"/>
      <c r="F38" s="391"/>
      <c r="G38" s="391"/>
      <c r="H38" s="391"/>
      <c r="I38" s="391"/>
      <c r="J38" s="391"/>
      <c r="K38" s="391"/>
      <c r="L38" s="391"/>
      <c r="M38" s="391"/>
      <c r="N38" s="391"/>
      <c r="O38" s="391"/>
      <c r="P38" s="391"/>
      <c r="Q38" s="391"/>
      <c r="R38" s="391"/>
      <c r="S38" s="391"/>
      <c r="T38" s="391"/>
      <c r="U38" s="391"/>
      <c r="V38" s="391"/>
      <c r="W38" s="391"/>
      <c r="X38" s="391"/>
      <c r="Y38" s="391"/>
      <c r="Z38" s="391"/>
      <c r="AA38" s="391"/>
      <c r="AB38" s="391"/>
      <c r="AC38" s="391"/>
      <c r="AD38" s="391"/>
      <c r="AE38" s="391"/>
      <c r="AF38" s="391"/>
      <c r="AG38" s="391"/>
    </row>
    <row r="39" spans="1:35" ht="15">
      <c r="A39" s="387" t="s">
        <v>1131</v>
      </c>
      <c r="B39" s="380"/>
      <c r="C39" s="389"/>
      <c r="D39" s="380"/>
      <c r="E39" s="391"/>
      <c r="F39" s="391"/>
      <c r="G39" s="391"/>
      <c r="H39" s="391"/>
      <c r="I39" s="391"/>
      <c r="J39" s="391"/>
      <c r="K39" s="391"/>
      <c r="L39" s="391"/>
      <c r="M39" s="391"/>
      <c r="N39" s="391"/>
      <c r="O39" s="391"/>
      <c r="P39" s="391"/>
      <c r="Q39" s="391"/>
      <c r="R39" s="391"/>
      <c r="S39" s="391"/>
      <c r="T39" s="391"/>
      <c r="U39" s="391"/>
      <c r="V39" s="391"/>
      <c r="W39" s="391"/>
      <c r="X39" s="391"/>
      <c r="Y39" s="391"/>
      <c r="Z39" s="391"/>
      <c r="AA39" s="391"/>
      <c r="AB39" s="391"/>
      <c r="AC39" s="391"/>
      <c r="AD39" s="391"/>
      <c r="AE39" s="391"/>
      <c r="AF39" s="391"/>
      <c r="AG39" s="391"/>
    </row>
    <row r="40" spans="1:35" ht="14.25">
      <c r="A40" s="394" t="str">
        <f>Application!C618</f>
        <v>Sponsor Loan - HomeKey</v>
      </c>
      <c r="B40" s="395"/>
      <c r="C40" s="389"/>
      <c r="D40" s="380"/>
      <c r="E40" s="388">
        <f>Application!AF618</f>
        <v>0</v>
      </c>
      <c r="F40" s="388"/>
      <c r="G40" s="388">
        <f>$E$40</f>
        <v>0</v>
      </c>
      <c r="H40" s="388"/>
      <c r="I40" s="388">
        <f>$E$40</f>
        <v>0</v>
      </c>
      <c r="J40" s="388"/>
      <c r="K40" s="388">
        <f>$E$40</f>
        <v>0</v>
      </c>
      <c r="L40" s="388"/>
      <c r="M40" s="388">
        <f>$E$40</f>
        <v>0</v>
      </c>
      <c r="N40" s="388"/>
      <c r="O40" s="388">
        <f>$E$40</f>
        <v>0</v>
      </c>
      <c r="P40" s="388"/>
      <c r="Q40" s="388">
        <f>$E$40</f>
        <v>0</v>
      </c>
      <c r="R40" s="388"/>
      <c r="S40" s="388">
        <f>$E$40</f>
        <v>0</v>
      </c>
      <c r="T40" s="388"/>
      <c r="U40" s="388">
        <f>$E$40</f>
        <v>0</v>
      </c>
      <c r="V40" s="388"/>
      <c r="W40" s="388">
        <f>$E$40</f>
        <v>0</v>
      </c>
      <c r="X40" s="388"/>
      <c r="Y40" s="388">
        <f>$E$40</f>
        <v>0</v>
      </c>
      <c r="Z40" s="388"/>
      <c r="AA40" s="388">
        <f>$E$40</f>
        <v>0</v>
      </c>
      <c r="AB40" s="388"/>
      <c r="AC40" s="388">
        <f>$E$40</f>
        <v>0</v>
      </c>
      <c r="AD40" s="388"/>
      <c r="AE40" s="388">
        <f>$E$40</f>
        <v>0</v>
      </c>
      <c r="AF40" s="388"/>
      <c r="AG40" s="388">
        <f>$E$40</f>
        <v>0</v>
      </c>
      <c r="AH40" s="380"/>
      <c r="AI40" s="380"/>
    </row>
    <row r="41" spans="1:35" ht="14.25">
      <c r="A41" s="394"/>
      <c r="B41" s="395"/>
      <c r="C41" s="389"/>
      <c r="D41" s="380"/>
      <c r="E41" s="391"/>
      <c r="F41" s="391"/>
      <c r="G41" s="391">
        <f>$E$41</f>
        <v>0</v>
      </c>
      <c r="H41" s="391"/>
      <c r="I41" s="391">
        <f>$E$41</f>
        <v>0</v>
      </c>
      <c r="J41" s="391"/>
      <c r="K41" s="391">
        <f>$E$41</f>
        <v>0</v>
      </c>
      <c r="L41" s="391"/>
      <c r="M41" s="391">
        <f>$E$41</f>
        <v>0</v>
      </c>
      <c r="N41" s="391"/>
      <c r="O41" s="391">
        <f>$E$41</f>
        <v>0</v>
      </c>
      <c r="P41" s="391"/>
      <c r="Q41" s="391">
        <f>$E$41</f>
        <v>0</v>
      </c>
      <c r="R41" s="391"/>
      <c r="S41" s="391">
        <f>$E$41</f>
        <v>0</v>
      </c>
      <c r="T41" s="391"/>
      <c r="U41" s="391">
        <f>$E$41</f>
        <v>0</v>
      </c>
      <c r="V41" s="391"/>
      <c r="W41" s="391">
        <f>$E$41</f>
        <v>0</v>
      </c>
      <c r="X41" s="391"/>
      <c r="Y41" s="391">
        <f>$E$41</f>
        <v>0</v>
      </c>
      <c r="Z41" s="391"/>
      <c r="AA41" s="391">
        <f>$E$41</f>
        <v>0</v>
      </c>
      <c r="AB41" s="391"/>
      <c r="AC41" s="391">
        <f>$E$41</f>
        <v>0</v>
      </c>
      <c r="AD41" s="391"/>
      <c r="AE41" s="391">
        <f>$E$41</f>
        <v>0</v>
      </c>
      <c r="AF41" s="391"/>
      <c r="AG41" s="391">
        <f>$E$41</f>
        <v>0</v>
      </c>
      <c r="AH41" s="380"/>
      <c r="AI41" s="380"/>
    </row>
    <row r="42" spans="1:35" ht="14.25">
      <c r="A42" s="394"/>
      <c r="B42" s="395"/>
      <c r="C42" s="389"/>
      <c r="D42" s="380"/>
      <c r="E42" s="401"/>
      <c r="F42" s="391"/>
      <c r="G42" s="401">
        <f>$E$42</f>
        <v>0</v>
      </c>
      <c r="H42" s="391"/>
      <c r="I42" s="401">
        <f>$E$42</f>
        <v>0</v>
      </c>
      <c r="J42" s="391"/>
      <c r="K42" s="401">
        <f>$E$42</f>
        <v>0</v>
      </c>
      <c r="L42" s="391"/>
      <c r="M42" s="401">
        <f>$E$42</f>
        <v>0</v>
      </c>
      <c r="N42" s="391"/>
      <c r="O42" s="401">
        <f>$E$42</f>
        <v>0</v>
      </c>
      <c r="P42" s="391"/>
      <c r="Q42" s="401">
        <f>$E$42</f>
        <v>0</v>
      </c>
      <c r="R42" s="391"/>
      <c r="S42" s="401">
        <f>$E$42</f>
        <v>0</v>
      </c>
      <c r="T42" s="391"/>
      <c r="U42" s="401">
        <f>$E$42</f>
        <v>0</v>
      </c>
      <c r="V42" s="391"/>
      <c r="W42" s="401">
        <f>$E$42</f>
        <v>0</v>
      </c>
      <c r="X42" s="391"/>
      <c r="Y42" s="401">
        <f>$E$42</f>
        <v>0</v>
      </c>
      <c r="Z42" s="391"/>
      <c r="AA42" s="401">
        <f>$E$42</f>
        <v>0</v>
      </c>
      <c r="AB42" s="391"/>
      <c r="AC42" s="401">
        <f>$E$42</f>
        <v>0</v>
      </c>
      <c r="AD42" s="391"/>
      <c r="AE42" s="401">
        <f>$E$42</f>
        <v>0</v>
      </c>
      <c r="AF42" s="391"/>
      <c r="AG42" s="401">
        <f>$E$42</f>
        <v>0</v>
      </c>
      <c r="AH42" s="380"/>
      <c r="AI42" s="380"/>
    </row>
    <row r="43" spans="1:35" ht="15">
      <c r="A43" s="392" t="s">
        <v>1132</v>
      </c>
      <c r="B43" s="392"/>
      <c r="C43" s="393"/>
      <c r="D43" s="392"/>
      <c r="E43" s="392">
        <f>SUM(E40:E42)</f>
        <v>0</v>
      </c>
      <c r="F43" s="392"/>
      <c r="G43" s="392">
        <f>SUM(G40:G42)</f>
        <v>0</v>
      </c>
      <c r="H43" s="392"/>
      <c r="I43" s="392">
        <f>SUM(I40:I42)</f>
        <v>0</v>
      </c>
      <c r="J43" s="392"/>
      <c r="K43" s="392">
        <f>SUM(K40:K42)</f>
        <v>0</v>
      </c>
      <c r="L43" s="392"/>
      <c r="M43" s="392">
        <f>SUM(M40:M42)</f>
        <v>0</v>
      </c>
      <c r="N43" s="392"/>
      <c r="O43" s="392">
        <f>SUM(O40:O42)</f>
        <v>0</v>
      </c>
      <c r="P43" s="392"/>
      <c r="Q43" s="392">
        <f>SUM(Q40:Q42)</f>
        <v>0</v>
      </c>
      <c r="R43" s="392"/>
      <c r="S43" s="392">
        <f>SUM(S40:S42)</f>
        <v>0</v>
      </c>
      <c r="T43" s="392"/>
      <c r="U43" s="392">
        <f>SUM(U40:U42)</f>
        <v>0</v>
      </c>
      <c r="V43" s="392"/>
      <c r="W43" s="392">
        <f>SUM(W40:W42)</f>
        <v>0</v>
      </c>
      <c r="X43" s="392"/>
      <c r="Y43" s="392">
        <f>SUM(Y40:Y42)</f>
        <v>0</v>
      </c>
      <c r="Z43" s="392"/>
      <c r="AA43" s="392">
        <f>SUM(AA40:AA42)</f>
        <v>0</v>
      </c>
      <c r="AB43" s="392"/>
      <c r="AC43" s="392">
        <f>SUM(AC40:AC42)</f>
        <v>0</v>
      </c>
      <c r="AD43" s="392"/>
      <c r="AE43" s="392">
        <f>SUM(AE40:AE42)</f>
        <v>0</v>
      </c>
      <c r="AF43" s="392"/>
      <c r="AG43" s="392">
        <f>SUM(AG40:AG42)</f>
        <v>0</v>
      </c>
      <c r="AH43" s="392"/>
      <c r="AI43" s="392"/>
    </row>
    <row r="44" spans="1:35" ht="14.25">
      <c r="A44" s="380"/>
      <c r="B44" s="380"/>
      <c r="C44" s="389"/>
      <c r="D44" s="380"/>
      <c r="E44" s="391"/>
      <c r="F44" s="391"/>
      <c r="G44" s="391"/>
      <c r="H44" s="391"/>
      <c r="I44" s="391"/>
      <c r="J44" s="391"/>
      <c r="K44" s="391"/>
      <c r="L44" s="391"/>
      <c r="M44" s="391"/>
      <c r="N44" s="391"/>
      <c r="O44" s="391"/>
      <c r="P44" s="391"/>
      <c r="Q44" s="391"/>
      <c r="R44" s="391"/>
      <c r="S44" s="391"/>
      <c r="T44" s="391"/>
      <c r="U44" s="391"/>
      <c r="V44" s="391"/>
      <c r="W44" s="391"/>
      <c r="X44" s="391"/>
      <c r="Y44" s="391"/>
      <c r="Z44" s="391"/>
      <c r="AA44" s="391"/>
      <c r="AB44" s="391"/>
      <c r="AC44" s="391"/>
      <c r="AD44" s="391"/>
      <c r="AE44" s="391"/>
      <c r="AF44" s="391"/>
      <c r="AG44" s="391"/>
      <c r="AH44" s="380"/>
      <c r="AI44" s="380"/>
    </row>
    <row r="45" spans="1:35" ht="15">
      <c r="A45" s="392" t="s">
        <v>1133</v>
      </c>
      <c r="B45" s="392"/>
      <c r="C45" s="393"/>
      <c r="D45" s="392"/>
      <c r="E45" s="392">
        <f>E37-E43</f>
        <v>55979.199999999953</v>
      </c>
      <c r="F45" s="392"/>
      <c r="G45" s="392">
        <f>G37-G43</f>
        <v>53793.869999999995</v>
      </c>
      <c r="H45" s="392"/>
      <c r="I45" s="392">
        <f>I37-I43</f>
        <v>51411.375900000043</v>
      </c>
      <c r="J45" s="392"/>
      <c r="K45" s="392">
        <f>K37-K43</f>
        <v>48821.800017750007</v>
      </c>
      <c r="L45" s="392"/>
      <c r="M45" s="392">
        <f>M37-M43</f>
        <v>46014.802128652518</v>
      </c>
      <c r="N45" s="392"/>
      <c r="O45" s="392">
        <f>O37-O43</f>
        <v>42979.60279119364</v>
      </c>
      <c r="P45" s="392"/>
      <c r="Q45" s="392">
        <f>Q37-Q43</f>
        <v>39704.966041624546</v>
      </c>
      <c r="R45" s="392"/>
      <c r="S45" s="392">
        <f>S37-S43</f>
        <v>36179.181434639147</v>
      </c>
      <c r="T45" s="392"/>
      <c r="U45" s="392">
        <f>U37-U43</f>
        <v>32390.045405948069</v>
      </c>
      <c r="V45" s="392"/>
      <c r="W45" s="392">
        <f>W37-W43</f>
        <v>28324.841931780335</v>
      </c>
      <c r="X45" s="392"/>
      <c r="Y45" s="392">
        <f>Y37-Y43</f>
        <v>23970.322459432413</v>
      </c>
      <c r="Z45" s="392"/>
      <c r="AA45" s="392">
        <f>AA37-AA43</f>
        <v>19312.6850820533</v>
      </c>
      <c r="AB45" s="392"/>
      <c r="AC45" s="392">
        <f>AC37-AC43</f>
        <v>14337.552929879399</v>
      </c>
      <c r="AD45" s="392"/>
      <c r="AE45" s="392">
        <f>AE37-AE43</f>
        <v>9029.9517491282895</v>
      </c>
      <c r="AF45" s="392"/>
      <c r="AG45" s="392">
        <f>AG37-AG43</f>
        <v>3374.2866387183312</v>
      </c>
      <c r="AH45" s="392"/>
      <c r="AI45" s="392"/>
    </row>
    <row r="46" spans="1:35" ht="14.25">
      <c r="A46" s="380"/>
      <c r="B46" s="380"/>
      <c r="C46" s="389"/>
      <c r="D46" s="380"/>
      <c r="E46" s="391"/>
      <c r="F46" s="391"/>
      <c r="G46" s="391"/>
      <c r="H46" s="391"/>
      <c r="I46" s="391"/>
      <c r="J46" s="391"/>
      <c r="K46" s="391"/>
      <c r="L46" s="391"/>
      <c r="M46" s="391"/>
      <c r="N46" s="391"/>
      <c r="O46" s="391"/>
      <c r="P46" s="391"/>
      <c r="Q46" s="391"/>
      <c r="R46" s="391"/>
      <c r="S46" s="391"/>
      <c r="T46" s="391"/>
      <c r="U46" s="391"/>
      <c r="V46" s="391"/>
      <c r="W46" s="391"/>
      <c r="X46" s="391"/>
      <c r="Y46" s="391"/>
      <c r="Z46" s="391"/>
      <c r="AA46" s="391"/>
      <c r="AB46" s="391"/>
      <c r="AC46" s="391"/>
      <c r="AD46" s="391"/>
      <c r="AE46" s="391"/>
      <c r="AF46" s="391"/>
      <c r="AG46" s="391"/>
      <c r="AH46" s="380"/>
      <c r="AI46" s="380"/>
    </row>
    <row r="47" spans="1:35" ht="14.25">
      <c r="A47" s="396" t="s">
        <v>1134</v>
      </c>
      <c r="B47" s="396"/>
      <c r="C47" s="389"/>
      <c r="D47" s="396"/>
      <c r="E47" s="396">
        <f>E45/(E4+E6+E8)</f>
        <v>0.1101701186343275</v>
      </c>
      <c r="F47" s="396"/>
      <c r="G47" s="396">
        <f>G45/(G4+G6+G8)</f>
        <v>0.10328709269191269</v>
      </c>
      <c r="H47" s="396"/>
      <c r="I47" s="396">
        <f>I45/(I4+I6+I8)</f>
        <v>9.6304953415552064E-2</v>
      </c>
      <c r="J47" s="396"/>
      <c r="K47" s="396">
        <f>K45/(K4+K6+K8)</f>
        <v>8.9223513403483556E-2</v>
      </c>
      <c r="L47" s="396"/>
      <c r="M47" s="396">
        <f>M45/(M4+M6+M8)</f>
        <v>8.2042564412035626E-2</v>
      </c>
      <c r="N47" s="396"/>
      <c r="O47" s="396">
        <f>O45/(O4+O6+O8)</f>
        <v>7.4761877616037434E-2</v>
      </c>
      <c r="P47" s="396"/>
      <c r="Q47" s="396">
        <f>Q45/(Q4+Q6+Q8)</f>
        <v>6.738120386045926E-2</v>
      </c>
      <c r="R47" s="396"/>
      <c r="S47" s="396">
        <f>S45/(S4+S6+S8)</f>
        <v>5.9900273903473585E-2</v>
      </c>
      <c r="T47" s="396"/>
      <c r="U47" s="396">
        <f>U45/(U4+U6+U8)</f>
        <v>5.2318798651119477E-2</v>
      </c>
      <c r="V47" s="396"/>
      <c r="W47" s="396">
        <f>W45/(W4+W6+W8)</f>
        <v>4.4636469383756219E-2</v>
      </c>
      <c r="X47" s="396"/>
      <c r="Y47" s="396">
        <f>Y45/(Y4+Y6+Y8)</f>
        <v>3.6852957974476117E-2</v>
      </c>
      <c r="Z47" s="396"/>
      <c r="AA47" s="396">
        <f>AA45/(AA4+AA6+AA8)</f>
        <v>2.8967917099652754E-2</v>
      </c>
      <c r="AB47" s="396"/>
      <c r="AC47" s="396">
        <f>AC45/(AC4+AC6+AC8)</f>
        <v>2.098098044178974E-2</v>
      </c>
      <c r="AD47" s="396"/>
      <c r="AE47" s="396">
        <f>AE45/(AE4+AE6+AE8)</f>
        <v>1.2891762884832939E-2</v>
      </c>
      <c r="AF47" s="396"/>
      <c r="AG47" s="396">
        <f>AG45/(AG4+AG6+AG8)</f>
        <v>4.6998607021043002E-3</v>
      </c>
      <c r="AH47" s="396"/>
      <c r="AI47" s="396"/>
    </row>
    <row r="48" spans="1:35" ht="14.25">
      <c r="A48" s="396" t="s">
        <v>1135</v>
      </c>
      <c r="B48" s="396"/>
      <c r="C48" s="389"/>
      <c r="D48" s="396"/>
      <c r="E48" s="396" t="e">
        <f>E45/E43</f>
        <v>#DIV/0!</v>
      </c>
      <c r="F48" s="396"/>
      <c r="G48" s="396" t="e">
        <f>G45/G43</f>
        <v>#DIV/0!</v>
      </c>
      <c r="H48" s="396"/>
      <c r="I48" s="396" t="e">
        <f>I45/I43</f>
        <v>#DIV/0!</v>
      </c>
      <c r="J48" s="396"/>
      <c r="K48" s="396" t="e">
        <f>K45/K43</f>
        <v>#DIV/0!</v>
      </c>
      <c r="L48" s="396"/>
      <c r="M48" s="396" t="e">
        <f>M45/M43</f>
        <v>#DIV/0!</v>
      </c>
      <c r="N48" s="396"/>
      <c r="O48" s="396" t="e">
        <f>O45/O43</f>
        <v>#DIV/0!</v>
      </c>
      <c r="P48" s="396"/>
      <c r="Q48" s="396" t="e">
        <f>Q45/Q43</f>
        <v>#DIV/0!</v>
      </c>
      <c r="R48" s="396"/>
      <c r="S48" s="396" t="e">
        <f>S45/S43</f>
        <v>#DIV/0!</v>
      </c>
      <c r="T48" s="396"/>
      <c r="U48" s="396" t="e">
        <f>U45/U43</f>
        <v>#DIV/0!</v>
      </c>
      <c r="V48" s="396"/>
      <c r="W48" s="396" t="e">
        <f>W45/W43</f>
        <v>#DIV/0!</v>
      </c>
      <c r="X48" s="396"/>
      <c r="Y48" s="396" t="e">
        <f>Y45/Y43</f>
        <v>#DIV/0!</v>
      </c>
      <c r="Z48" s="396"/>
      <c r="AA48" s="396" t="e">
        <f>AA45/AA43</f>
        <v>#DIV/0!</v>
      </c>
      <c r="AB48" s="396"/>
      <c r="AC48" s="396" t="e">
        <f>AC45/AC43</f>
        <v>#DIV/0!</v>
      </c>
      <c r="AD48" s="396"/>
      <c r="AE48" s="396" t="e">
        <f>AE45/AE43</f>
        <v>#DIV/0!</v>
      </c>
      <c r="AF48" s="396"/>
      <c r="AG48" s="396" t="e">
        <f>AG45/AG43</f>
        <v>#DIV/0!</v>
      </c>
      <c r="AH48" s="396"/>
      <c r="AI48" s="396"/>
    </row>
    <row r="49" spans="1:35" ht="14.25">
      <c r="A49" s="397" t="s">
        <v>1136</v>
      </c>
      <c r="B49" s="397"/>
      <c r="C49" s="398"/>
      <c r="D49" s="397"/>
      <c r="E49" s="397" t="e">
        <f>E37/E43</f>
        <v>#DIV/0!</v>
      </c>
      <c r="F49" s="397"/>
      <c r="G49" s="397" t="e">
        <f>G37/G43</f>
        <v>#DIV/0!</v>
      </c>
      <c r="H49" s="397"/>
      <c r="I49" s="397" t="e">
        <f>I37/I43</f>
        <v>#DIV/0!</v>
      </c>
      <c r="J49" s="397"/>
      <c r="K49" s="397" t="e">
        <f>K37/K43</f>
        <v>#DIV/0!</v>
      </c>
      <c r="L49" s="397"/>
      <c r="M49" s="397" t="e">
        <f>M37/M43</f>
        <v>#DIV/0!</v>
      </c>
      <c r="N49" s="397"/>
      <c r="O49" s="397" t="e">
        <f>O37/O43</f>
        <v>#DIV/0!</v>
      </c>
      <c r="P49" s="397"/>
      <c r="Q49" s="397" t="e">
        <f>Q37/Q43</f>
        <v>#DIV/0!</v>
      </c>
      <c r="R49" s="397"/>
      <c r="S49" s="397" t="e">
        <f>S37/S43</f>
        <v>#DIV/0!</v>
      </c>
      <c r="T49" s="397"/>
      <c r="U49" s="397" t="e">
        <f>U37/U43</f>
        <v>#DIV/0!</v>
      </c>
      <c r="V49" s="397"/>
      <c r="W49" s="397" t="e">
        <f>W37/W43</f>
        <v>#DIV/0!</v>
      </c>
      <c r="X49" s="397"/>
      <c r="Y49" s="397" t="e">
        <f>Y37/Y43</f>
        <v>#DIV/0!</v>
      </c>
      <c r="Z49" s="397"/>
      <c r="AA49" s="397" t="e">
        <f>AA37/AA43</f>
        <v>#DIV/0!</v>
      </c>
      <c r="AB49" s="397"/>
      <c r="AC49" s="397" t="e">
        <f>AC37/AC43</f>
        <v>#DIV/0!</v>
      </c>
      <c r="AD49" s="397"/>
      <c r="AE49" s="397" t="e">
        <f>AE37/AE43</f>
        <v>#DIV/0!</v>
      </c>
      <c r="AF49" s="397"/>
      <c r="AG49" s="397" t="e">
        <f>AG37/AG43</f>
        <v>#DIV/0!</v>
      </c>
      <c r="AH49" s="397"/>
      <c r="AI49" s="397"/>
    </row>
    <row r="50" spans="1:35" ht="14.25">
      <c r="A50" s="399"/>
      <c r="B50" s="399"/>
      <c r="C50" s="400"/>
      <c r="D50" s="399"/>
      <c r="E50" s="401"/>
      <c r="F50" s="401"/>
      <c r="G50" s="401"/>
      <c r="H50" s="401"/>
      <c r="I50" s="401"/>
      <c r="J50" s="401"/>
      <c r="K50" s="401"/>
      <c r="L50" s="401"/>
      <c r="M50" s="401"/>
      <c r="N50" s="401"/>
      <c r="O50" s="401"/>
      <c r="P50" s="401"/>
      <c r="Q50" s="401"/>
      <c r="R50" s="401"/>
      <c r="S50" s="401"/>
      <c r="T50" s="401"/>
      <c r="U50" s="401"/>
      <c r="V50" s="401"/>
      <c r="W50" s="401"/>
      <c r="X50" s="401"/>
      <c r="Y50" s="401"/>
      <c r="Z50" s="401"/>
      <c r="AA50" s="401"/>
      <c r="AB50" s="401"/>
      <c r="AC50" s="401"/>
      <c r="AD50" s="401"/>
      <c r="AE50" s="401"/>
      <c r="AF50" s="401"/>
      <c r="AG50" s="401"/>
      <c r="AH50" s="380"/>
      <c r="AI50" s="380"/>
    </row>
    <row r="51" spans="1:35">
      <c r="A51" s="365" t="s">
        <v>1137</v>
      </c>
      <c r="B51" s="365"/>
      <c r="C51" s="402"/>
      <c r="D51" s="365"/>
      <c r="E51" s="384"/>
      <c r="F51" s="384"/>
      <c r="G51" s="384"/>
      <c r="H51" s="384"/>
      <c r="I51" s="384"/>
      <c r="J51" s="384"/>
      <c r="K51" s="384"/>
      <c r="L51" s="384"/>
      <c r="M51" s="384"/>
      <c r="N51" s="384"/>
      <c r="O51" s="384"/>
      <c r="P51" s="384"/>
      <c r="Q51" s="384"/>
      <c r="R51" s="384"/>
      <c r="S51" s="384"/>
      <c r="T51" s="384"/>
      <c r="U51" s="384"/>
      <c r="V51" s="384"/>
      <c r="W51" s="384"/>
      <c r="X51" s="384"/>
      <c r="Y51" s="384"/>
      <c r="Z51" s="384"/>
      <c r="AA51" s="384"/>
      <c r="AB51" s="384"/>
      <c r="AC51" s="384"/>
      <c r="AD51" s="384"/>
      <c r="AE51" s="384"/>
      <c r="AF51" s="384"/>
      <c r="AG51" s="384"/>
      <c r="AH51" s="365"/>
      <c r="AI51" s="365"/>
    </row>
    <row r="52" spans="1:35">
      <c r="A52" s="365"/>
      <c r="B52" s="365"/>
      <c r="C52" s="402"/>
      <c r="D52" s="365"/>
      <c r="E52" s="384"/>
      <c r="F52" s="384"/>
      <c r="G52" s="384"/>
      <c r="H52" s="384"/>
      <c r="I52" s="384"/>
      <c r="J52" s="384"/>
      <c r="K52" s="384"/>
      <c r="L52" s="384"/>
      <c r="M52" s="384"/>
      <c r="N52" s="384"/>
      <c r="O52" s="384"/>
      <c r="P52" s="384"/>
      <c r="Q52" s="384"/>
      <c r="R52" s="384"/>
      <c r="S52" s="384"/>
      <c r="T52" s="384"/>
      <c r="U52" s="384"/>
      <c r="V52" s="384"/>
      <c r="W52" s="384"/>
      <c r="X52" s="384"/>
      <c r="Y52" s="384"/>
      <c r="Z52" s="384"/>
      <c r="AA52" s="384"/>
      <c r="AB52" s="384"/>
      <c r="AC52" s="384"/>
      <c r="AD52" s="384"/>
      <c r="AE52" s="384"/>
      <c r="AF52" s="384"/>
      <c r="AG52" s="384"/>
      <c r="AH52" s="365"/>
      <c r="AI52" s="365"/>
    </row>
    <row r="53" spans="1:35">
      <c r="A53" s="378" t="s">
        <v>1138</v>
      </c>
      <c r="B53" s="378"/>
      <c r="C53" s="824"/>
      <c r="D53" s="378"/>
      <c r="E53" s="405">
        <f>MAX(0,MIN(E45-E54,25000))</f>
        <v>25000</v>
      </c>
      <c r="F53" s="378"/>
      <c r="G53" s="405">
        <f>MAX(0,MIN(G45-G54,25000))</f>
        <v>25000</v>
      </c>
      <c r="H53" s="826"/>
      <c r="I53" s="405">
        <f>MAX(0,MIN(I45-I54,25000))</f>
        <v>25000</v>
      </c>
      <c r="J53" s="826"/>
      <c r="K53" s="405">
        <f>MAX(0,MIN(K45-K54,25000))</f>
        <v>25000</v>
      </c>
      <c r="L53" s="826"/>
      <c r="M53" s="405">
        <f>MAX(0,MIN(M45-M54,25000))</f>
        <v>25000</v>
      </c>
      <c r="N53" s="826"/>
      <c r="O53" s="405">
        <f>MAX(0,MIN(O45-O54,25000))</f>
        <v>25000</v>
      </c>
      <c r="P53" s="826"/>
      <c r="Q53" s="405">
        <f>MAX(0,MIN(Q45-Q54,25000))</f>
        <v>25000</v>
      </c>
      <c r="R53" s="826"/>
      <c r="S53" s="405">
        <f>MAX(0,MIN(S45-S54,25000))</f>
        <v>25000</v>
      </c>
      <c r="T53" s="826"/>
      <c r="U53" s="405">
        <f>MAX(0,MIN(U45-U54,25000))</f>
        <v>25000</v>
      </c>
      <c r="V53" s="826"/>
      <c r="W53" s="405">
        <f>MAX(0,MIN(W45-W54,25000))</f>
        <v>23324.841931780335</v>
      </c>
      <c r="X53" s="826"/>
      <c r="Y53" s="405">
        <f>MAX(0,MIN(Y45-Y54,25000))</f>
        <v>18970.322459432413</v>
      </c>
      <c r="Z53" s="826"/>
      <c r="AA53" s="405">
        <f>MAX(0,MIN(AA45-AA54,25000))</f>
        <v>14312.6850820533</v>
      </c>
      <c r="AB53" s="826"/>
      <c r="AC53" s="405">
        <f>MAX(0,MIN(AC45-AC54,25000))</f>
        <v>9337.552929879399</v>
      </c>
      <c r="AD53" s="826"/>
      <c r="AE53" s="405">
        <f>MAX(0,MIN(AE45-AE54,25000))</f>
        <v>4029.9517491282895</v>
      </c>
      <c r="AF53" s="826"/>
      <c r="AG53" s="405">
        <f>MAX(0,MIN(AG45-AG54,25000))</f>
        <v>0</v>
      </c>
      <c r="AH53" s="378"/>
      <c r="AI53" s="378"/>
    </row>
    <row r="54" spans="1:35">
      <c r="A54" s="365" t="s">
        <v>1139</v>
      </c>
      <c r="B54" s="365"/>
      <c r="C54" s="413"/>
      <c r="D54" s="365"/>
      <c r="E54" s="406">
        <f>MAX(0,MIN(E45,5000))</f>
        <v>5000</v>
      </c>
      <c r="F54" s="384"/>
      <c r="G54" s="406">
        <f>MAX(0,MIN(G45,5000))</f>
        <v>5000</v>
      </c>
      <c r="H54" s="825"/>
      <c r="I54" s="406">
        <f>MAX(0,MIN(I45,5000))</f>
        <v>5000</v>
      </c>
      <c r="J54" s="825"/>
      <c r="K54" s="406">
        <f>MAX(0,MIN(K45,5000))</f>
        <v>5000</v>
      </c>
      <c r="L54" s="825"/>
      <c r="M54" s="406">
        <f>MAX(0,MIN(M45,5000))</f>
        <v>5000</v>
      </c>
      <c r="N54" s="825"/>
      <c r="O54" s="406">
        <f>MAX(0,MIN(O45,5000))</f>
        <v>5000</v>
      </c>
      <c r="P54" s="825"/>
      <c r="Q54" s="406">
        <f>MAX(0,MIN(Q45,5000))</f>
        <v>5000</v>
      </c>
      <c r="R54" s="825"/>
      <c r="S54" s="406">
        <f>MAX(0,MIN(S45,5000))</f>
        <v>5000</v>
      </c>
      <c r="T54" s="825"/>
      <c r="U54" s="406">
        <f>MAX(0,MIN(U45,5000))</f>
        <v>5000</v>
      </c>
      <c r="V54" s="825"/>
      <c r="W54" s="406">
        <f>MAX(0,MIN(W45,5000))</f>
        <v>5000</v>
      </c>
      <c r="X54" s="825"/>
      <c r="Y54" s="406">
        <f>MAX(0,MIN(Y45,5000))</f>
        <v>5000</v>
      </c>
      <c r="Z54" s="825"/>
      <c r="AA54" s="406">
        <f>MAX(0,MIN(AA45,5000))</f>
        <v>5000</v>
      </c>
      <c r="AB54" s="825"/>
      <c r="AC54" s="406">
        <f>MAX(0,MIN(AC45,5000))</f>
        <v>5000</v>
      </c>
      <c r="AD54" s="825"/>
      <c r="AE54" s="406">
        <f>MAX(0,MIN(AE45,5000))</f>
        <v>5000</v>
      </c>
      <c r="AF54" s="825"/>
      <c r="AG54" s="406">
        <f>MAX(0,MIN(AG45,5000))</f>
        <v>3374.2866387183312</v>
      </c>
      <c r="AH54" s="384"/>
      <c r="AI54" s="384"/>
    </row>
    <row r="55" spans="1:35">
      <c r="A55" s="365" t="s">
        <v>1140</v>
      </c>
      <c r="B55" s="365"/>
      <c r="C55" s="413"/>
      <c r="D55" s="365"/>
      <c r="E55" s="406"/>
      <c r="F55" s="384"/>
      <c r="G55" s="825">
        <f t="shared" ref="G55:AG57" si="14">E55*$C$53</f>
        <v>0</v>
      </c>
      <c r="H55" s="825"/>
      <c r="I55" s="825">
        <f t="shared" si="14"/>
        <v>0</v>
      </c>
      <c r="J55" s="825"/>
      <c r="K55" s="825">
        <f t="shared" si="14"/>
        <v>0</v>
      </c>
      <c r="L55" s="825"/>
      <c r="M55" s="825">
        <f t="shared" si="14"/>
        <v>0</v>
      </c>
      <c r="N55" s="825"/>
      <c r="O55" s="825">
        <f t="shared" si="14"/>
        <v>0</v>
      </c>
      <c r="P55" s="825"/>
      <c r="Q55" s="825">
        <f t="shared" si="14"/>
        <v>0</v>
      </c>
      <c r="R55" s="825"/>
      <c r="S55" s="825">
        <f t="shared" si="14"/>
        <v>0</v>
      </c>
      <c r="T55" s="825"/>
      <c r="U55" s="825">
        <f t="shared" si="14"/>
        <v>0</v>
      </c>
      <c r="V55" s="825"/>
      <c r="W55" s="825">
        <f t="shared" si="14"/>
        <v>0</v>
      </c>
      <c r="X55" s="825"/>
      <c r="Y55" s="825">
        <f t="shared" si="14"/>
        <v>0</v>
      </c>
      <c r="Z55" s="825"/>
      <c r="AA55" s="825">
        <f t="shared" si="14"/>
        <v>0</v>
      </c>
      <c r="AB55" s="825"/>
      <c r="AC55" s="825">
        <f t="shared" si="14"/>
        <v>0</v>
      </c>
      <c r="AD55" s="825"/>
      <c r="AE55" s="825">
        <f t="shared" si="14"/>
        <v>0</v>
      </c>
      <c r="AF55" s="825"/>
      <c r="AG55" s="825">
        <f t="shared" si="14"/>
        <v>0</v>
      </c>
      <c r="AH55" s="384"/>
      <c r="AI55" s="384"/>
    </row>
    <row r="56" spans="1:35">
      <c r="A56" s="404"/>
      <c r="B56" s="404"/>
      <c r="C56" s="413"/>
      <c r="D56" s="365"/>
      <c r="E56" s="406"/>
      <c r="F56" s="384"/>
      <c r="G56" s="825">
        <f t="shared" si="14"/>
        <v>0</v>
      </c>
      <c r="H56" s="825"/>
      <c r="I56" s="825">
        <f t="shared" si="14"/>
        <v>0</v>
      </c>
      <c r="J56" s="825"/>
      <c r="K56" s="825">
        <f t="shared" si="14"/>
        <v>0</v>
      </c>
      <c r="L56" s="825"/>
      <c r="M56" s="825">
        <f t="shared" si="14"/>
        <v>0</v>
      </c>
      <c r="N56" s="825"/>
      <c r="O56" s="825">
        <f t="shared" si="14"/>
        <v>0</v>
      </c>
      <c r="P56" s="825"/>
      <c r="Q56" s="825">
        <f t="shared" si="14"/>
        <v>0</v>
      </c>
      <c r="R56" s="825"/>
      <c r="S56" s="825">
        <f t="shared" si="14"/>
        <v>0</v>
      </c>
      <c r="T56" s="825"/>
      <c r="U56" s="825">
        <f t="shared" si="14"/>
        <v>0</v>
      </c>
      <c r="V56" s="825"/>
      <c r="W56" s="825">
        <f t="shared" si="14"/>
        <v>0</v>
      </c>
      <c r="X56" s="825"/>
      <c r="Y56" s="825">
        <f t="shared" si="14"/>
        <v>0</v>
      </c>
      <c r="Z56" s="825"/>
      <c r="AA56" s="825">
        <f t="shared" si="14"/>
        <v>0</v>
      </c>
      <c r="AB56" s="825"/>
      <c r="AC56" s="825">
        <f t="shared" si="14"/>
        <v>0</v>
      </c>
      <c r="AD56" s="825"/>
      <c r="AE56" s="825">
        <f t="shared" si="14"/>
        <v>0</v>
      </c>
      <c r="AF56" s="825"/>
      <c r="AG56" s="825">
        <f t="shared" si="14"/>
        <v>0</v>
      </c>
      <c r="AH56" s="384"/>
      <c r="AI56" s="384"/>
    </row>
    <row r="57" spans="1:35">
      <c r="A57" s="404"/>
      <c r="B57" s="404"/>
      <c r="C57" s="413"/>
      <c r="D57" s="365"/>
      <c r="E57" s="410"/>
      <c r="F57" s="384"/>
      <c r="G57" s="827">
        <f t="shared" si="14"/>
        <v>0</v>
      </c>
      <c r="H57" s="825"/>
      <c r="I57" s="827">
        <f t="shared" si="14"/>
        <v>0</v>
      </c>
      <c r="J57" s="825"/>
      <c r="K57" s="827">
        <f t="shared" si="14"/>
        <v>0</v>
      </c>
      <c r="L57" s="825"/>
      <c r="M57" s="827">
        <f t="shared" si="14"/>
        <v>0</v>
      </c>
      <c r="N57" s="825"/>
      <c r="O57" s="827">
        <f t="shared" si="14"/>
        <v>0</v>
      </c>
      <c r="P57" s="825"/>
      <c r="Q57" s="827">
        <f t="shared" si="14"/>
        <v>0</v>
      </c>
      <c r="R57" s="825"/>
      <c r="S57" s="827">
        <f t="shared" si="14"/>
        <v>0</v>
      </c>
      <c r="T57" s="825"/>
      <c r="U57" s="827">
        <f t="shared" si="14"/>
        <v>0</v>
      </c>
      <c r="V57" s="825"/>
      <c r="W57" s="827">
        <f t="shared" si="14"/>
        <v>0</v>
      </c>
      <c r="X57" s="825"/>
      <c r="Y57" s="827">
        <f t="shared" si="14"/>
        <v>0</v>
      </c>
      <c r="Z57" s="825"/>
      <c r="AA57" s="827">
        <f t="shared" si="14"/>
        <v>0</v>
      </c>
      <c r="AB57" s="825"/>
      <c r="AC57" s="827">
        <f t="shared" si="14"/>
        <v>0</v>
      </c>
      <c r="AD57" s="825"/>
      <c r="AE57" s="827">
        <f t="shared" si="14"/>
        <v>0</v>
      </c>
      <c r="AF57" s="825"/>
      <c r="AG57" s="827">
        <f t="shared" si="14"/>
        <v>0</v>
      </c>
      <c r="AH57" s="384"/>
      <c r="AI57" s="384"/>
    </row>
    <row r="58" spans="1:35">
      <c r="A58" s="378" t="s">
        <v>1141</v>
      </c>
      <c r="B58" s="365"/>
      <c r="C58" s="402"/>
      <c r="D58" s="365"/>
      <c r="E58" s="384">
        <f>SUM(E53:E57)</f>
        <v>30000</v>
      </c>
      <c r="F58" s="384"/>
      <c r="G58" s="384">
        <f>SUM(G53:G57)</f>
        <v>30000</v>
      </c>
      <c r="H58" s="384"/>
      <c r="I58" s="384">
        <f>SUM(I53:I57)</f>
        <v>30000</v>
      </c>
      <c r="J58" s="384"/>
      <c r="K58" s="384">
        <f>SUM(K53:K57)</f>
        <v>30000</v>
      </c>
      <c r="L58" s="384"/>
      <c r="M58" s="384">
        <f>SUM(M53:M57)</f>
        <v>30000</v>
      </c>
      <c r="N58" s="384"/>
      <c r="O58" s="384">
        <f>SUM(O53:O57)</f>
        <v>30000</v>
      </c>
      <c r="P58" s="384"/>
      <c r="Q58" s="384">
        <f>SUM(Q53:Q57)</f>
        <v>30000</v>
      </c>
      <c r="R58" s="384"/>
      <c r="S58" s="384">
        <f>SUM(S53:S57)</f>
        <v>30000</v>
      </c>
      <c r="T58" s="384"/>
      <c r="U58" s="384">
        <f>SUM(U53:U57)</f>
        <v>30000</v>
      </c>
      <c r="V58" s="384"/>
      <c r="W58" s="384">
        <f>SUM(W53:W57)</f>
        <v>28324.841931780335</v>
      </c>
      <c r="X58" s="384"/>
      <c r="Y58" s="384">
        <f>SUM(Y53:Y57)</f>
        <v>23970.322459432413</v>
      </c>
      <c r="Z58" s="384"/>
      <c r="AA58" s="384">
        <f>SUM(AA53:AA57)</f>
        <v>19312.6850820533</v>
      </c>
      <c r="AB58" s="384"/>
      <c r="AC58" s="384">
        <f>SUM(AC53:AC57)</f>
        <v>14337.552929879399</v>
      </c>
      <c r="AD58" s="384"/>
      <c r="AE58" s="384">
        <f>SUM(AE53:AE57)</f>
        <v>9029.9517491282895</v>
      </c>
      <c r="AF58" s="384"/>
      <c r="AG58" s="384">
        <f>SUM(AG53:AG57)</f>
        <v>3374.2866387183312</v>
      </c>
      <c r="AH58" s="384"/>
      <c r="AI58" s="384"/>
    </row>
    <row r="59" spans="1:35">
      <c r="A59" s="378"/>
      <c r="B59" s="365"/>
      <c r="C59" s="402"/>
      <c r="D59" s="365"/>
      <c r="E59" s="384"/>
      <c r="F59" s="384"/>
      <c r="G59" s="384"/>
      <c r="H59" s="384"/>
      <c r="I59" s="384"/>
      <c r="J59" s="384"/>
      <c r="K59" s="384"/>
      <c r="L59" s="384"/>
      <c r="M59" s="384"/>
      <c r="N59" s="384"/>
      <c r="O59" s="384"/>
      <c r="P59" s="384"/>
      <c r="Q59" s="384"/>
      <c r="R59" s="384"/>
      <c r="S59" s="384"/>
      <c r="T59" s="384"/>
      <c r="U59" s="384"/>
      <c r="V59" s="384"/>
      <c r="W59" s="384"/>
      <c r="X59" s="384"/>
      <c r="Y59" s="384"/>
      <c r="Z59" s="384"/>
      <c r="AA59" s="384"/>
      <c r="AB59" s="384"/>
      <c r="AC59" s="384"/>
      <c r="AD59" s="384"/>
      <c r="AE59" s="384"/>
      <c r="AF59" s="384"/>
      <c r="AG59" s="384"/>
      <c r="AH59" s="384"/>
      <c r="AI59" s="384"/>
    </row>
    <row r="60" spans="1:35">
      <c r="A60" s="378" t="s">
        <v>1142</v>
      </c>
      <c r="B60" s="378"/>
      <c r="C60" s="403"/>
      <c r="D60" s="378"/>
      <c r="E60" s="378">
        <f>E45-E58</f>
        <v>25979.199999999953</v>
      </c>
      <c r="F60" s="378"/>
      <c r="G60" s="378">
        <f>G45-G58</f>
        <v>23793.869999999995</v>
      </c>
      <c r="H60" s="378"/>
      <c r="I60" s="378">
        <f>I45-I58</f>
        <v>21411.375900000043</v>
      </c>
      <c r="J60" s="378"/>
      <c r="K60" s="378">
        <f>K45-K58</f>
        <v>18821.800017750007</v>
      </c>
      <c r="L60" s="378"/>
      <c r="M60" s="378">
        <f>M45-M58</f>
        <v>16014.802128652518</v>
      </c>
      <c r="N60" s="378"/>
      <c r="O60" s="378">
        <f>O45-O58</f>
        <v>12979.60279119364</v>
      </c>
      <c r="P60" s="378"/>
      <c r="Q60" s="378">
        <f>Q45-Q58</f>
        <v>9704.9660416245461</v>
      </c>
      <c r="R60" s="378"/>
      <c r="S60" s="378">
        <f>S45-S58</f>
        <v>6179.1814346391475</v>
      </c>
      <c r="T60" s="378"/>
      <c r="U60" s="378">
        <f>U45-U58</f>
        <v>2390.0454059480689</v>
      </c>
      <c r="V60" s="378"/>
      <c r="W60" s="378">
        <f>W45-W58</f>
        <v>0</v>
      </c>
      <c r="X60" s="378"/>
      <c r="Y60" s="378">
        <f>Y45-Y58</f>
        <v>0</v>
      </c>
      <c r="Z60" s="378"/>
      <c r="AA60" s="378">
        <f>AA45-AA58</f>
        <v>0</v>
      </c>
      <c r="AB60" s="378"/>
      <c r="AC60" s="378">
        <f>AC45-AC58</f>
        <v>0</v>
      </c>
      <c r="AD60" s="378"/>
      <c r="AE60" s="378">
        <f>AE45-AE58</f>
        <v>0</v>
      </c>
      <c r="AF60" s="378"/>
      <c r="AG60" s="378">
        <f>AG45-AG58</f>
        <v>0</v>
      </c>
      <c r="AH60" s="378"/>
      <c r="AI60" s="378"/>
    </row>
    <row r="61" spans="1:35">
      <c r="A61" s="365"/>
      <c r="B61" s="365"/>
      <c r="C61" s="402"/>
      <c r="D61" s="365"/>
      <c r="E61" s="384"/>
      <c r="F61" s="384"/>
      <c r="G61" s="384"/>
      <c r="H61" s="384"/>
      <c r="I61" s="384"/>
      <c r="J61" s="384"/>
      <c r="K61" s="384"/>
      <c r="L61" s="384"/>
      <c r="M61" s="384"/>
      <c r="N61" s="384"/>
      <c r="O61" s="384"/>
      <c r="P61" s="384"/>
      <c r="Q61" s="384"/>
      <c r="R61" s="384"/>
      <c r="S61" s="384"/>
      <c r="T61" s="384"/>
      <c r="U61" s="384"/>
      <c r="V61" s="384"/>
      <c r="W61" s="384"/>
      <c r="X61" s="384"/>
      <c r="Y61" s="384"/>
      <c r="Z61" s="384"/>
      <c r="AA61" s="384"/>
      <c r="AB61" s="384"/>
      <c r="AC61" s="384"/>
      <c r="AD61" s="384"/>
      <c r="AE61" s="384"/>
      <c r="AF61" s="384"/>
      <c r="AG61" s="384"/>
      <c r="AH61" s="384"/>
      <c r="AI61" s="384"/>
    </row>
    <row r="62" spans="1:35">
      <c r="A62" s="378" t="s">
        <v>1143</v>
      </c>
      <c r="B62" s="378"/>
      <c r="C62" s="829"/>
      <c r="D62" s="378"/>
      <c r="E62" s="405"/>
      <c r="F62" s="378"/>
      <c r="G62" s="828">
        <f>G60*$C$62</f>
        <v>0</v>
      </c>
      <c r="H62" s="378"/>
      <c r="I62" s="828">
        <f>I60*$C$62</f>
        <v>0</v>
      </c>
      <c r="J62" s="378"/>
      <c r="K62" s="828">
        <f>K60*$C$62</f>
        <v>0</v>
      </c>
      <c r="L62" s="378"/>
      <c r="M62" s="828">
        <f>M60*$C$62</f>
        <v>0</v>
      </c>
      <c r="N62" s="378"/>
      <c r="O62" s="828">
        <f>O60*$C$62</f>
        <v>0</v>
      </c>
      <c r="P62" s="378"/>
      <c r="Q62" s="828">
        <f>Q60*$C$62</f>
        <v>0</v>
      </c>
      <c r="R62" s="378"/>
      <c r="S62" s="828">
        <f>S60*$C$62</f>
        <v>0</v>
      </c>
      <c r="T62" s="378"/>
      <c r="U62" s="828">
        <f>U60*$C$62</f>
        <v>0</v>
      </c>
      <c r="V62" s="378"/>
      <c r="W62" s="828">
        <f>W60*$C$62</f>
        <v>0</v>
      </c>
      <c r="X62" s="378"/>
      <c r="Y62" s="828">
        <f>Y60*$C$62</f>
        <v>0</v>
      </c>
      <c r="Z62" s="378"/>
      <c r="AA62" s="828">
        <f>AA60*$C$62</f>
        <v>0</v>
      </c>
      <c r="AB62" s="378"/>
      <c r="AC62" s="828">
        <f>AC60*$C$62</f>
        <v>0</v>
      </c>
      <c r="AD62" s="378"/>
      <c r="AE62" s="828">
        <f>AE60*$C$62</f>
        <v>0</v>
      </c>
      <c r="AF62" s="378"/>
      <c r="AG62" s="828">
        <f>AG60*$C$62</f>
        <v>0</v>
      </c>
      <c r="AH62" s="378"/>
      <c r="AI62" s="378"/>
    </row>
    <row r="63" spans="1:35">
      <c r="A63" s="378"/>
      <c r="B63" s="378"/>
      <c r="C63" s="403"/>
      <c r="D63" s="378"/>
      <c r="E63" s="378"/>
      <c r="F63" s="378"/>
      <c r="G63" s="378"/>
      <c r="H63" s="378"/>
      <c r="I63" s="378"/>
      <c r="J63" s="378"/>
      <c r="K63" s="378"/>
      <c r="L63" s="378"/>
      <c r="M63" s="378"/>
      <c r="N63" s="378"/>
      <c r="O63" s="378"/>
      <c r="P63" s="378"/>
      <c r="Q63" s="378"/>
      <c r="R63" s="378"/>
      <c r="S63" s="378"/>
      <c r="T63" s="378"/>
      <c r="U63" s="378"/>
      <c r="V63" s="378"/>
      <c r="W63" s="378"/>
      <c r="X63" s="378"/>
      <c r="Y63" s="378"/>
      <c r="Z63" s="378"/>
      <c r="AA63" s="378"/>
      <c r="AB63" s="378"/>
      <c r="AC63" s="378"/>
      <c r="AD63" s="378"/>
      <c r="AE63" s="378"/>
      <c r="AF63" s="378"/>
      <c r="AG63" s="378"/>
      <c r="AH63" s="378"/>
      <c r="AI63" s="378"/>
    </row>
    <row r="64" spans="1:35">
      <c r="A64" s="365"/>
      <c r="B64" s="365"/>
      <c r="C64" s="402"/>
      <c r="D64" s="365"/>
      <c r="E64" s="384"/>
      <c r="F64" s="384"/>
      <c r="G64" s="384"/>
      <c r="H64" s="384"/>
      <c r="I64" s="384"/>
      <c r="J64" s="384"/>
      <c r="K64" s="384"/>
      <c r="L64" s="384"/>
      <c r="M64" s="384"/>
      <c r="N64" s="384"/>
      <c r="O64" s="384"/>
      <c r="P64" s="384"/>
      <c r="Q64" s="384"/>
      <c r="R64" s="384"/>
      <c r="S64" s="384"/>
      <c r="T64" s="384"/>
      <c r="U64" s="384"/>
      <c r="V64" s="384"/>
      <c r="W64" s="384"/>
      <c r="X64" s="384"/>
      <c r="Y64" s="384"/>
      <c r="Z64" s="384"/>
      <c r="AA64" s="384"/>
      <c r="AB64" s="384"/>
      <c r="AC64" s="384"/>
      <c r="AD64" s="384"/>
      <c r="AE64" s="384"/>
      <c r="AF64" s="384"/>
      <c r="AG64" s="384"/>
      <c r="AH64" s="384"/>
      <c r="AI64" s="384"/>
    </row>
    <row r="65" spans="1:35">
      <c r="A65" s="365" t="s">
        <v>1144</v>
      </c>
      <c r="B65" s="365"/>
      <c r="C65" s="830"/>
      <c r="D65" s="365"/>
      <c r="E65" s="384"/>
      <c r="F65" s="384"/>
      <c r="G65" s="384"/>
      <c r="H65" s="384"/>
      <c r="I65" s="384"/>
      <c r="J65" s="384"/>
      <c r="K65" s="384"/>
      <c r="L65" s="384"/>
      <c r="M65" s="384"/>
      <c r="N65" s="384"/>
      <c r="O65" s="384"/>
      <c r="P65" s="384"/>
      <c r="Q65" s="384"/>
      <c r="R65" s="384"/>
      <c r="S65" s="384"/>
      <c r="T65" s="384"/>
      <c r="U65" s="384"/>
      <c r="V65" s="384"/>
      <c r="W65" s="384"/>
      <c r="X65" s="384"/>
      <c r="Y65" s="384"/>
      <c r="Z65" s="384"/>
      <c r="AA65" s="384"/>
      <c r="AB65" s="384"/>
      <c r="AC65" s="384"/>
      <c r="AD65" s="384"/>
      <c r="AE65" s="384"/>
      <c r="AF65" s="384"/>
      <c r="AG65" s="384"/>
      <c r="AH65" s="384"/>
      <c r="AI65" s="384"/>
    </row>
    <row r="66" spans="1:35">
      <c r="A66" s="965" t="s">
        <v>2447</v>
      </c>
      <c r="B66" s="405"/>
      <c r="C66" s="403"/>
      <c r="D66" s="378"/>
      <c r="E66" s="405">
        <f>MAX(0,E60)</f>
        <v>25979.199999999953</v>
      </c>
      <c r="F66" s="378"/>
      <c r="G66" s="405">
        <f>MAX(0,G60)</f>
        <v>23793.869999999995</v>
      </c>
      <c r="H66" s="378"/>
      <c r="I66" s="405">
        <f>MAX(0,I60)</f>
        <v>21411.375900000043</v>
      </c>
      <c r="J66" s="378"/>
      <c r="K66" s="405">
        <f>MAX(0,K60)</f>
        <v>18821.800017750007</v>
      </c>
      <c r="L66" s="378"/>
      <c r="M66" s="405">
        <f>MAX(0,M60)</f>
        <v>16014.802128652518</v>
      </c>
      <c r="N66" s="378"/>
      <c r="O66" s="405">
        <f>MAX(0,O60)</f>
        <v>12979.60279119364</v>
      </c>
      <c r="P66" s="378"/>
      <c r="Q66" s="405">
        <f>MAX(0,Q60)</f>
        <v>9704.9660416245461</v>
      </c>
      <c r="R66" s="378"/>
      <c r="S66" s="405">
        <f>MAX(0,S60)</f>
        <v>6179.1814346391475</v>
      </c>
      <c r="T66" s="378"/>
      <c r="U66" s="405">
        <f>MAX(0,U60)</f>
        <v>2390.0454059480689</v>
      </c>
      <c r="V66" s="378"/>
      <c r="W66" s="405">
        <f>MAX(0,W60)</f>
        <v>0</v>
      </c>
      <c r="X66" s="378"/>
      <c r="Y66" s="405">
        <f>MAX(0,Y60)</f>
        <v>0</v>
      </c>
      <c r="Z66" s="378"/>
      <c r="AA66" s="405">
        <f>MAX(0,AA60)</f>
        <v>0</v>
      </c>
      <c r="AB66" s="378"/>
      <c r="AC66" s="405">
        <f>MAX(0,AC60)</f>
        <v>0</v>
      </c>
      <c r="AD66" s="378"/>
      <c r="AE66" s="405">
        <f>MAX(0,AE60)</f>
        <v>0</v>
      </c>
      <c r="AF66" s="378"/>
      <c r="AG66" s="405">
        <f>MAX(0,AG60)</f>
        <v>0</v>
      </c>
      <c r="AH66" s="378"/>
      <c r="AI66" s="378"/>
    </row>
    <row r="67" spans="1:35">
      <c r="A67" s="406"/>
      <c r="B67" s="406"/>
      <c r="C67" s="386"/>
      <c r="D67" s="384"/>
      <c r="E67" s="406">
        <f>$E60*$C$65</f>
        <v>0</v>
      </c>
      <c r="F67" s="384"/>
      <c r="G67" s="831">
        <f>G60*$C$65</f>
        <v>0</v>
      </c>
      <c r="H67" s="384"/>
      <c r="I67" s="831">
        <f>I60*$C$65</f>
        <v>0</v>
      </c>
      <c r="J67" s="384"/>
      <c r="K67" s="831">
        <f>K60*$C$65</f>
        <v>0</v>
      </c>
      <c r="L67" s="384"/>
      <c r="M67" s="831">
        <f>M60*$C$65</f>
        <v>0</v>
      </c>
      <c r="N67" s="384"/>
      <c r="O67" s="831">
        <f>O60*$C$65</f>
        <v>0</v>
      </c>
      <c r="P67" s="384"/>
      <c r="Q67" s="831">
        <f>Q60*$C$65</f>
        <v>0</v>
      </c>
      <c r="R67" s="384"/>
      <c r="S67" s="831">
        <f>S60*$C$65</f>
        <v>0</v>
      </c>
      <c r="T67" s="384"/>
      <c r="U67" s="831">
        <f>U60*$C$65</f>
        <v>0</v>
      </c>
      <c r="V67" s="384"/>
      <c r="W67" s="831">
        <f>W60*$C$65</f>
        <v>0</v>
      </c>
      <c r="X67" s="384"/>
      <c r="Y67" s="831">
        <f>Y60*$C$65</f>
        <v>0</v>
      </c>
      <c r="Z67" s="384"/>
      <c r="AA67" s="831">
        <f>AA60*$C$65</f>
        <v>0</v>
      </c>
      <c r="AB67" s="384"/>
      <c r="AC67" s="831">
        <f>AC60*$C$65</f>
        <v>0</v>
      </c>
      <c r="AD67" s="384"/>
      <c r="AE67" s="831">
        <f>AE60*$C$65</f>
        <v>0</v>
      </c>
      <c r="AF67" s="384"/>
      <c r="AG67" s="831">
        <f>AG60*$C$65</f>
        <v>0</v>
      </c>
      <c r="AH67" s="384"/>
      <c r="AI67" s="384"/>
    </row>
    <row r="68" spans="1:35">
      <c r="A68" s="405"/>
      <c r="B68" s="405"/>
      <c r="C68" s="403"/>
      <c r="D68" s="378"/>
      <c r="E68" s="405"/>
      <c r="F68" s="378"/>
      <c r="G68" s="831">
        <f>G60*$C$65</f>
        <v>0</v>
      </c>
      <c r="H68" s="378"/>
      <c r="I68" s="831">
        <f>I60*$C$65</f>
        <v>0</v>
      </c>
      <c r="J68" s="378"/>
      <c r="K68" s="831">
        <f>K60*$C$65</f>
        <v>0</v>
      </c>
      <c r="L68" s="378"/>
      <c r="M68" s="831">
        <f>M60*$C$65</f>
        <v>0</v>
      </c>
      <c r="N68" s="378"/>
      <c r="O68" s="831">
        <f>O60*$C$65</f>
        <v>0</v>
      </c>
      <c r="P68" s="378"/>
      <c r="Q68" s="831">
        <f>Q60*$C$65</f>
        <v>0</v>
      </c>
      <c r="R68" s="378"/>
      <c r="S68" s="831">
        <f>S60*$C$65</f>
        <v>0</v>
      </c>
      <c r="T68" s="378"/>
      <c r="U68" s="831">
        <f>U60*$C$65</f>
        <v>0</v>
      </c>
      <c r="V68" s="378"/>
      <c r="W68" s="831">
        <f>W60*$C$65</f>
        <v>0</v>
      </c>
      <c r="X68" s="378"/>
      <c r="Y68" s="831">
        <f>Y60*$C$65</f>
        <v>0</v>
      </c>
      <c r="Z68" s="378"/>
      <c r="AA68" s="831">
        <f>AA60*$C$65</f>
        <v>0</v>
      </c>
      <c r="AB68" s="378"/>
      <c r="AC68" s="831">
        <f>AC60*$C$65</f>
        <v>0</v>
      </c>
      <c r="AD68" s="378"/>
      <c r="AE68" s="831">
        <f>AE60*$C$65</f>
        <v>0</v>
      </c>
      <c r="AF68" s="378"/>
      <c r="AG68" s="831">
        <f>AG60*$C$65</f>
        <v>0</v>
      </c>
      <c r="AH68" s="378"/>
      <c r="AI68" s="378"/>
    </row>
    <row r="69" spans="1:35">
      <c r="A69" s="406"/>
      <c r="B69" s="406"/>
      <c r="C69" s="386"/>
      <c r="D69" s="384"/>
      <c r="E69" s="410"/>
      <c r="F69" s="384"/>
      <c r="G69" s="832">
        <f>G60*$C$65</f>
        <v>0</v>
      </c>
      <c r="H69" s="384"/>
      <c r="I69" s="832">
        <f>I60*$C$65</f>
        <v>0</v>
      </c>
      <c r="J69" s="384"/>
      <c r="K69" s="832">
        <f>K60*$C$65</f>
        <v>0</v>
      </c>
      <c r="L69" s="384"/>
      <c r="M69" s="832">
        <f>M60*$C$65</f>
        <v>0</v>
      </c>
      <c r="N69" s="384"/>
      <c r="O69" s="832">
        <f>O60*$C$65</f>
        <v>0</v>
      </c>
      <c r="P69" s="384"/>
      <c r="Q69" s="832">
        <f>Q60*$C$65</f>
        <v>0</v>
      </c>
      <c r="R69" s="384"/>
      <c r="S69" s="832">
        <f>S60*$C$65</f>
        <v>0</v>
      </c>
      <c r="T69" s="384"/>
      <c r="U69" s="832">
        <f>U60*$C$65</f>
        <v>0</v>
      </c>
      <c r="V69" s="384"/>
      <c r="W69" s="832">
        <f>W60*$C$65</f>
        <v>0</v>
      </c>
      <c r="X69" s="384"/>
      <c r="Y69" s="832">
        <f>Y60*$C$65</f>
        <v>0</v>
      </c>
      <c r="Z69" s="384"/>
      <c r="AA69" s="832">
        <f>AA60*$C$65</f>
        <v>0</v>
      </c>
      <c r="AB69" s="384"/>
      <c r="AC69" s="832">
        <f>AC60*$C$65</f>
        <v>0</v>
      </c>
      <c r="AD69" s="384"/>
      <c r="AE69" s="832">
        <f>AE60*$C$65</f>
        <v>0</v>
      </c>
      <c r="AF69" s="384"/>
      <c r="AG69" s="832">
        <f>AG60*$C$65</f>
        <v>0</v>
      </c>
      <c r="AH69" s="384"/>
      <c r="AI69" s="384"/>
    </row>
    <row r="70" spans="1:35">
      <c r="A70" s="828" t="s">
        <v>1141</v>
      </c>
      <c r="B70" s="384"/>
      <c r="C70" s="386"/>
      <c r="D70" s="384"/>
      <c r="E70" s="378">
        <f>SUM(E66:E69)</f>
        <v>25979.199999999953</v>
      </c>
      <c r="F70" s="378"/>
      <c r="G70" s="378">
        <f>SUM(G66:G69)</f>
        <v>23793.869999999995</v>
      </c>
      <c r="H70" s="378"/>
      <c r="I70" s="378">
        <f>SUM(I66:I69)</f>
        <v>21411.375900000043</v>
      </c>
      <c r="J70" s="378"/>
      <c r="K70" s="378">
        <f>SUM(K66:K69)</f>
        <v>18821.800017750007</v>
      </c>
      <c r="L70" s="378"/>
      <c r="M70" s="378">
        <f>SUM(M66:M69)</f>
        <v>16014.802128652518</v>
      </c>
      <c r="N70" s="378"/>
      <c r="O70" s="378">
        <f>SUM(O66:O69)</f>
        <v>12979.60279119364</v>
      </c>
      <c r="P70" s="378"/>
      <c r="Q70" s="378">
        <f>SUM(Q66:Q69)</f>
        <v>9704.9660416245461</v>
      </c>
      <c r="R70" s="378"/>
      <c r="S70" s="378">
        <f>SUM(S66:S69)</f>
        <v>6179.1814346391475</v>
      </c>
      <c r="T70" s="378"/>
      <c r="U70" s="378">
        <f>SUM(U66:U69)</f>
        <v>2390.0454059480689</v>
      </c>
      <c r="V70" s="378"/>
      <c r="W70" s="378">
        <f>SUM(W66:W69)</f>
        <v>0</v>
      </c>
      <c r="X70" s="378"/>
      <c r="Y70" s="378">
        <f>SUM(Y66:Y69)</f>
        <v>0</v>
      </c>
      <c r="Z70" s="378"/>
      <c r="AA70" s="378">
        <f>SUM(AA66:AA69)</f>
        <v>0</v>
      </c>
      <c r="AB70" s="378"/>
      <c r="AC70" s="378">
        <f>SUM(AC66:AC69)</f>
        <v>0</v>
      </c>
      <c r="AD70" s="378"/>
      <c r="AE70" s="378">
        <f>SUM(AE66:AE69)</f>
        <v>0</v>
      </c>
      <c r="AF70" s="378"/>
      <c r="AG70" s="378">
        <f>SUM(AG66:AG69)</f>
        <v>0</v>
      </c>
      <c r="AH70" s="384"/>
      <c r="AI70" s="384"/>
    </row>
    <row r="71" spans="1:35">
      <c r="A71" s="384"/>
      <c r="B71" s="384"/>
      <c r="C71" s="386"/>
      <c r="D71" s="384"/>
      <c r="E71" s="384"/>
      <c r="F71" s="384"/>
      <c r="G71" s="384"/>
      <c r="H71" s="384"/>
      <c r="I71" s="384"/>
      <c r="J71" s="384"/>
      <c r="K71" s="384"/>
      <c r="L71" s="384"/>
      <c r="M71" s="384"/>
      <c r="N71" s="384"/>
      <c r="O71" s="384"/>
      <c r="P71" s="384"/>
      <c r="Q71" s="384"/>
      <c r="R71" s="384"/>
      <c r="S71" s="384"/>
      <c r="T71" s="384"/>
      <c r="U71" s="384"/>
      <c r="V71" s="384"/>
      <c r="W71" s="384"/>
      <c r="X71" s="384"/>
      <c r="Y71" s="384"/>
      <c r="Z71" s="384"/>
      <c r="AA71" s="384"/>
      <c r="AB71" s="384"/>
      <c r="AC71" s="384"/>
      <c r="AD71" s="384"/>
      <c r="AE71" s="384"/>
      <c r="AF71" s="384"/>
      <c r="AG71" s="384"/>
      <c r="AH71" s="384"/>
      <c r="AI71" s="384"/>
    </row>
    <row r="72" spans="1:35">
      <c r="A72" s="828" t="s">
        <v>2032</v>
      </c>
      <c r="B72" s="384"/>
      <c r="C72" s="386"/>
      <c r="D72" s="384"/>
      <c r="E72" s="378">
        <f>E60-E62-E70</f>
        <v>0</v>
      </c>
      <c r="F72" s="384"/>
      <c r="G72" s="378">
        <f>G60-G62-G70</f>
        <v>0</v>
      </c>
      <c r="H72" s="384"/>
      <c r="I72" s="378">
        <f>I60-I62-I70</f>
        <v>0</v>
      </c>
      <c r="J72" s="384"/>
      <c r="K72" s="378">
        <f>K60-K62-K70</f>
        <v>0</v>
      </c>
      <c r="L72" s="384"/>
      <c r="M72" s="378">
        <f>M60-M62-M70</f>
        <v>0</v>
      </c>
      <c r="N72" s="384"/>
      <c r="O72" s="378">
        <f>O60-O62-O70</f>
        <v>0</v>
      </c>
      <c r="P72" s="384"/>
      <c r="Q72" s="378">
        <f>Q60-Q62-Q70</f>
        <v>0</v>
      </c>
      <c r="R72" s="384"/>
      <c r="S72" s="378">
        <f>S60-S62-S70</f>
        <v>0</v>
      </c>
      <c r="T72" s="384"/>
      <c r="U72" s="378">
        <f>U60-U62-U70</f>
        <v>0</v>
      </c>
      <c r="V72" s="384"/>
      <c r="W72" s="378">
        <f>W60-W62-W70</f>
        <v>0</v>
      </c>
      <c r="X72" s="384"/>
      <c r="Y72" s="378">
        <f>Y60-Y62-Y70</f>
        <v>0</v>
      </c>
      <c r="Z72" s="384"/>
      <c r="AA72" s="378">
        <f>AA60-AA62-AA70</f>
        <v>0</v>
      </c>
      <c r="AB72" s="384"/>
      <c r="AC72" s="378">
        <f>AC60-AC62-AC70</f>
        <v>0</v>
      </c>
      <c r="AD72" s="384"/>
      <c r="AE72" s="378">
        <f>AE60-AE62-AE70</f>
        <v>0</v>
      </c>
      <c r="AF72" s="384"/>
      <c r="AG72" s="378">
        <f>AG60-AG62-AG70</f>
        <v>0</v>
      </c>
      <c r="AH72" s="384"/>
      <c r="AI72" s="384"/>
    </row>
    <row r="73" spans="1:35">
      <c r="A73" s="384"/>
      <c r="B73" s="384"/>
      <c r="C73" s="386"/>
      <c r="D73" s="384"/>
      <c r="E73" s="378"/>
      <c r="F73" s="384"/>
      <c r="G73" s="384"/>
      <c r="H73" s="384"/>
      <c r="I73" s="384"/>
      <c r="J73" s="384"/>
      <c r="K73" s="384"/>
      <c r="L73" s="384"/>
      <c r="M73" s="384"/>
      <c r="N73" s="384"/>
      <c r="O73" s="384"/>
      <c r="P73" s="384"/>
      <c r="Q73" s="384"/>
      <c r="R73" s="384"/>
      <c r="S73" s="384"/>
      <c r="T73" s="384"/>
      <c r="U73" s="384"/>
      <c r="V73" s="384"/>
      <c r="W73" s="384"/>
      <c r="X73" s="384"/>
      <c r="Y73" s="384"/>
      <c r="Z73" s="384"/>
      <c r="AA73" s="384"/>
      <c r="AB73" s="384"/>
      <c r="AC73" s="384"/>
      <c r="AD73" s="384"/>
      <c r="AE73" s="384"/>
      <c r="AF73" s="384"/>
      <c r="AG73" s="384"/>
      <c r="AH73" s="384"/>
      <c r="AI73" s="384"/>
    </row>
    <row r="74" spans="1:35">
      <c r="A74" s="384"/>
      <c r="B74" s="384"/>
      <c r="C74" s="386"/>
      <c r="D74" s="384"/>
      <c r="E74" s="378"/>
      <c r="F74" s="384"/>
      <c r="G74" s="384"/>
      <c r="H74" s="384"/>
      <c r="I74" s="384"/>
      <c r="J74" s="384"/>
      <c r="K74" s="384"/>
      <c r="L74" s="384"/>
      <c r="M74" s="384"/>
      <c r="N74" s="384"/>
      <c r="O74" s="384"/>
      <c r="P74" s="384"/>
      <c r="Q74" s="384"/>
      <c r="R74" s="384"/>
      <c r="S74" s="384"/>
      <c r="T74" s="384"/>
      <c r="U74" s="384"/>
      <c r="V74" s="384"/>
      <c r="W74" s="384"/>
      <c r="X74" s="384"/>
      <c r="Y74" s="384"/>
      <c r="Z74" s="384"/>
      <c r="AA74" s="384"/>
      <c r="AB74" s="384"/>
      <c r="AC74" s="384"/>
      <c r="AD74" s="384"/>
      <c r="AE74" s="384"/>
      <c r="AF74" s="384"/>
      <c r="AG74" s="384"/>
      <c r="AH74" s="384"/>
      <c r="AI74" s="384"/>
    </row>
    <row r="75" spans="1:35">
      <c r="A75" s="384" t="s">
        <v>1423</v>
      </c>
      <c r="B75" s="384"/>
      <c r="C75" s="386"/>
      <c r="D75" s="384"/>
      <c r="E75" s="384"/>
      <c r="F75" s="384"/>
      <c r="G75" s="384"/>
      <c r="H75" s="384"/>
      <c r="I75" s="384"/>
      <c r="J75" s="384"/>
      <c r="K75" s="384"/>
      <c r="L75" s="384"/>
      <c r="M75" s="384"/>
      <c r="N75" s="384"/>
      <c r="O75" s="384"/>
      <c r="P75" s="384"/>
      <c r="Q75" s="384"/>
      <c r="R75" s="384"/>
      <c r="S75" s="384"/>
      <c r="T75" s="384"/>
      <c r="U75" s="384"/>
      <c r="V75" s="384"/>
      <c r="W75" s="384"/>
      <c r="X75" s="384"/>
      <c r="Y75" s="384"/>
      <c r="Z75" s="384"/>
      <c r="AA75" s="384"/>
      <c r="AB75" s="384"/>
      <c r="AC75" s="384"/>
      <c r="AD75" s="384"/>
      <c r="AE75" s="384"/>
      <c r="AF75" s="384"/>
      <c r="AG75" s="384"/>
      <c r="AH75" s="384"/>
      <c r="AI75" s="384"/>
    </row>
    <row r="76" spans="1:35">
      <c r="A76" s="384"/>
      <c r="B76" s="384"/>
      <c r="C76" s="386"/>
      <c r="D76" s="384"/>
      <c r="E76" s="384"/>
      <c r="F76" s="384"/>
      <c r="G76" s="384"/>
      <c r="H76" s="384"/>
      <c r="I76" s="384"/>
      <c r="J76" s="384"/>
      <c r="K76" s="384"/>
      <c r="L76" s="384"/>
      <c r="M76" s="384"/>
      <c r="N76" s="384"/>
      <c r="O76" s="384"/>
      <c r="P76" s="384"/>
      <c r="Q76" s="384"/>
      <c r="R76" s="384"/>
      <c r="S76" s="384"/>
      <c r="T76" s="384"/>
      <c r="U76" s="384"/>
      <c r="V76" s="384"/>
      <c r="W76" s="384"/>
      <c r="X76" s="384"/>
      <c r="Y76" s="384"/>
      <c r="Z76" s="384"/>
      <c r="AA76" s="384"/>
      <c r="AB76" s="384"/>
      <c r="AC76" s="384"/>
      <c r="AD76" s="384"/>
      <c r="AE76" s="384"/>
      <c r="AF76" s="384"/>
      <c r="AG76" s="384"/>
      <c r="AH76" s="384"/>
      <c r="AI76" s="384"/>
    </row>
    <row r="77" spans="1:35" ht="30" customHeight="1">
      <c r="A77" s="1937" t="s">
        <v>1145</v>
      </c>
      <c r="B77" s="1937"/>
      <c r="C77" s="1937"/>
      <c r="D77" s="1937"/>
      <c r="E77" s="1937"/>
      <c r="F77" s="1937"/>
      <c r="G77" s="1937"/>
      <c r="H77" s="1937"/>
      <c r="I77" s="1937"/>
      <c r="J77" s="1937"/>
      <c r="K77" s="1937"/>
      <c r="L77" s="1937"/>
      <c r="M77" s="1937"/>
      <c r="N77" s="1937"/>
      <c r="O77" s="1937"/>
      <c r="P77" s="1937"/>
      <c r="Q77" s="1937"/>
      <c r="R77" s="1937"/>
      <c r="S77" s="1937"/>
      <c r="T77" s="1937"/>
      <c r="U77" s="1937"/>
      <c r="V77" s="1937"/>
      <c r="W77" s="1937"/>
      <c r="X77" s="1937"/>
      <c r="Y77" s="1937"/>
      <c r="Z77" s="1937"/>
      <c r="AA77" s="1937"/>
      <c r="AB77" s="1937"/>
      <c r="AC77" s="1937"/>
      <c r="AD77" s="1937"/>
      <c r="AE77" s="1937"/>
      <c r="AF77" s="1937"/>
      <c r="AG77" s="1937"/>
      <c r="AH77" s="407"/>
      <c r="AI77" s="407"/>
    </row>
    <row r="78" spans="1:35" hidden="1">
      <c r="A78" s="384"/>
      <c r="B78" s="384"/>
      <c r="C78" s="386"/>
      <c r="D78" s="384"/>
      <c r="E78" s="384"/>
      <c r="F78" s="384"/>
      <c r="G78" s="384"/>
      <c r="H78" s="384"/>
      <c r="I78" s="384"/>
      <c r="J78" s="384"/>
      <c r="K78" s="384"/>
      <c r="L78" s="384"/>
      <c r="M78" s="384"/>
      <c r="N78" s="384"/>
      <c r="O78" s="384"/>
      <c r="P78" s="384"/>
      <c r="Q78" s="384"/>
      <c r="R78" s="384"/>
      <c r="S78" s="384"/>
      <c r="T78" s="384"/>
      <c r="U78" s="384"/>
      <c r="V78" s="384"/>
      <c r="W78" s="384"/>
      <c r="X78" s="384"/>
      <c r="Y78" s="384"/>
      <c r="Z78" s="384"/>
      <c r="AA78" s="384"/>
      <c r="AB78" s="384"/>
      <c r="AC78" s="384"/>
      <c r="AD78" s="384"/>
      <c r="AE78" s="384"/>
      <c r="AF78" s="384"/>
      <c r="AG78" s="384"/>
      <c r="AH78" s="384"/>
      <c r="AI78" s="384"/>
    </row>
    <row r="79" spans="1:35" hidden="1">
      <c r="C79" s="386"/>
    </row>
    <row r="80" spans="1:35" hidden="1">
      <c r="C80" s="386"/>
    </row>
    <row r="81" spans="3:3" hidden="1">
      <c r="C81" s="386"/>
    </row>
    <row r="82" spans="3:3" hidden="1">
      <c r="C82" s="386"/>
    </row>
    <row r="83" spans="3:3" hidden="1">
      <c r="C83" s="386"/>
    </row>
    <row r="84" spans="3:3" hidden="1">
      <c r="C84" s="386"/>
    </row>
    <row r="85" spans="3:3" hidden="1">
      <c r="C85" s="386"/>
    </row>
    <row r="86" spans="3:3" hidden="1">
      <c r="C86" s="386"/>
    </row>
    <row r="87" spans="3:3" hidden="1">
      <c r="C87" s="386"/>
    </row>
    <row r="88" spans="3:3" hidden="1">
      <c r="C88" s="386"/>
    </row>
    <row r="89" spans="3:3" hidden="1">
      <c r="C89" s="386"/>
    </row>
    <row r="90" spans="3:3" hidden="1">
      <c r="C90" s="386"/>
    </row>
    <row r="91" spans="3:3" hidden="1">
      <c r="C91" s="386"/>
    </row>
    <row r="92" spans="3:3" hidden="1">
      <c r="C92" s="386"/>
    </row>
    <row r="93" spans="3:3" hidden="1">
      <c r="C93" s="386"/>
    </row>
    <row r="94" spans="3:3" hidden="1">
      <c r="C94" s="386"/>
    </row>
    <row r="95" spans="3:3" hidden="1">
      <c r="C95" s="386"/>
    </row>
    <row r="96" spans="3:3" hidden="1">
      <c r="C96" s="386"/>
    </row>
    <row r="97" spans="3:3" hidden="1">
      <c r="C97" s="386"/>
    </row>
    <row r="98" spans="3:3" hidden="1">
      <c r="C98" s="386"/>
    </row>
    <row r="99" spans="3:3" hidden="1">
      <c r="C99" s="386"/>
    </row>
    <row r="100" spans="3:3" hidden="1">
      <c r="C100" s="386"/>
    </row>
    <row r="101" spans="3:3" hidden="1">
      <c r="C101" s="386"/>
    </row>
    <row r="102" spans="3:3" hidden="1">
      <c r="C102" s="386"/>
    </row>
    <row r="103" spans="3:3" hidden="1">
      <c r="C103" s="386"/>
    </row>
    <row r="104" spans="3:3" hidden="1">
      <c r="C104" s="386"/>
    </row>
    <row r="105" spans="3:3" hidden="1">
      <c r="C105" s="386"/>
    </row>
    <row r="106" spans="3:3" hidden="1">
      <c r="C106" s="386"/>
    </row>
    <row r="107" spans="3:3" hidden="1">
      <c r="C107" s="386"/>
    </row>
    <row r="108" spans="3:3" hidden="1">
      <c r="C108" s="386"/>
    </row>
    <row r="109" spans="3:3" hidden="1">
      <c r="C109" s="386"/>
    </row>
    <row r="110" spans="3:3" hidden="1">
      <c r="C110" s="386"/>
    </row>
    <row r="111" spans="3:3" hidden="1">
      <c r="C111" s="386"/>
    </row>
    <row r="112" spans="3:3" hidden="1">
      <c r="C112" s="386"/>
    </row>
    <row r="113" spans="3:3" hidden="1">
      <c r="C113" s="386"/>
    </row>
    <row r="114" spans="3:3" hidden="1">
      <c r="C114" s="386"/>
    </row>
    <row r="115" spans="3:3" hidden="1">
      <c r="C115" s="386"/>
    </row>
    <row r="116" spans="3:3" hidden="1">
      <c r="C116" s="386"/>
    </row>
    <row r="117" spans="3:3" hidden="1">
      <c r="C117" s="386"/>
    </row>
    <row r="118" spans="3:3" hidden="1">
      <c r="C118" s="386"/>
    </row>
    <row r="119" spans="3:3" hidden="1">
      <c r="C119" s="386"/>
    </row>
    <row r="120" spans="3:3" hidden="1">
      <c r="C120" s="386"/>
    </row>
    <row r="121" spans="3:3" hidden="1">
      <c r="C121" s="386"/>
    </row>
    <row r="122" spans="3:3" hidden="1">
      <c r="C122" s="386"/>
    </row>
    <row r="123" spans="3:3" hidden="1">
      <c r="C123" s="386"/>
    </row>
    <row r="124" spans="3:3" hidden="1">
      <c r="C124" s="386"/>
    </row>
    <row r="125" spans="3:3" hidden="1">
      <c r="C125" s="386"/>
    </row>
    <row r="126" spans="3:3" hidden="1">
      <c r="C126" s="386"/>
    </row>
    <row r="127" spans="3:3" hidden="1">
      <c r="C127" s="386"/>
    </row>
    <row r="128" spans="3:3" hidden="1">
      <c r="C128" s="386"/>
    </row>
    <row r="129" spans="3:3" hidden="1">
      <c r="C129" s="386"/>
    </row>
    <row r="130" spans="3:3" hidden="1">
      <c r="C130" s="386"/>
    </row>
    <row r="131" spans="3:3" hidden="1">
      <c r="C131" s="386"/>
    </row>
    <row r="132" spans="3:3" hidden="1">
      <c r="C132" s="386"/>
    </row>
    <row r="133" spans="3:3" hidden="1">
      <c r="C133" s="386"/>
    </row>
    <row r="134" spans="3:3" hidden="1">
      <c r="C134" s="386"/>
    </row>
    <row r="135" spans="3:3" hidden="1">
      <c r="C135" s="386"/>
    </row>
    <row r="136" spans="3:3" hidden="1">
      <c r="C136" s="386"/>
    </row>
    <row r="137" spans="3:3" hidden="1">
      <c r="C137" s="386"/>
    </row>
    <row r="138" spans="3:3" hidden="1">
      <c r="C138" s="386"/>
    </row>
    <row r="139" spans="3:3" hidden="1">
      <c r="C139" s="386"/>
    </row>
    <row r="140" spans="3:3" hidden="1">
      <c r="C140" s="386"/>
    </row>
    <row r="141" spans="3:3" hidden="1">
      <c r="C141" s="386"/>
    </row>
    <row r="142" spans="3:3" hidden="1">
      <c r="C142" s="386"/>
    </row>
    <row r="143" spans="3:3" hidden="1">
      <c r="C143" s="386"/>
    </row>
    <row r="144" spans="3:3" hidden="1">
      <c r="C144" s="386"/>
    </row>
    <row r="145" spans="3:3" hidden="1">
      <c r="C145" s="386"/>
    </row>
    <row r="146" spans="3:3" hidden="1">
      <c r="C146" s="386"/>
    </row>
    <row r="147" spans="3:3" hidden="1">
      <c r="C147" s="386"/>
    </row>
    <row r="148" spans="3:3" hidden="1">
      <c r="C148" s="386"/>
    </row>
    <row r="149" spans="3:3" hidden="1">
      <c r="C149" s="386"/>
    </row>
    <row r="150" spans="3:3" hidden="1">
      <c r="C150" s="386"/>
    </row>
    <row r="151" spans="3:3" hidden="1">
      <c r="C151" s="386"/>
    </row>
    <row r="152" spans="3:3" hidden="1">
      <c r="C152" s="386"/>
    </row>
    <row r="153" spans="3:3" hidden="1">
      <c r="C153" s="386"/>
    </row>
    <row r="154" spans="3:3" hidden="1">
      <c r="C154" s="386"/>
    </row>
    <row r="155" spans="3:3" hidden="1">
      <c r="C155" s="386"/>
    </row>
    <row r="156" spans="3:3" hidden="1">
      <c r="C156" s="386"/>
    </row>
    <row r="157" spans="3:3" hidden="1">
      <c r="C157" s="386"/>
    </row>
    <row r="158" spans="3:3" hidden="1">
      <c r="C158" s="386"/>
    </row>
    <row r="159" spans="3:3" hidden="1">
      <c r="C159" s="386"/>
    </row>
    <row r="160" spans="3:3" hidden="1">
      <c r="C160" s="386"/>
    </row>
    <row r="161" spans="3:3" hidden="1">
      <c r="C161" s="386"/>
    </row>
    <row r="162" spans="3:3" hidden="1">
      <c r="C162" s="386"/>
    </row>
    <row r="163" spans="3:3" hidden="1">
      <c r="C163" s="386"/>
    </row>
    <row r="164" spans="3:3" hidden="1">
      <c r="C164" s="386"/>
    </row>
    <row r="165" spans="3:3" hidden="1">
      <c r="C165" s="386"/>
    </row>
    <row r="166" spans="3:3" hidden="1">
      <c r="C166" s="386"/>
    </row>
    <row r="167" spans="3:3" hidden="1">
      <c r="C167" s="386"/>
    </row>
    <row r="168" spans="3:3" hidden="1">
      <c r="C168" s="386"/>
    </row>
    <row r="169" spans="3:3" hidden="1">
      <c r="C169" s="386"/>
    </row>
    <row r="170" spans="3:3" hidden="1">
      <c r="C170" s="386"/>
    </row>
    <row r="171" spans="3:3" hidden="1">
      <c r="C171" s="386"/>
    </row>
    <row r="172" spans="3:3" hidden="1">
      <c r="C172" s="386"/>
    </row>
    <row r="173" spans="3:3" hidden="1">
      <c r="C173" s="386"/>
    </row>
    <row r="174" spans="3:3" hidden="1">
      <c r="C174" s="386"/>
    </row>
    <row r="175" spans="3:3" hidden="1">
      <c r="C175" s="386"/>
    </row>
    <row r="176" spans="3:3" hidden="1">
      <c r="C176" s="386"/>
    </row>
    <row r="177" spans="3:3" hidden="1">
      <c r="C177" s="386"/>
    </row>
    <row r="178" spans="3:3" hidden="1">
      <c r="C178" s="386"/>
    </row>
    <row r="179" spans="3:3" hidden="1">
      <c r="C179" s="386"/>
    </row>
    <row r="180" spans="3:3" hidden="1">
      <c r="C180" s="386"/>
    </row>
    <row r="181" spans="3:3" hidden="1">
      <c r="C181" s="386"/>
    </row>
    <row r="182" spans="3:3" hidden="1">
      <c r="C182" s="386"/>
    </row>
    <row r="183" spans="3:3" hidden="1">
      <c r="C183" s="386"/>
    </row>
    <row r="184" spans="3:3" hidden="1">
      <c r="C184" s="386"/>
    </row>
    <row r="185" spans="3:3" hidden="1">
      <c r="C185" s="386"/>
    </row>
    <row r="186" spans="3:3" hidden="1">
      <c r="C186" s="386"/>
    </row>
    <row r="187" spans="3:3" hidden="1">
      <c r="C187" s="386"/>
    </row>
    <row r="188" spans="3:3" hidden="1">
      <c r="C188" s="386"/>
    </row>
    <row r="189" spans="3:3" hidden="1">
      <c r="C189" s="386"/>
    </row>
    <row r="190" spans="3:3" hidden="1">
      <c r="C190" s="386"/>
    </row>
    <row r="191" spans="3:3" hidden="1">
      <c r="C191" s="386"/>
    </row>
    <row r="192" spans="3:3" hidden="1">
      <c r="C192" s="386"/>
    </row>
    <row r="193" spans="3:3" hidden="1">
      <c r="C193" s="386"/>
    </row>
    <row r="194" spans="3:3" hidden="1">
      <c r="C194" s="386"/>
    </row>
    <row r="195" spans="3:3" hidden="1">
      <c r="C195" s="386"/>
    </row>
    <row r="196" spans="3:3" hidden="1">
      <c r="C196" s="386"/>
    </row>
    <row r="197" spans="3:3" hidden="1">
      <c r="C197" s="386"/>
    </row>
    <row r="198" spans="3:3" hidden="1">
      <c r="C198" s="386"/>
    </row>
    <row r="199" spans="3:3" hidden="1">
      <c r="C199" s="386"/>
    </row>
    <row r="200" spans="3:3" hidden="1">
      <c r="C200" s="386"/>
    </row>
    <row r="201" spans="3:3" hidden="1">
      <c r="C201" s="386"/>
    </row>
    <row r="202" spans="3:3" hidden="1">
      <c r="C202" s="386"/>
    </row>
    <row r="203" spans="3:3" hidden="1">
      <c r="C203" s="386"/>
    </row>
    <row r="204" spans="3:3" hidden="1">
      <c r="C204" s="386"/>
    </row>
    <row r="205" spans="3:3" hidden="1">
      <c r="C205" s="386"/>
    </row>
    <row r="206" spans="3:3" hidden="1">
      <c r="C206" s="386"/>
    </row>
    <row r="207" spans="3:3" hidden="1">
      <c r="C207" s="386"/>
    </row>
    <row r="208" spans="3:3" hidden="1">
      <c r="C208" s="386"/>
    </row>
    <row r="209" spans="3:3" hidden="1">
      <c r="C209" s="386"/>
    </row>
    <row r="210" spans="3:3" hidden="1">
      <c r="C210" s="386"/>
    </row>
    <row r="211" spans="3:3" hidden="1">
      <c r="C211" s="386"/>
    </row>
    <row r="212" spans="3:3" hidden="1">
      <c r="C212" s="386"/>
    </row>
    <row r="213" spans="3:3" hidden="1">
      <c r="C213" s="386"/>
    </row>
    <row r="214" spans="3:3" hidden="1">
      <c r="C214" s="386"/>
    </row>
    <row r="215" spans="3:3" hidden="1">
      <c r="C215" s="386"/>
    </row>
    <row r="216" spans="3:3" hidden="1">
      <c r="C216" s="386"/>
    </row>
    <row r="217" spans="3:3" hidden="1">
      <c r="C217" s="386"/>
    </row>
  </sheetData>
  <customSheetViews>
    <customSheetView guid="{48A1B9AA-9520-4513-968D-1FB22989E0AF}" fitToPage="1">
      <pageMargins left="0.7" right="0.7" top="0.75" bottom="0.75" header="0.3" footer="0.3"/>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7" firstPageNumber="46" orientation="landscape" useFirstPageNumber="1" r:id="rId2"/>
  <headerFooter>
    <oddFooter>&amp;LMay 31, 2018 Version&amp;C&amp;P&amp;R&amp;A</oddFooter>
  </headerFooter>
  <ignoredErrors>
    <ignoredError sqref="AC30:AG30"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4"/>
  <sheetViews>
    <sheetView workbookViewId="0">
      <selection activeCell="C5" sqref="C5"/>
    </sheetView>
  </sheetViews>
  <sheetFormatPr defaultColWidth="9.140625" defaultRowHeight="14.25" zeroHeight="1"/>
  <cols>
    <col min="1" max="3" width="15.42578125" style="288" customWidth="1"/>
    <col min="4" max="4" width="3.42578125" style="288" customWidth="1"/>
    <col min="5" max="6" width="15.42578125" style="288" customWidth="1"/>
    <col min="7" max="7" width="3.42578125" style="288" customWidth="1"/>
    <col min="8" max="9" width="15.42578125" style="288" customWidth="1"/>
    <col min="10" max="16383" width="9.140625" style="288"/>
    <col min="16384" max="16384" width="0.42578125" style="288" customWidth="1"/>
  </cols>
  <sheetData>
    <row r="1" spans="1:9">
      <c r="A1" s="1938" t="s">
        <v>1216</v>
      </c>
      <c r="B1" s="1938"/>
      <c r="C1" s="1938"/>
      <c r="D1" s="1938"/>
      <c r="E1" s="1938"/>
      <c r="F1" s="1938"/>
      <c r="G1" s="1938"/>
      <c r="H1" s="1938"/>
      <c r="I1" s="1938"/>
    </row>
    <row r="2" spans="1:9">
      <c r="A2" s="606"/>
      <c r="B2" s="606"/>
      <c r="C2" s="606"/>
      <c r="D2" s="606"/>
      <c r="E2" s="606"/>
      <c r="F2" s="606"/>
      <c r="G2" s="606"/>
      <c r="H2" s="606"/>
      <c r="I2" s="606"/>
    </row>
    <row r="3" spans="1:9" ht="105" customHeight="1">
      <c r="A3" s="607" t="s">
        <v>1210</v>
      </c>
      <c r="B3" s="607" t="s">
        <v>1424</v>
      </c>
      <c r="C3" s="474" t="s">
        <v>1212</v>
      </c>
      <c r="D3" s="606"/>
      <c r="E3" s="474" t="s">
        <v>2462</v>
      </c>
      <c r="F3" s="607" t="s">
        <v>1213</v>
      </c>
      <c r="G3" s="608"/>
      <c r="H3" s="607" t="s">
        <v>1211</v>
      </c>
      <c r="I3" s="607" t="s">
        <v>1214</v>
      </c>
    </row>
    <row r="4" spans="1:9">
      <c r="A4" s="609" t="str">
        <f>Application!$B692</f>
        <v>SRO/Studio</v>
      </c>
      <c r="B4" s="951">
        <f>Application!$G692</f>
        <v>8</v>
      </c>
      <c r="C4" s="609">
        <f>Application!$O692</f>
        <v>375</v>
      </c>
      <c r="D4" s="610"/>
      <c r="E4" s="949">
        <v>1024</v>
      </c>
      <c r="F4" s="609">
        <f>$E4*$B4</f>
        <v>8192</v>
      </c>
      <c r="G4" s="610"/>
      <c r="H4" s="609">
        <f>IF($E4=0,0,MAX($E4-$C4,0))</f>
        <v>649</v>
      </c>
      <c r="I4" s="609">
        <f>IF($H4=0,0,($H4*$B4))</f>
        <v>5192</v>
      </c>
    </row>
    <row r="5" spans="1:9">
      <c r="A5" s="609" t="str">
        <f>Application!$B693</f>
        <v>2 Bedrooms</v>
      </c>
      <c r="B5" s="950">
        <f>Application!$G693</f>
        <v>1</v>
      </c>
      <c r="C5" s="609">
        <f>Application!$O693</f>
        <v>459</v>
      </c>
      <c r="D5" s="610"/>
      <c r="E5" s="949">
        <v>1510</v>
      </c>
      <c r="F5" s="609">
        <f t="shared" ref="F5:F28" si="0">$E5*$B5</f>
        <v>1510</v>
      </c>
      <c r="G5" s="610"/>
      <c r="H5" s="609">
        <f t="shared" ref="H5:H28" si="1">IF($E5=0,0,MAX($E5-$C5,0))</f>
        <v>1051</v>
      </c>
      <c r="I5" s="609">
        <f t="shared" ref="I5:I28" si="2">IF($H5=0,0,($H5*$B5))</f>
        <v>1051</v>
      </c>
    </row>
    <row r="6" spans="1:9">
      <c r="A6" s="609" t="str">
        <f>Application!$B694</f>
        <v>2 Bedrooms</v>
      </c>
      <c r="B6" s="950">
        <f>Application!$G694</f>
        <v>1</v>
      </c>
      <c r="C6" s="609">
        <f>Application!$O694</f>
        <v>645</v>
      </c>
      <c r="D6" s="610"/>
      <c r="E6" s="949">
        <v>1510</v>
      </c>
      <c r="F6" s="609">
        <f t="shared" si="0"/>
        <v>1510</v>
      </c>
      <c r="G6" s="610"/>
      <c r="H6" s="609">
        <f t="shared" si="1"/>
        <v>865</v>
      </c>
      <c r="I6" s="609">
        <f t="shared" si="2"/>
        <v>865</v>
      </c>
    </row>
    <row r="7" spans="1:9">
      <c r="A7" s="609" t="str">
        <f>Application!$B695</f>
        <v>SRO/Studio</v>
      </c>
      <c r="B7" s="950">
        <f>Application!$G695</f>
        <v>3</v>
      </c>
      <c r="C7" s="609">
        <f>Application!$O695</f>
        <v>375</v>
      </c>
      <c r="D7" s="610"/>
      <c r="E7" s="949">
        <v>1024</v>
      </c>
      <c r="F7" s="609">
        <f t="shared" si="0"/>
        <v>3072</v>
      </c>
      <c r="G7" s="610"/>
      <c r="H7" s="609">
        <f t="shared" si="1"/>
        <v>649</v>
      </c>
      <c r="I7" s="609">
        <f t="shared" si="2"/>
        <v>1947</v>
      </c>
    </row>
    <row r="8" spans="1:9">
      <c r="A8" s="609" t="str">
        <f>Application!$B696</f>
        <v>1 Bedroom</v>
      </c>
      <c r="B8" s="950">
        <f>Application!$G696</f>
        <v>2</v>
      </c>
      <c r="C8" s="609">
        <f>Application!$O696</f>
        <v>394</v>
      </c>
      <c r="D8" s="610"/>
      <c r="E8" s="949">
        <v>1196</v>
      </c>
      <c r="F8" s="609">
        <f t="shared" si="0"/>
        <v>2392</v>
      </c>
      <c r="G8" s="610"/>
      <c r="H8" s="609">
        <f t="shared" si="1"/>
        <v>802</v>
      </c>
      <c r="I8" s="609">
        <f t="shared" si="2"/>
        <v>1604</v>
      </c>
    </row>
    <row r="9" spans="1:9">
      <c r="A9" s="609" t="str">
        <f>Application!$B697</f>
        <v>3 Bedrooms</v>
      </c>
      <c r="B9" s="950">
        <f>Application!$G697</f>
        <v>1</v>
      </c>
      <c r="C9" s="609">
        <f>Application!$O697</f>
        <v>504</v>
      </c>
      <c r="D9" s="610"/>
      <c r="E9" s="949">
        <v>2126</v>
      </c>
      <c r="F9" s="609">
        <f t="shared" si="0"/>
        <v>2126</v>
      </c>
      <c r="G9" s="610"/>
      <c r="H9" s="609">
        <f t="shared" si="1"/>
        <v>1622</v>
      </c>
      <c r="I9" s="609">
        <f t="shared" si="2"/>
        <v>1622</v>
      </c>
    </row>
    <row r="10" spans="1:9">
      <c r="A10" s="609" t="str">
        <f>Application!$B698</f>
        <v>SRO/Studio</v>
      </c>
      <c r="B10" s="950">
        <f>Application!$G698</f>
        <v>1</v>
      </c>
      <c r="C10" s="609">
        <f>Application!$O698</f>
        <v>520</v>
      </c>
      <c r="D10" s="610"/>
      <c r="E10" s="949">
        <v>1024</v>
      </c>
      <c r="F10" s="609">
        <f t="shared" si="0"/>
        <v>1024</v>
      </c>
      <c r="G10" s="610"/>
      <c r="H10" s="609">
        <f t="shared" si="1"/>
        <v>504</v>
      </c>
      <c r="I10" s="609">
        <f t="shared" si="2"/>
        <v>504</v>
      </c>
    </row>
    <row r="11" spans="1:9">
      <c r="A11" s="609" t="str">
        <f>Application!$B699</f>
        <v>1 Bedroom</v>
      </c>
      <c r="B11" s="950">
        <f>Application!$G699</f>
        <v>1</v>
      </c>
      <c r="C11" s="609">
        <f>Application!$O699</f>
        <v>549</v>
      </c>
      <c r="D11" s="610"/>
      <c r="E11" s="949">
        <v>1196</v>
      </c>
      <c r="F11" s="609">
        <f t="shared" si="0"/>
        <v>1196</v>
      </c>
      <c r="G11" s="610"/>
      <c r="H11" s="609">
        <f t="shared" si="1"/>
        <v>647</v>
      </c>
      <c r="I11" s="609">
        <f t="shared" si="2"/>
        <v>647</v>
      </c>
    </row>
    <row r="12" spans="1:9">
      <c r="A12" s="609" t="str">
        <f>Application!$B700</f>
        <v>3 Bedrooms</v>
      </c>
      <c r="B12" s="950">
        <f>Application!$G700</f>
        <v>1</v>
      </c>
      <c r="C12" s="609">
        <f>Application!$O700</f>
        <v>719</v>
      </c>
      <c r="D12" s="610"/>
      <c r="E12" s="949">
        <v>2126</v>
      </c>
      <c r="F12" s="609">
        <f t="shared" si="0"/>
        <v>2126</v>
      </c>
      <c r="G12" s="610"/>
      <c r="H12" s="609">
        <f t="shared" si="1"/>
        <v>1407</v>
      </c>
      <c r="I12" s="609">
        <f t="shared" si="2"/>
        <v>1407</v>
      </c>
    </row>
    <row r="13" spans="1:9">
      <c r="A13" s="609" t="str">
        <f>Application!$B701</f>
        <v>2 Bedrooms</v>
      </c>
      <c r="B13" s="950">
        <f>Application!$G701</f>
        <v>1</v>
      </c>
      <c r="C13" s="609">
        <f>Application!$O701</f>
        <v>830</v>
      </c>
      <c r="D13" s="610"/>
      <c r="E13" s="949">
        <v>0</v>
      </c>
      <c r="F13" s="609">
        <f t="shared" si="0"/>
        <v>0</v>
      </c>
      <c r="G13" s="610"/>
      <c r="H13" s="609">
        <f t="shared" si="1"/>
        <v>0</v>
      </c>
      <c r="I13" s="609">
        <f t="shared" si="2"/>
        <v>0</v>
      </c>
    </row>
    <row r="14" spans="1:9">
      <c r="A14" s="609" t="str">
        <f>Application!$B702</f>
        <v>3 Bedrooms</v>
      </c>
      <c r="B14" s="950">
        <f>Application!$G702</f>
        <v>1</v>
      </c>
      <c r="C14" s="609">
        <f>Application!$O702</f>
        <v>933</v>
      </c>
      <c r="D14" s="610"/>
      <c r="E14" s="949">
        <v>0</v>
      </c>
      <c r="F14" s="609">
        <f t="shared" si="0"/>
        <v>0</v>
      </c>
      <c r="G14" s="610"/>
      <c r="H14" s="609">
        <f t="shared" si="1"/>
        <v>0</v>
      </c>
      <c r="I14" s="609">
        <f t="shared" si="2"/>
        <v>0</v>
      </c>
    </row>
    <row r="15" spans="1:9">
      <c r="A15" s="609" t="str">
        <f>Application!$B703</f>
        <v>1 Bedroom</v>
      </c>
      <c r="B15" s="950">
        <f>Application!$G703</f>
        <v>4</v>
      </c>
      <c r="C15" s="609">
        <f>Application!$O703</f>
        <v>858</v>
      </c>
      <c r="D15" s="610"/>
      <c r="E15" s="949">
        <v>0</v>
      </c>
      <c r="F15" s="609">
        <f t="shared" si="0"/>
        <v>0</v>
      </c>
      <c r="G15" s="610"/>
      <c r="H15" s="609">
        <f t="shared" si="1"/>
        <v>0</v>
      </c>
      <c r="I15" s="609">
        <f t="shared" si="2"/>
        <v>0</v>
      </c>
    </row>
    <row r="16" spans="1:9">
      <c r="A16" s="609" t="str">
        <f>Application!$B704</f>
        <v>2 Bedrooms</v>
      </c>
      <c r="B16" s="950">
        <f>Application!$G704</f>
        <v>7</v>
      </c>
      <c r="C16" s="609">
        <f>Application!$O704</f>
        <v>1016</v>
      </c>
      <c r="D16" s="610"/>
      <c r="E16" s="949">
        <v>0</v>
      </c>
      <c r="F16" s="609">
        <f t="shared" si="0"/>
        <v>0</v>
      </c>
      <c r="G16" s="610"/>
      <c r="H16" s="609">
        <f t="shared" si="1"/>
        <v>0</v>
      </c>
      <c r="I16" s="609">
        <f t="shared" si="2"/>
        <v>0</v>
      </c>
    </row>
    <row r="17" spans="1:9">
      <c r="A17" s="609" t="str">
        <f>Application!$B705</f>
        <v>3 Bedrooms</v>
      </c>
      <c r="B17" s="950">
        <f>Application!$G705</f>
        <v>6</v>
      </c>
      <c r="C17" s="609">
        <f>Application!$O705</f>
        <v>1148</v>
      </c>
      <c r="D17" s="610"/>
      <c r="E17" s="949"/>
      <c r="F17" s="609">
        <f t="shared" si="0"/>
        <v>0</v>
      </c>
      <c r="G17" s="610"/>
      <c r="H17" s="609">
        <f t="shared" si="1"/>
        <v>0</v>
      </c>
      <c r="I17" s="609">
        <f t="shared" si="2"/>
        <v>0</v>
      </c>
    </row>
    <row r="18" spans="1:9">
      <c r="A18" s="609">
        <f>Application!$B706</f>
        <v>0</v>
      </c>
      <c r="B18" s="950">
        <f>Application!$G706</f>
        <v>0</v>
      </c>
      <c r="C18" s="609">
        <f>Application!$O706</f>
        <v>0</v>
      </c>
      <c r="D18" s="610"/>
      <c r="E18" s="949"/>
      <c r="F18" s="609">
        <f t="shared" si="0"/>
        <v>0</v>
      </c>
      <c r="G18" s="610"/>
      <c r="H18" s="609">
        <f t="shared" si="1"/>
        <v>0</v>
      </c>
      <c r="I18" s="609">
        <f t="shared" si="2"/>
        <v>0</v>
      </c>
    </row>
    <row r="19" spans="1:9">
      <c r="A19" s="609">
        <f>Application!$B707</f>
        <v>0</v>
      </c>
      <c r="B19" s="950">
        <f>Application!$G707</f>
        <v>0</v>
      </c>
      <c r="C19" s="609">
        <f>Application!$O707</f>
        <v>0</v>
      </c>
      <c r="D19" s="610"/>
      <c r="E19" s="949"/>
      <c r="F19" s="609">
        <f t="shared" si="0"/>
        <v>0</v>
      </c>
      <c r="G19" s="610"/>
      <c r="H19" s="609">
        <f t="shared" si="1"/>
        <v>0</v>
      </c>
      <c r="I19" s="609">
        <f t="shared" si="2"/>
        <v>0</v>
      </c>
    </row>
    <row r="20" spans="1:9">
      <c r="A20" s="609">
        <f>Application!$B708</f>
        <v>0</v>
      </c>
      <c r="B20" s="950">
        <f>Application!$G708</f>
        <v>0</v>
      </c>
      <c r="C20" s="609">
        <f>Application!$O708</f>
        <v>0</v>
      </c>
      <c r="D20" s="610"/>
      <c r="E20" s="949"/>
      <c r="F20" s="609">
        <f t="shared" si="0"/>
        <v>0</v>
      </c>
      <c r="G20" s="610"/>
      <c r="H20" s="609">
        <f t="shared" si="1"/>
        <v>0</v>
      </c>
      <c r="I20" s="609">
        <f t="shared" si="2"/>
        <v>0</v>
      </c>
    </row>
    <row r="21" spans="1:9">
      <c r="A21" s="609">
        <f>Application!$B709</f>
        <v>0</v>
      </c>
      <c r="B21" s="950">
        <f>Application!$G709</f>
        <v>0</v>
      </c>
      <c r="C21" s="609">
        <f>Application!$O709</f>
        <v>0</v>
      </c>
      <c r="D21" s="610"/>
      <c r="E21" s="949"/>
      <c r="F21" s="609">
        <f t="shared" si="0"/>
        <v>0</v>
      </c>
      <c r="G21" s="610"/>
      <c r="H21" s="609">
        <f t="shared" si="1"/>
        <v>0</v>
      </c>
      <c r="I21" s="609">
        <f t="shared" si="2"/>
        <v>0</v>
      </c>
    </row>
    <row r="22" spans="1:9">
      <c r="A22" s="609">
        <f>Application!$B710</f>
        <v>0</v>
      </c>
      <c r="B22" s="950">
        <f>Application!$G710</f>
        <v>0</v>
      </c>
      <c r="C22" s="609">
        <f>Application!$O710</f>
        <v>0</v>
      </c>
      <c r="D22" s="610"/>
      <c r="E22" s="949"/>
      <c r="F22" s="609">
        <f t="shared" si="0"/>
        <v>0</v>
      </c>
      <c r="G22" s="610"/>
      <c r="H22" s="609">
        <f t="shared" si="1"/>
        <v>0</v>
      </c>
      <c r="I22" s="609">
        <f t="shared" si="2"/>
        <v>0</v>
      </c>
    </row>
    <row r="23" spans="1:9">
      <c r="A23" s="609">
        <f>Application!$B711</f>
        <v>0</v>
      </c>
      <c r="B23" s="950">
        <f>Application!$G711</f>
        <v>0</v>
      </c>
      <c r="C23" s="609">
        <f>Application!$O711</f>
        <v>0</v>
      </c>
      <c r="D23" s="610"/>
      <c r="E23" s="949"/>
      <c r="F23" s="609">
        <f t="shared" si="0"/>
        <v>0</v>
      </c>
      <c r="G23" s="610"/>
      <c r="H23" s="609">
        <f t="shared" si="1"/>
        <v>0</v>
      </c>
      <c r="I23" s="609">
        <f t="shared" si="2"/>
        <v>0</v>
      </c>
    </row>
    <row r="24" spans="1:9">
      <c r="A24" s="609">
        <f>Application!$B712</f>
        <v>0</v>
      </c>
      <c r="B24" s="950">
        <f>Application!$G712</f>
        <v>0</v>
      </c>
      <c r="C24" s="609">
        <f>Application!$O712</f>
        <v>0</v>
      </c>
      <c r="D24" s="610"/>
      <c r="E24" s="949"/>
      <c r="F24" s="609">
        <f t="shared" si="0"/>
        <v>0</v>
      </c>
      <c r="G24" s="610"/>
      <c r="H24" s="609">
        <f t="shared" si="1"/>
        <v>0</v>
      </c>
      <c r="I24" s="609">
        <f t="shared" si="2"/>
        <v>0</v>
      </c>
    </row>
    <row r="25" spans="1:9">
      <c r="A25" s="609">
        <f>Application!$B713</f>
        <v>0</v>
      </c>
      <c r="B25" s="950">
        <f>Application!$G713</f>
        <v>0</v>
      </c>
      <c r="C25" s="609">
        <f>Application!$O713</f>
        <v>0</v>
      </c>
      <c r="D25" s="610"/>
      <c r="E25" s="949"/>
      <c r="F25" s="609">
        <f t="shared" si="0"/>
        <v>0</v>
      </c>
      <c r="G25" s="610"/>
      <c r="H25" s="609">
        <f t="shared" si="1"/>
        <v>0</v>
      </c>
      <c r="I25" s="609">
        <f t="shared" si="2"/>
        <v>0</v>
      </c>
    </row>
    <row r="26" spans="1:9">
      <c r="A26" s="609">
        <f>Application!$B714</f>
        <v>0</v>
      </c>
      <c r="B26" s="950">
        <f>Application!$G714</f>
        <v>0</v>
      </c>
      <c r="C26" s="609">
        <f>Application!$O714</f>
        <v>0</v>
      </c>
      <c r="D26" s="610"/>
      <c r="E26" s="949"/>
      <c r="F26" s="609">
        <f t="shared" si="0"/>
        <v>0</v>
      </c>
      <c r="G26" s="610"/>
      <c r="H26" s="609">
        <f t="shared" si="1"/>
        <v>0</v>
      </c>
      <c r="I26" s="609">
        <f t="shared" si="2"/>
        <v>0</v>
      </c>
    </row>
    <row r="27" spans="1:9">
      <c r="A27" s="609">
        <f>Application!$B715</f>
        <v>0</v>
      </c>
      <c r="B27" s="950">
        <f>Application!$G715</f>
        <v>0</v>
      </c>
      <c r="C27" s="609">
        <f>Application!$O715</f>
        <v>0</v>
      </c>
      <c r="D27" s="610"/>
      <c r="E27" s="949"/>
      <c r="F27" s="609">
        <f t="shared" si="0"/>
        <v>0</v>
      </c>
      <c r="G27" s="610"/>
      <c r="H27" s="609">
        <f t="shared" si="1"/>
        <v>0</v>
      </c>
      <c r="I27" s="609">
        <f t="shared" si="2"/>
        <v>0</v>
      </c>
    </row>
    <row r="28" spans="1:9">
      <c r="A28" s="609">
        <f>Application!$B716</f>
        <v>0</v>
      </c>
      <c r="B28" s="950">
        <f>Application!$G716</f>
        <v>0</v>
      </c>
      <c r="C28" s="609">
        <f>Application!$O716</f>
        <v>0</v>
      </c>
      <c r="D28" s="610"/>
      <c r="E28" s="949"/>
      <c r="F28" s="609">
        <f t="shared" si="0"/>
        <v>0</v>
      </c>
      <c r="G28" s="610"/>
      <c r="H28" s="609">
        <f t="shared" si="1"/>
        <v>0</v>
      </c>
      <c r="I28" s="609">
        <f t="shared" si="2"/>
        <v>0</v>
      </c>
    </row>
    <row r="29" spans="1:9">
      <c r="A29" s="606"/>
      <c r="B29" s="606"/>
      <c r="C29" s="610"/>
      <c r="D29" s="610"/>
      <c r="E29" s="610"/>
      <c r="F29" s="610"/>
      <c r="G29" s="610"/>
      <c r="H29" s="610"/>
      <c r="I29" s="606"/>
    </row>
    <row r="30" spans="1:9" ht="15">
      <c r="A30" s="611" t="s">
        <v>1215</v>
      </c>
      <c r="B30" s="612"/>
      <c r="C30" s="613">
        <f>Application!$T$717*12</f>
        <v>330048</v>
      </c>
      <c r="D30" s="610"/>
      <c r="E30" s="610"/>
      <c r="F30" s="613">
        <f>SUM(F4:F28)*12</f>
        <v>277776</v>
      </c>
      <c r="G30" s="614"/>
      <c r="H30" s="612"/>
      <c r="I30" s="613">
        <f>SUM(I4:I28)*12</f>
        <v>178068</v>
      </c>
    </row>
    <row r="31" spans="1:9" ht="15">
      <c r="A31" s="611"/>
      <c r="B31" s="612"/>
      <c r="C31" s="614"/>
      <c r="D31" s="610"/>
      <c r="E31" s="610"/>
      <c r="F31" s="614"/>
      <c r="G31" s="614"/>
      <c r="H31" s="612"/>
      <c r="I31" s="614"/>
    </row>
    <row r="32" spans="1:9">
      <c r="A32" s="606" t="s">
        <v>1217</v>
      </c>
      <c r="B32" s="606"/>
      <c r="C32" s="606"/>
      <c r="D32" s="606"/>
      <c r="E32" s="606"/>
      <c r="F32" s="606"/>
      <c r="G32" s="606"/>
      <c r="H32" s="606"/>
      <c r="I32" s="606"/>
    </row>
    <row r="33" spans="1:9">
      <c r="A33" s="606" t="s">
        <v>1219</v>
      </c>
      <c r="B33" s="606"/>
      <c r="C33" s="606"/>
      <c r="D33" s="606"/>
      <c r="E33" s="606"/>
      <c r="F33" s="606"/>
      <c r="G33" s="606"/>
      <c r="H33" s="606"/>
      <c r="I33" s="606"/>
    </row>
    <row r="34" spans="1:9">
      <c r="A34" s="606" t="s">
        <v>2241</v>
      </c>
      <c r="B34" s="606"/>
      <c r="C34" s="606"/>
      <c r="D34" s="606"/>
      <c r="E34" s="606"/>
      <c r="F34" s="606"/>
      <c r="G34" s="606"/>
      <c r="H34" s="606"/>
      <c r="I34" s="606"/>
    </row>
  </sheetData>
  <sheetProtection algorithmName="SHA-512" hashValue="bWBLbxx7U7PnyKDd4j/t21zcXmXWJy9f4gIQzYWKajVRcRIAPfO+Ef6MWdR6M5NCOsXU2qxLVo7/kW3VT2oeUg==" saltValue="uIqsS6A7BCspV1we4PAt5w==" spinCount="100000" sheet="1" objects="1" scenarios="1"/>
  <customSheetViews>
    <customSheetView guid="{48A1B9AA-9520-4513-968D-1FB22989E0AF}" fitToPage="1">
      <selection activeCell="E4" sqref="E4"/>
      <pageMargins left="0.7" right="0.7" top="0.75" bottom="0.75" header="0.3" footer="0.3"/>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90"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
  <sheetViews>
    <sheetView tabSelected="1" workbookViewId="0"/>
  </sheetViews>
  <sheetFormatPr defaultColWidth="9.140625" defaultRowHeight="12.75"/>
  <cols>
    <col min="1" max="16384" width="9.140625" style="340"/>
  </cols>
  <sheetData/>
  <customSheetViews>
    <customSheetView guid="{48A1B9AA-9520-4513-968D-1FB22989E0AF}">
      <selection activeCell="M48" sqref="M48"/>
      <pageMargins left="0.7" right="0.7" top="0.75" bottom="0.75" header="0.3" footer="0.3"/>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heetViews>
  <sheetFormatPr defaultColWidth="0" defaultRowHeight="12.75" zeroHeight="1"/>
  <cols>
    <col min="1" max="1" width="161.42578125" customWidth="1"/>
    <col min="2" max="16384" width="8.85546875" hidden="1"/>
  </cols>
  <sheetData>
    <row r="1" spans="1:1" s="302" customFormat="1" ht="45" customHeight="1">
      <c r="A1" s="493" t="s">
        <v>1279</v>
      </c>
    </row>
    <row r="2" spans="1:1" ht="15.75">
      <c r="A2" s="491"/>
    </row>
    <row r="3" spans="1:1" ht="15.75">
      <c r="A3" s="492" t="s">
        <v>1274</v>
      </c>
    </row>
    <row r="4" spans="1:1" ht="15.75">
      <c r="A4" s="492" t="s">
        <v>1275</v>
      </c>
    </row>
    <row r="5" spans="1:1" ht="15.75">
      <c r="A5" s="492" t="s">
        <v>1276</v>
      </c>
    </row>
    <row r="6" spans="1:1" ht="15.75">
      <c r="A6" s="492" t="s">
        <v>1277</v>
      </c>
    </row>
    <row r="7" spans="1:1" ht="15.75">
      <c r="A7" s="492" t="s">
        <v>1278</v>
      </c>
    </row>
    <row r="8" spans="1:1" ht="15.75">
      <c r="A8" s="571" t="s">
        <v>1395</v>
      </c>
    </row>
    <row r="9" spans="1:1" ht="15.75">
      <c r="A9" s="492" t="s">
        <v>1396</v>
      </c>
    </row>
    <row r="10" spans="1:1"/>
  </sheetData>
  <sheetProtection algorithmName="SHA-512" hashValue="gqVDlDoUwc6wronnjPg3BDpxN+YTZl1OKm3XvXV5kGrIL5eE4Up4AGoQbHOzjalCyaSsp+wmR1AdAcGbSz0H1g==" saltValue="JZ80Nylikb7z+xgfkERAuA==" spinCount="100000" sheet="1" objects="1" scenarios="1" selectLockedCells="1"/>
  <customSheetViews>
    <customSheetView guid="{48A1B9AA-9520-4513-968D-1FB22989E0AF}">
      <selection activeCell="A10" sqref="A10"/>
      <pageMargins left="0.7" right="0.7" top="0.75" bottom="0.75" header="0.3" footer="0.3"/>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N81"/>
  <sheetViews>
    <sheetView showGridLines="0" workbookViewId="0">
      <selection activeCell="AB49" sqref="AB49:AF49"/>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597" t="s">
        <v>1146</v>
      </c>
      <c r="B1" s="1284"/>
      <c r="C1" s="1284"/>
      <c r="D1" s="1284"/>
      <c r="E1" s="1284"/>
      <c r="F1" s="1284"/>
      <c r="G1" s="1284"/>
      <c r="H1" s="1284"/>
      <c r="I1" s="1284"/>
      <c r="J1" s="1284"/>
      <c r="K1" s="1284"/>
      <c r="L1" s="1284"/>
      <c r="M1" s="1284"/>
      <c r="N1" s="1284"/>
      <c r="O1" s="1284"/>
      <c r="P1" s="1284"/>
      <c r="Q1" s="1284"/>
      <c r="R1" s="1284"/>
      <c r="S1" s="1284"/>
      <c r="T1" s="1284"/>
      <c r="U1" s="1284"/>
      <c r="V1" s="1284"/>
      <c r="W1" s="1284"/>
      <c r="X1" s="1284"/>
      <c r="Y1" s="1284"/>
      <c r="Z1" s="1284"/>
      <c r="AA1" s="1284"/>
      <c r="AB1" s="1284"/>
      <c r="AC1" s="1284"/>
      <c r="AD1" s="1284"/>
      <c r="AE1" s="1284"/>
      <c r="AF1" s="1284"/>
      <c r="AG1" s="1284"/>
      <c r="AH1" s="1284"/>
      <c r="AI1" s="1284"/>
      <c r="AJ1" s="1284"/>
      <c r="AK1" s="1284"/>
      <c r="AL1" s="1284"/>
      <c r="AM1" s="1284"/>
      <c r="AN1" s="1284"/>
    </row>
    <row r="2" spans="1:40" ht="12.95" customHeight="1" thickBot="1">
      <c r="A2" s="1285"/>
      <c r="B2" s="1285"/>
      <c r="C2" s="1285"/>
      <c r="D2" s="1285"/>
      <c r="E2" s="1285"/>
      <c r="F2" s="1285"/>
      <c r="G2" s="1285"/>
      <c r="H2" s="1285"/>
      <c r="I2" s="1285"/>
      <c r="J2" s="1285"/>
      <c r="K2" s="1285"/>
      <c r="L2" s="1285"/>
      <c r="M2" s="1285"/>
      <c r="N2" s="1285"/>
      <c r="O2" s="1285"/>
      <c r="P2" s="1285"/>
      <c r="Q2" s="1285"/>
      <c r="R2" s="1285"/>
      <c r="S2" s="1285"/>
      <c r="T2" s="1285"/>
      <c r="U2" s="1285"/>
      <c r="V2" s="1285"/>
      <c r="W2" s="1285"/>
      <c r="X2" s="1285"/>
      <c r="Y2" s="1285"/>
      <c r="Z2" s="1285"/>
      <c r="AA2" s="1285"/>
      <c r="AB2" s="1285"/>
      <c r="AC2" s="1285"/>
      <c r="AD2" s="1285"/>
      <c r="AE2" s="1285"/>
      <c r="AF2" s="1285"/>
      <c r="AG2" s="1285"/>
      <c r="AH2" s="1285"/>
      <c r="AI2" s="1285"/>
      <c r="AJ2" s="1285"/>
      <c r="AK2" s="1285"/>
      <c r="AL2" s="1285"/>
      <c r="AM2" s="1285"/>
      <c r="AN2" s="1285"/>
    </row>
    <row r="3" spans="1:40" ht="12.95"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688</v>
      </c>
      <c r="C5" s="3" t="s">
        <v>220</v>
      </c>
      <c r="F5" s="3"/>
    </row>
    <row r="6" spans="1:40" ht="12.95" customHeight="1">
      <c r="B6" s="90"/>
    </row>
    <row r="7" spans="1:40" ht="12.95" customHeight="1">
      <c r="B7" s="6"/>
      <c r="C7" s="7"/>
      <c r="D7" s="7"/>
      <c r="E7" s="7"/>
      <c r="F7" s="7"/>
      <c r="G7" s="7"/>
      <c r="H7" s="7"/>
      <c r="I7" s="7"/>
      <c r="J7" s="7"/>
      <c r="K7" s="7"/>
      <c r="L7" s="7"/>
      <c r="M7" s="7"/>
      <c r="N7" s="7"/>
      <c r="O7" s="7"/>
      <c r="P7" s="7"/>
      <c r="Q7" s="7"/>
      <c r="R7" s="7"/>
      <c r="S7" s="7"/>
      <c r="T7" s="1582" t="s">
        <v>1675</v>
      </c>
      <c r="U7" s="1582"/>
      <c r="V7" s="1582"/>
      <c r="W7" s="1582"/>
      <c r="X7" s="1582"/>
      <c r="Y7" s="1582" t="s">
        <v>1819</v>
      </c>
      <c r="Z7" s="1582"/>
      <c r="AA7" s="1582"/>
      <c r="AB7" s="1582"/>
      <c r="AC7" s="1582"/>
      <c r="AD7" s="1582" t="s">
        <v>1421</v>
      </c>
      <c r="AE7" s="1582"/>
      <c r="AF7" s="1582"/>
      <c r="AG7" s="1582"/>
      <c r="AH7" s="1582"/>
      <c r="AI7" s="1582" t="s">
        <v>1820</v>
      </c>
      <c r="AJ7" s="1582"/>
      <c r="AK7" s="1582"/>
      <c r="AL7" s="1582"/>
      <c r="AM7" s="1582"/>
    </row>
    <row r="8" spans="1:40" ht="12.95" customHeight="1">
      <c r="B8" s="204"/>
      <c r="T8" s="1582"/>
      <c r="U8" s="1582"/>
      <c r="V8" s="1582"/>
      <c r="W8" s="1582"/>
      <c r="X8" s="1582"/>
      <c r="Y8" s="1582"/>
      <c r="Z8" s="1582"/>
      <c r="AA8" s="1582"/>
      <c r="AB8" s="1582"/>
      <c r="AC8" s="1582"/>
      <c r="AD8" s="1582"/>
      <c r="AE8" s="1582"/>
      <c r="AF8" s="1582"/>
      <c r="AG8" s="1582"/>
      <c r="AH8" s="1582"/>
      <c r="AI8" s="1582"/>
      <c r="AJ8" s="1582"/>
      <c r="AK8" s="1582"/>
      <c r="AL8" s="1582"/>
      <c r="AM8" s="1582"/>
    </row>
    <row r="9" spans="1:40" ht="12.95" customHeight="1">
      <c r="B9" s="204"/>
      <c r="T9" s="1582"/>
      <c r="U9" s="1582"/>
      <c r="V9" s="1582"/>
      <c r="W9" s="1582"/>
      <c r="X9" s="1582"/>
      <c r="Y9" s="1582"/>
      <c r="Z9" s="1582"/>
      <c r="AA9" s="1582"/>
      <c r="AB9" s="1582"/>
      <c r="AC9" s="1582"/>
      <c r="AD9" s="1582"/>
      <c r="AE9" s="1582"/>
      <c r="AF9" s="1582"/>
      <c r="AG9" s="1582"/>
      <c r="AH9" s="1582"/>
      <c r="AI9" s="1582"/>
      <c r="AJ9" s="1582"/>
      <c r="AK9" s="1582"/>
      <c r="AL9" s="1582"/>
      <c r="AM9" s="1582"/>
    </row>
    <row r="10" spans="1:40" ht="12.95" customHeight="1">
      <c r="B10" s="53"/>
      <c r="C10" s="54"/>
      <c r="D10" s="54"/>
      <c r="E10" s="54"/>
      <c r="F10" s="54"/>
      <c r="G10" s="54"/>
      <c r="H10" s="54"/>
      <c r="I10" s="54"/>
      <c r="J10" s="54"/>
      <c r="K10" s="54"/>
      <c r="L10" s="54"/>
      <c r="M10" s="54"/>
      <c r="N10" s="54"/>
      <c r="O10" s="54"/>
      <c r="P10" s="54"/>
      <c r="Q10" s="54"/>
      <c r="R10" s="54"/>
      <c r="S10" s="54"/>
      <c r="T10" s="1582"/>
      <c r="U10" s="1582"/>
      <c r="V10" s="1582"/>
      <c r="W10" s="1582"/>
      <c r="X10" s="1582"/>
      <c r="Y10" s="1582"/>
      <c r="Z10" s="1582"/>
      <c r="AA10" s="1582"/>
      <c r="AB10" s="1582"/>
      <c r="AC10" s="1582"/>
      <c r="AD10" s="1582"/>
      <c r="AE10" s="1582"/>
      <c r="AF10" s="1582"/>
      <c r="AG10" s="1582"/>
      <c r="AH10" s="1582"/>
      <c r="AI10" s="1582"/>
      <c r="AJ10" s="1582"/>
      <c r="AK10" s="1582"/>
      <c r="AL10" s="1582"/>
      <c r="AM10" s="1582"/>
    </row>
    <row r="11" spans="1:40" ht="12.95" customHeight="1">
      <c r="B11" s="1091" t="s">
        <v>538</v>
      </c>
      <c r="C11" s="1092"/>
      <c r="D11" s="1092"/>
      <c r="E11" s="1092"/>
      <c r="F11" s="1092"/>
      <c r="G11" s="1092"/>
      <c r="H11" s="1092"/>
      <c r="I11" s="1092"/>
      <c r="J11" s="1092"/>
      <c r="K11" s="1092"/>
      <c r="L11" s="1092"/>
      <c r="M11" s="1092"/>
      <c r="N11" s="1092"/>
      <c r="O11" s="1092"/>
      <c r="P11" s="1092"/>
      <c r="Q11" s="1092"/>
      <c r="R11" s="1092"/>
      <c r="S11" s="1094"/>
      <c r="T11" s="1613">
        <f>IF('Sources and Basis Breakdown'!F105=0,'Sources and Basis Breakdown'!E105,'Sources and Basis Breakdown'!F105)</f>
        <v>23326938</v>
      </c>
      <c r="U11" s="1600"/>
      <c r="V11" s="1600"/>
      <c r="W11" s="1600"/>
      <c r="X11" s="1600"/>
      <c r="Y11" s="1599">
        <f>IF('Sources and Basis Breakdown'!G105+'Sources and Basis Breakdown'!F105='Sources and Basis Breakdown'!E105,'Sources and Basis Breakdown'!G105,0)</f>
        <v>0</v>
      </c>
      <c r="Z11" s="1600"/>
      <c r="AA11" s="1600"/>
      <c r="AB11" s="1600"/>
      <c r="AC11" s="1600"/>
      <c r="AD11" s="1600">
        <f>IF('Sources and Basis Breakdown'!I105=0,'Sources and Basis Breakdown'!H105,'Sources and Basis Breakdown'!I105)</f>
        <v>0</v>
      </c>
      <c r="AE11" s="1600"/>
      <c r="AF11" s="1600"/>
      <c r="AG11" s="1600"/>
      <c r="AH11" s="1600"/>
      <c r="AI11" s="1600">
        <f>IF('Sources and Basis Breakdown'!I105+'Sources and Basis Breakdown'!J105='Sources and Basis Breakdown'!H105,'Sources and Basis Breakdown'!J105,0)</f>
        <v>0</v>
      </c>
      <c r="AJ11" s="1600"/>
      <c r="AK11" s="1600"/>
      <c r="AL11" s="1600"/>
      <c r="AM11" s="1600"/>
    </row>
    <row r="12" spans="1:40" ht="12.95" customHeight="1">
      <c r="B12" s="1607" t="s">
        <v>475</v>
      </c>
      <c r="C12" s="1001"/>
      <c r="D12" s="1001"/>
      <c r="E12" s="1001"/>
      <c r="F12" s="1001"/>
      <c r="G12" s="1001"/>
      <c r="H12" s="1001"/>
      <c r="I12" s="1001"/>
      <c r="J12" s="1001"/>
      <c r="K12" s="1001"/>
      <c r="L12" s="1001"/>
      <c r="M12" s="1001"/>
      <c r="N12" s="1001"/>
      <c r="O12" s="1001"/>
      <c r="P12" s="1001"/>
      <c r="Q12" s="1001"/>
      <c r="R12" s="1001"/>
      <c r="S12" s="1608"/>
      <c r="T12" s="1602"/>
      <c r="U12" s="1603"/>
      <c r="V12" s="1603"/>
      <c r="W12" s="1603"/>
      <c r="X12" s="1604"/>
      <c r="Y12" s="1602"/>
      <c r="Z12" s="1603"/>
      <c r="AA12" s="1603"/>
      <c r="AB12" s="1603"/>
      <c r="AC12" s="1604"/>
      <c r="AD12" s="1602"/>
      <c r="AE12" s="1603"/>
      <c r="AF12" s="1603"/>
      <c r="AG12" s="1603"/>
      <c r="AH12" s="1604"/>
      <c r="AI12" s="1602"/>
      <c r="AJ12" s="1603"/>
      <c r="AK12" s="1603"/>
      <c r="AL12" s="1603"/>
      <c r="AM12" s="1604"/>
    </row>
    <row r="13" spans="1:40" ht="12.95" customHeight="1">
      <c r="B13" s="8"/>
      <c r="C13" s="1609" t="s">
        <v>1783</v>
      </c>
      <c r="D13" s="1610"/>
      <c r="E13" s="1610"/>
      <c r="F13" s="1610"/>
      <c r="G13" s="1610"/>
      <c r="H13" s="1610"/>
      <c r="I13" s="1610"/>
      <c r="J13" s="1610"/>
      <c r="K13" s="1610"/>
      <c r="L13" s="1610"/>
      <c r="M13" s="1610"/>
      <c r="N13" s="1610"/>
      <c r="O13" s="1610"/>
      <c r="P13" s="1610"/>
      <c r="Q13" s="1610"/>
      <c r="R13" s="1610"/>
      <c r="S13" s="1611"/>
      <c r="T13" s="1601">
        <f>'Basis &amp; Credits'!T13</f>
        <v>0</v>
      </c>
      <c r="U13" s="1598"/>
      <c r="V13" s="1598"/>
      <c r="W13" s="1598"/>
      <c r="X13" s="1598"/>
      <c r="Y13" s="1601">
        <f>'Basis &amp; Credits'!Y13</f>
        <v>0</v>
      </c>
      <c r="Z13" s="1598"/>
      <c r="AA13" s="1598"/>
      <c r="AB13" s="1598"/>
      <c r="AC13" s="1598"/>
      <c r="AD13" s="1598">
        <f>'Basis &amp; Credits'!AD13</f>
        <v>0</v>
      </c>
      <c r="AE13" s="1598"/>
      <c r="AF13" s="1598"/>
      <c r="AG13" s="1598"/>
      <c r="AH13" s="1598"/>
      <c r="AI13" s="1598">
        <f>'Basis &amp; Credits'!AI13</f>
        <v>0</v>
      </c>
      <c r="AJ13" s="1598"/>
      <c r="AK13" s="1598"/>
      <c r="AL13" s="1598"/>
      <c r="AM13" s="1598"/>
    </row>
    <row r="14" spans="1:40" ht="12.95" customHeight="1">
      <c r="B14" s="8"/>
      <c r="C14" s="1610" t="s">
        <v>804</v>
      </c>
      <c r="D14" s="1610"/>
      <c r="E14" s="1610"/>
      <c r="F14" s="1610"/>
      <c r="G14" s="1610"/>
      <c r="H14" s="1610"/>
      <c r="I14" s="1610"/>
      <c r="J14" s="1610"/>
      <c r="K14" s="1610"/>
      <c r="L14" s="1610"/>
      <c r="M14" s="1610"/>
      <c r="N14" s="1610"/>
      <c r="O14" s="1610"/>
      <c r="P14" s="1610"/>
      <c r="Q14" s="1610"/>
      <c r="R14" s="1610"/>
      <c r="S14" s="1611"/>
      <c r="T14" s="1061">
        <f>'Basis &amp; Credits'!T14</f>
        <v>0</v>
      </c>
      <c r="U14" s="1239"/>
      <c r="V14" s="1239"/>
      <c r="W14" s="1239"/>
      <c r="X14" s="1239"/>
      <c r="Y14" s="1061">
        <f>'Basis &amp; Credits'!Y14</f>
        <v>0</v>
      </c>
      <c r="Z14" s="1239"/>
      <c r="AA14" s="1239"/>
      <c r="AB14" s="1239"/>
      <c r="AC14" s="1239"/>
      <c r="AD14" s="1239">
        <f>'Basis &amp; Credits'!AD14</f>
        <v>0</v>
      </c>
      <c r="AE14" s="1239"/>
      <c r="AF14" s="1239"/>
      <c r="AG14" s="1239"/>
      <c r="AH14" s="1239"/>
      <c r="AI14" s="1239">
        <f>'Basis &amp; Credits'!AI14</f>
        <v>0</v>
      </c>
      <c r="AJ14" s="1239"/>
      <c r="AK14" s="1239"/>
      <c r="AL14" s="1239"/>
      <c r="AM14" s="1239"/>
    </row>
    <row r="15" spans="1:40" ht="12.95" customHeight="1">
      <c r="B15" s="8"/>
      <c r="C15" s="1610" t="s">
        <v>805</v>
      </c>
      <c r="D15" s="1610"/>
      <c r="E15" s="1610"/>
      <c r="F15" s="1610"/>
      <c r="G15" s="1610"/>
      <c r="H15" s="1610"/>
      <c r="I15" s="1610"/>
      <c r="J15" s="1610"/>
      <c r="K15" s="1610"/>
      <c r="L15" s="1610"/>
      <c r="M15" s="1610"/>
      <c r="N15" s="1610"/>
      <c r="O15" s="1610"/>
      <c r="P15" s="1610"/>
      <c r="Q15" s="1610"/>
      <c r="R15" s="1610"/>
      <c r="S15" s="1611"/>
      <c r="T15" s="1061">
        <f>'Basis &amp; Credits'!T15</f>
        <v>0</v>
      </c>
      <c r="U15" s="1239"/>
      <c r="V15" s="1239"/>
      <c r="W15" s="1239"/>
      <c r="X15" s="1239"/>
      <c r="Y15" s="1061">
        <f>'Basis &amp; Credits'!Y15</f>
        <v>0</v>
      </c>
      <c r="Z15" s="1239"/>
      <c r="AA15" s="1239"/>
      <c r="AB15" s="1239"/>
      <c r="AC15" s="1239"/>
      <c r="AD15" s="1239">
        <f>'Basis &amp; Credits'!AD15</f>
        <v>0</v>
      </c>
      <c r="AE15" s="1239"/>
      <c r="AF15" s="1239"/>
      <c r="AG15" s="1239"/>
      <c r="AH15" s="1239"/>
      <c r="AI15" s="1239">
        <f>'Basis &amp; Credits'!AI15</f>
        <v>0</v>
      </c>
      <c r="AJ15" s="1239"/>
      <c r="AK15" s="1239"/>
      <c r="AL15" s="1239"/>
      <c r="AM15" s="1239"/>
    </row>
    <row r="16" spans="1:40" ht="12.95" customHeight="1">
      <c r="B16" s="8"/>
      <c r="C16" s="1609" t="s">
        <v>1056</v>
      </c>
      <c r="D16" s="1609"/>
      <c r="E16" s="1609"/>
      <c r="F16" s="1609"/>
      <c r="G16" s="1609"/>
      <c r="H16" s="1609"/>
      <c r="I16" s="1609"/>
      <c r="J16" s="1609"/>
      <c r="K16" s="1609"/>
      <c r="L16" s="1609"/>
      <c r="M16" s="1609"/>
      <c r="N16" s="1609"/>
      <c r="O16" s="1609"/>
      <c r="P16" s="1609"/>
      <c r="Q16" s="1609"/>
      <c r="R16" s="1609"/>
      <c r="S16" s="1612"/>
      <c r="T16" s="1061">
        <f>'Basis &amp; Credits'!T16</f>
        <v>0</v>
      </c>
      <c r="U16" s="1239"/>
      <c r="V16" s="1239"/>
      <c r="W16" s="1239"/>
      <c r="X16" s="1239"/>
      <c r="Y16" s="1061">
        <f>'Basis &amp; Credits'!Y16</f>
        <v>0</v>
      </c>
      <c r="Z16" s="1239"/>
      <c r="AA16" s="1239"/>
      <c r="AB16" s="1239"/>
      <c r="AC16" s="1239"/>
      <c r="AD16" s="1239">
        <f>'Basis &amp; Credits'!AD16</f>
        <v>0</v>
      </c>
      <c r="AE16" s="1239"/>
      <c r="AF16" s="1239"/>
      <c r="AG16" s="1239"/>
      <c r="AH16" s="1239"/>
      <c r="AI16" s="1239">
        <f>'Basis &amp; Credits'!AI16</f>
        <v>0</v>
      </c>
      <c r="AJ16" s="1239"/>
      <c r="AK16" s="1239"/>
      <c r="AL16" s="1239"/>
      <c r="AM16" s="1239"/>
    </row>
    <row r="17" spans="1:39" ht="12.95" customHeight="1">
      <c r="B17" s="8"/>
      <c r="C17" s="1610" t="s">
        <v>806</v>
      </c>
      <c r="D17" s="1610"/>
      <c r="E17" s="1610"/>
      <c r="F17" s="1610"/>
      <c r="G17" s="1610"/>
      <c r="H17" s="1610"/>
      <c r="I17" s="1610"/>
      <c r="J17" s="1610"/>
      <c r="K17" s="1610"/>
      <c r="L17" s="1610"/>
      <c r="M17" s="1610"/>
      <c r="N17" s="1610"/>
      <c r="O17" s="1610"/>
      <c r="P17" s="1610"/>
      <c r="Q17" s="1610"/>
      <c r="R17" s="1610"/>
      <c r="S17" s="1611"/>
      <c r="T17" s="1061">
        <f>'Basis &amp; Credits'!T17</f>
        <v>0</v>
      </c>
      <c r="U17" s="1239"/>
      <c r="V17" s="1239"/>
      <c r="W17" s="1239"/>
      <c r="X17" s="1239"/>
      <c r="Y17" s="1061">
        <f>'Basis &amp; Credits'!Y17</f>
        <v>0</v>
      </c>
      <c r="Z17" s="1239"/>
      <c r="AA17" s="1239"/>
      <c r="AB17" s="1239"/>
      <c r="AC17" s="1239"/>
      <c r="AD17" s="1239">
        <f>'Basis &amp; Credits'!AD17</f>
        <v>0</v>
      </c>
      <c r="AE17" s="1239"/>
      <c r="AF17" s="1239"/>
      <c r="AG17" s="1239"/>
      <c r="AH17" s="1239"/>
      <c r="AI17" s="1239">
        <f>'Basis &amp; Credits'!AI17</f>
        <v>0</v>
      </c>
      <c r="AJ17" s="1239"/>
      <c r="AK17" s="1239"/>
      <c r="AL17" s="1239"/>
      <c r="AM17" s="1239"/>
    </row>
    <row r="18" spans="1:39" ht="12.95" customHeight="1">
      <c r="B18" s="600"/>
      <c r="C18" s="1609" t="s">
        <v>1425</v>
      </c>
      <c r="D18" s="1610"/>
      <c r="E18" s="1610"/>
      <c r="F18" s="1610"/>
      <c r="G18" s="1610"/>
      <c r="H18" s="1610"/>
      <c r="I18" s="1610"/>
      <c r="J18" s="1610"/>
      <c r="K18" s="1610"/>
      <c r="L18" s="1610"/>
      <c r="M18" s="1610"/>
      <c r="N18" s="1610"/>
      <c r="O18" s="1610"/>
      <c r="P18" s="1610"/>
      <c r="Q18" s="1610"/>
      <c r="R18" s="1610"/>
      <c r="S18" s="1611"/>
      <c r="T18" s="1059">
        <f>'Basis &amp; Credits'!T18</f>
        <v>0</v>
      </c>
      <c r="U18" s="1060"/>
      <c r="V18" s="1060"/>
      <c r="W18" s="1060"/>
      <c r="X18" s="1061"/>
      <c r="Y18" s="1061">
        <f>'Basis &amp; Credits'!Y18</f>
        <v>0</v>
      </c>
      <c r="Z18" s="1239"/>
      <c r="AA18" s="1239"/>
      <c r="AB18" s="1239"/>
      <c r="AC18" s="1239"/>
      <c r="AD18" s="1239">
        <f>'Basis &amp; Credits'!AD18</f>
        <v>0</v>
      </c>
      <c r="AE18" s="1239"/>
      <c r="AF18" s="1239"/>
      <c r="AG18" s="1239"/>
      <c r="AH18" s="1239"/>
      <c r="AI18" s="1239">
        <f>'Basis &amp; Credits'!AI18</f>
        <v>0</v>
      </c>
      <c r="AJ18" s="1239"/>
      <c r="AK18" s="1239"/>
      <c r="AL18" s="1239"/>
      <c r="AM18" s="1239"/>
    </row>
    <row r="19" spans="1:39" ht="12.95" customHeight="1">
      <c r="B19" s="490"/>
      <c r="C19" s="1605" t="str">
        <f>'Basis &amp; Credits'!C19:S19</f>
        <v>Subtract (specify other ineligible amounts):</v>
      </c>
      <c r="D19" s="1605"/>
      <c r="E19" s="1605"/>
      <c r="F19" s="1605"/>
      <c r="G19" s="1605"/>
      <c r="H19" s="1605"/>
      <c r="I19" s="1605"/>
      <c r="J19" s="1605"/>
      <c r="K19" s="1605"/>
      <c r="L19" s="1605"/>
      <c r="M19" s="1605"/>
      <c r="N19" s="1605"/>
      <c r="O19" s="1605"/>
      <c r="P19" s="1605"/>
      <c r="Q19" s="1605"/>
      <c r="R19" s="1605"/>
      <c r="S19" s="1606"/>
      <c r="T19" s="1061">
        <f>'Basis &amp; Credits'!T19</f>
        <v>0</v>
      </c>
      <c r="U19" s="1239"/>
      <c r="V19" s="1239"/>
      <c r="W19" s="1239"/>
      <c r="X19" s="1239"/>
      <c r="Y19" s="1061">
        <f>'Basis &amp; Credits'!Y19</f>
        <v>0</v>
      </c>
      <c r="Z19" s="1239"/>
      <c r="AA19" s="1239"/>
      <c r="AB19" s="1239"/>
      <c r="AC19" s="1239"/>
      <c r="AD19" s="1239">
        <f>'Basis &amp; Credits'!AD19</f>
        <v>0</v>
      </c>
      <c r="AE19" s="1239"/>
      <c r="AF19" s="1239"/>
      <c r="AG19" s="1239"/>
      <c r="AH19" s="1239"/>
      <c r="AI19" s="1239">
        <f>'Basis &amp; Credits'!AI19</f>
        <v>0</v>
      </c>
      <c r="AJ19" s="1239"/>
      <c r="AK19" s="1239"/>
      <c r="AL19" s="1239"/>
      <c r="AM19" s="1239"/>
    </row>
    <row r="20" spans="1:39" ht="12.95" customHeight="1">
      <c r="B20" s="1091" t="s">
        <v>807</v>
      </c>
      <c r="C20" s="1092"/>
      <c r="D20" s="1092"/>
      <c r="E20" s="1092"/>
      <c r="F20" s="1092"/>
      <c r="G20" s="1092"/>
      <c r="H20" s="1092"/>
      <c r="I20" s="1092"/>
      <c r="J20" s="1092"/>
      <c r="K20" s="1092"/>
      <c r="L20" s="1092"/>
      <c r="M20" s="1092"/>
      <c r="N20" s="1092"/>
      <c r="O20" s="1092"/>
      <c r="P20" s="1092"/>
      <c r="Q20" s="1092"/>
      <c r="R20" s="1092"/>
      <c r="S20" s="1094"/>
      <c r="T20" s="1579">
        <f>SUM(T13:X19)</f>
        <v>0</v>
      </c>
      <c r="U20" s="1308"/>
      <c r="V20" s="1308"/>
      <c r="W20" s="1308"/>
      <c r="X20" s="1308"/>
      <c r="Y20" s="1579">
        <f>SUM(Y13:AC19)</f>
        <v>0</v>
      </c>
      <c r="Z20" s="1308"/>
      <c r="AA20" s="1308"/>
      <c r="AB20" s="1308"/>
      <c r="AC20" s="1308"/>
      <c r="AD20" s="1308">
        <f>SUM(AD13:AH19)</f>
        <v>0</v>
      </c>
      <c r="AE20" s="1308"/>
      <c r="AF20" s="1308"/>
      <c r="AG20" s="1308"/>
      <c r="AH20" s="1308"/>
      <c r="AI20" s="1308">
        <f>SUM(AI13:AM19)</f>
        <v>0</v>
      </c>
      <c r="AJ20" s="1308"/>
      <c r="AK20" s="1308"/>
      <c r="AL20" s="1308"/>
      <c r="AM20" s="1308"/>
    </row>
    <row r="21" spans="1:39" ht="12.95" customHeight="1">
      <c r="B21" s="1091" t="s">
        <v>1782</v>
      </c>
      <c r="C21" s="1092"/>
      <c r="D21" s="1092"/>
      <c r="E21" s="1092"/>
      <c r="F21" s="1092"/>
      <c r="G21" s="1092"/>
      <c r="H21" s="1092"/>
      <c r="I21" s="1092"/>
      <c r="J21" s="1092"/>
      <c r="K21" s="1092"/>
      <c r="L21" s="1092"/>
      <c r="M21" s="1092"/>
      <c r="N21" s="1092"/>
      <c r="O21" s="1092"/>
      <c r="P21" s="1092"/>
      <c r="Q21" s="1092"/>
      <c r="R21" s="1092"/>
      <c r="S21" s="1094"/>
      <c r="T21" s="1061">
        <f>'Basis &amp; Credits'!E21</f>
        <v>0</v>
      </c>
      <c r="U21" s="1239"/>
      <c r="V21" s="1239"/>
      <c r="W21" s="1239"/>
      <c r="X21" s="1239"/>
      <c r="Y21" s="1061">
        <f>'Basis &amp; Credits'!J21</f>
        <v>0</v>
      </c>
      <c r="Z21" s="1239"/>
      <c r="AA21" s="1239"/>
      <c r="AB21" s="1239"/>
      <c r="AC21" s="1239"/>
      <c r="AD21" s="1239">
        <f>'Basis &amp; Credits'!O21</f>
        <v>0</v>
      </c>
      <c r="AE21" s="1239"/>
      <c r="AF21" s="1239"/>
      <c r="AG21" s="1239"/>
      <c r="AH21" s="1239"/>
      <c r="AI21" s="1239">
        <f>'Basis &amp; Credits'!T21</f>
        <v>3813989</v>
      </c>
      <c r="AJ21" s="1239"/>
      <c r="AK21" s="1239"/>
      <c r="AL21" s="1239"/>
      <c r="AM21" s="1239"/>
    </row>
    <row r="22" spans="1:39" ht="12.95" customHeight="1">
      <c r="B22" s="1091" t="s">
        <v>808</v>
      </c>
      <c r="C22" s="1092"/>
      <c r="D22" s="1092"/>
      <c r="E22" s="1092"/>
      <c r="F22" s="1092"/>
      <c r="G22" s="1092"/>
      <c r="H22" s="1092"/>
      <c r="I22" s="1092"/>
      <c r="J22" s="1092"/>
      <c r="K22" s="1092"/>
      <c r="L22" s="1092"/>
      <c r="M22" s="1092"/>
      <c r="N22" s="1092"/>
      <c r="O22" s="1092"/>
      <c r="P22" s="1092"/>
      <c r="Q22" s="1092"/>
      <c r="R22" s="1092"/>
      <c r="S22" s="1094"/>
      <c r="T22" s="1614">
        <f>(T20+T21)*-1</f>
        <v>0</v>
      </c>
      <c r="U22" s="1615"/>
      <c r="V22" s="1615"/>
      <c r="W22" s="1615"/>
      <c r="X22" s="1615"/>
      <c r="Y22" s="1614">
        <f>(Y20+Y21)*-1</f>
        <v>0</v>
      </c>
      <c r="Z22" s="1615"/>
      <c r="AA22" s="1615"/>
      <c r="AB22" s="1615"/>
      <c r="AC22" s="1615"/>
      <c r="AD22" s="1614">
        <f>(AD20+AD21)*-1</f>
        <v>0</v>
      </c>
      <c r="AE22" s="1615"/>
      <c r="AF22" s="1615"/>
      <c r="AG22" s="1615"/>
      <c r="AH22" s="1615"/>
      <c r="AI22" s="1614">
        <f>(AI20+AI21)*-1</f>
        <v>-3813989</v>
      </c>
      <c r="AJ22" s="1615"/>
      <c r="AK22" s="1615"/>
      <c r="AL22" s="1615"/>
      <c r="AM22" s="1615"/>
    </row>
    <row r="23" spans="1:39" ht="12.95" customHeight="1">
      <c r="B23" s="1091" t="s">
        <v>809</v>
      </c>
      <c r="C23" s="1092"/>
      <c r="D23" s="1092"/>
      <c r="E23" s="1092"/>
      <c r="F23" s="1092"/>
      <c r="G23" s="1092"/>
      <c r="H23" s="1092"/>
      <c r="I23" s="1092"/>
      <c r="J23" s="1092"/>
      <c r="K23" s="1092"/>
      <c r="L23" s="1092"/>
      <c r="M23" s="1092"/>
      <c r="N23" s="1092"/>
      <c r="O23" s="1092"/>
      <c r="P23" s="1092"/>
      <c r="Q23" s="1092"/>
      <c r="R23" s="1092"/>
      <c r="S23" s="1094"/>
      <c r="T23" s="1579">
        <f>T11+T22</f>
        <v>23326938</v>
      </c>
      <c r="U23" s="1308"/>
      <c r="V23" s="1308"/>
      <c r="W23" s="1308"/>
      <c r="X23" s="1308"/>
      <c r="Y23" s="1579">
        <f>Y11+Y22</f>
        <v>0</v>
      </c>
      <c r="Z23" s="1308"/>
      <c r="AA23" s="1308"/>
      <c r="AB23" s="1308"/>
      <c r="AC23" s="1308"/>
      <c r="AD23" s="1579">
        <f>AD11+AD22</f>
        <v>0</v>
      </c>
      <c r="AE23" s="1308"/>
      <c r="AF23" s="1308"/>
      <c r="AG23" s="1308"/>
      <c r="AH23" s="1308"/>
      <c r="AI23" s="1579">
        <f>AI11+AI22</f>
        <v>-3813989</v>
      </c>
      <c r="AJ23" s="1308"/>
      <c r="AK23" s="1308"/>
      <c r="AL23" s="1308"/>
      <c r="AM23" s="1308"/>
    </row>
    <row r="24" spans="1:39" ht="12.95" customHeight="1">
      <c r="B24" s="1091" t="s">
        <v>1268</v>
      </c>
      <c r="C24" s="1092"/>
      <c r="D24" s="1092"/>
      <c r="E24" s="1092"/>
      <c r="F24" s="1092"/>
      <c r="G24" s="1092"/>
      <c r="H24" s="1092"/>
      <c r="I24" s="1092"/>
      <c r="J24" s="1092"/>
      <c r="K24" s="1092"/>
      <c r="L24" s="1092"/>
      <c r="M24" s="1092"/>
      <c r="N24" s="1092"/>
      <c r="O24" s="1092"/>
      <c r="P24" s="1092"/>
      <c r="Q24" s="1092"/>
      <c r="R24" s="1092"/>
      <c r="S24" s="1094"/>
      <c r="T24" s="1580">
        <f>Application!AD979</f>
        <v>0</v>
      </c>
      <c r="U24" s="1581"/>
      <c r="V24" s="1581"/>
      <c r="W24" s="1581"/>
      <c r="X24" s="1581"/>
      <c r="Y24" s="1581"/>
      <c r="Z24" s="1581"/>
      <c r="AA24" s="1581"/>
      <c r="AB24" s="1581"/>
      <c r="AC24" s="1581"/>
      <c r="AD24" s="1581"/>
      <c r="AE24" s="1581"/>
      <c r="AF24" s="1581"/>
      <c r="AG24" s="1581"/>
      <c r="AH24" s="1581"/>
      <c r="AI24" s="1581"/>
      <c r="AJ24" s="1581"/>
      <c r="AK24" s="1581"/>
      <c r="AL24" s="1581"/>
      <c r="AM24" s="1579"/>
    </row>
    <row r="25" spans="1:39" ht="12.95" customHeight="1">
      <c r="B25" s="1621" t="s">
        <v>1818</v>
      </c>
      <c r="C25" s="1622"/>
      <c r="D25" s="1622"/>
      <c r="E25" s="1622"/>
      <c r="F25" s="1622"/>
      <c r="G25" s="1622"/>
      <c r="H25" s="1622"/>
      <c r="I25" s="1622"/>
      <c r="J25" s="1622"/>
      <c r="K25" s="1622"/>
      <c r="L25" s="1622"/>
      <c r="M25" s="1622"/>
      <c r="N25" s="1622"/>
      <c r="O25" s="1622"/>
      <c r="P25" s="1622"/>
      <c r="Q25" s="1622"/>
      <c r="R25" s="1622"/>
      <c r="S25" s="1623"/>
      <c r="T25" s="1616">
        <v>1</v>
      </c>
      <c r="U25" s="1617"/>
      <c r="V25" s="1617"/>
      <c r="W25" s="1617"/>
      <c r="X25" s="1620"/>
      <c r="Y25" s="1616">
        <v>1</v>
      </c>
      <c r="Z25" s="1617"/>
      <c r="AA25" s="1617"/>
      <c r="AB25" s="1617"/>
      <c r="AC25" s="1620"/>
      <c r="AD25" s="1616">
        <v>1</v>
      </c>
      <c r="AE25" s="1617"/>
      <c r="AF25" s="1617"/>
      <c r="AG25" s="1617"/>
      <c r="AH25" s="1620"/>
      <c r="AI25" s="1616">
        <v>1</v>
      </c>
      <c r="AJ25" s="1617"/>
      <c r="AK25" s="1617"/>
      <c r="AL25" s="1617"/>
      <c r="AM25" s="1620"/>
    </row>
    <row r="26" spans="1:39" ht="12.95" customHeight="1">
      <c r="B26" s="1091" t="s">
        <v>810</v>
      </c>
      <c r="C26" s="1092"/>
      <c r="D26" s="1092"/>
      <c r="E26" s="1092"/>
      <c r="F26" s="1092"/>
      <c r="G26" s="1092"/>
      <c r="H26" s="1092"/>
      <c r="I26" s="1092"/>
      <c r="J26" s="1092"/>
      <c r="K26" s="1092"/>
      <c r="L26" s="1092"/>
      <c r="M26" s="1092"/>
      <c r="N26" s="1092"/>
      <c r="O26" s="1092"/>
      <c r="P26" s="1092"/>
      <c r="Q26" s="1092"/>
      <c r="R26" s="1092"/>
      <c r="S26" s="1094"/>
      <c r="T26" s="1235">
        <f>T23*T25</f>
        <v>23326938</v>
      </c>
      <c r="U26" s="1591"/>
      <c r="V26" s="1591"/>
      <c r="W26" s="1591"/>
      <c r="X26" s="1591"/>
      <c r="Y26" s="1235">
        <f>Y23*Y25</f>
        <v>0</v>
      </c>
      <c r="Z26" s="1591"/>
      <c r="AA26" s="1591"/>
      <c r="AB26" s="1591"/>
      <c r="AC26" s="1591"/>
      <c r="AD26" s="1235">
        <f>AD23*AD25</f>
        <v>0</v>
      </c>
      <c r="AE26" s="1591"/>
      <c r="AF26" s="1591"/>
      <c r="AG26" s="1591"/>
      <c r="AH26" s="1591"/>
      <c r="AI26" s="1235">
        <f>AI23*AI25</f>
        <v>-3813989</v>
      </c>
      <c r="AJ26" s="1591"/>
      <c r="AK26" s="1591"/>
      <c r="AL26" s="1591"/>
      <c r="AM26" s="1591"/>
    </row>
    <row r="27" spans="1:39" ht="12.95" customHeight="1">
      <c r="A27" s="4"/>
      <c r="B27" s="1624" t="s">
        <v>919</v>
      </c>
      <c r="C27" s="1625"/>
      <c r="D27" s="1625"/>
      <c r="E27" s="1625"/>
      <c r="F27" s="1625"/>
      <c r="G27" s="1625"/>
      <c r="H27" s="1625"/>
      <c r="I27" s="1625"/>
      <c r="J27" s="1625"/>
      <c r="K27" s="1625"/>
      <c r="L27" s="1625"/>
      <c r="M27" s="1625"/>
      <c r="N27" s="1625"/>
      <c r="O27" s="1625"/>
      <c r="P27" s="1625"/>
      <c r="Q27" s="1625"/>
      <c r="R27" s="1625"/>
      <c r="S27" s="1626"/>
      <c r="T27" s="1618">
        <f>Application!AG438</f>
        <v>1</v>
      </c>
      <c r="U27" s="1619"/>
      <c r="V27" s="1619"/>
      <c r="W27" s="1619"/>
      <c r="X27" s="1619"/>
      <c r="Y27" s="1618">
        <f>Application!AG438</f>
        <v>1</v>
      </c>
      <c r="Z27" s="1619"/>
      <c r="AA27" s="1619"/>
      <c r="AB27" s="1619"/>
      <c r="AC27" s="1619"/>
      <c r="AD27" s="1618">
        <f>Application!AG438</f>
        <v>1</v>
      </c>
      <c r="AE27" s="1619"/>
      <c r="AF27" s="1619"/>
      <c r="AG27" s="1619"/>
      <c r="AH27" s="1619"/>
      <c r="AI27" s="1618">
        <f>Application!AG438</f>
        <v>1</v>
      </c>
      <c r="AJ27" s="1619"/>
      <c r="AK27" s="1619"/>
      <c r="AL27" s="1619"/>
      <c r="AM27" s="1619"/>
    </row>
    <row r="28" spans="1:39" ht="12.95" customHeight="1">
      <c r="A28" s="3"/>
      <c r="B28" s="1091" t="s">
        <v>883</v>
      </c>
      <c r="C28" s="1092"/>
      <c r="D28" s="1092"/>
      <c r="E28" s="1092"/>
      <c r="F28" s="1092"/>
      <c r="G28" s="1092"/>
      <c r="H28" s="1092"/>
      <c r="I28" s="1092"/>
      <c r="J28" s="1092"/>
      <c r="K28" s="1092"/>
      <c r="L28" s="1092"/>
      <c r="M28" s="1092"/>
      <c r="N28" s="1092"/>
      <c r="O28" s="1092"/>
      <c r="P28" s="1092"/>
      <c r="Q28" s="1092"/>
      <c r="R28" s="1092"/>
      <c r="S28" s="1094"/>
      <c r="T28" s="1235">
        <f>IF(ISERROR((T26*T27)),0,(T26*T27))</f>
        <v>23326938</v>
      </c>
      <c r="U28" s="1591"/>
      <c r="V28" s="1591"/>
      <c r="W28" s="1591"/>
      <c r="X28" s="1591"/>
      <c r="Y28" s="1235">
        <f>IF(ISERROR((Y26*Y27)),0,(Y26*Y27))</f>
        <v>0</v>
      </c>
      <c r="Z28" s="1591"/>
      <c r="AA28" s="1591"/>
      <c r="AB28" s="1591"/>
      <c r="AC28" s="1591"/>
      <c r="AD28" s="1235">
        <f>IF(ISERROR((AD26*AD27)),0,(AD26*AD27))</f>
        <v>0</v>
      </c>
      <c r="AE28" s="1591"/>
      <c r="AF28" s="1591"/>
      <c r="AG28" s="1591"/>
      <c r="AH28" s="1591"/>
      <c r="AI28" s="1235">
        <f>IF(ISERROR((AI26*AI27)),0,(AI26*AI27))</f>
        <v>-3813989</v>
      </c>
      <c r="AJ28" s="1591"/>
      <c r="AK28" s="1591"/>
      <c r="AL28" s="1591"/>
      <c r="AM28" s="1591"/>
    </row>
    <row r="29" spans="1:39" ht="12.95" customHeight="1">
      <c r="B29" s="1091" t="s">
        <v>658</v>
      </c>
      <c r="C29" s="1092"/>
      <c r="D29" s="1092"/>
      <c r="E29" s="1092"/>
      <c r="F29" s="1092"/>
      <c r="G29" s="1092"/>
      <c r="H29" s="1092"/>
      <c r="I29" s="1092"/>
      <c r="J29" s="1092"/>
      <c r="K29" s="1092"/>
      <c r="L29" s="1092"/>
      <c r="M29" s="1092"/>
      <c r="N29" s="1092"/>
      <c r="O29" s="1092"/>
      <c r="P29" s="1092"/>
      <c r="Q29" s="1092"/>
      <c r="R29" s="1092"/>
      <c r="S29" s="1094"/>
      <c r="T29" s="1580">
        <f>T28+Y28+AD28+AI28</f>
        <v>19512949</v>
      </c>
      <c r="U29" s="1581"/>
      <c r="V29" s="1581"/>
      <c r="W29" s="1581"/>
      <c r="X29" s="1581"/>
      <c r="Y29" s="1581"/>
      <c r="Z29" s="1581"/>
      <c r="AA29" s="1581"/>
      <c r="AB29" s="1581"/>
      <c r="AC29" s="1581"/>
      <c r="AD29" s="1581"/>
      <c r="AE29" s="1581"/>
      <c r="AF29" s="1581"/>
      <c r="AG29" s="1581"/>
      <c r="AH29" s="1581"/>
      <c r="AI29" s="1581"/>
      <c r="AJ29" s="1581"/>
      <c r="AK29" s="1581"/>
      <c r="AL29" s="1581"/>
      <c r="AM29" s="1579"/>
    </row>
    <row r="30" spans="1:39" ht="12.95" customHeight="1">
      <c r="B30" s="1939"/>
      <c r="C30" s="1939"/>
      <c r="D30" s="1939"/>
      <c r="E30" s="1939"/>
      <c r="F30" s="1939"/>
      <c r="G30" s="1939"/>
      <c r="H30" s="1939"/>
      <c r="I30" s="1939"/>
      <c r="J30" s="1939"/>
      <c r="K30" s="1939"/>
      <c r="L30" s="1939"/>
      <c r="M30" s="1939"/>
      <c r="N30" s="1939"/>
      <c r="O30" s="1939"/>
      <c r="P30" s="1939"/>
      <c r="Q30" s="1939"/>
      <c r="R30" s="1939"/>
      <c r="S30" s="1939"/>
      <c r="T30" s="1939"/>
      <c r="U30" s="1939"/>
      <c r="V30" s="1939"/>
      <c r="W30" s="1939"/>
      <c r="X30" s="1939"/>
      <c r="Y30" s="1939"/>
      <c r="Z30" s="1939"/>
      <c r="AA30" s="1939"/>
      <c r="AB30" s="1939"/>
      <c r="AC30" s="1939"/>
      <c r="AD30" s="1939"/>
      <c r="AE30" s="1939"/>
      <c r="AF30" s="1939"/>
      <c r="AG30" s="1939"/>
      <c r="AH30" s="1939"/>
      <c r="AI30" s="1939"/>
      <c r="AJ30" s="1939"/>
      <c r="AK30" s="1939"/>
      <c r="AL30" s="1939"/>
      <c r="AM30" s="1939"/>
    </row>
    <row r="31" spans="1:39" ht="12.95" customHeight="1">
      <c r="C31" s="343"/>
      <c r="X31" s="62"/>
      <c r="Y31" s="181"/>
      <c r="Z31" s="181"/>
      <c r="AA31" s="181"/>
      <c r="AB31" s="181"/>
      <c r="AC31" s="181"/>
      <c r="AD31" s="181"/>
      <c r="AE31" s="181"/>
      <c r="AF31" s="181"/>
      <c r="AG31" s="181"/>
      <c r="AH31" s="181"/>
    </row>
    <row r="32" spans="1:39" ht="12.95" customHeight="1">
      <c r="C32" s="36"/>
      <c r="X32" s="62"/>
      <c r="Y32" s="181"/>
      <c r="Z32" s="181"/>
      <c r="AA32" s="181"/>
      <c r="AB32" s="181"/>
      <c r="AC32" s="181"/>
      <c r="AD32" s="181"/>
      <c r="AE32" s="181"/>
      <c r="AF32" s="181"/>
      <c r="AG32" s="181"/>
      <c r="AH32" s="181"/>
    </row>
    <row r="33" spans="1:40" ht="12.95" customHeight="1">
      <c r="A33" s="3" t="s">
        <v>8</v>
      </c>
      <c r="C33" s="3" t="s">
        <v>221</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64"/>
      <c r="Y35" s="1582" t="s">
        <v>1674</v>
      </c>
      <c r="Z35" s="1582"/>
      <c r="AA35" s="1582"/>
      <c r="AB35" s="1582"/>
      <c r="AC35" s="1582"/>
      <c r="AD35" s="1225" t="s">
        <v>45</v>
      </c>
      <c r="AE35" s="1225"/>
      <c r="AF35" s="1225"/>
      <c r="AG35" s="1225"/>
      <c r="AH35" s="1225"/>
    </row>
    <row r="36" spans="1:40" ht="12.95" customHeight="1">
      <c r="B36" s="204"/>
      <c r="X36" s="71"/>
      <c r="Y36" s="1582"/>
      <c r="Z36" s="1582"/>
      <c r="AA36" s="1582"/>
      <c r="AB36" s="1582"/>
      <c r="AC36" s="1582"/>
      <c r="AD36" s="1225"/>
      <c r="AE36" s="1225"/>
      <c r="AF36" s="1225"/>
      <c r="AG36" s="1225"/>
      <c r="AH36" s="1225"/>
    </row>
    <row r="37" spans="1:40"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582"/>
      <c r="Z37" s="1582"/>
      <c r="AA37" s="1582"/>
      <c r="AB37" s="1582"/>
      <c r="AC37" s="1582"/>
      <c r="AD37" s="1225"/>
      <c r="AE37" s="1225"/>
      <c r="AF37" s="1225"/>
      <c r="AG37" s="1225"/>
      <c r="AH37" s="1225"/>
    </row>
    <row r="38" spans="1:40" ht="12.95" customHeight="1">
      <c r="A38" s="3"/>
      <c r="B38" s="1091" t="s">
        <v>883</v>
      </c>
      <c r="C38" s="1092"/>
      <c r="D38" s="1092"/>
      <c r="E38" s="1092"/>
      <c r="F38" s="1092"/>
      <c r="G38" s="1092"/>
      <c r="H38" s="1092"/>
      <c r="I38" s="1092"/>
      <c r="J38" s="1092"/>
      <c r="K38" s="1092"/>
      <c r="L38" s="1092"/>
      <c r="M38" s="1092"/>
      <c r="N38" s="1092"/>
      <c r="O38" s="1092"/>
      <c r="P38" s="1092"/>
      <c r="Q38" s="1092"/>
      <c r="R38" s="1092"/>
      <c r="S38" s="1092"/>
      <c r="T38" s="1092"/>
      <c r="U38" s="1092"/>
      <c r="V38" s="1092"/>
      <c r="W38" s="1092"/>
      <c r="X38" s="1094"/>
      <c r="Y38" s="1308">
        <f>IF(T24&gt;=(T23+Y23+AD23+AI23),T28+Y28,0)</f>
        <v>0</v>
      </c>
      <c r="Z38" s="1308"/>
      <c r="AA38" s="1308"/>
      <c r="AB38" s="1308"/>
      <c r="AC38" s="1308"/>
      <c r="AD38" s="1308">
        <f>IF(T24&gt;=(T23+Y23+AD23+AI23),AD28+AI28,0)</f>
        <v>0</v>
      </c>
      <c r="AE38" s="1308"/>
      <c r="AF38" s="1308"/>
      <c r="AG38" s="1308"/>
      <c r="AH38" s="1308"/>
    </row>
    <row r="39" spans="1:40" ht="12.95" customHeight="1">
      <c r="B39" s="1091" t="s">
        <v>801</v>
      </c>
      <c r="C39" s="1092"/>
      <c r="D39" s="1092"/>
      <c r="E39" s="1092"/>
      <c r="F39" s="1092"/>
      <c r="G39" s="1092"/>
      <c r="H39" s="1092"/>
      <c r="I39" s="1092"/>
      <c r="J39" s="1092"/>
      <c r="K39" s="1092"/>
      <c r="L39" s="1092"/>
      <c r="M39" s="1092"/>
      <c r="N39" s="1092"/>
      <c r="O39" s="1092"/>
      <c r="P39" s="1092"/>
      <c r="Q39" s="1092"/>
      <c r="R39" s="1092"/>
      <c r="S39" s="1092"/>
      <c r="T39" s="1092"/>
      <c r="U39" s="1092"/>
      <c r="V39" s="1092"/>
      <c r="W39" s="1092"/>
      <c r="X39" s="1094"/>
      <c r="Y39" s="1940">
        <v>0.09</v>
      </c>
      <c r="Z39" s="1940"/>
      <c r="AA39" s="1940"/>
      <c r="AB39" s="1940"/>
      <c r="AC39" s="1940"/>
      <c r="AD39" s="1578">
        <v>0.04</v>
      </c>
      <c r="AE39" s="1578"/>
      <c r="AF39" s="1578"/>
      <c r="AG39" s="1578"/>
      <c r="AH39" s="1578"/>
    </row>
    <row r="40" spans="1:40" ht="12.95" customHeight="1">
      <c r="A40" s="3"/>
      <c r="B40" s="1091" t="s">
        <v>25</v>
      </c>
      <c r="C40" s="1092"/>
      <c r="D40" s="1092"/>
      <c r="E40" s="1092"/>
      <c r="F40" s="1092"/>
      <c r="G40" s="1092"/>
      <c r="H40" s="1092"/>
      <c r="I40" s="1092"/>
      <c r="J40" s="1092"/>
      <c r="K40" s="1092"/>
      <c r="L40" s="1092"/>
      <c r="M40" s="1092"/>
      <c r="N40" s="1092"/>
      <c r="O40" s="1092"/>
      <c r="P40" s="1092"/>
      <c r="Q40" s="1092"/>
      <c r="R40" s="1092"/>
      <c r="S40" s="1092"/>
      <c r="T40" s="1092"/>
      <c r="U40" s="1092"/>
      <c r="V40" s="1092"/>
      <c r="W40" s="1092"/>
      <c r="X40" s="1094"/>
      <c r="Y40" s="1308">
        <f>ROUND(Y38*Y39,0)</f>
        <v>0</v>
      </c>
      <c r="Z40" s="1308"/>
      <c r="AA40" s="1308"/>
      <c r="AB40" s="1308"/>
      <c r="AC40" s="1308"/>
      <c r="AD40" s="1579">
        <f>ROUND(AD38*AD39,0)</f>
        <v>0</v>
      </c>
      <c r="AE40" s="1308"/>
      <c r="AF40" s="1308"/>
      <c r="AG40" s="1308"/>
      <c r="AH40" s="1308"/>
    </row>
    <row r="41" spans="1:40" ht="12.95" customHeight="1">
      <c r="B41" s="1091" t="s">
        <v>652</v>
      </c>
      <c r="C41" s="1092"/>
      <c r="D41" s="1092"/>
      <c r="E41" s="1092"/>
      <c r="F41" s="1092"/>
      <c r="G41" s="1092"/>
      <c r="H41" s="1092"/>
      <c r="I41" s="1092"/>
      <c r="J41" s="1092"/>
      <c r="K41" s="1092"/>
      <c r="L41" s="1092"/>
      <c r="M41" s="1092"/>
      <c r="N41" s="1092"/>
      <c r="O41" s="1092"/>
      <c r="P41" s="1092"/>
      <c r="Q41" s="1092"/>
      <c r="R41" s="1092"/>
      <c r="S41" s="1092"/>
      <c r="T41" s="1092"/>
      <c r="U41" s="1092"/>
      <c r="V41" s="1092"/>
      <c r="W41" s="1092"/>
      <c r="X41" s="1094"/>
      <c r="Y41" s="1580">
        <f>IF((Y40+AD40)&gt;2500000,2500000,Y40+AD40)</f>
        <v>0</v>
      </c>
      <c r="Z41" s="1581"/>
      <c r="AA41" s="1581"/>
      <c r="AB41" s="1581"/>
      <c r="AC41" s="1581"/>
      <c r="AD41" s="1581"/>
      <c r="AE41" s="1581"/>
      <c r="AF41" s="1581"/>
      <c r="AG41" s="1581"/>
      <c r="AH41" s="1579"/>
    </row>
    <row r="42" spans="1:40" ht="12.95" customHeight="1">
      <c r="A42" s="3"/>
      <c r="B42" s="1590" t="s">
        <v>1209</v>
      </c>
      <c r="C42" s="1590"/>
      <c r="D42" s="1590"/>
      <c r="E42" s="1590"/>
      <c r="F42" s="1590"/>
      <c r="G42" s="1590"/>
      <c r="H42" s="1590"/>
      <c r="I42" s="1590"/>
      <c r="J42" s="1590"/>
      <c r="K42" s="1590"/>
      <c r="L42" s="1590"/>
      <c r="M42" s="1590"/>
      <c r="N42" s="1590"/>
      <c r="O42" s="1590"/>
      <c r="P42" s="1590"/>
      <c r="Q42" s="1590"/>
      <c r="R42" s="1590"/>
      <c r="S42" s="1590"/>
      <c r="T42" s="1590"/>
      <c r="U42" s="1590"/>
      <c r="V42" s="1590"/>
      <c r="W42" s="1590"/>
      <c r="X42" s="1590"/>
      <c r="Y42" s="1590"/>
      <c r="Z42" s="1590"/>
      <c r="AA42" s="1590"/>
      <c r="AB42" s="1590"/>
      <c r="AC42" s="1590"/>
      <c r="AD42" s="1590"/>
      <c r="AE42" s="1590"/>
      <c r="AF42" s="1590"/>
      <c r="AG42" s="1590"/>
      <c r="AH42" s="1590"/>
      <c r="AI42" s="26"/>
      <c r="AJ42" s="26"/>
      <c r="AK42" s="26"/>
      <c r="AL42" s="26"/>
      <c r="AM42" s="26"/>
      <c r="AN42" s="26"/>
    </row>
    <row r="43" spans="1:40" ht="12.95" customHeight="1">
      <c r="B43" s="604"/>
      <c r="C43" s="604"/>
      <c r="D43" s="604"/>
      <c r="E43" s="604"/>
      <c r="F43" s="604"/>
      <c r="G43" s="604"/>
      <c r="H43" s="604"/>
      <c r="I43" s="604"/>
      <c r="J43" s="604"/>
      <c r="K43" s="604"/>
      <c r="L43" s="604"/>
      <c r="M43" s="604"/>
      <c r="N43" s="604"/>
      <c r="O43" s="604"/>
      <c r="P43" s="604"/>
      <c r="Q43" s="604"/>
      <c r="R43" s="604"/>
      <c r="S43" s="604"/>
      <c r="T43" s="604"/>
      <c r="U43" s="604"/>
      <c r="V43" s="604"/>
      <c r="W43" s="604"/>
      <c r="X43" s="604"/>
      <c r="Y43" s="604"/>
      <c r="Z43" s="604"/>
      <c r="AA43" s="604"/>
      <c r="AB43" s="604"/>
      <c r="AC43" s="604"/>
      <c r="AD43" s="604"/>
      <c r="AE43" s="604"/>
      <c r="AF43" s="604"/>
      <c r="AG43" s="604"/>
      <c r="AH43" s="604"/>
      <c r="AK43" s="41" t="s">
        <v>243</v>
      </c>
    </row>
    <row r="44" spans="1:40" ht="12.95" customHeight="1">
      <c r="A44" s="3"/>
      <c r="B44" s="604"/>
      <c r="C44" s="604"/>
      <c r="D44" s="604"/>
      <c r="E44" s="604"/>
      <c r="F44" s="604"/>
      <c r="G44" s="604"/>
      <c r="H44" s="604"/>
      <c r="I44" s="604"/>
      <c r="J44" s="604"/>
      <c r="K44" s="604"/>
      <c r="L44" s="604"/>
      <c r="M44" s="604"/>
      <c r="N44" s="604"/>
      <c r="O44" s="604"/>
      <c r="P44" s="604"/>
      <c r="Q44" s="604"/>
      <c r="R44" s="604"/>
      <c r="S44" s="604"/>
      <c r="T44" s="604"/>
      <c r="U44" s="604"/>
      <c r="V44" s="604"/>
      <c r="W44" s="604"/>
      <c r="X44" s="604"/>
      <c r="Y44" s="604"/>
      <c r="Z44" s="604"/>
      <c r="AA44" s="604"/>
      <c r="AB44" s="604"/>
      <c r="AC44" s="604"/>
      <c r="AD44" s="604"/>
      <c r="AE44" s="604"/>
      <c r="AF44" s="604"/>
      <c r="AG44" s="604"/>
      <c r="AH44" s="604"/>
    </row>
    <row r="45" spans="1:40" ht="12.95" customHeight="1">
      <c r="A45" s="3" t="s">
        <v>127</v>
      </c>
      <c r="C45" s="3" t="s">
        <v>267</v>
      </c>
    </row>
    <row r="46" spans="1:40" ht="12.95" customHeight="1">
      <c r="D46" s="3" t="s">
        <v>268</v>
      </c>
      <c r="AB46" s="1150">
        <f>'Sources and Uses Budget'!B104-'Sources and Uses Budget'!$B$15</f>
        <v>28901208</v>
      </c>
      <c r="AC46" s="1151"/>
      <c r="AD46" s="1151"/>
      <c r="AE46" s="1151"/>
      <c r="AF46" s="1152"/>
    </row>
    <row r="47" spans="1:40" ht="12.95" customHeight="1">
      <c r="D47" s="3" t="s">
        <v>877</v>
      </c>
      <c r="AB47" s="1150">
        <f>Application!AG630-MIN('Sources and Uses Budget'!B15,Application!AG385)</f>
        <v>0</v>
      </c>
      <c r="AC47" s="1151"/>
      <c r="AD47" s="1151"/>
      <c r="AE47" s="1151"/>
      <c r="AF47" s="1152"/>
    </row>
    <row r="48" spans="1:40" ht="12.95" customHeight="1">
      <c r="D48" s="3" t="s">
        <v>402</v>
      </c>
      <c r="AB48" s="1150">
        <f>AB46-AB47</f>
        <v>28901208</v>
      </c>
      <c r="AC48" s="1151"/>
      <c r="AD48" s="1151"/>
      <c r="AE48" s="1151"/>
      <c r="AF48" s="1152"/>
    </row>
    <row r="49" spans="1:40" ht="12.95" customHeight="1">
      <c r="D49" s="3" t="s">
        <v>912</v>
      </c>
      <c r="AA49" s="34"/>
      <c r="AB49" s="1585"/>
      <c r="AC49" s="1586"/>
      <c r="AD49" s="1586"/>
      <c r="AE49" s="1586"/>
      <c r="AF49" s="1587"/>
    </row>
    <row r="50" spans="1:40" s="324" customFormat="1" ht="12.95" customHeight="1">
      <c r="A50"/>
      <c r="B50"/>
      <c r="C50"/>
      <c r="D50"/>
      <c r="E50" s="1595" t="s">
        <v>1414</v>
      </c>
      <c r="F50" s="1595"/>
      <c r="G50" s="1595"/>
      <c r="H50" s="1595"/>
      <c r="I50" s="1595"/>
      <c r="J50" s="1595"/>
      <c r="K50" s="1595"/>
      <c r="L50" s="1595"/>
      <c r="M50" s="1595"/>
      <c r="N50" s="1595"/>
      <c r="O50" s="1595"/>
      <c r="P50" s="1595"/>
      <c r="Q50" s="1595"/>
      <c r="R50" s="1595"/>
      <c r="S50" s="1595"/>
      <c r="T50" s="1595"/>
      <c r="U50" s="1595"/>
      <c r="V50" s="1595"/>
      <c r="W50" s="1595"/>
      <c r="X50" s="1595"/>
      <c r="Y50" s="1595"/>
      <c r="Z50" s="1595"/>
      <c r="AA50" s="358"/>
      <c r="AB50" s="358"/>
      <c r="AC50" s="358"/>
      <c r="AD50" s="358"/>
      <c r="AE50" s="358"/>
      <c r="AF50" s="358"/>
      <c r="AG50"/>
      <c r="AH50"/>
      <c r="AI50"/>
      <c r="AJ50"/>
      <c r="AK50"/>
      <c r="AL50"/>
      <c r="AM50"/>
      <c r="AN50"/>
    </row>
    <row r="51" spans="1:40" s="324" customFormat="1" ht="12.95" customHeight="1">
      <c r="A51"/>
      <c r="B51"/>
      <c r="C51"/>
      <c r="D51"/>
      <c r="E51" s="1595"/>
      <c r="F51" s="1595"/>
      <c r="G51" s="1595"/>
      <c r="H51" s="1595"/>
      <c r="I51" s="1595"/>
      <c r="J51" s="1595"/>
      <c r="K51" s="1595"/>
      <c r="L51" s="1595"/>
      <c r="M51" s="1595"/>
      <c r="N51" s="1595"/>
      <c r="O51" s="1595"/>
      <c r="P51" s="1595"/>
      <c r="Q51" s="1595"/>
      <c r="R51" s="1595"/>
      <c r="S51" s="1595"/>
      <c r="T51" s="1595"/>
      <c r="U51" s="1595"/>
      <c r="V51" s="1595"/>
      <c r="W51" s="1595"/>
      <c r="X51" s="1595"/>
      <c r="Y51" s="1595"/>
      <c r="Z51" s="1595"/>
      <c r="AA51" s="496"/>
      <c r="AB51" s="496"/>
      <c r="AC51" s="496"/>
      <c r="AD51" s="496"/>
      <c r="AE51" s="496"/>
      <c r="AF51" s="496"/>
      <c r="AG51" s="105"/>
      <c r="AH51"/>
      <c r="AI51"/>
      <c r="AJ51"/>
      <c r="AK51"/>
      <c r="AL51"/>
      <c r="AM51"/>
      <c r="AN51"/>
    </row>
    <row r="52" spans="1:40" ht="12.95"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5" customHeight="1">
      <c r="D53" s="3" t="s">
        <v>26</v>
      </c>
      <c r="AB53" s="1150">
        <f>ROUND(IF(ISERROR((AB48/AB49)),0,(AB48/AB49)),0)</f>
        <v>0</v>
      </c>
      <c r="AC53" s="1151"/>
      <c r="AD53" s="1151"/>
      <c r="AE53" s="1151"/>
      <c r="AF53" s="1152"/>
    </row>
    <row r="54" spans="1:40" ht="12.95" customHeight="1">
      <c r="D54" s="3" t="s">
        <v>591</v>
      </c>
      <c r="AB54" s="1150">
        <f>(AB53/10)</f>
        <v>0</v>
      </c>
      <c r="AC54" s="1151"/>
      <c r="AD54" s="1151"/>
      <c r="AE54" s="1151"/>
      <c r="AF54" s="1152"/>
    </row>
    <row r="55" spans="1:40" ht="12.95" customHeight="1">
      <c r="D55" s="3" t="s">
        <v>361</v>
      </c>
      <c r="AB55" s="1150">
        <f>(IF((Y41&lt;AB54),Y41,AB54))</f>
        <v>0</v>
      </c>
      <c r="AC55" s="1151"/>
      <c r="AD55" s="1151"/>
      <c r="AE55" s="1151"/>
      <c r="AF55" s="1152"/>
    </row>
    <row r="56" spans="1:40" ht="12.95" customHeight="1">
      <c r="D56" s="3" t="s">
        <v>115</v>
      </c>
      <c r="AB56" s="1150">
        <f>ROUND((10*AB55*AB49),0)</f>
        <v>0</v>
      </c>
      <c r="AC56" s="1151"/>
      <c r="AD56" s="1151"/>
      <c r="AE56" s="1151"/>
      <c r="AF56" s="1152"/>
    </row>
    <row r="57" spans="1:40" ht="12.95" customHeight="1">
      <c r="D57" s="3"/>
      <c r="AB57" s="276"/>
      <c r="AC57" s="276"/>
      <c r="AD57" s="276"/>
      <c r="AE57" s="276"/>
      <c r="AF57" s="276"/>
    </row>
    <row r="58" spans="1:40" ht="12.95" customHeight="1">
      <c r="D58" s="3" t="s">
        <v>114</v>
      </c>
      <c r="AB58" s="1156">
        <f>AB48-AB56</f>
        <v>28901208</v>
      </c>
      <c r="AC58" s="1156"/>
      <c r="AD58" s="1156"/>
      <c r="AE58" s="1156"/>
      <c r="AF58" s="1156"/>
    </row>
    <row r="59" spans="1:40" ht="12.95"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2.95" customHeight="1" thickBot="1">
      <c r="A60" s="1575" t="s">
        <v>1821</v>
      </c>
      <c r="B60" s="1575"/>
      <c r="C60" s="1575"/>
      <c r="D60" s="1575"/>
      <c r="E60" s="1575"/>
      <c r="F60" s="1575"/>
      <c r="G60" s="1575"/>
      <c r="H60" s="1575"/>
      <c r="I60" s="1575"/>
      <c r="J60" s="1575"/>
      <c r="K60" s="1575"/>
      <c r="L60" s="1575"/>
      <c r="M60" s="1575"/>
      <c r="N60" s="1575"/>
      <c r="O60" s="1575"/>
      <c r="P60" s="1575"/>
      <c r="Q60" s="1575"/>
      <c r="R60" s="1575"/>
      <c r="S60" s="1575"/>
      <c r="T60" s="1575"/>
      <c r="U60" s="1575"/>
      <c r="V60" s="1575"/>
      <c r="W60" s="1575"/>
      <c r="X60" s="1575"/>
      <c r="Y60" s="1575"/>
      <c r="Z60" s="1575"/>
      <c r="AA60" s="1575"/>
      <c r="AB60" s="1575"/>
      <c r="AC60" s="1575"/>
      <c r="AD60" s="1575"/>
      <c r="AE60" s="1575"/>
      <c r="AF60" s="1575"/>
      <c r="AG60" s="1575"/>
      <c r="AH60" s="1575"/>
      <c r="AI60" s="1575"/>
      <c r="AJ60" s="1575"/>
      <c r="AK60" s="1575"/>
      <c r="AL60" s="1575"/>
      <c r="AM60" s="1575"/>
      <c r="AN60" s="1575"/>
    </row>
    <row r="61" spans="1:40" ht="12.95" customHeight="1" thickTop="1">
      <c r="A61" s="1175"/>
      <c r="B61" s="1175"/>
      <c r="C61" s="1175"/>
      <c r="D61" s="1175"/>
      <c r="E61" s="1175"/>
      <c r="F61" s="1175"/>
      <c r="G61" s="1175"/>
      <c r="H61" s="1175"/>
      <c r="I61" s="1175"/>
      <c r="J61" s="1175"/>
      <c r="K61" s="1175"/>
      <c r="L61" s="1175"/>
      <c r="M61" s="1175"/>
      <c r="N61" s="1175"/>
      <c r="O61" s="1175"/>
      <c r="P61" s="1175"/>
      <c r="Q61" s="1175"/>
      <c r="R61" s="1175"/>
      <c r="S61" s="1175"/>
      <c r="T61" s="1175"/>
      <c r="U61" s="1175"/>
      <c r="V61" s="1175"/>
      <c r="W61" s="1175"/>
      <c r="X61" s="1175"/>
      <c r="Y61" s="1175"/>
      <c r="Z61" s="1175"/>
      <c r="AA61" s="1175"/>
      <c r="AB61" s="1175"/>
      <c r="AC61" s="1175"/>
      <c r="AD61" s="1175"/>
      <c r="AE61" s="1175"/>
      <c r="AF61" s="1175"/>
      <c r="AG61" s="1175"/>
      <c r="AH61" s="1175"/>
      <c r="AI61" s="1175"/>
      <c r="AJ61" s="1175"/>
      <c r="AK61" s="1175"/>
      <c r="AL61" s="1175"/>
      <c r="AM61" s="1175"/>
      <c r="AN61" s="1175"/>
    </row>
    <row r="62" spans="1:40" ht="12.95" customHeight="1">
      <c r="A62" s="3" t="s">
        <v>130</v>
      </c>
      <c r="C62" s="3" t="s">
        <v>539</v>
      </c>
      <c r="Y62" s="1577" t="s">
        <v>315</v>
      </c>
      <c r="Z62" s="1577"/>
      <c r="AA62" s="1577"/>
      <c r="AB62" s="1577"/>
      <c r="AC62" s="1577"/>
      <c r="AD62" s="1577" t="s">
        <v>45</v>
      </c>
      <c r="AE62" s="1577"/>
      <c r="AF62" s="1577"/>
      <c r="AG62" s="1577"/>
      <c r="AH62" s="1577"/>
    </row>
    <row r="63" spans="1:40" ht="12.95" customHeight="1">
      <c r="C63" s="3"/>
      <c r="D63" s="128" t="s">
        <v>1292</v>
      </c>
      <c r="E63" s="15"/>
      <c r="F63" s="15"/>
      <c r="G63" s="15"/>
      <c r="H63" s="15"/>
      <c r="I63" s="15"/>
      <c r="J63" s="15"/>
      <c r="K63" s="15"/>
      <c r="L63" s="15"/>
      <c r="M63" s="15"/>
      <c r="N63" s="15"/>
      <c r="O63" s="15"/>
      <c r="P63" s="15"/>
      <c r="Q63" s="15"/>
      <c r="R63" s="15"/>
      <c r="S63" s="15"/>
      <c r="T63" s="15"/>
      <c r="U63" s="15"/>
      <c r="V63" s="15"/>
      <c r="W63" s="15"/>
      <c r="X63" s="15"/>
      <c r="Y63" s="1308">
        <f>Y28</f>
        <v>0</v>
      </c>
      <c r="Z63" s="1588"/>
      <c r="AA63" s="1588"/>
      <c r="AB63" s="1588"/>
      <c r="AC63" s="1588"/>
      <c r="AD63" s="1308">
        <f>AI28</f>
        <v>-3813989</v>
      </c>
      <c r="AE63" s="1588"/>
      <c r="AF63" s="1588"/>
      <c r="AG63" s="1588"/>
      <c r="AH63" s="1588"/>
    </row>
    <row r="64" spans="1:40" ht="12.95" customHeight="1">
      <c r="C64" s="3"/>
      <c r="E64" s="1576" t="s">
        <v>1340</v>
      </c>
      <c r="F64" s="1576"/>
      <c r="G64" s="1576"/>
      <c r="H64" s="1576"/>
      <c r="I64" s="1576"/>
      <c r="J64" s="1576"/>
      <c r="K64" s="1576"/>
      <c r="L64" s="1576"/>
      <c r="M64" s="1576"/>
      <c r="N64" s="1576"/>
      <c r="O64" s="1576"/>
      <c r="P64" s="1576"/>
      <c r="Q64" s="1576"/>
      <c r="R64" s="1576"/>
      <c r="S64" s="1576"/>
      <c r="T64" s="1576"/>
      <c r="U64" s="1576"/>
      <c r="V64" s="1576"/>
      <c r="W64" s="1576"/>
      <c r="X64" s="1576"/>
      <c r="Y64" s="1576"/>
      <c r="Z64" s="1576"/>
      <c r="AA64" s="1576"/>
      <c r="AB64" s="1576"/>
      <c r="AC64" s="1576"/>
      <c r="AD64" s="1576"/>
      <c r="AE64" s="1576"/>
      <c r="AF64" s="1576"/>
      <c r="AG64" s="1576"/>
      <c r="AH64" s="1576"/>
    </row>
    <row r="65" spans="1:34" ht="32.25" customHeight="1">
      <c r="C65" s="3"/>
      <c r="E65" s="1576"/>
      <c r="F65" s="1576"/>
      <c r="G65" s="1576"/>
      <c r="H65" s="1576"/>
      <c r="I65" s="1576"/>
      <c r="J65" s="1576"/>
      <c r="K65" s="1576"/>
      <c r="L65" s="1576"/>
      <c r="M65" s="1576"/>
      <c r="N65" s="1576"/>
      <c r="O65" s="1576"/>
      <c r="P65" s="1576"/>
      <c r="Q65" s="1576"/>
      <c r="R65" s="1576"/>
      <c r="S65" s="1576"/>
      <c r="T65" s="1576"/>
      <c r="U65" s="1576"/>
      <c r="V65" s="1576"/>
      <c r="W65" s="1576"/>
      <c r="X65" s="1576"/>
      <c r="Y65" s="1576"/>
      <c r="Z65" s="1576"/>
      <c r="AA65" s="1576"/>
      <c r="AB65" s="1576"/>
      <c r="AC65" s="1576"/>
      <c r="AD65" s="1576"/>
      <c r="AE65" s="1576"/>
      <c r="AF65" s="1576"/>
      <c r="AG65" s="1576"/>
      <c r="AH65" s="1576"/>
    </row>
    <row r="66" spans="1:34" ht="12.95" customHeight="1">
      <c r="C66" s="3"/>
      <c r="D66" s="3" t="s">
        <v>210</v>
      </c>
      <c r="E66" s="103"/>
      <c r="F66" s="103"/>
      <c r="G66" s="103"/>
      <c r="H66" s="103"/>
      <c r="I66" s="103"/>
      <c r="J66" s="103"/>
      <c r="K66" s="103"/>
      <c r="L66" s="103"/>
      <c r="M66" s="103"/>
      <c r="N66" s="103"/>
      <c r="O66" s="103"/>
      <c r="P66" s="103"/>
      <c r="Q66" s="103"/>
      <c r="R66" s="103"/>
      <c r="S66" s="103"/>
      <c r="T66" s="103"/>
      <c r="U66" s="103"/>
      <c r="V66" s="103"/>
      <c r="W66" s="103"/>
      <c r="X66" s="103"/>
      <c r="Y66" s="1584">
        <v>0.3</v>
      </c>
      <c r="Z66" s="1584"/>
      <c r="AA66" s="1584"/>
      <c r="AB66" s="1584"/>
      <c r="AC66" s="1584"/>
      <c r="AD66" s="1584">
        <v>0.13</v>
      </c>
      <c r="AE66" s="1584"/>
      <c r="AF66" s="1584"/>
      <c r="AG66" s="1584"/>
      <c r="AH66" s="1584"/>
    </row>
    <row r="67" spans="1:34" ht="12.95" customHeight="1">
      <c r="C67" s="3"/>
      <c r="D67" s="3" t="s">
        <v>984</v>
      </c>
      <c r="Y67" s="1308">
        <f>ROUND(Y63*Y66,0)</f>
        <v>0</v>
      </c>
      <c r="Z67" s="1588"/>
      <c r="AA67" s="1588"/>
      <c r="AB67" s="1588"/>
      <c r="AC67" s="1588"/>
      <c r="AD67" s="1308" t="str">
        <f>IF(OR(Application!D211="At-Risk",Application!D211="At-Risk/Located in Rural Census Tract",Application!D214="At-Risk"),ROUND(AD63*AD66,0),"$0")</f>
        <v>$0</v>
      </c>
      <c r="AE67" s="1308"/>
      <c r="AF67" s="1308"/>
      <c r="AG67" s="1308"/>
      <c r="AH67" s="1308"/>
    </row>
    <row r="68" spans="1:34" ht="12.95" customHeight="1">
      <c r="C68" s="3"/>
      <c r="E68" s="3"/>
      <c r="AB68" s="2"/>
      <c r="AC68" s="2"/>
      <c r="AD68" s="2"/>
      <c r="AE68" s="2"/>
      <c r="AF68" s="2"/>
    </row>
    <row r="69" spans="1:34" ht="12.95" customHeight="1">
      <c r="A69" s="3" t="s">
        <v>131</v>
      </c>
      <c r="C69" s="3" t="s">
        <v>269</v>
      </c>
    </row>
    <row r="70" spans="1:34" ht="12.95" customHeight="1">
      <c r="A70" s="3"/>
      <c r="C70" s="3"/>
      <c r="D70" s="3" t="s">
        <v>913</v>
      </c>
      <c r="AB70" s="1585"/>
      <c r="AC70" s="1586"/>
      <c r="AD70" s="1586"/>
      <c r="AE70" s="1586"/>
      <c r="AF70" s="1587"/>
    </row>
    <row r="71" spans="1:34" ht="12.95" customHeight="1">
      <c r="A71" s="3"/>
      <c r="C71" s="3"/>
      <c r="D71" s="3"/>
      <c r="E71" s="1589" t="s">
        <v>1816</v>
      </c>
      <c r="F71" s="1589"/>
      <c r="G71" s="1589"/>
      <c r="H71" s="1589"/>
      <c r="I71" s="1589"/>
      <c r="J71" s="1589"/>
      <c r="K71" s="1589"/>
      <c r="L71" s="1589"/>
      <c r="M71" s="1589"/>
      <c r="N71" s="1589"/>
      <c r="O71" s="1589"/>
      <c r="P71" s="1589"/>
      <c r="Q71" s="1589"/>
      <c r="R71" s="1589"/>
      <c r="S71" s="1589"/>
      <c r="T71" s="1589"/>
      <c r="U71" s="1589"/>
      <c r="V71" s="1589"/>
      <c r="W71" s="1589"/>
      <c r="X71" s="1589"/>
      <c r="Y71" s="1589"/>
      <c r="Z71" s="1589"/>
      <c r="AA71" s="253"/>
      <c r="AB71" s="253"/>
      <c r="AC71" s="253"/>
    </row>
    <row r="72" spans="1:34" ht="12.95" customHeight="1">
      <c r="A72" s="3"/>
      <c r="C72" s="3"/>
      <c r="D72" s="3"/>
      <c r="E72" s="1589"/>
      <c r="F72" s="1589"/>
      <c r="G72" s="1589"/>
      <c r="H72" s="1589"/>
      <c r="I72" s="1589"/>
      <c r="J72" s="1589"/>
      <c r="K72" s="1589"/>
      <c r="L72" s="1589"/>
      <c r="M72" s="1589"/>
      <c r="N72" s="1589"/>
      <c r="O72" s="1589"/>
      <c r="P72" s="1589"/>
      <c r="Q72" s="1589"/>
      <c r="R72" s="1589"/>
      <c r="S72" s="1589"/>
      <c r="T72" s="1589"/>
      <c r="U72" s="1589"/>
      <c r="V72" s="1589"/>
      <c r="W72" s="1589"/>
      <c r="X72" s="1589"/>
      <c r="Y72" s="1589"/>
      <c r="Z72" s="1589"/>
      <c r="AA72" s="253"/>
      <c r="AB72" s="253"/>
      <c r="AC72" s="253"/>
    </row>
    <row r="73" spans="1:34" ht="12.95" customHeight="1">
      <c r="A73" s="3"/>
      <c r="C73" s="3"/>
      <c r="D73" s="3"/>
      <c r="E73" s="1589"/>
      <c r="F73" s="1589"/>
      <c r="G73" s="1589"/>
      <c r="H73" s="1589"/>
      <c r="I73" s="1589"/>
      <c r="J73" s="1589"/>
      <c r="K73" s="1589"/>
      <c r="L73" s="1589"/>
      <c r="M73" s="1589"/>
      <c r="N73" s="1589"/>
      <c r="O73" s="1589"/>
      <c r="P73" s="1589"/>
      <c r="Q73" s="1589"/>
      <c r="R73" s="1589"/>
      <c r="S73" s="1589"/>
      <c r="T73" s="1589"/>
      <c r="U73" s="1589"/>
      <c r="V73" s="1589"/>
      <c r="W73" s="1589"/>
      <c r="X73" s="1589"/>
      <c r="Y73" s="1589"/>
      <c r="Z73" s="1589"/>
      <c r="AA73" s="253"/>
      <c r="AB73" s="253"/>
      <c r="AC73" s="253"/>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112</v>
      </c>
      <c r="AB75" s="1217">
        <f>ROUND(IF(ISERROR((AB58/AB70)),0,(AB58/AB70)),0)</f>
        <v>0</v>
      </c>
      <c r="AC75" s="1217"/>
      <c r="AD75" s="1217"/>
      <c r="AE75" s="1217"/>
      <c r="AF75" s="1217"/>
    </row>
    <row r="76" spans="1:34" ht="12.95" customHeight="1">
      <c r="C76" s="3"/>
      <c r="D76" s="3" t="s">
        <v>113</v>
      </c>
      <c r="AB76" s="1212">
        <f>IF((Y67+AD67&lt;AB75),Y67+AD67,AB75)</f>
        <v>0</v>
      </c>
      <c r="AC76" s="1213"/>
      <c r="AD76" s="1213"/>
      <c r="AE76" s="1213"/>
      <c r="AF76" s="1214"/>
    </row>
    <row r="77" spans="1:34" ht="12.95" customHeight="1">
      <c r="C77" s="3"/>
      <c r="D77" s="3" t="s">
        <v>985</v>
      </c>
      <c r="AB77" s="1583">
        <f>AB76*AB70</f>
        <v>0</v>
      </c>
      <c r="AC77" s="1583"/>
      <c r="AD77" s="1583"/>
      <c r="AE77" s="1583"/>
      <c r="AF77" s="1583"/>
    </row>
    <row r="78" spans="1:34" ht="12.95" customHeight="1">
      <c r="C78" s="3"/>
      <c r="D78" s="3"/>
      <c r="AB78" s="605"/>
      <c r="AC78" s="605"/>
      <c r="AD78" s="605"/>
      <c r="AE78" s="605"/>
      <c r="AF78" s="605"/>
    </row>
    <row r="79" spans="1:34" ht="12.95" customHeight="1">
      <c r="D79" s="3" t="s">
        <v>114</v>
      </c>
      <c r="AB79" s="1156">
        <f>AB48-(AB56+AB77)</f>
        <v>28901208</v>
      </c>
      <c r="AC79" s="1156"/>
      <c r="AD79" s="1156"/>
      <c r="AE79" s="1156"/>
      <c r="AF79" s="1156"/>
    </row>
    <row r="80" spans="1:34" ht="12.95" customHeight="1">
      <c r="F80" s="16"/>
      <c r="J80" s="16" t="str">
        <f>IF(AB79&gt;0,"FUNDING GAP MUST NOT EXCEED ZERO","")</f>
        <v>FUNDING GAP MUST NOT EXCEED ZERO</v>
      </c>
    </row>
    <row r="81" spans="4:4" ht="12.95" hidden="1" customHeight="1">
      <c r="D81" s="129"/>
    </row>
  </sheetData>
  <sheetProtection algorithmName="SHA-512" hashValue="Ay6qOUrS7DtL57h/wiBIcRgEqPJH3DbofQEUFq/UkvktXwnRkdh5R0YtCpqtPY6us444wUNVpwY8szndQ3NZ6Q==" saltValue="KxSOf3vvr9bC5m8OBZfDrw=="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formula1>0</formula1>
    </dataValidation>
    <dataValidation type="decimal" allowBlank="1" showInputMessage="1" showErrorMessage="1" errorTitle="Federal Tax Credit Factor" error="Federal Tax Credit Factor must be within stated range." sqref="AB49:AF49">
      <formula1>0.85</formula1>
      <formula2>1.25</formula2>
    </dataValidation>
    <dataValidation type="decimal" allowBlank="1" showInputMessage="1" showErrorMessage="1" errorTitle="State Tax Credit Factor" error="State Tax Credit Factor must be within stated range." sqref="AB70:AF7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N81"/>
  <sheetViews>
    <sheetView showGridLines="0" topLeftCell="A10" workbookViewId="0">
      <selection activeCell="AB49" sqref="AB49:AF49"/>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597" t="s">
        <v>1415</v>
      </c>
      <c r="B1" s="1284"/>
      <c r="C1" s="1284"/>
      <c r="D1" s="1284"/>
      <c r="E1" s="1284"/>
      <c r="F1" s="1284"/>
      <c r="G1" s="1284"/>
      <c r="H1" s="1284"/>
      <c r="I1" s="1284"/>
      <c r="J1" s="1284"/>
      <c r="K1" s="1284"/>
      <c r="L1" s="1284"/>
      <c r="M1" s="1284"/>
      <c r="N1" s="1284"/>
      <c r="O1" s="1284"/>
      <c r="P1" s="1284"/>
      <c r="Q1" s="1284"/>
      <c r="R1" s="1284"/>
      <c r="S1" s="1284"/>
      <c r="T1" s="1284"/>
      <c r="U1" s="1284"/>
      <c r="V1" s="1284"/>
      <c r="W1" s="1284"/>
      <c r="X1" s="1284"/>
      <c r="Y1" s="1284"/>
      <c r="Z1" s="1284"/>
      <c r="AA1" s="1284"/>
      <c r="AB1" s="1284"/>
      <c r="AC1" s="1284"/>
      <c r="AD1" s="1284"/>
      <c r="AE1" s="1284"/>
      <c r="AF1" s="1284"/>
      <c r="AG1" s="1284"/>
      <c r="AH1" s="1284"/>
      <c r="AI1" s="1284"/>
      <c r="AJ1" s="1284"/>
      <c r="AK1" s="1284"/>
      <c r="AL1" s="1284"/>
      <c r="AM1" s="1284"/>
      <c r="AN1" s="1284"/>
    </row>
    <row r="2" spans="1:40" ht="12.95" customHeight="1" thickBot="1">
      <c r="A2" s="1285"/>
      <c r="B2" s="1285"/>
      <c r="C2" s="1285"/>
      <c r="D2" s="1285"/>
      <c r="E2" s="1285"/>
      <c r="F2" s="1285"/>
      <c r="G2" s="1285"/>
      <c r="H2" s="1285"/>
      <c r="I2" s="1285"/>
      <c r="J2" s="1285"/>
      <c r="K2" s="1285"/>
      <c r="L2" s="1285"/>
      <c r="M2" s="1285"/>
      <c r="N2" s="1285"/>
      <c r="O2" s="1285"/>
      <c r="P2" s="1285"/>
      <c r="Q2" s="1285"/>
      <c r="R2" s="1285"/>
      <c r="S2" s="1285"/>
      <c r="T2" s="1285"/>
      <c r="U2" s="1285"/>
      <c r="V2" s="1285"/>
      <c r="W2" s="1285"/>
      <c r="X2" s="1285"/>
      <c r="Y2" s="1285"/>
      <c r="Z2" s="1285"/>
      <c r="AA2" s="1285"/>
      <c r="AB2" s="1285"/>
      <c r="AC2" s="1285"/>
      <c r="AD2" s="1285"/>
      <c r="AE2" s="1285"/>
      <c r="AF2" s="1285"/>
      <c r="AG2" s="1285"/>
      <c r="AH2" s="1285"/>
      <c r="AI2" s="1285"/>
      <c r="AJ2" s="1285"/>
      <c r="AK2" s="1285"/>
      <c r="AL2" s="1285"/>
      <c r="AM2" s="1285"/>
      <c r="AN2" s="1285"/>
    </row>
    <row r="3" spans="1:40" ht="12.95"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688</v>
      </c>
      <c r="C5" s="3" t="s">
        <v>220</v>
      </c>
      <c r="F5" s="3"/>
    </row>
    <row r="6" spans="1:40" ht="12.95" customHeight="1">
      <c r="B6" s="90"/>
    </row>
    <row r="7" spans="1:40" ht="12.95" customHeight="1">
      <c r="B7" s="6"/>
      <c r="C7" s="7"/>
      <c r="D7" s="7"/>
      <c r="E7" s="7"/>
      <c r="F7" s="7"/>
      <c r="G7" s="7"/>
      <c r="H7" s="7"/>
      <c r="I7" s="7"/>
      <c r="J7" s="7"/>
      <c r="K7" s="7"/>
      <c r="L7" s="7"/>
      <c r="M7" s="7"/>
      <c r="N7" s="7"/>
      <c r="O7" s="7"/>
      <c r="P7" s="7"/>
      <c r="Q7" s="7"/>
      <c r="R7" s="7"/>
      <c r="S7" s="7"/>
      <c r="T7" s="1582" t="s">
        <v>1675</v>
      </c>
      <c r="U7" s="1582"/>
      <c r="V7" s="1582"/>
      <c r="W7" s="1582"/>
      <c r="X7" s="1582"/>
      <c r="Y7" s="1582" t="s">
        <v>1819</v>
      </c>
      <c r="Z7" s="1582"/>
      <c r="AA7" s="1582"/>
      <c r="AB7" s="1582"/>
      <c r="AC7" s="1582"/>
      <c r="AD7" s="1582" t="s">
        <v>1421</v>
      </c>
      <c r="AE7" s="1582"/>
      <c r="AF7" s="1582"/>
      <c r="AG7" s="1582"/>
      <c r="AH7" s="1582"/>
      <c r="AI7" s="1582" t="s">
        <v>1820</v>
      </c>
      <c r="AJ7" s="1582"/>
      <c r="AK7" s="1582"/>
      <c r="AL7" s="1582"/>
      <c r="AM7" s="1582"/>
    </row>
    <row r="8" spans="1:40" ht="12.95" customHeight="1">
      <c r="B8" s="204"/>
      <c r="T8" s="1582"/>
      <c r="U8" s="1582"/>
      <c r="V8" s="1582"/>
      <c r="W8" s="1582"/>
      <c r="X8" s="1582"/>
      <c r="Y8" s="1582"/>
      <c r="Z8" s="1582"/>
      <c r="AA8" s="1582"/>
      <c r="AB8" s="1582"/>
      <c r="AC8" s="1582"/>
      <c r="AD8" s="1582"/>
      <c r="AE8" s="1582"/>
      <c r="AF8" s="1582"/>
      <c r="AG8" s="1582"/>
      <c r="AH8" s="1582"/>
      <c r="AI8" s="1582"/>
      <c r="AJ8" s="1582"/>
      <c r="AK8" s="1582"/>
      <c r="AL8" s="1582"/>
      <c r="AM8" s="1582"/>
    </row>
    <row r="9" spans="1:40" ht="12.95" customHeight="1">
      <c r="B9" s="204"/>
      <c r="T9" s="1582"/>
      <c r="U9" s="1582"/>
      <c r="V9" s="1582"/>
      <c r="W9" s="1582"/>
      <c r="X9" s="1582"/>
      <c r="Y9" s="1582"/>
      <c r="Z9" s="1582"/>
      <c r="AA9" s="1582"/>
      <c r="AB9" s="1582"/>
      <c r="AC9" s="1582"/>
      <c r="AD9" s="1582"/>
      <c r="AE9" s="1582"/>
      <c r="AF9" s="1582"/>
      <c r="AG9" s="1582"/>
      <c r="AH9" s="1582"/>
      <c r="AI9" s="1582"/>
      <c r="AJ9" s="1582"/>
      <c r="AK9" s="1582"/>
      <c r="AL9" s="1582"/>
      <c r="AM9" s="1582"/>
    </row>
    <row r="10" spans="1:40" ht="40.5" customHeight="1">
      <c r="B10" s="53"/>
      <c r="C10" s="54"/>
      <c r="D10" s="54"/>
      <c r="E10" s="54"/>
      <c r="F10" s="54"/>
      <c r="G10" s="54"/>
      <c r="H10" s="54"/>
      <c r="I10" s="54"/>
      <c r="J10" s="54"/>
      <c r="K10" s="54"/>
      <c r="L10" s="54"/>
      <c r="M10" s="54"/>
      <c r="N10" s="54"/>
      <c r="O10" s="54"/>
      <c r="P10" s="54"/>
      <c r="Q10" s="54"/>
      <c r="R10" s="54"/>
      <c r="S10" s="54"/>
      <c r="T10" s="1582"/>
      <c r="U10" s="1582"/>
      <c r="V10" s="1582"/>
      <c r="W10" s="1582"/>
      <c r="X10" s="1582"/>
      <c r="Y10" s="1582"/>
      <c r="Z10" s="1582"/>
      <c r="AA10" s="1582"/>
      <c r="AB10" s="1582"/>
      <c r="AC10" s="1582"/>
      <c r="AD10" s="1582"/>
      <c r="AE10" s="1582"/>
      <c r="AF10" s="1582"/>
      <c r="AG10" s="1582"/>
      <c r="AH10" s="1582"/>
      <c r="AI10" s="1582"/>
      <c r="AJ10" s="1582"/>
      <c r="AK10" s="1582"/>
      <c r="AL10" s="1582"/>
      <c r="AM10" s="1582"/>
    </row>
    <row r="11" spans="1:40" ht="12.95" customHeight="1">
      <c r="B11" s="1091" t="s">
        <v>538</v>
      </c>
      <c r="C11" s="1092"/>
      <c r="D11" s="1092"/>
      <c r="E11" s="1092"/>
      <c r="F11" s="1092"/>
      <c r="G11" s="1092"/>
      <c r="H11" s="1092"/>
      <c r="I11" s="1092"/>
      <c r="J11" s="1092"/>
      <c r="K11" s="1092"/>
      <c r="L11" s="1092"/>
      <c r="M11" s="1092"/>
      <c r="N11" s="1092"/>
      <c r="O11" s="1092"/>
      <c r="P11" s="1092"/>
      <c r="Q11" s="1092"/>
      <c r="R11" s="1092"/>
      <c r="S11" s="1094"/>
      <c r="T11" s="1613">
        <f>IF('Sources and Basis Breakdown'!F105=0,'Sources and Basis Breakdown'!E105,'Sources and Basis Breakdown'!F105)</f>
        <v>23326938</v>
      </c>
      <c r="U11" s="1600"/>
      <c r="V11" s="1600"/>
      <c r="W11" s="1600"/>
      <c r="X11" s="1600"/>
      <c r="Y11" s="1599">
        <f>IF('Sources and Basis Breakdown'!G105+'Sources and Basis Breakdown'!F105='Sources and Basis Breakdown'!E105,'Sources and Basis Breakdown'!G105,0)</f>
        <v>0</v>
      </c>
      <c r="Z11" s="1600"/>
      <c r="AA11" s="1600"/>
      <c r="AB11" s="1600"/>
      <c r="AC11" s="1600"/>
      <c r="AD11" s="1600">
        <f>IF('Sources and Basis Breakdown'!I105=0,'Sources and Basis Breakdown'!H105,'Sources and Basis Breakdown'!I105)</f>
        <v>0</v>
      </c>
      <c r="AE11" s="1600"/>
      <c r="AF11" s="1600"/>
      <c r="AG11" s="1600"/>
      <c r="AH11" s="1600"/>
      <c r="AI11" s="1600">
        <f>IF('Sources and Basis Breakdown'!I105+'Sources and Basis Breakdown'!J105='Sources and Basis Breakdown'!H105,'Sources and Basis Breakdown'!J105,0)</f>
        <v>0</v>
      </c>
      <c r="AJ11" s="1600"/>
      <c r="AK11" s="1600"/>
      <c r="AL11" s="1600"/>
      <c r="AM11" s="1600"/>
    </row>
    <row r="12" spans="1:40" ht="12.95" customHeight="1">
      <c r="B12" s="1607" t="s">
        <v>475</v>
      </c>
      <c r="C12" s="1001"/>
      <c r="D12" s="1001"/>
      <c r="E12" s="1001"/>
      <c r="F12" s="1001"/>
      <c r="G12" s="1001"/>
      <c r="H12" s="1001"/>
      <c r="I12" s="1001"/>
      <c r="J12" s="1001"/>
      <c r="K12" s="1001"/>
      <c r="L12" s="1001"/>
      <c r="M12" s="1001"/>
      <c r="N12" s="1001"/>
      <c r="O12" s="1001"/>
      <c r="P12" s="1001"/>
      <c r="Q12" s="1001"/>
      <c r="R12" s="1001"/>
      <c r="S12" s="1608"/>
      <c r="T12" s="1602"/>
      <c r="U12" s="1603"/>
      <c r="V12" s="1603"/>
      <c r="W12" s="1603"/>
      <c r="X12" s="1604"/>
      <c r="Y12" s="1602"/>
      <c r="Z12" s="1603"/>
      <c r="AA12" s="1603"/>
      <c r="AB12" s="1603"/>
      <c r="AC12" s="1604"/>
      <c r="AD12" s="1602"/>
      <c r="AE12" s="1603"/>
      <c r="AF12" s="1603"/>
      <c r="AG12" s="1603"/>
      <c r="AH12" s="1604"/>
      <c r="AI12" s="1602"/>
      <c r="AJ12" s="1603"/>
      <c r="AK12" s="1603"/>
      <c r="AL12" s="1603"/>
      <c r="AM12" s="1604"/>
    </row>
    <row r="13" spans="1:40" ht="12.95" customHeight="1">
      <c r="B13" s="8"/>
      <c r="C13" s="1609" t="s">
        <v>1783</v>
      </c>
      <c r="D13" s="1610"/>
      <c r="E13" s="1610"/>
      <c r="F13" s="1610"/>
      <c r="G13" s="1610"/>
      <c r="H13" s="1610"/>
      <c r="I13" s="1610"/>
      <c r="J13" s="1610"/>
      <c r="K13" s="1610"/>
      <c r="L13" s="1610"/>
      <c r="M13" s="1610"/>
      <c r="N13" s="1610"/>
      <c r="O13" s="1610"/>
      <c r="P13" s="1610"/>
      <c r="Q13" s="1610"/>
      <c r="R13" s="1610"/>
      <c r="S13" s="1611"/>
      <c r="T13" s="1601">
        <f>'Basis &amp; Credits'!T13</f>
        <v>0</v>
      </c>
      <c r="U13" s="1598"/>
      <c r="V13" s="1598"/>
      <c r="W13" s="1598"/>
      <c r="X13" s="1598"/>
      <c r="Y13" s="1601">
        <f>'Basis &amp; Credits'!Y13</f>
        <v>0</v>
      </c>
      <c r="Z13" s="1598"/>
      <c r="AA13" s="1598"/>
      <c r="AB13" s="1598"/>
      <c r="AC13" s="1598"/>
      <c r="AD13" s="1598">
        <f>'Basis &amp; Credits'!AD13</f>
        <v>0</v>
      </c>
      <c r="AE13" s="1598"/>
      <c r="AF13" s="1598"/>
      <c r="AG13" s="1598"/>
      <c r="AH13" s="1598"/>
      <c r="AI13" s="1598">
        <f>'Basis &amp; Credits'!AI13</f>
        <v>0</v>
      </c>
      <c r="AJ13" s="1598"/>
      <c r="AK13" s="1598"/>
      <c r="AL13" s="1598"/>
      <c r="AM13" s="1598"/>
    </row>
    <row r="14" spans="1:40" ht="12.95" customHeight="1">
      <c r="B14" s="8"/>
      <c r="C14" s="1610" t="s">
        <v>804</v>
      </c>
      <c r="D14" s="1610"/>
      <c r="E14" s="1610"/>
      <c r="F14" s="1610"/>
      <c r="G14" s="1610"/>
      <c r="H14" s="1610"/>
      <c r="I14" s="1610"/>
      <c r="J14" s="1610"/>
      <c r="K14" s="1610"/>
      <c r="L14" s="1610"/>
      <c r="M14" s="1610"/>
      <c r="N14" s="1610"/>
      <c r="O14" s="1610"/>
      <c r="P14" s="1610"/>
      <c r="Q14" s="1610"/>
      <c r="R14" s="1610"/>
      <c r="S14" s="1611"/>
      <c r="T14" s="1061">
        <f>'Basis &amp; Credits'!T14</f>
        <v>0</v>
      </c>
      <c r="U14" s="1239"/>
      <c r="V14" s="1239"/>
      <c r="W14" s="1239"/>
      <c r="X14" s="1239"/>
      <c r="Y14" s="1061">
        <f>'Basis &amp; Credits'!Y14</f>
        <v>0</v>
      </c>
      <c r="Z14" s="1239"/>
      <c r="AA14" s="1239"/>
      <c r="AB14" s="1239"/>
      <c r="AC14" s="1239"/>
      <c r="AD14" s="1239">
        <f>'Basis &amp; Credits'!AD14</f>
        <v>0</v>
      </c>
      <c r="AE14" s="1239"/>
      <c r="AF14" s="1239"/>
      <c r="AG14" s="1239"/>
      <c r="AH14" s="1239"/>
      <c r="AI14" s="1239">
        <f>'Basis &amp; Credits'!AI14</f>
        <v>0</v>
      </c>
      <c r="AJ14" s="1239"/>
      <c r="AK14" s="1239"/>
      <c r="AL14" s="1239"/>
      <c r="AM14" s="1239"/>
    </row>
    <row r="15" spans="1:40" ht="12.95" customHeight="1">
      <c r="B15" s="8"/>
      <c r="C15" s="1610" t="s">
        <v>805</v>
      </c>
      <c r="D15" s="1610"/>
      <c r="E15" s="1610"/>
      <c r="F15" s="1610"/>
      <c r="G15" s="1610"/>
      <c r="H15" s="1610"/>
      <c r="I15" s="1610"/>
      <c r="J15" s="1610"/>
      <c r="K15" s="1610"/>
      <c r="L15" s="1610"/>
      <c r="M15" s="1610"/>
      <c r="N15" s="1610"/>
      <c r="O15" s="1610"/>
      <c r="P15" s="1610"/>
      <c r="Q15" s="1610"/>
      <c r="R15" s="1610"/>
      <c r="S15" s="1611"/>
      <c r="T15" s="1061">
        <f>'Basis &amp; Credits'!T15</f>
        <v>0</v>
      </c>
      <c r="U15" s="1239"/>
      <c r="V15" s="1239"/>
      <c r="W15" s="1239"/>
      <c r="X15" s="1239"/>
      <c r="Y15" s="1061">
        <f>'Basis &amp; Credits'!Y15</f>
        <v>0</v>
      </c>
      <c r="Z15" s="1239"/>
      <c r="AA15" s="1239"/>
      <c r="AB15" s="1239"/>
      <c r="AC15" s="1239"/>
      <c r="AD15" s="1239">
        <f>'Basis &amp; Credits'!AD15</f>
        <v>0</v>
      </c>
      <c r="AE15" s="1239"/>
      <c r="AF15" s="1239"/>
      <c r="AG15" s="1239"/>
      <c r="AH15" s="1239"/>
      <c r="AI15" s="1239">
        <f>'Basis &amp; Credits'!AI15</f>
        <v>0</v>
      </c>
      <c r="AJ15" s="1239"/>
      <c r="AK15" s="1239"/>
      <c r="AL15" s="1239"/>
      <c r="AM15" s="1239"/>
    </row>
    <row r="16" spans="1:40" ht="12.95" customHeight="1">
      <c r="B16" s="8"/>
      <c r="C16" s="1609" t="s">
        <v>1056</v>
      </c>
      <c r="D16" s="1609"/>
      <c r="E16" s="1609"/>
      <c r="F16" s="1609"/>
      <c r="G16" s="1609"/>
      <c r="H16" s="1609"/>
      <c r="I16" s="1609"/>
      <c r="J16" s="1609"/>
      <c r="K16" s="1609"/>
      <c r="L16" s="1609"/>
      <c r="M16" s="1609"/>
      <c r="N16" s="1609"/>
      <c r="O16" s="1609"/>
      <c r="P16" s="1609"/>
      <c r="Q16" s="1609"/>
      <c r="R16" s="1609"/>
      <c r="S16" s="1612"/>
      <c r="T16" s="1061">
        <f>'Basis &amp; Credits'!T16</f>
        <v>0</v>
      </c>
      <c r="U16" s="1239"/>
      <c r="V16" s="1239"/>
      <c r="W16" s="1239"/>
      <c r="X16" s="1239"/>
      <c r="Y16" s="1061">
        <f>'Basis &amp; Credits'!Y16</f>
        <v>0</v>
      </c>
      <c r="Z16" s="1239"/>
      <c r="AA16" s="1239"/>
      <c r="AB16" s="1239"/>
      <c r="AC16" s="1239"/>
      <c r="AD16" s="1239">
        <f>'Basis &amp; Credits'!AD16</f>
        <v>0</v>
      </c>
      <c r="AE16" s="1239"/>
      <c r="AF16" s="1239"/>
      <c r="AG16" s="1239"/>
      <c r="AH16" s="1239"/>
      <c r="AI16" s="1239">
        <f>'Basis &amp; Credits'!AI16</f>
        <v>0</v>
      </c>
      <c r="AJ16" s="1239"/>
      <c r="AK16" s="1239"/>
      <c r="AL16" s="1239"/>
      <c r="AM16" s="1239"/>
    </row>
    <row r="17" spans="1:39" ht="12.95" customHeight="1">
      <c r="B17" s="8"/>
      <c r="C17" s="1610" t="s">
        <v>806</v>
      </c>
      <c r="D17" s="1610"/>
      <c r="E17" s="1610"/>
      <c r="F17" s="1610"/>
      <c r="G17" s="1610"/>
      <c r="H17" s="1610"/>
      <c r="I17" s="1610"/>
      <c r="J17" s="1610"/>
      <c r="K17" s="1610"/>
      <c r="L17" s="1610"/>
      <c r="M17" s="1610"/>
      <c r="N17" s="1610"/>
      <c r="O17" s="1610"/>
      <c r="P17" s="1610"/>
      <c r="Q17" s="1610"/>
      <c r="R17" s="1610"/>
      <c r="S17" s="1611"/>
      <c r="T17" s="1061">
        <f>'Basis &amp; Credits'!T17</f>
        <v>0</v>
      </c>
      <c r="U17" s="1239"/>
      <c r="V17" s="1239"/>
      <c r="W17" s="1239"/>
      <c r="X17" s="1239"/>
      <c r="Y17" s="1061">
        <f>'Basis &amp; Credits'!Y17</f>
        <v>0</v>
      </c>
      <c r="Z17" s="1239"/>
      <c r="AA17" s="1239"/>
      <c r="AB17" s="1239"/>
      <c r="AC17" s="1239"/>
      <c r="AD17" s="1239">
        <f>'Basis &amp; Credits'!AD17</f>
        <v>0</v>
      </c>
      <c r="AE17" s="1239"/>
      <c r="AF17" s="1239"/>
      <c r="AG17" s="1239"/>
      <c r="AH17" s="1239"/>
      <c r="AI17" s="1239">
        <f>'Basis &amp; Credits'!AI17</f>
        <v>0</v>
      </c>
      <c r="AJ17" s="1239"/>
      <c r="AK17" s="1239"/>
      <c r="AL17" s="1239"/>
      <c r="AM17" s="1239"/>
    </row>
    <row r="18" spans="1:39" ht="12.95" customHeight="1">
      <c r="B18" s="600"/>
      <c r="C18" s="1609" t="s">
        <v>1425</v>
      </c>
      <c r="D18" s="1610"/>
      <c r="E18" s="1610"/>
      <c r="F18" s="1610"/>
      <c r="G18" s="1610"/>
      <c r="H18" s="1610"/>
      <c r="I18" s="1610"/>
      <c r="J18" s="1610"/>
      <c r="K18" s="1610"/>
      <c r="L18" s="1610"/>
      <c r="M18" s="1610"/>
      <c r="N18" s="1610"/>
      <c r="O18" s="1610"/>
      <c r="P18" s="1610"/>
      <c r="Q18" s="1610"/>
      <c r="R18" s="1610"/>
      <c r="S18" s="1611"/>
      <c r="T18" s="1059">
        <f>'Basis &amp; Credits'!T18</f>
        <v>0</v>
      </c>
      <c r="U18" s="1060"/>
      <c r="V18" s="1060"/>
      <c r="W18" s="1060"/>
      <c r="X18" s="1061"/>
      <c r="Y18" s="1061">
        <f>'Basis &amp; Credits'!Y18</f>
        <v>0</v>
      </c>
      <c r="Z18" s="1239"/>
      <c r="AA18" s="1239"/>
      <c r="AB18" s="1239"/>
      <c r="AC18" s="1239"/>
      <c r="AD18" s="1239">
        <f>'Basis &amp; Credits'!AD18</f>
        <v>0</v>
      </c>
      <c r="AE18" s="1239"/>
      <c r="AF18" s="1239"/>
      <c r="AG18" s="1239"/>
      <c r="AH18" s="1239"/>
      <c r="AI18" s="1239">
        <f>'Basis &amp; Credits'!AI18</f>
        <v>0</v>
      </c>
      <c r="AJ18" s="1239"/>
      <c r="AK18" s="1239"/>
      <c r="AL18" s="1239"/>
      <c r="AM18" s="1239"/>
    </row>
    <row r="19" spans="1:39" ht="12.95" customHeight="1">
      <c r="B19" s="490"/>
      <c r="C19" s="1605" t="str">
        <f>'Basis &amp; Credits'!C19:S19</f>
        <v>Subtract (specify other ineligible amounts):</v>
      </c>
      <c r="D19" s="1605"/>
      <c r="E19" s="1605"/>
      <c r="F19" s="1605"/>
      <c r="G19" s="1605"/>
      <c r="H19" s="1605"/>
      <c r="I19" s="1605"/>
      <c r="J19" s="1605"/>
      <c r="K19" s="1605"/>
      <c r="L19" s="1605"/>
      <c r="M19" s="1605"/>
      <c r="N19" s="1605"/>
      <c r="O19" s="1605"/>
      <c r="P19" s="1605"/>
      <c r="Q19" s="1605"/>
      <c r="R19" s="1605"/>
      <c r="S19" s="1606"/>
      <c r="T19" s="1061">
        <f>'Basis &amp; Credits'!T19</f>
        <v>0</v>
      </c>
      <c r="U19" s="1239"/>
      <c r="V19" s="1239"/>
      <c r="W19" s="1239"/>
      <c r="X19" s="1239"/>
      <c r="Y19" s="1061">
        <f>'Basis &amp; Credits'!Y19</f>
        <v>0</v>
      </c>
      <c r="Z19" s="1239"/>
      <c r="AA19" s="1239"/>
      <c r="AB19" s="1239"/>
      <c r="AC19" s="1239"/>
      <c r="AD19" s="1239">
        <f>'Basis &amp; Credits'!AD19</f>
        <v>0</v>
      </c>
      <c r="AE19" s="1239"/>
      <c r="AF19" s="1239"/>
      <c r="AG19" s="1239"/>
      <c r="AH19" s="1239"/>
      <c r="AI19" s="1239">
        <f>'Basis &amp; Credits'!AI19</f>
        <v>0</v>
      </c>
      <c r="AJ19" s="1239"/>
      <c r="AK19" s="1239"/>
      <c r="AL19" s="1239"/>
      <c r="AM19" s="1239"/>
    </row>
    <row r="20" spans="1:39" ht="12.95" customHeight="1">
      <c r="B20" s="1091" t="s">
        <v>807</v>
      </c>
      <c r="C20" s="1092"/>
      <c r="D20" s="1092"/>
      <c r="E20" s="1092"/>
      <c r="F20" s="1092"/>
      <c r="G20" s="1092"/>
      <c r="H20" s="1092"/>
      <c r="I20" s="1092"/>
      <c r="J20" s="1092"/>
      <c r="K20" s="1092"/>
      <c r="L20" s="1092"/>
      <c r="M20" s="1092"/>
      <c r="N20" s="1092"/>
      <c r="O20" s="1092"/>
      <c r="P20" s="1092"/>
      <c r="Q20" s="1092"/>
      <c r="R20" s="1092"/>
      <c r="S20" s="1094"/>
      <c r="T20" s="1579">
        <f>SUM(T13:X19)</f>
        <v>0</v>
      </c>
      <c r="U20" s="1308"/>
      <c r="V20" s="1308"/>
      <c r="W20" s="1308"/>
      <c r="X20" s="1308"/>
      <c r="Y20" s="1579">
        <f>SUM(Y13:AC19)</f>
        <v>0</v>
      </c>
      <c r="Z20" s="1308"/>
      <c r="AA20" s="1308"/>
      <c r="AB20" s="1308"/>
      <c r="AC20" s="1308"/>
      <c r="AD20" s="1308">
        <f>SUM(AD13:AH19)</f>
        <v>0</v>
      </c>
      <c r="AE20" s="1308"/>
      <c r="AF20" s="1308"/>
      <c r="AG20" s="1308"/>
      <c r="AH20" s="1308"/>
      <c r="AI20" s="1308">
        <f>SUM(AI13:AM19)</f>
        <v>0</v>
      </c>
      <c r="AJ20" s="1308"/>
      <c r="AK20" s="1308"/>
      <c r="AL20" s="1308"/>
      <c r="AM20" s="1308"/>
    </row>
    <row r="21" spans="1:39" ht="12.95" customHeight="1">
      <c r="B21" s="1091" t="s">
        <v>1782</v>
      </c>
      <c r="C21" s="1092"/>
      <c r="D21" s="1092"/>
      <c r="E21" s="1092"/>
      <c r="F21" s="1092"/>
      <c r="G21" s="1092"/>
      <c r="H21" s="1092"/>
      <c r="I21" s="1092"/>
      <c r="J21" s="1092"/>
      <c r="K21" s="1092"/>
      <c r="L21" s="1092"/>
      <c r="M21" s="1092"/>
      <c r="N21" s="1092"/>
      <c r="O21" s="1092"/>
      <c r="P21" s="1092"/>
      <c r="Q21" s="1092"/>
      <c r="R21" s="1092"/>
      <c r="S21" s="1094"/>
      <c r="T21" s="1061">
        <f>'Basis &amp; Credits'!T21</f>
        <v>3813989</v>
      </c>
      <c r="U21" s="1239"/>
      <c r="V21" s="1239"/>
      <c r="W21" s="1239"/>
      <c r="X21" s="1239"/>
      <c r="Y21" s="1061">
        <f>'Basis &amp; Credits'!Y21</f>
        <v>0</v>
      </c>
      <c r="Z21" s="1239"/>
      <c r="AA21" s="1239"/>
      <c r="AB21" s="1239"/>
      <c r="AC21" s="1239"/>
      <c r="AD21" s="1239">
        <f>'Basis &amp; Credits'!AD21</f>
        <v>0</v>
      </c>
      <c r="AE21" s="1239"/>
      <c r="AF21" s="1239"/>
      <c r="AG21" s="1239"/>
      <c r="AH21" s="1239"/>
      <c r="AI21" s="1239">
        <f>'Basis &amp; Credits'!AI21</f>
        <v>0</v>
      </c>
      <c r="AJ21" s="1239"/>
      <c r="AK21" s="1239"/>
      <c r="AL21" s="1239"/>
      <c r="AM21" s="1239"/>
    </row>
    <row r="22" spans="1:39" ht="12.95" customHeight="1">
      <c r="B22" s="1091" t="s">
        <v>808</v>
      </c>
      <c r="C22" s="1092"/>
      <c r="D22" s="1092"/>
      <c r="E22" s="1092"/>
      <c r="F22" s="1092"/>
      <c r="G22" s="1092"/>
      <c r="H22" s="1092"/>
      <c r="I22" s="1092"/>
      <c r="J22" s="1092"/>
      <c r="K22" s="1092"/>
      <c r="L22" s="1092"/>
      <c r="M22" s="1092"/>
      <c r="N22" s="1092"/>
      <c r="O22" s="1092"/>
      <c r="P22" s="1092"/>
      <c r="Q22" s="1092"/>
      <c r="R22" s="1092"/>
      <c r="S22" s="1094"/>
      <c r="T22" s="1614">
        <f>(T20+T21)*-1</f>
        <v>-3813989</v>
      </c>
      <c r="U22" s="1615"/>
      <c r="V22" s="1615"/>
      <c r="W22" s="1615"/>
      <c r="X22" s="1615"/>
      <c r="Y22" s="1614">
        <f>(Y20+Y21)*-1</f>
        <v>0</v>
      </c>
      <c r="Z22" s="1615"/>
      <c r="AA22" s="1615"/>
      <c r="AB22" s="1615"/>
      <c r="AC22" s="1615"/>
      <c r="AD22" s="1614">
        <f>(AD20+AD21)*-1</f>
        <v>0</v>
      </c>
      <c r="AE22" s="1615"/>
      <c r="AF22" s="1615"/>
      <c r="AG22" s="1615"/>
      <c r="AH22" s="1615"/>
      <c r="AI22" s="1614">
        <f>(AI20+AI21)*-1</f>
        <v>0</v>
      </c>
      <c r="AJ22" s="1615"/>
      <c r="AK22" s="1615"/>
      <c r="AL22" s="1615"/>
      <c r="AM22" s="1615"/>
    </row>
    <row r="23" spans="1:39" ht="12.95" customHeight="1">
      <c r="B23" s="1091" t="s">
        <v>809</v>
      </c>
      <c r="C23" s="1092"/>
      <c r="D23" s="1092"/>
      <c r="E23" s="1092"/>
      <c r="F23" s="1092"/>
      <c r="G23" s="1092"/>
      <c r="H23" s="1092"/>
      <c r="I23" s="1092"/>
      <c r="J23" s="1092"/>
      <c r="K23" s="1092"/>
      <c r="L23" s="1092"/>
      <c r="M23" s="1092"/>
      <c r="N23" s="1092"/>
      <c r="O23" s="1092"/>
      <c r="P23" s="1092"/>
      <c r="Q23" s="1092"/>
      <c r="R23" s="1092"/>
      <c r="S23" s="1094"/>
      <c r="T23" s="1579">
        <f>T11+T22</f>
        <v>19512949</v>
      </c>
      <c r="U23" s="1308"/>
      <c r="V23" s="1308"/>
      <c r="W23" s="1308"/>
      <c r="X23" s="1308"/>
      <c r="Y23" s="1579">
        <f>Y11+Y22</f>
        <v>0</v>
      </c>
      <c r="Z23" s="1308"/>
      <c r="AA23" s="1308"/>
      <c r="AB23" s="1308"/>
      <c r="AC23" s="1308"/>
      <c r="AD23" s="1579">
        <f>AD11+AD22</f>
        <v>0</v>
      </c>
      <c r="AE23" s="1308"/>
      <c r="AF23" s="1308"/>
      <c r="AG23" s="1308"/>
      <c r="AH23" s="1308"/>
      <c r="AI23" s="1579">
        <f>AI11+AI22</f>
        <v>0</v>
      </c>
      <c r="AJ23" s="1308"/>
      <c r="AK23" s="1308"/>
      <c r="AL23" s="1308"/>
      <c r="AM23" s="1308"/>
    </row>
    <row r="24" spans="1:39" ht="12.95" customHeight="1">
      <c r="B24" s="1091" t="s">
        <v>1268</v>
      </c>
      <c r="C24" s="1092"/>
      <c r="D24" s="1092"/>
      <c r="E24" s="1092"/>
      <c r="F24" s="1092"/>
      <c r="G24" s="1092"/>
      <c r="H24" s="1092"/>
      <c r="I24" s="1092"/>
      <c r="J24" s="1092"/>
      <c r="K24" s="1092"/>
      <c r="L24" s="1092"/>
      <c r="M24" s="1092"/>
      <c r="N24" s="1092"/>
      <c r="O24" s="1092"/>
      <c r="P24" s="1092"/>
      <c r="Q24" s="1092"/>
      <c r="R24" s="1092"/>
      <c r="S24" s="1094"/>
      <c r="T24" s="1580">
        <f>Application!AD979</f>
        <v>0</v>
      </c>
      <c r="U24" s="1581"/>
      <c r="V24" s="1581"/>
      <c r="W24" s="1581"/>
      <c r="X24" s="1581"/>
      <c r="Y24" s="1581"/>
      <c r="Z24" s="1581"/>
      <c r="AA24" s="1581"/>
      <c r="AB24" s="1581"/>
      <c r="AC24" s="1581"/>
      <c r="AD24" s="1581"/>
      <c r="AE24" s="1581"/>
      <c r="AF24" s="1581"/>
      <c r="AG24" s="1581"/>
      <c r="AH24" s="1581"/>
      <c r="AI24" s="1581"/>
      <c r="AJ24" s="1581"/>
      <c r="AK24" s="1581"/>
      <c r="AL24" s="1581"/>
      <c r="AM24" s="1579"/>
    </row>
    <row r="25" spans="1:39" ht="12.95" customHeight="1">
      <c r="B25" s="1621" t="s">
        <v>1818</v>
      </c>
      <c r="C25" s="1622"/>
      <c r="D25" s="1622"/>
      <c r="E25" s="1622"/>
      <c r="F25" s="1622"/>
      <c r="G25" s="1622"/>
      <c r="H25" s="1622"/>
      <c r="I25" s="1622"/>
      <c r="J25" s="1622"/>
      <c r="K25" s="1622"/>
      <c r="L25" s="1622"/>
      <c r="M25" s="1622"/>
      <c r="N25" s="1622"/>
      <c r="O25" s="1622"/>
      <c r="P25" s="1622"/>
      <c r="Q25" s="1622"/>
      <c r="R25" s="1622"/>
      <c r="S25" s="1623"/>
      <c r="T25" s="1616">
        <v>1</v>
      </c>
      <c r="U25" s="1617"/>
      <c r="V25" s="1617"/>
      <c r="W25" s="1617"/>
      <c r="X25" s="1617"/>
      <c r="Y25" s="1616">
        <v>1</v>
      </c>
      <c r="Z25" s="1617"/>
      <c r="AA25" s="1617"/>
      <c r="AB25" s="1617"/>
      <c r="AC25" s="1620"/>
      <c r="AD25" s="1616">
        <v>1</v>
      </c>
      <c r="AE25" s="1617"/>
      <c r="AF25" s="1617"/>
      <c r="AG25" s="1617"/>
      <c r="AH25" s="1620"/>
      <c r="AI25" s="1616">
        <v>1</v>
      </c>
      <c r="AJ25" s="1617"/>
      <c r="AK25" s="1617"/>
      <c r="AL25" s="1617"/>
      <c r="AM25" s="1620"/>
    </row>
    <row r="26" spans="1:39" ht="12.95" customHeight="1">
      <c r="B26" s="1091" t="s">
        <v>810</v>
      </c>
      <c r="C26" s="1092"/>
      <c r="D26" s="1092"/>
      <c r="E26" s="1092"/>
      <c r="F26" s="1092"/>
      <c r="G26" s="1092"/>
      <c r="H26" s="1092"/>
      <c r="I26" s="1092"/>
      <c r="J26" s="1092"/>
      <c r="K26" s="1092"/>
      <c r="L26" s="1092"/>
      <c r="M26" s="1092"/>
      <c r="N26" s="1092"/>
      <c r="O26" s="1092"/>
      <c r="P26" s="1092"/>
      <c r="Q26" s="1092"/>
      <c r="R26" s="1092"/>
      <c r="S26" s="1094"/>
      <c r="T26" s="1235">
        <f>T23*T25</f>
        <v>19512949</v>
      </c>
      <c r="U26" s="1591"/>
      <c r="V26" s="1591"/>
      <c r="W26" s="1591"/>
      <c r="X26" s="1591"/>
      <c r="Y26" s="1235">
        <f>Y23*Y25</f>
        <v>0</v>
      </c>
      <c r="Z26" s="1591"/>
      <c r="AA26" s="1591"/>
      <c r="AB26" s="1591"/>
      <c r="AC26" s="1591"/>
      <c r="AD26" s="1235">
        <f>AD23*AD25</f>
        <v>0</v>
      </c>
      <c r="AE26" s="1591"/>
      <c r="AF26" s="1591"/>
      <c r="AG26" s="1591"/>
      <c r="AH26" s="1591"/>
      <c r="AI26" s="1235">
        <f>AI23*AI25</f>
        <v>0</v>
      </c>
      <c r="AJ26" s="1591"/>
      <c r="AK26" s="1591"/>
      <c r="AL26" s="1591"/>
      <c r="AM26" s="1591"/>
    </row>
    <row r="27" spans="1:39" ht="12.95" customHeight="1">
      <c r="A27" s="4"/>
      <c r="B27" s="1624" t="s">
        <v>919</v>
      </c>
      <c r="C27" s="1625"/>
      <c r="D27" s="1625"/>
      <c r="E27" s="1625"/>
      <c r="F27" s="1625"/>
      <c r="G27" s="1625"/>
      <c r="H27" s="1625"/>
      <c r="I27" s="1625"/>
      <c r="J27" s="1625"/>
      <c r="K27" s="1625"/>
      <c r="L27" s="1625"/>
      <c r="M27" s="1625"/>
      <c r="N27" s="1625"/>
      <c r="O27" s="1625"/>
      <c r="P27" s="1625"/>
      <c r="Q27" s="1625"/>
      <c r="R27" s="1625"/>
      <c r="S27" s="1626"/>
      <c r="T27" s="1618">
        <f>Application!AG438</f>
        <v>1</v>
      </c>
      <c r="U27" s="1619"/>
      <c r="V27" s="1619"/>
      <c r="W27" s="1619"/>
      <c r="X27" s="1619"/>
      <c r="Y27" s="1618">
        <f>Application!AG438</f>
        <v>1</v>
      </c>
      <c r="Z27" s="1619"/>
      <c r="AA27" s="1619"/>
      <c r="AB27" s="1619"/>
      <c r="AC27" s="1619"/>
      <c r="AD27" s="1618">
        <f>Application!AG438</f>
        <v>1</v>
      </c>
      <c r="AE27" s="1619"/>
      <c r="AF27" s="1619"/>
      <c r="AG27" s="1619"/>
      <c r="AH27" s="1619"/>
      <c r="AI27" s="1618">
        <f>Application!AG438</f>
        <v>1</v>
      </c>
      <c r="AJ27" s="1619"/>
      <c r="AK27" s="1619"/>
      <c r="AL27" s="1619"/>
      <c r="AM27" s="1619"/>
    </row>
    <row r="28" spans="1:39" ht="12.95" customHeight="1">
      <c r="A28" s="3"/>
      <c r="B28" s="1091" t="s">
        <v>883</v>
      </c>
      <c r="C28" s="1092"/>
      <c r="D28" s="1092"/>
      <c r="E28" s="1092"/>
      <c r="F28" s="1092"/>
      <c r="G28" s="1092"/>
      <c r="H28" s="1092"/>
      <c r="I28" s="1092"/>
      <c r="J28" s="1092"/>
      <c r="K28" s="1092"/>
      <c r="L28" s="1092"/>
      <c r="M28" s="1092"/>
      <c r="N28" s="1092"/>
      <c r="O28" s="1092"/>
      <c r="P28" s="1092"/>
      <c r="Q28" s="1092"/>
      <c r="R28" s="1092"/>
      <c r="S28" s="1094"/>
      <c r="T28" s="1235">
        <f>IF(ISERROR((T26*T27)),0,(T26*T27))</f>
        <v>19512949</v>
      </c>
      <c r="U28" s="1591"/>
      <c r="V28" s="1591"/>
      <c r="W28" s="1591"/>
      <c r="X28" s="1591"/>
      <c r="Y28" s="1235">
        <f>IF(ISERROR((Y26*Y27)),0,(Y26*Y27))</f>
        <v>0</v>
      </c>
      <c r="Z28" s="1591"/>
      <c r="AA28" s="1591"/>
      <c r="AB28" s="1591"/>
      <c r="AC28" s="1591"/>
      <c r="AD28" s="1235">
        <f>IF(ISERROR((AD26*AD27)),0,(AD26*AD27))</f>
        <v>0</v>
      </c>
      <c r="AE28" s="1591"/>
      <c r="AF28" s="1591"/>
      <c r="AG28" s="1591"/>
      <c r="AH28" s="1591"/>
      <c r="AI28" s="1235">
        <f>IF(ISERROR((AI26*AI27)),0,(AI26*AI27))</f>
        <v>0</v>
      </c>
      <c r="AJ28" s="1591"/>
      <c r="AK28" s="1591"/>
      <c r="AL28" s="1591"/>
      <c r="AM28" s="1591"/>
    </row>
    <row r="29" spans="1:39" ht="12.95" customHeight="1">
      <c r="B29" s="1091" t="s">
        <v>658</v>
      </c>
      <c r="C29" s="1092"/>
      <c r="D29" s="1092"/>
      <c r="E29" s="1092"/>
      <c r="F29" s="1092"/>
      <c r="G29" s="1092"/>
      <c r="H29" s="1092"/>
      <c r="I29" s="1092"/>
      <c r="J29" s="1092"/>
      <c r="K29" s="1092"/>
      <c r="L29" s="1092"/>
      <c r="M29" s="1092"/>
      <c r="N29" s="1092"/>
      <c r="O29" s="1092"/>
      <c r="P29" s="1092"/>
      <c r="Q29" s="1092"/>
      <c r="R29" s="1092"/>
      <c r="S29" s="1094"/>
      <c r="T29" s="1580">
        <f>T28+Y28+AD28+AI28</f>
        <v>19512949</v>
      </c>
      <c r="U29" s="1581"/>
      <c r="V29" s="1581"/>
      <c r="W29" s="1581"/>
      <c r="X29" s="1581"/>
      <c r="Y29" s="1581"/>
      <c r="Z29" s="1581"/>
      <c r="AA29" s="1581"/>
      <c r="AB29" s="1581"/>
      <c r="AC29" s="1581"/>
      <c r="AD29" s="1581"/>
      <c r="AE29" s="1581"/>
      <c r="AF29" s="1581"/>
      <c r="AG29" s="1581"/>
      <c r="AH29" s="1581"/>
      <c r="AI29" s="1581"/>
      <c r="AJ29" s="1581"/>
      <c r="AK29" s="1581"/>
      <c r="AL29" s="1581"/>
      <c r="AM29" s="1579"/>
    </row>
    <row r="30" spans="1:39" ht="12.95" customHeight="1">
      <c r="B30" s="1939"/>
      <c r="C30" s="1939"/>
      <c r="D30" s="1939"/>
      <c r="E30" s="1939"/>
      <c r="F30" s="1939"/>
      <c r="G30" s="1939"/>
      <c r="H30" s="1939"/>
      <c r="I30" s="1939"/>
      <c r="J30" s="1939"/>
      <c r="K30" s="1939"/>
      <c r="L30" s="1939"/>
      <c r="M30" s="1939"/>
      <c r="N30" s="1939"/>
      <c r="O30" s="1939"/>
      <c r="P30" s="1939"/>
      <c r="Q30" s="1939"/>
      <c r="R30" s="1939"/>
      <c r="S30" s="1939"/>
      <c r="T30" s="1939"/>
      <c r="U30" s="1939"/>
      <c r="V30" s="1939"/>
      <c r="W30" s="1939"/>
      <c r="X30" s="1939"/>
      <c r="Y30" s="1939"/>
      <c r="Z30" s="1939"/>
      <c r="AA30" s="1939"/>
      <c r="AB30" s="1939"/>
      <c r="AC30" s="1939"/>
      <c r="AD30" s="1939"/>
      <c r="AE30" s="1939"/>
      <c r="AF30" s="1939"/>
      <c r="AG30" s="1939"/>
      <c r="AH30" s="1939"/>
      <c r="AI30" s="1939"/>
      <c r="AJ30" s="1939"/>
      <c r="AK30" s="1939"/>
      <c r="AL30" s="1939"/>
      <c r="AM30" s="1939"/>
    </row>
    <row r="31" spans="1:39" ht="12.95" customHeight="1">
      <c r="C31" s="343"/>
      <c r="X31" s="62"/>
      <c r="Y31" s="181"/>
      <c r="Z31" s="181"/>
      <c r="AA31" s="181"/>
      <c r="AB31" s="181"/>
      <c r="AC31" s="181"/>
      <c r="AD31" s="181"/>
      <c r="AE31" s="181"/>
      <c r="AF31" s="181"/>
      <c r="AG31" s="181"/>
      <c r="AH31" s="181"/>
    </row>
    <row r="32" spans="1:39" ht="12.95" customHeight="1">
      <c r="C32" s="36"/>
      <c r="X32" s="62"/>
      <c r="Y32" s="181"/>
      <c r="Z32" s="181"/>
      <c r="AA32" s="181"/>
      <c r="AB32" s="181"/>
      <c r="AC32" s="181"/>
      <c r="AD32" s="181"/>
      <c r="AE32" s="181"/>
      <c r="AF32" s="181"/>
      <c r="AG32" s="181"/>
      <c r="AH32" s="181"/>
    </row>
    <row r="33" spans="1:40" ht="12.95" customHeight="1">
      <c r="A33" s="3" t="s">
        <v>8</v>
      </c>
      <c r="C33" s="3" t="s">
        <v>221</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64"/>
      <c r="Y35" s="1582" t="s">
        <v>1674</v>
      </c>
      <c r="Z35" s="1582"/>
      <c r="AA35" s="1582"/>
      <c r="AB35" s="1582"/>
      <c r="AC35" s="1582"/>
      <c r="AD35" s="1225" t="s">
        <v>45</v>
      </c>
      <c r="AE35" s="1225"/>
      <c r="AF35" s="1225"/>
      <c r="AG35" s="1225"/>
      <c r="AH35" s="1225"/>
    </row>
    <row r="36" spans="1:40" ht="12.95" customHeight="1">
      <c r="B36" s="204"/>
      <c r="X36" s="71"/>
      <c r="Y36" s="1582"/>
      <c r="Z36" s="1582"/>
      <c r="AA36" s="1582"/>
      <c r="AB36" s="1582"/>
      <c r="AC36" s="1582"/>
      <c r="AD36" s="1225"/>
      <c r="AE36" s="1225"/>
      <c r="AF36" s="1225"/>
      <c r="AG36" s="1225"/>
      <c r="AH36" s="1225"/>
    </row>
    <row r="37" spans="1:40"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582"/>
      <c r="Z37" s="1582"/>
      <c r="AA37" s="1582"/>
      <c r="AB37" s="1582"/>
      <c r="AC37" s="1582"/>
      <c r="AD37" s="1225"/>
      <c r="AE37" s="1225"/>
      <c r="AF37" s="1225"/>
      <c r="AG37" s="1225"/>
      <c r="AH37" s="1225"/>
    </row>
    <row r="38" spans="1:40" ht="12.95" customHeight="1">
      <c r="A38" s="3"/>
      <c r="B38" s="1091" t="s">
        <v>883</v>
      </c>
      <c r="C38" s="1092"/>
      <c r="D38" s="1092"/>
      <c r="E38" s="1092"/>
      <c r="F38" s="1092"/>
      <c r="G38" s="1092"/>
      <c r="H38" s="1092"/>
      <c r="I38" s="1092"/>
      <c r="J38" s="1092"/>
      <c r="K38" s="1092"/>
      <c r="L38" s="1092"/>
      <c r="M38" s="1092"/>
      <c r="N38" s="1092"/>
      <c r="O38" s="1092"/>
      <c r="P38" s="1092"/>
      <c r="Q38" s="1092"/>
      <c r="R38" s="1092"/>
      <c r="S38" s="1092"/>
      <c r="T38" s="1092"/>
      <c r="U38" s="1092"/>
      <c r="V38" s="1092"/>
      <c r="W38" s="1092"/>
      <c r="X38" s="1094"/>
      <c r="Y38" s="1308">
        <f>IF(T24&gt;=(T23+Y23+AD23+AI23),T28+Y28,0)</f>
        <v>0</v>
      </c>
      <c r="Z38" s="1308"/>
      <c r="AA38" s="1308"/>
      <c r="AB38" s="1308"/>
      <c r="AC38" s="1308"/>
      <c r="AD38" s="1308">
        <f>IF(T24&gt;=(T23+Y23+AD23+AI23),AD28+AI28,0)</f>
        <v>0</v>
      </c>
      <c r="AE38" s="1308"/>
      <c r="AF38" s="1308"/>
      <c r="AG38" s="1308"/>
      <c r="AH38" s="1308"/>
    </row>
    <row r="39" spans="1:40" ht="12.95" customHeight="1">
      <c r="B39" s="1091" t="s">
        <v>801</v>
      </c>
      <c r="C39" s="1092"/>
      <c r="D39" s="1092"/>
      <c r="E39" s="1092"/>
      <c r="F39" s="1092"/>
      <c r="G39" s="1092"/>
      <c r="H39" s="1092"/>
      <c r="I39" s="1092"/>
      <c r="J39" s="1092"/>
      <c r="K39" s="1092"/>
      <c r="L39" s="1092"/>
      <c r="M39" s="1092"/>
      <c r="N39" s="1092"/>
      <c r="O39" s="1092"/>
      <c r="P39" s="1092"/>
      <c r="Q39" s="1092"/>
      <c r="R39" s="1092"/>
      <c r="S39" s="1092"/>
      <c r="T39" s="1092"/>
      <c r="U39" s="1092"/>
      <c r="V39" s="1092"/>
      <c r="W39" s="1092"/>
      <c r="X39" s="1094"/>
      <c r="Y39" s="1940">
        <v>0.09</v>
      </c>
      <c r="Z39" s="1940"/>
      <c r="AA39" s="1940"/>
      <c r="AB39" s="1940"/>
      <c r="AC39" s="1940"/>
      <c r="AD39" s="1940">
        <f>'Basis &amp; Credits'!AD39:AH39</f>
        <v>0.04</v>
      </c>
      <c r="AE39" s="1940"/>
      <c r="AF39" s="1940"/>
      <c r="AG39" s="1940"/>
      <c r="AH39" s="1940"/>
    </row>
    <row r="40" spans="1:40" ht="12.95" customHeight="1">
      <c r="A40" s="3"/>
      <c r="B40" s="1091" t="s">
        <v>25</v>
      </c>
      <c r="C40" s="1092"/>
      <c r="D40" s="1092"/>
      <c r="E40" s="1092"/>
      <c r="F40" s="1092"/>
      <c r="G40" s="1092"/>
      <c r="H40" s="1092"/>
      <c r="I40" s="1092"/>
      <c r="J40" s="1092"/>
      <c r="K40" s="1092"/>
      <c r="L40" s="1092"/>
      <c r="M40" s="1092"/>
      <c r="N40" s="1092"/>
      <c r="O40" s="1092"/>
      <c r="P40" s="1092"/>
      <c r="Q40" s="1092"/>
      <c r="R40" s="1092"/>
      <c r="S40" s="1092"/>
      <c r="T40" s="1092"/>
      <c r="U40" s="1092"/>
      <c r="V40" s="1092"/>
      <c r="W40" s="1092"/>
      <c r="X40" s="1094"/>
      <c r="Y40" s="1308">
        <f>ROUND(Y38*Y39,0)</f>
        <v>0</v>
      </c>
      <c r="Z40" s="1308"/>
      <c r="AA40" s="1308"/>
      <c r="AB40" s="1308"/>
      <c r="AC40" s="1308"/>
      <c r="AD40" s="1579">
        <f>ROUND(AD38*AD39,0)</f>
        <v>0</v>
      </c>
      <c r="AE40" s="1308"/>
      <c r="AF40" s="1308"/>
      <c r="AG40" s="1308"/>
      <c r="AH40" s="1308"/>
    </row>
    <row r="41" spans="1:40" ht="12.95" customHeight="1">
      <c r="B41" s="1091" t="s">
        <v>652</v>
      </c>
      <c r="C41" s="1092"/>
      <c r="D41" s="1092"/>
      <c r="E41" s="1092"/>
      <c r="F41" s="1092"/>
      <c r="G41" s="1092"/>
      <c r="H41" s="1092"/>
      <c r="I41" s="1092"/>
      <c r="J41" s="1092"/>
      <c r="K41" s="1092"/>
      <c r="L41" s="1092"/>
      <c r="M41" s="1092"/>
      <c r="N41" s="1092"/>
      <c r="O41" s="1092"/>
      <c r="P41" s="1092"/>
      <c r="Q41" s="1092"/>
      <c r="R41" s="1092"/>
      <c r="S41" s="1092"/>
      <c r="T41" s="1092"/>
      <c r="U41" s="1092"/>
      <c r="V41" s="1092"/>
      <c r="W41" s="1092"/>
      <c r="X41" s="1094"/>
      <c r="Y41" s="1580">
        <f>IF((Y40+AD40)&gt;2500000,2500000,Y40+AD40)</f>
        <v>0</v>
      </c>
      <c r="Z41" s="1581"/>
      <c r="AA41" s="1581"/>
      <c r="AB41" s="1581"/>
      <c r="AC41" s="1581"/>
      <c r="AD41" s="1581"/>
      <c r="AE41" s="1581"/>
      <c r="AF41" s="1581"/>
      <c r="AG41" s="1581"/>
      <c r="AH41" s="1579"/>
    </row>
    <row r="42" spans="1:40" ht="12.95" customHeight="1">
      <c r="A42" s="3"/>
      <c r="B42" s="1590" t="s">
        <v>1209</v>
      </c>
      <c r="C42" s="1590"/>
      <c r="D42" s="1590"/>
      <c r="E42" s="1590"/>
      <c r="F42" s="1590"/>
      <c r="G42" s="1590"/>
      <c r="H42" s="1590"/>
      <c r="I42" s="1590"/>
      <c r="J42" s="1590"/>
      <c r="K42" s="1590"/>
      <c r="L42" s="1590"/>
      <c r="M42" s="1590"/>
      <c r="N42" s="1590"/>
      <c r="O42" s="1590"/>
      <c r="P42" s="1590"/>
      <c r="Q42" s="1590"/>
      <c r="R42" s="1590"/>
      <c r="S42" s="1590"/>
      <c r="T42" s="1590"/>
      <c r="U42" s="1590"/>
      <c r="V42" s="1590"/>
      <c r="W42" s="1590"/>
      <c r="X42" s="1590"/>
      <c r="Y42" s="1590"/>
      <c r="Z42" s="1590"/>
      <c r="AA42" s="1590"/>
      <c r="AB42" s="1590"/>
      <c r="AC42" s="1590"/>
      <c r="AD42" s="1590"/>
      <c r="AE42" s="1590"/>
      <c r="AF42" s="1590"/>
      <c r="AG42" s="1590"/>
      <c r="AH42" s="1590"/>
      <c r="AI42" s="26"/>
      <c r="AJ42" s="26"/>
      <c r="AK42" s="26"/>
      <c r="AL42" s="26"/>
      <c r="AM42" s="26"/>
      <c r="AN42" s="26"/>
    </row>
    <row r="43" spans="1:40" ht="12.95" customHeight="1">
      <c r="B43" s="604"/>
      <c r="C43" s="604"/>
      <c r="D43" s="604"/>
      <c r="E43" s="604"/>
      <c r="F43" s="604"/>
      <c r="G43" s="604"/>
      <c r="H43" s="604"/>
      <c r="I43" s="604"/>
      <c r="J43" s="604"/>
      <c r="K43" s="604"/>
      <c r="L43" s="604"/>
      <c r="M43" s="604"/>
      <c r="N43" s="604"/>
      <c r="O43" s="604"/>
      <c r="P43" s="604"/>
      <c r="Q43" s="604"/>
      <c r="R43" s="604"/>
      <c r="S43" s="604"/>
      <c r="T43" s="604"/>
      <c r="U43" s="604"/>
      <c r="V43" s="604"/>
      <c r="W43" s="604"/>
      <c r="X43" s="604"/>
      <c r="Y43" s="604"/>
      <c r="Z43" s="604"/>
      <c r="AA43" s="604"/>
      <c r="AB43" s="604"/>
      <c r="AC43" s="604"/>
      <c r="AD43" s="604"/>
      <c r="AE43" s="604"/>
      <c r="AF43" s="604"/>
      <c r="AG43" s="604"/>
      <c r="AH43" s="604"/>
    </row>
    <row r="44" spans="1:40" ht="12.95" customHeight="1">
      <c r="A44" s="3"/>
      <c r="B44" s="604"/>
      <c r="C44" s="604"/>
      <c r="D44" s="604"/>
      <c r="E44" s="604"/>
      <c r="F44" s="604"/>
      <c r="G44" s="604"/>
      <c r="H44" s="604"/>
      <c r="I44" s="604"/>
      <c r="J44" s="604"/>
      <c r="K44" s="604"/>
      <c r="L44" s="604"/>
      <c r="M44" s="604"/>
      <c r="N44" s="604"/>
      <c r="O44" s="604"/>
      <c r="P44" s="604"/>
      <c r="Q44" s="604"/>
      <c r="R44" s="604"/>
      <c r="S44" s="604"/>
      <c r="T44" s="604"/>
      <c r="U44" s="604"/>
      <c r="V44" s="604"/>
      <c r="W44" s="604"/>
      <c r="X44" s="604"/>
      <c r="Y44" s="604"/>
      <c r="Z44" s="604"/>
      <c r="AA44" s="604"/>
      <c r="AB44" s="604"/>
      <c r="AC44" s="604"/>
      <c r="AD44" s="604"/>
      <c r="AE44" s="604"/>
      <c r="AF44" s="604"/>
      <c r="AG44" s="604"/>
      <c r="AH44" s="604"/>
    </row>
    <row r="45" spans="1:40" ht="12.95" customHeight="1">
      <c r="A45" s="3" t="s">
        <v>127</v>
      </c>
      <c r="C45" s="3" t="s">
        <v>267</v>
      </c>
    </row>
    <row r="46" spans="1:40" ht="12.95" customHeight="1">
      <c r="D46" s="3" t="s">
        <v>268</v>
      </c>
      <c r="AB46" s="1150">
        <f>'Sources and Uses Budget'!B104-'Sources and Uses Budget'!$B$15</f>
        <v>28901208</v>
      </c>
      <c r="AC46" s="1151"/>
      <c r="AD46" s="1151"/>
      <c r="AE46" s="1151"/>
      <c r="AF46" s="1152"/>
    </row>
    <row r="47" spans="1:40" ht="12.95" customHeight="1">
      <c r="D47" s="3" t="s">
        <v>877</v>
      </c>
      <c r="AB47" s="1150">
        <f>Application!AG630-MIN('Sources and Uses Budget'!B15,Application!AG385)</f>
        <v>0</v>
      </c>
      <c r="AC47" s="1151"/>
      <c r="AD47" s="1151"/>
      <c r="AE47" s="1151"/>
      <c r="AF47" s="1152"/>
    </row>
    <row r="48" spans="1:40" ht="12.95" customHeight="1">
      <c r="D48" s="3" t="s">
        <v>402</v>
      </c>
      <c r="AB48" s="1150">
        <f>AB46-AB47</f>
        <v>28901208</v>
      </c>
      <c r="AC48" s="1151"/>
      <c r="AD48" s="1151"/>
      <c r="AE48" s="1151"/>
      <c r="AF48" s="1152"/>
    </row>
    <row r="49" spans="1:40" ht="12.95" customHeight="1">
      <c r="D49" s="3" t="s">
        <v>912</v>
      </c>
      <c r="AA49" s="34"/>
      <c r="AB49" s="1585"/>
      <c r="AC49" s="1586"/>
      <c r="AD49" s="1586"/>
      <c r="AE49" s="1586"/>
      <c r="AF49" s="1587"/>
    </row>
    <row r="50" spans="1:40" s="324" customFormat="1" ht="12.95" customHeight="1">
      <c r="A50"/>
      <c r="B50"/>
      <c r="C50"/>
      <c r="D50"/>
      <c r="E50" s="1595" t="s">
        <v>1414</v>
      </c>
      <c r="F50" s="1595"/>
      <c r="G50" s="1595"/>
      <c r="H50" s="1595"/>
      <c r="I50" s="1595"/>
      <c r="J50" s="1595"/>
      <c r="K50" s="1595"/>
      <c r="L50" s="1595"/>
      <c r="M50" s="1595"/>
      <c r="N50" s="1595"/>
      <c r="O50" s="1595"/>
      <c r="P50" s="1595"/>
      <c r="Q50" s="1595"/>
      <c r="R50" s="1595"/>
      <c r="S50" s="1595"/>
      <c r="T50" s="1595"/>
      <c r="U50" s="1595"/>
      <c r="V50" s="1595"/>
      <c r="W50" s="1595"/>
      <c r="X50" s="1595"/>
      <c r="Y50" s="1595"/>
      <c r="Z50" s="1595"/>
      <c r="AA50" s="358"/>
      <c r="AB50" s="358"/>
      <c r="AC50" s="358"/>
      <c r="AD50" s="358"/>
      <c r="AE50" s="358"/>
      <c r="AF50" s="358"/>
      <c r="AG50"/>
      <c r="AH50"/>
      <c r="AI50"/>
      <c r="AJ50"/>
      <c r="AK50"/>
      <c r="AL50"/>
      <c r="AM50"/>
      <c r="AN50"/>
    </row>
    <row r="51" spans="1:40" s="324" customFormat="1" ht="12.95" customHeight="1">
      <c r="A51"/>
      <c r="B51"/>
      <c r="C51"/>
      <c r="D51"/>
      <c r="E51" s="1595"/>
      <c r="F51" s="1595"/>
      <c r="G51" s="1595"/>
      <c r="H51" s="1595"/>
      <c r="I51" s="1595"/>
      <c r="J51" s="1595"/>
      <c r="K51" s="1595"/>
      <c r="L51" s="1595"/>
      <c r="M51" s="1595"/>
      <c r="N51" s="1595"/>
      <c r="O51" s="1595"/>
      <c r="P51" s="1595"/>
      <c r="Q51" s="1595"/>
      <c r="R51" s="1595"/>
      <c r="S51" s="1595"/>
      <c r="T51" s="1595"/>
      <c r="U51" s="1595"/>
      <c r="V51" s="1595"/>
      <c r="W51" s="1595"/>
      <c r="X51" s="1595"/>
      <c r="Y51" s="1595"/>
      <c r="Z51" s="1595"/>
      <c r="AA51" s="496"/>
      <c r="AB51" s="496"/>
      <c r="AC51" s="496"/>
      <c r="AD51" s="496"/>
      <c r="AE51" s="496"/>
      <c r="AF51" s="496"/>
      <c r="AG51" s="105"/>
      <c r="AH51"/>
      <c r="AI51"/>
      <c r="AJ51"/>
      <c r="AK51"/>
      <c r="AL51"/>
      <c r="AM51"/>
      <c r="AN51"/>
    </row>
    <row r="52" spans="1:40" ht="12.95"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5" customHeight="1">
      <c r="D53" s="3" t="s">
        <v>26</v>
      </c>
      <c r="AB53" s="1150">
        <f>ROUND(IF(ISERROR((AB48/AB49)),0,(AB48/AB49)),0)</f>
        <v>0</v>
      </c>
      <c r="AC53" s="1151"/>
      <c r="AD53" s="1151"/>
      <c r="AE53" s="1151"/>
      <c r="AF53" s="1152"/>
    </row>
    <row r="54" spans="1:40" ht="12.95" customHeight="1">
      <c r="D54" s="3" t="s">
        <v>591</v>
      </c>
      <c r="AB54" s="1150">
        <f>(AB53/10)</f>
        <v>0</v>
      </c>
      <c r="AC54" s="1151"/>
      <c r="AD54" s="1151"/>
      <c r="AE54" s="1151"/>
      <c r="AF54" s="1152"/>
    </row>
    <row r="55" spans="1:40" ht="12.95" customHeight="1">
      <c r="D55" s="3" t="s">
        <v>361</v>
      </c>
      <c r="AB55" s="1592">
        <f>(IF((Y41&lt;AB54),Y41,AB54))</f>
        <v>0</v>
      </c>
      <c r="AC55" s="1593"/>
      <c r="AD55" s="1593"/>
      <c r="AE55" s="1593"/>
      <c r="AF55" s="1594"/>
    </row>
    <row r="56" spans="1:40" ht="12.95" customHeight="1">
      <c r="D56" s="3" t="s">
        <v>115</v>
      </c>
      <c r="AB56" s="1150">
        <f>ROUND((10*AB55*AB49),0)</f>
        <v>0</v>
      </c>
      <c r="AC56" s="1151"/>
      <c r="AD56" s="1151"/>
      <c r="AE56" s="1151"/>
      <c r="AF56" s="1152"/>
    </row>
    <row r="57" spans="1:40" ht="12.95" customHeight="1">
      <c r="D57" s="3"/>
      <c r="AB57" s="276"/>
      <c r="AC57" s="276"/>
      <c r="AD57" s="276"/>
      <c r="AE57" s="276"/>
      <c r="AF57" s="276"/>
    </row>
    <row r="58" spans="1:40" ht="12.95" customHeight="1">
      <c r="D58" s="3" t="s">
        <v>114</v>
      </c>
      <c r="AB58" s="1156">
        <f>AB48-AB56</f>
        <v>28901208</v>
      </c>
      <c r="AC58" s="1156"/>
      <c r="AD58" s="1156"/>
      <c r="AE58" s="1156"/>
      <c r="AF58" s="1156"/>
    </row>
    <row r="59" spans="1:40" ht="12.95"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2.95" customHeight="1" thickBot="1">
      <c r="A60" s="1575" t="s">
        <v>1821</v>
      </c>
      <c r="B60" s="1575"/>
      <c r="C60" s="1575"/>
      <c r="D60" s="1575"/>
      <c r="E60" s="1575"/>
      <c r="F60" s="1575"/>
      <c r="G60" s="1575"/>
      <c r="H60" s="1575"/>
      <c r="I60" s="1575"/>
      <c r="J60" s="1575"/>
      <c r="K60" s="1575"/>
      <c r="L60" s="1575"/>
      <c r="M60" s="1575"/>
      <c r="N60" s="1575"/>
      <c r="O60" s="1575"/>
      <c r="P60" s="1575"/>
      <c r="Q60" s="1575"/>
      <c r="R60" s="1575"/>
      <c r="S60" s="1575"/>
      <c r="T60" s="1575"/>
      <c r="U60" s="1575"/>
      <c r="V60" s="1575"/>
      <c r="W60" s="1575"/>
      <c r="X60" s="1575"/>
      <c r="Y60" s="1575"/>
      <c r="Z60" s="1575"/>
      <c r="AA60" s="1575"/>
      <c r="AB60" s="1575"/>
      <c r="AC60" s="1575"/>
      <c r="AD60" s="1575"/>
      <c r="AE60" s="1575"/>
      <c r="AF60" s="1575"/>
      <c r="AG60" s="1575"/>
      <c r="AH60" s="1575"/>
      <c r="AI60" s="1575"/>
      <c r="AJ60" s="1575"/>
      <c r="AK60" s="1575"/>
      <c r="AL60" s="1575"/>
      <c r="AM60" s="1575"/>
      <c r="AN60" s="1575"/>
    </row>
    <row r="61" spans="1:40" ht="12.95" customHeight="1" thickTop="1">
      <c r="A61" s="1175"/>
      <c r="B61" s="1175"/>
      <c r="C61" s="1175"/>
      <c r="D61" s="1175"/>
      <c r="E61" s="1175"/>
      <c r="F61" s="1175"/>
      <c r="G61" s="1175"/>
      <c r="H61" s="1175"/>
      <c r="I61" s="1175"/>
      <c r="J61" s="1175"/>
      <c r="K61" s="1175"/>
      <c r="L61" s="1175"/>
      <c r="M61" s="1175"/>
      <c r="N61" s="1175"/>
      <c r="O61" s="1175"/>
      <c r="P61" s="1175"/>
      <c r="Q61" s="1175"/>
      <c r="R61" s="1175"/>
      <c r="S61" s="1175"/>
      <c r="T61" s="1175"/>
      <c r="U61" s="1175"/>
      <c r="V61" s="1175"/>
      <c r="W61" s="1175"/>
      <c r="X61" s="1175"/>
      <c r="Y61" s="1175"/>
      <c r="Z61" s="1175"/>
      <c r="AA61" s="1175"/>
      <c r="AB61" s="1175"/>
      <c r="AC61" s="1175"/>
      <c r="AD61" s="1175"/>
      <c r="AE61" s="1175"/>
      <c r="AF61" s="1175"/>
      <c r="AG61" s="1175"/>
      <c r="AH61" s="1175"/>
      <c r="AI61" s="1175"/>
      <c r="AJ61" s="1175"/>
      <c r="AK61" s="1175"/>
      <c r="AL61" s="1175"/>
      <c r="AM61" s="1175"/>
      <c r="AN61" s="1175"/>
    </row>
    <row r="62" spans="1:40" ht="12.95" customHeight="1">
      <c r="A62" s="3" t="s">
        <v>130</v>
      </c>
      <c r="C62" s="3" t="s">
        <v>539</v>
      </c>
      <c r="Y62" s="1577" t="s">
        <v>315</v>
      </c>
      <c r="Z62" s="1577"/>
      <c r="AA62" s="1577"/>
      <c r="AB62" s="1577"/>
      <c r="AC62" s="1577"/>
      <c r="AD62" s="1577" t="s">
        <v>45</v>
      </c>
      <c r="AE62" s="1577"/>
      <c r="AF62" s="1577"/>
      <c r="AG62" s="1577"/>
      <c r="AH62" s="1577"/>
    </row>
    <row r="63" spans="1:40" ht="12.95" customHeight="1">
      <c r="C63" s="3"/>
      <c r="D63" s="128" t="s">
        <v>1292</v>
      </c>
      <c r="E63" s="15"/>
      <c r="F63" s="15"/>
      <c r="G63" s="15"/>
      <c r="H63" s="15"/>
      <c r="I63" s="15"/>
      <c r="J63" s="15"/>
      <c r="K63" s="15"/>
      <c r="L63" s="15"/>
      <c r="M63" s="15"/>
      <c r="N63" s="15"/>
      <c r="O63" s="15"/>
      <c r="P63" s="15"/>
      <c r="Q63" s="15"/>
      <c r="R63" s="15"/>
      <c r="S63" s="15"/>
      <c r="T63" s="15"/>
      <c r="U63" s="15"/>
      <c r="V63" s="15"/>
      <c r="W63" s="15"/>
      <c r="X63" s="15"/>
      <c r="Y63" s="1308">
        <f>Y28</f>
        <v>0</v>
      </c>
      <c r="Z63" s="1588"/>
      <c r="AA63" s="1588"/>
      <c r="AB63" s="1588"/>
      <c r="AC63" s="1588"/>
      <c r="AD63" s="1308">
        <f>AI28</f>
        <v>0</v>
      </c>
      <c r="AE63" s="1588"/>
      <c r="AF63" s="1588"/>
      <c r="AG63" s="1588"/>
      <c r="AH63" s="1588"/>
    </row>
    <row r="64" spans="1:40" ht="12.95" customHeight="1">
      <c r="C64" s="3"/>
      <c r="E64" s="1576" t="s">
        <v>1340</v>
      </c>
      <c r="F64" s="1576"/>
      <c r="G64" s="1576"/>
      <c r="H64" s="1576"/>
      <c r="I64" s="1576"/>
      <c r="J64" s="1576"/>
      <c r="K64" s="1576"/>
      <c r="L64" s="1576"/>
      <c r="M64" s="1576"/>
      <c r="N64" s="1576"/>
      <c r="O64" s="1576"/>
      <c r="P64" s="1576"/>
      <c r="Q64" s="1576"/>
      <c r="R64" s="1576"/>
      <c r="S64" s="1576"/>
      <c r="T64" s="1576"/>
      <c r="U64" s="1576"/>
      <c r="V64" s="1576"/>
      <c r="W64" s="1576"/>
      <c r="X64" s="1576"/>
      <c r="Y64" s="1576"/>
      <c r="Z64" s="1576"/>
      <c r="AA64" s="1576"/>
      <c r="AB64" s="1576"/>
      <c r="AC64" s="1576"/>
      <c r="AD64" s="1576"/>
      <c r="AE64" s="1576"/>
      <c r="AF64" s="1576"/>
      <c r="AG64" s="1576"/>
      <c r="AH64" s="1576"/>
    </row>
    <row r="65" spans="1:34" ht="30.75" customHeight="1">
      <c r="C65" s="3"/>
      <c r="E65" s="1576"/>
      <c r="F65" s="1576"/>
      <c r="G65" s="1576"/>
      <c r="H65" s="1576"/>
      <c r="I65" s="1576"/>
      <c r="J65" s="1576"/>
      <c r="K65" s="1576"/>
      <c r="L65" s="1576"/>
      <c r="M65" s="1576"/>
      <c r="N65" s="1576"/>
      <c r="O65" s="1576"/>
      <c r="P65" s="1576"/>
      <c r="Q65" s="1576"/>
      <c r="R65" s="1576"/>
      <c r="S65" s="1576"/>
      <c r="T65" s="1576"/>
      <c r="U65" s="1576"/>
      <c r="V65" s="1576"/>
      <c r="W65" s="1576"/>
      <c r="X65" s="1576"/>
      <c r="Y65" s="1576"/>
      <c r="Z65" s="1576"/>
      <c r="AA65" s="1576"/>
      <c r="AB65" s="1576"/>
      <c r="AC65" s="1576"/>
      <c r="AD65" s="1576"/>
      <c r="AE65" s="1576"/>
      <c r="AF65" s="1576"/>
      <c r="AG65" s="1576"/>
      <c r="AH65" s="1576"/>
    </row>
    <row r="66" spans="1:34" ht="12.95" customHeight="1">
      <c r="C66" s="3"/>
      <c r="D66" s="3" t="s">
        <v>210</v>
      </c>
      <c r="E66" s="103"/>
      <c r="F66" s="103"/>
      <c r="G66" s="103"/>
      <c r="H66" s="103"/>
      <c r="I66" s="103"/>
      <c r="J66" s="103"/>
      <c r="K66" s="103"/>
      <c r="L66" s="103"/>
      <c r="M66" s="103"/>
      <c r="N66" s="103"/>
      <c r="O66" s="103"/>
      <c r="P66" s="103"/>
      <c r="Q66" s="103"/>
      <c r="R66" s="103"/>
      <c r="S66" s="103"/>
      <c r="T66" s="103"/>
      <c r="U66" s="103"/>
      <c r="V66" s="103"/>
      <c r="W66" s="103"/>
      <c r="X66" s="103"/>
      <c r="Y66" s="1584">
        <v>0.3</v>
      </c>
      <c r="Z66" s="1584"/>
      <c r="AA66" s="1584"/>
      <c r="AB66" s="1584"/>
      <c r="AC66" s="1584"/>
      <c r="AD66" s="1584">
        <v>0.13</v>
      </c>
      <c r="AE66" s="1584"/>
      <c r="AF66" s="1584"/>
      <c r="AG66" s="1584"/>
      <c r="AH66" s="1584"/>
    </row>
    <row r="67" spans="1:34" ht="12.95" customHeight="1">
      <c r="C67" s="3"/>
      <c r="D67" s="3" t="s">
        <v>984</v>
      </c>
      <c r="Y67" s="1308">
        <f>ROUND(Y63*Y66,0)</f>
        <v>0</v>
      </c>
      <c r="Z67" s="1588"/>
      <c r="AA67" s="1588"/>
      <c r="AB67" s="1588"/>
      <c r="AC67" s="1588"/>
      <c r="AD67" s="1308" t="str">
        <f>IF(OR(Application!D211="At-Risk",Application!D211="At-Risk/Located in Rural Census Tract",Application!D214="At-Risk"),ROUND(AD63*AD66,0),"$0")</f>
        <v>$0</v>
      </c>
      <c r="AE67" s="1308"/>
      <c r="AF67" s="1308"/>
      <c r="AG67" s="1308"/>
      <c r="AH67" s="1308"/>
    </row>
    <row r="68" spans="1:34" ht="12.95" customHeight="1">
      <c r="C68" s="3"/>
      <c r="E68" s="3"/>
      <c r="AB68" s="2"/>
      <c r="AC68" s="2"/>
      <c r="AD68" s="2"/>
      <c r="AE68" s="2"/>
      <c r="AF68" s="2"/>
    </row>
    <row r="69" spans="1:34" ht="12.95" customHeight="1">
      <c r="A69" s="3" t="s">
        <v>131</v>
      </c>
      <c r="C69" s="3" t="s">
        <v>269</v>
      </c>
    </row>
    <row r="70" spans="1:34" ht="12.95" customHeight="1">
      <c r="A70" s="3"/>
      <c r="C70" s="3"/>
      <c r="D70" s="3" t="s">
        <v>913</v>
      </c>
      <c r="AB70" s="1585"/>
      <c r="AC70" s="1586"/>
      <c r="AD70" s="1586"/>
      <c r="AE70" s="1586"/>
      <c r="AF70" s="1587"/>
    </row>
    <row r="71" spans="1:34" ht="12.95" customHeight="1">
      <c r="A71" s="3"/>
      <c r="C71" s="3"/>
      <c r="D71" s="3"/>
      <c r="E71" s="1589" t="s">
        <v>1816</v>
      </c>
      <c r="F71" s="1589"/>
      <c r="G71" s="1589"/>
      <c r="H71" s="1589"/>
      <c r="I71" s="1589"/>
      <c r="J71" s="1589"/>
      <c r="K71" s="1589"/>
      <c r="L71" s="1589"/>
      <c r="M71" s="1589"/>
      <c r="N71" s="1589"/>
      <c r="O71" s="1589"/>
      <c r="P71" s="1589"/>
      <c r="Q71" s="1589"/>
      <c r="R71" s="1589"/>
      <c r="S71" s="1589"/>
      <c r="T71" s="1589"/>
      <c r="U71" s="1589"/>
      <c r="V71" s="1589"/>
      <c r="W71" s="1589"/>
      <c r="X71" s="1589"/>
      <c r="Y71" s="1589"/>
      <c r="Z71" s="1589"/>
      <c r="AA71" s="253"/>
      <c r="AB71" s="253"/>
      <c r="AC71" s="253"/>
    </row>
    <row r="72" spans="1:34" ht="12.95" customHeight="1">
      <c r="A72" s="3"/>
      <c r="C72" s="3"/>
      <c r="D72" s="3"/>
      <c r="E72" s="1589"/>
      <c r="F72" s="1589"/>
      <c r="G72" s="1589"/>
      <c r="H72" s="1589"/>
      <c r="I72" s="1589"/>
      <c r="J72" s="1589"/>
      <c r="K72" s="1589"/>
      <c r="L72" s="1589"/>
      <c r="M72" s="1589"/>
      <c r="N72" s="1589"/>
      <c r="O72" s="1589"/>
      <c r="P72" s="1589"/>
      <c r="Q72" s="1589"/>
      <c r="R72" s="1589"/>
      <c r="S72" s="1589"/>
      <c r="T72" s="1589"/>
      <c r="U72" s="1589"/>
      <c r="V72" s="1589"/>
      <c r="W72" s="1589"/>
      <c r="X72" s="1589"/>
      <c r="Y72" s="1589"/>
      <c r="Z72" s="1589"/>
      <c r="AA72" s="253"/>
      <c r="AB72" s="253"/>
      <c r="AC72" s="253"/>
    </row>
    <row r="73" spans="1:34" ht="12.95" customHeight="1">
      <c r="A73" s="3"/>
      <c r="C73" s="3"/>
      <c r="D73" s="3"/>
      <c r="E73" s="1589"/>
      <c r="F73" s="1589"/>
      <c r="G73" s="1589"/>
      <c r="H73" s="1589"/>
      <c r="I73" s="1589"/>
      <c r="J73" s="1589"/>
      <c r="K73" s="1589"/>
      <c r="L73" s="1589"/>
      <c r="M73" s="1589"/>
      <c r="N73" s="1589"/>
      <c r="O73" s="1589"/>
      <c r="P73" s="1589"/>
      <c r="Q73" s="1589"/>
      <c r="R73" s="1589"/>
      <c r="S73" s="1589"/>
      <c r="T73" s="1589"/>
      <c r="U73" s="1589"/>
      <c r="V73" s="1589"/>
      <c r="W73" s="1589"/>
      <c r="X73" s="1589"/>
      <c r="Y73" s="1589"/>
      <c r="Z73" s="1589"/>
      <c r="AA73" s="253"/>
      <c r="AB73" s="253"/>
      <c r="AC73" s="253"/>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112</v>
      </c>
      <c r="AB75" s="1217">
        <f>ROUND(IF(ISERROR((AB58/AB70)),0,(AB58/AB70)),0)</f>
        <v>0</v>
      </c>
      <c r="AC75" s="1217"/>
      <c r="AD75" s="1217"/>
      <c r="AE75" s="1217"/>
      <c r="AF75" s="1217"/>
    </row>
    <row r="76" spans="1:34" ht="12.95" customHeight="1">
      <c r="C76" s="3"/>
      <c r="D76" s="3" t="s">
        <v>113</v>
      </c>
      <c r="AB76" s="1212">
        <f>IF((Y67+AD67&lt;AB75),Y67+AD67,AB75)</f>
        <v>0</v>
      </c>
      <c r="AC76" s="1213"/>
      <c r="AD76" s="1213"/>
      <c r="AE76" s="1213"/>
      <c r="AF76" s="1214"/>
    </row>
    <row r="77" spans="1:34" ht="12.95" customHeight="1">
      <c r="C77" s="3"/>
      <c r="D77" s="3" t="s">
        <v>985</v>
      </c>
      <c r="AB77" s="1583">
        <f>AB76*AB70</f>
        <v>0</v>
      </c>
      <c r="AC77" s="1583"/>
      <c r="AD77" s="1583"/>
      <c r="AE77" s="1583"/>
      <c r="AF77" s="1583"/>
    </row>
    <row r="78" spans="1:34" ht="12.95" customHeight="1">
      <c r="C78" s="3"/>
      <c r="D78" s="3"/>
      <c r="AB78" s="605"/>
      <c r="AC78" s="605"/>
      <c r="AD78" s="605"/>
      <c r="AE78" s="605"/>
      <c r="AF78" s="605"/>
    </row>
    <row r="79" spans="1:34" ht="12.95" customHeight="1">
      <c r="D79" s="3" t="s">
        <v>114</v>
      </c>
      <c r="AB79" s="1156">
        <f>AB48-(AB56+AB77)</f>
        <v>28901208</v>
      </c>
      <c r="AC79" s="1156"/>
      <c r="AD79" s="1156"/>
      <c r="AE79" s="1156"/>
      <c r="AF79" s="1156"/>
    </row>
    <row r="80" spans="1:34" ht="12.95" customHeight="1">
      <c r="F80" s="16"/>
      <c r="J80" s="16" t="str">
        <f>IF(AB79&gt;0,"FUNDING GAP MUST NOT EXCEED ZERO","")</f>
        <v>FUNDING GAP MUST NOT EXCEED ZERO</v>
      </c>
    </row>
    <row r="81" spans="4:4" ht="12.95" hidden="1" customHeight="1">
      <c r="D81" s="129"/>
    </row>
  </sheetData>
  <sheetProtection algorithmName="SHA-512" hashValue="Vf74oVwVeENqODGlJHsI8PEC/BNJpHlzkHgOf4Vrf3H3P4A/MdLIwIsV8SMovpa/AbrzIzRQZsp9nOoaY1nY3g==" saltValue="VGJQM1IvD9l8yM0Eg+cCIA=="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formula1>0</formula1>
    </dataValidation>
    <dataValidation type="decimal" allowBlank="1" showInputMessage="1" showErrorMessage="1" errorTitle="Federal Tax Credit Factor" error="Federal Tax Credit Factor must be within stated range." sqref="AB49:AF49">
      <formula1>0.85</formula1>
      <formula2>1.25</formula2>
    </dataValidation>
    <dataValidation type="decimal" allowBlank="1" showInputMessage="1" showErrorMessage="1" errorTitle="State Tax Credit Factor" error="State Tax Credit Factor must be within stated range." sqref="AB70:AF7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XFC107"/>
  <sheetViews>
    <sheetView topLeftCell="A16" workbookViewId="0">
      <selection activeCell="B5" sqref="B5"/>
    </sheetView>
  </sheetViews>
  <sheetFormatPr defaultColWidth="0" defaultRowHeight="12" customHeight="1" zeroHeight="1"/>
  <cols>
    <col min="1" max="1" width="35.42578125" style="334" customWidth="1"/>
    <col min="2" max="2" width="14.42578125" style="356" customWidth="1"/>
    <col min="3" max="4" width="14.42578125" style="335" customWidth="1"/>
    <col min="5" max="5" width="14.42578125" style="356" customWidth="1"/>
    <col min="6" max="6" width="50.42578125" style="335" customWidth="1"/>
    <col min="7" max="7" width="9.140625" style="335" customWidth="1"/>
    <col min="8" max="8" width="0.42578125" style="335" hidden="1" customWidth="1"/>
    <col min="9" max="16383" width="11.42578125" style="335" hidden="1"/>
    <col min="16384" max="16384" width="0.42578125" style="335" customWidth="1"/>
  </cols>
  <sheetData>
    <row r="1" spans="1:7" ht="18" customHeight="1">
      <c r="A1" s="672" t="s">
        <v>1280</v>
      </c>
      <c r="G1" s="573"/>
    </row>
    <row r="2" spans="1:7" ht="12.75">
      <c r="A2" s="264" t="s">
        <v>995</v>
      </c>
      <c r="B2" s="227"/>
      <c r="C2" s="325"/>
      <c r="D2" s="325"/>
      <c r="E2" s="227"/>
      <c r="F2" s="326"/>
      <c r="G2" s="326"/>
    </row>
    <row r="3" spans="1:7" s="574" customFormat="1" ht="80.25" customHeight="1">
      <c r="A3" s="337"/>
      <c r="B3" s="327" t="s">
        <v>994</v>
      </c>
      <c r="C3" s="327" t="s">
        <v>1223</v>
      </c>
      <c r="D3" s="327" t="s">
        <v>997</v>
      </c>
      <c r="E3" s="327" t="s">
        <v>998</v>
      </c>
      <c r="F3" s="323" t="s">
        <v>996</v>
      </c>
      <c r="G3" s="327"/>
    </row>
    <row r="4" spans="1:7" s="575" customFormat="1" ht="12.75">
      <c r="A4" s="890" t="s">
        <v>363</v>
      </c>
      <c r="B4" s="328"/>
      <c r="C4" s="328"/>
      <c r="D4" s="328"/>
      <c r="E4" s="328"/>
      <c r="F4" s="328"/>
      <c r="G4" s="328"/>
    </row>
    <row r="5" spans="1:7" s="575" customFormat="1" ht="12.75">
      <c r="A5" s="891" t="s">
        <v>999</v>
      </c>
      <c r="B5" s="330">
        <f>'Sources and Uses Budget'!C4</f>
        <v>592000</v>
      </c>
      <c r="C5" s="330">
        <f>'Sources and Uses Budget'!C4</f>
        <v>592000</v>
      </c>
      <c r="D5" s="330">
        <f>'Sources and Uses Budget'!C4</f>
        <v>592000</v>
      </c>
      <c r="E5" s="332">
        <f>C5-B5</f>
        <v>0</v>
      </c>
      <c r="F5" s="331"/>
      <c r="G5" s="331"/>
    </row>
    <row r="6" spans="1:7" s="575" customFormat="1" ht="12.75">
      <c r="A6" s="891" t="s">
        <v>1000</v>
      </c>
      <c r="B6" s="330">
        <f>'Sources and Uses Budget'!C5</f>
        <v>300000</v>
      </c>
      <c r="C6" s="330">
        <f>'Sources and Uses Budget'!C5</f>
        <v>300000</v>
      </c>
      <c r="D6" s="330">
        <f>'Sources and Uses Budget'!C5</f>
        <v>300000</v>
      </c>
      <c r="E6" s="332">
        <f t="shared" ref="E6:E73" si="0">C6-B6</f>
        <v>0</v>
      </c>
      <c r="F6" s="331"/>
      <c r="G6" s="331"/>
    </row>
    <row r="7" spans="1:7" s="575" customFormat="1" ht="12.75">
      <c r="A7" s="891" t="s">
        <v>364</v>
      </c>
      <c r="B7" s="330">
        <f>'Sources and Uses Budget'!C6</f>
        <v>0</v>
      </c>
      <c r="C7" s="330">
        <f>'Sources and Uses Budget'!C6</f>
        <v>0</v>
      </c>
      <c r="D7" s="330">
        <f>'Sources and Uses Budget'!C6</f>
        <v>0</v>
      </c>
      <c r="E7" s="332">
        <f t="shared" si="0"/>
        <v>0</v>
      </c>
      <c r="F7" s="331"/>
      <c r="G7" s="331"/>
    </row>
    <row r="8" spans="1:7" s="575" customFormat="1" ht="12.75">
      <c r="A8" s="891" t="s">
        <v>296</v>
      </c>
      <c r="B8" s="330">
        <f>'Sources and Uses Budget'!C7</f>
        <v>0</v>
      </c>
      <c r="C8" s="330">
        <f>'Sources and Uses Budget'!C7</f>
        <v>0</v>
      </c>
      <c r="D8" s="330">
        <f>'Sources and Uses Budget'!C7</f>
        <v>0</v>
      </c>
      <c r="E8" s="332">
        <f t="shared" si="0"/>
        <v>0</v>
      </c>
      <c r="F8" s="331"/>
      <c r="G8" s="331"/>
    </row>
    <row r="9" spans="1:7" s="575" customFormat="1" ht="12.75">
      <c r="A9" s="892" t="s">
        <v>1001</v>
      </c>
      <c r="B9" s="332">
        <f>SUM(B5:B8)</f>
        <v>892000</v>
      </c>
      <c r="C9" s="332">
        <f>SUM(C5:C8)</f>
        <v>892000</v>
      </c>
      <c r="D9" s="332">
        <f>SUM(D5:D8)</f>
        <v>892000</v>
      </c>
      <c r="E9" s="332">
        <f t="shared" si="0"/>
        <v>0</v>
      </c>
      <c r="F9" s="331"/>
      <c r="G9" s="331"/>
    </row>
    <row r="10" spans="1:7" s="575" customFormat="1" ht="12.75">
      <c r="A10" s="891" t="s">
        <v>615</v>
      </c>
      <c r="B10" s="330">
        <f>'Sources and Uses Budget'!C9</f>
        <v>2408000</v>
      </c>
      <c r="C10" s="330">
        <f>'Sources and Uses Budget'!C9</f>
        <v>2408000</v>
      </c>
      <c r="D10" s="330">
        <f>'Sources and Uses Budget'!C9</f>
        <v>2408000</v>
      </c>
      <c r="E10" s="332">
        <f t="shared" si="0"/>
        <v>0</v>
      </c>
      <c r="F10" s="331"/>
      <c r="G10" s="331"/>
    </row>
    <row r="11" spans="1:7" s="575" customFormat="1" ht="12.75">
      <c r="A11" s="891" t="s">
        <v>1002</v>
      </c>
      <c r="B11" s="330">
        <f>'Sources and Uses Budget'!C10</f>
        <v>0</v>
      </c>
      <c r="C11" s="330">
        <f>'Sources and Uses Budget'!C10</f>
        <v>0</v>
      </c>
      <c r="D11" s="330">
        <f>'Sources and Uses Budget'!C10</f>
        <v>0</v>
      </c>
      <c r="E11" s="332">
        <f t="shared" si="0"/>
        <v>0</v>
      </c>
      <c r="F11" s="331"/>
      <c r="G11" s="331"/>
    </row>
    <row r="12" spans="1:7" s="575" customFormat="1" ht="12.75">
      <c r="A12" s="892" t="s">
        <v>616</v>
      </c>
      <c r="B12" s="332">
        <f>SUM(B10:B11)</f>
        <v>2408000</v>
      </c>
      <c r="C12" s="332">
        <f>SUM(C10:C11)</f>
        <v>2408000</v>
      </c>
      <c r="D12" s="332">
        <f>SUM(D10:D11)</f>
        <v>2408000</v>
      </c>
      <c r="E12" s="332">
        <f t="shared" si="0"/>
        <v>0</v>
      </c>
      <c r="F12" s="331"/>
      <c r="G12" s="331"/>
    </row>
    <row r="13" spans="1:7" s="575" customFormat="1" ht="12.75">
      <c r="A13" s="892" t="s">
        <v>746</v>
      </c>
      <c r="B13" s="332">
        <f>SUM(B9+B12)</f>
        <v>3300000</v>
      </c>
      <c r="C13" s="332">
        <f>SUM(C9+C12)</f>
        <v>3300000</v>
      </c>
      <c r="D13" s="332">
        <f>SUM(D9+D12)</f>
        <v>3300000</v>
      </c>
      <c r="E13" s="332">
        <f t="shared" si="0"/>
        <v>0</v>
      </c>
      <c r="F13" s="331"/>
      <c r="G13" s="331"/>
    </row>
    <row r="14" spans="1:7" s="575" customFormat="1" ht="12.75">
      <c r="A14" s="893" t="s">
        <v>1156</v>
      </c>
      <c r="B14" s="330">
        <f>'Sources and Uses Budget'!C13</f>
        <v>759124</v>
      </c>
      <c r="C14" s="330">
        <f>'Sources and Uses Budget'!C13</f>
        <v>759124</v>
      </c>
      <c r="D14" s="330">
        <f>'Sources and Uses Budget'!C13</f>
        <v>759124</v>
      </c>
      <c r="E14" s="332">
        <f t="shared" si="0"/>
        <v>0</v>
      </c>
      <c r="F14" s="331"/>
      <c r="G14" s="331"/>
    </row>
    <row r="15" spans="1:7" s="575" customFormat="1" ht="24">
      <c r="A15" s="891" t="s">
        <v>1188</v>
      </c>
      <c r="B15" s="330">
        <f>'Sources and Uses Budget'!C14</f>
        <v>0</v>
      </c>
      <c r="C15" s="330">
        <f>'Sources and Uses Budget'!C14</f>
        <v>0</v>
      </c>
      <c r="D15" s="330">
        <f>'Sources and Uses Budget'!C14</f>
        <v>0</v>
      </c>
      <c r="E15" s="332">
        <f t="shared" si="0"/>
        <v>0</v>
      </c>
      <c r="F15" s="331"/>
      <c r="G15" s="331"/>
    </row>
    <row r="16" spans="1:7" s="575" customFormat="1" ht="12.75">
      <c r="A16" s="891" t="s">
        <v>1751</v>
      </c>
      <c r="B16" s="330">
        <f>'Sources and Uses Budget'!C15</f>
        <v>0</v>
      </c>
      <c r="C16" s="330">
        <f>'Sources and Uses Budget'!C15</f>
        <v>0</v>
      </c>
      <c r="D16" s="330">
        <f>'Sources and Uses Budget'!C15</f>
        <v>0</v>
      </c>
      <c r="E16" s="332">
        <f t="shared" si="0"/>
        <v>0</v>
      </c>
      <c r="F16" s="331"/>
      <c r="G16" s="331"/>
    </row>
    <row r="17" spans="1:7" s="575" customFormat="1" ht="12.75">
      <c r="A17" s="890" t="s">
        <v>952</v>
      </c>
      <c r="B17" s="328"/>
      <c r="C17" s="328"/>
      <c r="D17" s="328"/>
      <c r="E17" s="328"/>
      <c r="F17" s="328"/>
      <c r="G17" s="328"/>
    </row>
    <row r="18" spans="1:7" s="575" customFormat="1" ht="12.75">
      <c r="A18" s="239" t="s">
        <v>953</v>
      </c>
      <c r="B18" s="330">
        <f>'Sources and Uses Budget'!C17</f>
        <v>0</v>
      </c>
      <c r="C18" s="330">
        <f>'Sources and Uses Budget'!C17</f>
        <v>0</v>
      </c>
      <c r="D18" s="330">
        <f>'Sources and Uses Budget'!C17</f>
        <v>0</v>
      </c>
      <c r="E18" s="332">
        <f t="shared" si="0"/>
        <v>0</v>
      </c>
      <c r="F18" s="331"/>
      <c r="G18" s="331"/>
    </row>
    <row r="19" spans="1:7" s="575" customFormat="1" ht="12.75">
      <c r="A19" s="239" t="s">
        <v>954</v>
      </c>
      <c r="B19" s="330">
        <f>'Sources and Uses Budget'!C18</f>
        <v>0</v>
      </c>
      <c r="C19" s="330">
        <f>'Sources and Uses Budget'!C18</f>
        <v>0</v>
      </c>
      <c r="D19" s="330">
        <f>'Sources and Uses Budget'!C18</f>
        <v>0</v>
      </c>
      <c r="E19" s="332">
        <f t="shared" ref="E19:E26" si="1">C19-B19</f>
        <v>0</v>
      </c>
      <c r="F19" s="331"/>
      <c r="G19" s="331"/>
    </row>
    <row r="20" spans="1:7" s="575" customFormat="1" ht="12.75">
      <c r="A20" s="239" t="s">
        <v>955</v>
      </c>
      <c r="B20" s="330">
        <f>'Sources and Uses Budget'!C19</f>
        <v>0</v>
      </c>
      <c r="C20" s="330">
        <f>'Sources and Uses Budget'!C19</f>
        <v>0</v>
      </c>
      <c r="D20" s="330">
        <f>'Sources and Uses Budget'!C19</f>
        <v>0</v>
      </c>
      <c r="E20" s="332">
        <f t="shared" si="1"/>
        <v>0</v>
      </c>
      <c r="F20" s="331"/>
      <c r="G20" s="331"/>
    </row>
    <row r="21" spans="1:7" s="575" customFormat="1" ht="12.75">
      <c r="A21" s="239" t="s">
        <v>956</v>
      </c>
      <c r="B21" s="330">
        <f>'Sources and Uses Budget'!C20</f>
        <v>0</v>
      </c>
      <c r="C21" s="330">
        <f>'Sources and Uses Budget'!C20</f>
        <v>0</v>
      </c>
      <c r="D21" s="330">
        <f>'Sources and Uses Budget'!C20</f>
        <v>0</v>
      </c>
      <c r="E21" s="332">
        <f t="shared" si="1"/>
        <v>0</v>
      </c>
      <c r="F21" s="331"/>
      <c r="G21" s="331"/>
    </row>
    <row r="22" spans="1:7" s="575" customFormat="1" ht="12.75">
      <c r="A22" s="239" t="s">
        <v>957</v>
      </c>
      <c r="B22" s="330">
        <f>'Sources and Uses Budget'!C21</f>
        <v>0</v>
      </c>
      <c r="C22" s="330">
        <f>'Sources and Uses Budget'!C21</f>
        <v>0</v>
      </c>
      <c r="D22" s="330">
        <f>'Sources and Uses Budget'!C21</f>
        <v>0</v>
      </c>
      <c r="E22" s="332">
        <f t="shared" si="1"/>
        <v>0</v>
      </c>
      <c r="F22" s="331"/>
      <c r="G22" s="331"/>
    </row>
    <row r="23" spans="1:7" s="575" customFormat="1" ht="12.75">
      <c r="A23" s="239" t="s">
        <v>958</v>
      </c>
      <c r="B23" s="330">
        <f>'Sources and Uses Budget'!C22</f>
        <v>0</v>
      </c>
      <c r="C23" s="330">
        <f>'Sources and Uses Budget'!C22</f>
        <v>0</v>
      </c>
      <c r="D23" s="330">
        <f>'Sources and Uses Budget'!C22</f>
        <v>0</v>
      </c>
      <c r="E23" s="332">
        <f t="shared" si="1"/>
        <v>0</v>
      </c>
      <c r="F23" s="331"/>
      <c r="G23" s="331"/>
    </row>
    <row r="24" spans="1:7" s="575" customFormat="1" ht="12.75">
      <c r="A24" s="239" t="s">
        <v>959</v>
      </c>
      <c r="B24" s="330">
        <f>'Sources and Uses Budget'!C23</f>
        <v>0</v>
      </c>
      <c r="C24" s="330">
        <f>'Sources and Uses Budget'!C23</f>
        <v>0</v>
      </c>
      <c r="D24" s="330">
        <f>'Sources and Uses Budget'!C23</f>
        <v>0</v>
      </c>
      <c r="E24" s="332">
        <f t="shared" si="1"/>
        <v>0</v>
      </c>
      <c r="F24" s="331"/>
      <c r="G24" s="331"/>
    </row>
    <row r="25" spans="1:7" s="575" customFormat="1" ht="12.75">
      <c r="A25" s="250" t="s">
        <v>2046</v>
      </c>
      <c r="B25" s="330">
        <f>'Sources and Uses Budget'!C24</f>
        <v>0</v>
      </c>
      <c r="C25" s="330">
        <f>'Sources and Uses Budget'!C24</f>
        <v>0</v>
      </c>
      <c r="D25" s="330">
        <f>'Sources and Uses Budget'!C24</f>
        <v>0</v>
      </c>
      <c r="E25" s="332">
        <f t="shared" si="1"/>
        <v>0</v>
      </c>
      <c r="F25" s="331"/>
      <c r="G25" s="331"/>
    </row>
    <row r="26" spans="1:7" s="575" customFormat="1" ht="12.75">
      <c r="A26" s="250" t="s">
        <v>563</v>
      </c>
      <c r="B26" s="330">
        <f>'Sources and Uses Budget'!C25</f>
        <v>0</v>
      </c>
      <c r="C26" s="330">
        <f>'Sources and Uses Budget'!C25</f>
        <v>0</v>
      </c>
      <c r="D26" s="330">
        <f>'Sources and Uses Budget'!C25</f>
        <v>0</v>
      </c>
      <c r="E26" s="332">
        <f t="shared" si="1"/>
        <v>0</v>
      </c>
      <c r="F26" s="331"/>
      <c r="G26" s="331"/>
    </row>
    <row r="27" spans="1:7" s="575" customFormat="1" ht="12.75">
      <c r="A27" s="333" t="s">
        <v>236</v>
      </c>
      <c r="B27" s="901">
        <f>'Sources and Uses Budget'!C26</f>
        <v>0</v>
      </c>
      <c r="C27" s="901">
        <f>'Sources and Uses Budget'!C26</f>
        <v>0</v>
      </c>
      <c r="D27" s="901">
        <f>'Sources and Uses Budget'!C26</f>
        <v>0</v>
      </c>
      <c r="E27" s="332">
        <f>C27-B27</f>
        <v>0</v>
      </c>
      <c r="F27" s="331"/>
      <c r="G27" s="331"/>
    </row>
    <row r="28" spans="1:7" s="575" customFormat="1" ht="12.75">
      <c r="A28" s="894" t="s">
        <v>960</v>
      </c>
      <c r="B28" s="330">
        <f>'Sources and Uses Budget'!C27</f>
        <v>250000</v>
      </c>
      <c r="C28" s="330">
        <f>'Sources and Uses Budget'!C27</f>
        <v>250000</v>
      </c>
      <c r="D28" s="330">
        <f>'Sources and Uses Budget'!C27</f>
        <v>250000</v>
      </c>
      <c r="E28" s="332">
        <f>C28-B28</f>
        <v>0</v>
      </c>
      <c r="F28" s="331"/>
      <c r="G28" s="331"/>
    </row>
    <row r="29" spans="1:7" s="575" customFormat="1" ht="12.75">
      <c r="A29" s="890" t="s">
        <v>961</v>
      </c>
      <c r="B29" s="328"/>
      <c r="C29" s="328"/>
      <c r="D29" s="328"/>
      <c r="E29" s="328"/>
      <c r="F29" s="328"/>
      <c r="G29" s="328"/>
    </row>
    <row r="30" spans="1:7" s="575" customFormat="1" ht="12.75">
      <c r="A30" s="239" t="s">
        <v>953</v>
      </c>
      <c r="B30" s="330">
        <f>'Sources and Uses Budget'!C29</f>
        <v>700000</v>
      </c>
      <c r="C30" s="330">
        <f>'Sources and Uses Budget'!C29</f>
        <v>700000</v>
      </c>
      <c r="D30" s="330">
        <f>'Sources and Uses Budget'!C29</f>
        <v>700000</v>
      </c>
      <c r="E30" s="332">
        <f t="shared" si="0"/>
        <v>0</v>
      </c>
      <c r="F30" s="331"/>
      <c r="G30" s="331"/>
    </row>
    <row r="31" spans="1:7" s="575" customFormat="1" ht="12.75">
      <c r="A31" s="239" t="s">
        <v>954</v>
      </c>
      <c r="B31" s="330">
        <f>'Sources and Uses Budget'!C30</f>
        <v>13065000</v>
      </c>
      <c r="C31" s="330">
        <f>'Sources and Uses Budget'!C30</f>
        <v>13065000</v>
      </c>
      <c r="D31" s="330">
        <f>'Sources and Uses Budget'!C30</f>
        <v>13065000</v>
      </c>
      <c r="E31" s="332">
        <f t="shared" si="0"/>
        <v>0</v>
      </c>
      <c r="F31" s="331"/>
      <c r="G31" s="331"/>
    </row>
    <row r="32" spans="1:7" s="575" customFormat="1" ht="12.75">
      <c r="A32" s="239" t="s">
        <v>955</v>
      </c>
      <c r="B32" s="330">
        <f>'Sources and Uses Budget'!C31</f>
        <v>783900</v>
      </c>
      <c r="C32" s="330">
        <f>'Sources and Uses Budget'!C31</f>
        <v>783900</v>
      </c>
      <c r="D32" s="330">
        <f>'Sources and Uses Budget'!C31</f>
        <v>783900</v>
      </c>
      <c r="E32" s="332">
        <f t="shared" si="0"/>
        <v>0</v>
      </c>
      <c r="F32" s="331"/>
      <c r="G32" s="331"/>
    </row>
    <row r="33" spans="1:7" s="575" customFormat="1" ht="12.75">
      <c r="A33" s="239" t="s">
        <v>956</v>
      </c>
      <c r="B33" s="330">
        <f>'Sources and Uses Budget'!C32</f>
        <v>1045200</v>
      </c>
      <c r="C33" s="330">
        <f>'Sources and Uses Budget'!C32</f>
        <v>1045200</v>
      </c>
      <c r="D33" s="330">
        <f>'Sources and Uses Budget'!C32</f>
        <v>1045200</v>
      </c>
      <c r="E33" s="332">
        <f t="shared" si="0"/>
        <v>0</v>
      </c>
      <c r="F33" s="331"/>
      <c r="G33" s="331"/>
    </row>
    <row r="34" spans="1:7" s="575" customFormat="1" ht="12.75">
      <c r="A34" s="239" t="s">
        <v>957</v>
      </c>
      <c r="B34" s="330">
        <f>'Sources and Uses Budget'!C33</f>
        <v>0</v>
      </c>
      <c r="C34" s="330">
        <f>'Sources and Uses Budget'!C33</f>
        <v>0</v>
      </c>
      <c r="D34" s="330">
        <f>'Sources and Uses Budget'!C33</f>
        <v>0</v>
      </c>
      <c r="E34" s="332">
        <f t="shared" si="0"/>
        <v>0</v>
      </c>
      <c r="F34" s="331"/>
      <c r="G34" s="331"/>
    </row>
    <row r="35" spans="1:7" s="575" customFormat="1" ht="12.75">
      <c r="A35" s="239" t="s">
        <v>958</v>
      </c>
      <c r="B35" s="330">
        <f>'Sources and Uses Budget'!C34</f>
        <v>0</v>
      </c>
      <c r="C35" s="330">
        <f>'Sources and Uses Budget'!C34</f>
        <v>0</v>
      </c>
      <c r="D35" s="330">
        <f>'Sources and Uses Budget'!C34</f>
        <v>0</v>
      </c>
      <c r="E35" s="332">
        <f t="shared" si="0"/>
        <v>0</v>
      </c>
      <c r="F35" s="331"/>
      <c r="G35" s="331"/>
    </row>
    <row r="36" spans="1:7" s="575" customFormat="1" ht="12.75">
      <c r="A36" s="239" t="s">
        <v>959</v>
      </c>
      <c r="B36" s="330">
        <f>'Sources and Uses Budget'!C35</f>
        <v>0</v>
      </c>
      <c r="C36" s="330">
        <f>'Sources and Uses Budget'!C35</f>
        <v>0</v>
      </c>
      <c r="D36" s="330">
        <f>'Sources and Uses Budget'!C35</f>
        <v>0</v>
      </c>
      <c r="E36" s="332">
        <f t="shared" si="0"/>
        <v>0</v>
      </c>
      <c r="F36" s="331"/>
      <c r="G36" s="331"/>
    </row>
    <row r="37" spans="1:7" s="575" customFormat="1" ht="12.75">
      <c r="A37" s="239" t="s">
        <v>2046</v>
      </c>
      <c r="B37" s="330">
        <f>'Sources and Uses Budget'!C36</f>
        <v>0</v>
      </c>
      <c r="C37" s="330">
        <f>'Sources and Uses Budget'!C36</f>
        <v>0</v>
      </c>
      <c r="D37" s="330">
        <f>'Sources and Uses Budget'!C36</f>
        <v>0</v>
      </c>
      <c r="E37" s="332">
        <f t="shared" si="0"/>
        <v>0</v>
      </c>
      <c r="F37" s="331"/>
      <c r="G37" s="331"/>
    </row>
    <row r="38" spans="1:7" s="575" customFormat="1" ht="12.75">
      <c r="A38" s="250" t="s">
        <v>563</v>
      </c>
      <c r="B38" s="330">
        <f>'Sources and Uses Budget'!C37</f>
        <v>100000</v>
      </c>
      <c r="C38" s="330">
        <f>'Sources and Uses Budget'!C37</f>
        <v>100000</v>
      </c>
      <c r="D38" s="330">
        <f>'Sources and Uses Budget'!C37</f>
        <v>100000</v>
      </c>
      <c r="E38" s="332">
        <f>C38-B38</f>
        <v>0</v>
      </c>
      <c r="F38" s="331"/>
      <c r="G38" s="331"/>
    </row>
    <row r="39" spans="1:7" s="575" customFormat="1" ht="12.75">
      <c r="A39" s="894" t="s">
        <v>962</v>
      </c>
      <c r="B39" s="901">
        <f>'Sources and Uses Budget'!C38</f>
        <v>15694100</v>
      </c>
      <c r="C39" s="901">
        <f>'Sources and Uses Budget'!C38</f>
        <v>15694100</v>
      </c>
      <c r="D39" s="901">
        <f>'Sources and Uses Budget'!C38</f>
        <v>15694100</v>
      </c>
      <c r="E39" s="332">
        <f>C39-B39</f>
        <v>0</v>
      </c>
      <c r="F39" s="331"/>
      <c r="G39" s="331"/>
    </row>
    <row r="40" spans="1:7" s="575" customFormat="1" ht="12.75">
      <c r="A40" s="890" t="s">
        <v>963</v>
      </c>
      <c r="B40" s="328"/>
      <c r="C40" s="328"/>
      <c r="D40" s="328"/>
      <c r="E40" s="328"/>
      <c r="F40" s="328"/>
      <c r="G40" s="328"/>
    </row>
    <row r="41" spans="1:7" s="575" customFormat="1" ht="12.75">
      <c r="A41" s="895" t="s">
        <v>964</v>
      </c>
      <c r="B41" s="330">
        <f>'Sources and Uses Budget'!C40</f>
        <v>535000</v>
      </c>
      <c r="C41" s="330">
        <f>'Sources and Uses Budget'!C40</f>
        <v>535000</v>
      </c>
      <c r="D41" s="330">
        <f>'Sources and Uses Budget'!C40</f>
        <v>535000</v>
      </c>
      <c r="E41" s="332">
        <f>C41-B41</f>
        <v>0</v>
      </c>
      <c r="F41" s="331"/>
      <c r="G41" s="331"/>
    </row>
    <row r="42" spans="1:7" s="575" customFormat="1" ht="12.75">
      <c r="A42" s="895" t="s">
        <v>965</v>
      </c>
      <c r="B42" s="330">
        <f>'Sources and Uses Budget'!C41</f>
        <v>0</v>
      </c>
      <c r="C42" s="330">
        <f>'Sources and Uses Budget'!C41</f>
        <v>0</v>
      </c>
      <c r="D42" s="330">
        <f>'Sources and Uses Budget'!C41</f>
        <v>0</v>
      </c>
      <c r="E42" s="332">
        <f>C42-B42</f>
        <v>0</v>
      </c>
      <c r="F42" s="331"/>
      <c r="G42" s="331"/>
    </row>
    <row r="43" spans="1:7" s="575" customFormat="1" ht="12" customHeight="1">
      <c r="A43" s="894" t="s">
        <v>966</v>
      </c>
      <c r="B43" s="901">
        <f>'Sources and Uses Budget'!C42</f>
        <v>535000</v>
      </c>
      <c r="C43" s="901">
        <f>'Sources and Uses Budget'!C42</f>
        <v>535000</v>
      </c>
      <c r="D43" s="901">
        <f>'Sources and Uses Budget'!C42</f>
        <v>535000</v>
      </c>
      <c r="E43" s="332">
        <f>C43-B43</f>
        <v>0</v>
      </c>
      <c r="F43" s="331"/>
      <c r="G43" s="331"/>
    </row>
    <row r="44" spans="1:7" s="575" customFormat="1" ht="12.75">
      <c r="A44" s="894" t="s">
        <v>967</v>
      </c>
      <c r="B44" s="330">
        <f>'Sources and Uses Budget'!C43</f>
        <v>100000</v>
      </c>
      <c r="C44" s="330">
        <f>'Sources and Uses Budget'!C43</f>
        <v>100000</v>
      </c>
      <c r="D44" s="330">
        <f>'Sources and Uses Budget'!C43</f>
        <v>100000</v>
      </c>
      <c r="E44" s="332">
        <f>C44-B44</f>
        <v>0</v>
      </c>
      <c r="F44" s="331"/>
      <c r="G44" s="331"/>
    </row>
    <row r="45" spans="1:7" s="575" customFormat="1" ht="12.75">
      <c r="A45" s="235" t="s">
        <v>968</v>
      </c>
      <c r="B45" s="328"/>
      <c r="C45" s="328"/>
      <c r="D45" s="328"/>
      <c r="E45" s="328"/>
      <c r="F45" s="328"/>
      <c r="G45" s="328"/>
    </row>
    <row r="46" spans="1:7" s="575" customFormat="1" ht="12" customHeight="1">
      <c r="A46" s="239" t="s">
        <v>969</v>
      </c>
      <c r="B46" s="330">
        <f>'Sources and Uses Budget'!C45</f>
        <v>1842757</v>
      </c>
      <c r="C46" s="330">
        <f>'Sources and Uses Budget'!C45</f>
        <v>1842757</v>
      </c>
      <c r="D46" s="330">
        <f>'Sources and Uses Budget'!C45</f>
        <v>1842757</v>
      </c>
      <c r="E46" s="332">
        <f t="shared" si="0"/>
        <v>0</v>
      </c>
      <c r="F46" s="331"/>
      <c r="G46" s="331"/>
    </row>
    <row r="47" spans="1:7" s="575" customFormat="1" ht="12.75">
      <c r="A47" s="239" t="s">
        <v>970</v>
      </c>
      <c r="B47" s="330">
        <f>'Sources and Uses Budget'!C46</f>
        <v>192754</v>
      </c>
      <c r="C47" s="330">
        <f>'Sources and Uses Budget'!C46</f>
        <v>192754</v>
      </c>
      <c r="D47" s="330">
        <f>'Sources and Uses Budget'!C46</f>
        <v>192754</v>
      </c>
      <c r="E47" s="332">
        <f t="shared" si="0"/>
        <v>0</v>
      </c>
      <c r="F47" s="331"/>
      <c r="G47" s="331"/>
    </row>
    <row r="48" spans="1:7" s="575" customFormat="1" ht="12.75">
      <c r="A48" s="239" t="s">
        <v>971</v>
      </c>
      <c r="B48" s="330">
        <f>'Sources and Uses Budget'!C47</f>
        <v>0</v>
      </c>
      <c r="C48" s="330">
        <f>'Sources and Uses Budget'!C47</f>
        <v>0</v>
      </c>
      <c r="D48" s="330">
        <f>'Sources and Uses Budget'!C47</f>
        <v>0</v>
      </c>
      <c r="E48" s="332">
        <f t="shared" si="0"/>
        <v>0</v>
      </c>
      <c r="F48" s="331"/>
      <c r="G48" s="331"/>
    </row>
    <row r="49" spans="1:7" s="575" customFormat="1" ht="12.75">
      <c r="A49" s="239" t="s">
        <v>972</v>
      </c>
      <c r="B49" s="330">
        <f>'Sources and Uses Budget'!C48</f>
        <v>0</v>
      </c>
      <c r="C49" s="330">
        <f>'Sources and Uses Budget'!C48</f>
        <v>0</v>
      </c>
      <c r="D49" s="330">
        <f>'Sources and Uses Budget'!C48</f>
        <v>0</v>
      </c>
      <c r="E49" s="332">
        <f t="shared" si="0"/>
        <v>0</v>
      </c>
      <c r="F49" s="331"/>
      <c r="G49" s="331"/>
    </row>
    <row r="50" spans="1:7" s="575" customFormat="1" ht="12.75">
      <c r="A50" s="239" t="s">
        <v>975</v>
      </c>
      <c r="B50" s="330">
        <f>'Sources and Uses Budget'!C49</f>
        <v>110000</v>
      </c>
      <c r="C50" s="330">
        <f>'Sources and Uses Budget'!C49</f>
        <v>110000</v>
      </c>
      <c r="D50" s="330">
        <f>'Sources and Uses Budget'!C49</f>
        <v>110000</v>
      </c>
      <c r="E50" s="332">
        <f t="shared" si="0"/>
        <v>0</v>
      </c>
      <c r="F50" s="331"/>
      <c r="G50" s="331"/>
    </row>
    <row r="51" spans="1:7" s="575" customFormat="1" ht="12.75">
      <c r="A51" s="239" t="s">
        <v>973</v>
      </c>
      <c r="B51" s="330">
        <f>'Sources and Uses Budget'!C50</f>
        <v>5000</v>
      </c>
      <c r="C51" s="330">
        <f>'Sources and Uses Budget'!C50</f>
        <v>5000</v>
      </c>
      <c r="D51" s="330">
        <f>'Sources and Uses Budget'!C50</f>
        <v>5000</v>
      </c>
      <c r="E51" s="332">
        <f t="shared" si="0"/>
        <v>0</v>
      </c>
      <c r="F51" s="331"/>
      <c r="G51" s="331"/>
    </row>
    <row r="52" spans="1:7" s="576" customFormat="1" ht="12.75">
      <c r="A52" s="239" t="s">
        <v>974</v>
      </c>
      <c r="B52" s="330">
        <f>'Sources and Uses Budget'!C51</f>
        <v>40000</v>
      </c>
      <c r="C52" s="330">
        <f>'Sources and Uses Budget'!C51</f>
        <v>40000</v>
      </c>
      <c r="D52" s="330">
        <f>'Sources and Uses Budget'!C51</f>
        <v>40000</v>
      </c>
      <c r="E52" s="332">
        <f t="shared" si="0"/>
        <v>0</v>
      </c>
      <c r="F52" s="331"/>
      <c r="G52" s="331"/>
    </row>
    <row r="53" spans="1:7" s="575" customFormat="1" ht="12.75">
      <c r="A53" s="246" t="s">
        <v>563</v>
      </c>
      <c r="B53" s="330">
        <f>'Sources and Uses Budget'!C52</f>
        <v>50000</v>
      </c>
      <c r="C53" s="330">
        <f>'Sources and Uses Budget'!C52</f>
        <v>50000</v>
      </c>
      <c r="D53" s="330">
        <f>'Sources and Uses Budget'!C52</f>
        <v>50000</v>
      </c>
      <c r="E53" s="332">
        <f t="shared" si="0"/>
        <v>0</v>
      </c>
      <c r="F53" s="331"/>
      <c r="G53" s="331"/>
    </row>
    <row r="54" spans="1:7" s="575" customFormat="1" ht="12.75">
      <c r="A54" s="243" t="s">
        <v>976</v>
      </c>
      <c r="B54" s="901">
        <f>'Sources and Uses Budget'!C53</f>
        <v>2240511</v>
      </c>
      <c r="C54" s="901">
        <f>'Sources and Uses Budget'!C53</f>
        <v>2240511</v>
      </c>
      <c r="D54" s="901">
        <f>'Sources and Uses Budget'!C53</f>
        <v>2240511</v>
      </c>
      <c r="E54" s="332">
        <f t="shared" si="0"/>
        <v>0</v>
      </c>
      <c r="F54" s="331"/>
      <c r="G54" s="331"/>
    </row>
    <row r="55" spans="1:7" s="575" customFormat="1" ht="12" customHeight="1">
      <c r="A55" s="890" t="s">
        <v>718</v>
      </c>
      <c r="B55" s="328"/>
      <c r="C55" s="328"/>
      <c r="D55" s="328"/>
      <c r="E55" s="328"/>
      <c r="F55" s="328"/>
      <c r="G55" s="328"/>
    </row>
    <row r="56" spans="1:7" s="575" customFormat="1" ht="12.75">
      <c r="A56" s="895" t="s">
        <v>977</v>
      </c>
      <c r="B56" s="330">
        <f>'Sources and Uses Budget'!C55</f>
        <v>0</v>
      </c>
      <c r="C56" s="330">
        <f>'Sources and Uses Budget'!C55</f>
        <v>0</v>
      </c>
      <c r="D56" s="330">
        <f>'Sources and Uses Budget'!C55</f>
        <v>0</v>
      </c>
      <c r="E56" s="332">
        <f t="shared" si="0"/>
        <v>0</v>
      </c>
      <c r="F56" s="331"/>
      <c r="G56" s="331"/>
    </row>
    <row r="57" spans="1:7" s="575" customFormat="1" ht="12.75">
      <c r="A57" s="895" t="s">
        <v>971</v>
      </c>
      <c r="B57" s="330">
        <f>'Sources and Uses Budget'!C56</f>
        <v>0</v>
      </c>
      <c r="C57" s="330">
        <f>'Sources and Uses Budget'!C56</f>
        <v>0</v>
      </c>
      <c r="D57" s="330">
        <f>'Sources and Uses Budget'!C56</f>
        <v>0</v>
      </c>
      <c r="E57" s="332">
        <f t="shared" si="0"/>
        <v>0</v>
      </c>
      <c r="F57" s="331"/>
      <c r="G57" s="331"/>
    </row>
    <row r="58" spans="1:7" s="575" customFormat="1" ht="12.75">
      <c r="A58" s="895" t="s">
        <v>975</v>
      </c>
      <c r="B58" s="330">
        <f>'Sources and Uses Budget'!C57</f>
        <v>15000</v>
      </c>
      <c r="C58" s="330">
        <f>'Sources and Uses Budget'!C57</f>
        <v>15000</v>
      </c>
      <c r="D58" s="330">
        <f>'Sources and Uses Budget'!C57</f>
        <v>15000</v>
      </c>
      <c r="E58" s="332">
        <f t="shared" si="0"/>
        <v>0</v>
      </c>
      <c r="F58" s="331"/>
      <c r="G58" s="331"/>
    </row>
    <row r="59" spans="1:7" s="575" customFormat="1" ht="12.75">
      <c r="A59" s="895" t="s">
        <v>973</v>
      </c>
      <c r="B59" s="330">
        <f>'Sources and Uses Budget'!C58</f>
        <v>0</v>
      </c>
      <c r="C59" s="330">
        <f>'Sources and Uses Budget'!C58</f>
        <v>0</v>
      </c>
      <c r="D59" s="330">
        <f>'Sources and Uses Budget'!C58</f>
        <v>0</v>
      </c>
      <c r="E59" s="332">
        <f t="shared" si="0"/>
        <v>0</v>
      </c>
      <c r="F59" s="331"/>
      <c r="G59" s="331"/>
    </row>
    <row r="60" spans="1:7" s="575" customFormat="1" ht="12.75">
      <c r="A60" s="895" t="s">
        <v>974</v>
      </c>
      <c r="B60" s="330">
        <f>'Sources and Uses Budget'!C59</f>
        <v>0</v>
      </c>
      <c r="C60" s="330">
        <f>'Sources and Uses Budget'!C59</f>
        <v>0</v>
      </c>
      <c r="D60" s="330">
        <f>'Sources and Uses Budget'!C59</f>
        <v>0</v>
      </c>
      <c r="E60" s="332">
        <f t="shared" si="0"/>
        <v>0</v>
      </c>
      <c r="F60" s="331"/>
      <c r="G60" s="331"/>
    </row>
    <row r="61" spans="1:7" s="575" customFormat="1" ht="14.1" customHeight="1">
      <c r="A61" s="896" t="s">
        <v>563</v>
      </c>
      <c r="B61" s="330">
        <f>'Sources and Uses Budget'!C60</f>
        <v>0</v>
      </c>
      <c r="C61" s="330">
        <f>'Sources and Uses Budget'!C60</f>
        <v>0</v>
      </c>
      <c r="D61" s="330">
        <f>'Sources and Uses Budget'!C60</f>
        <v>0</v>
      </c>
      <c r="E61" s="332">
        <f t="shared" si="0"/>
        <v>0</v>
      </c>
      <c r="F61" s="331"/>
      <c r="G61" s="331"/>
    </row>
    <row r="62" spans="1:7" s="575" customFormat="1" ht="12.75">
      <c r="A62" s="894" t="s">
        <v>528</v>
      </c>
      <c r="B62" s="901">
        <f>'Sources and Uses Budget'!C61</f>
        <v>15000</v>
      </c>
      <c r="C62" s="901">
        <f>'Sources and Uses Budget'!C61</f>
        <v>15000</v>
      </c>
      <c r="D62" s="901">
        <f>'Sources and Uses Budget'!C61</f>
        <v>15000</v>
      </c>
      <c r="E62" s="332">
        <f t="shared" si="0"/>
        <v>0</v>
      </c>
      <c r="F62" s="331"/>
      <c r="G62" s="331"/>
    </row>
    <row r="63" spans="1:7" s="575" customFormat="1" ht="12.75">
      <c r="A63" s="897" t="s">
        <v>529</v>
      </c>
      <c r="B63" s="901">
        <f>'Sources and Uses Budget'!C62</f>
        <v>22893735</v>
      </c>
      <c r="C63" s="901">
        <f>'Sources and Uses Budget'!C62</f>
        <v>22893735</v>
      </c>
      <c r="D63" s="901">
        <f>'Sources and Uses Budget'!C62</f>
        <v>22893735</v>
      </c>
      <c r="E63" s="332">
        <f t="shared" si="0"/>
        <v>0</v>
      </c>
      <c r="F63" s="331"/>
      <c r="G63" s="331"/>
    </row>
    <row r="64" spans="1:7" s="575" customFormat="1" ht="24">
      <c r="A64" s="235" t="s">
        <v>2047</v>
      </c>
      <c r="B64" s="328"/>
      <c r="C64" s="328"/>
      <c r="D64" s="328"/>
      <c r="E64" s="328"/>
      <c r="F64" s="328"/>
      <c r="G64" s="328"/>
    </row>
    <row r="65" spans="1:7" s="575" customFormat="1" ht="12.75">
      <c r="A65" s="239" t="s">
        <v>298</v>
      </c>
      <c r="B65" s="330">
        <f>'Sources and Uses Budget'!C64</f>
        <v>60000</v>
      </c>
      <c r="C65" s="330">
        <f>'Sources and Uses Budget'!C64</f>
        <v>60000</v>
      </c>
      <c r="D65" s="330">
        <f>'Sources and Uses Budget'!C64</f>
        <v>60000</v>
      </c>
      <c r="E65" s="332">
        <f t="shared" si="0"/>
        <v>0</v>
      </c>
      <c r="F65" s="331"/>
      <c r="G65" s="331"/>
    </row>
    <row r="66" spans="1:7" s="575" customFormat="1" ht="24">
      <c r="A66" s="239" t="s">
        <v>2048</v>
      </c>
      <c r="B66" s="330">
        <f>'Sources and Uses Budget'!C65</f>
        <v>0</v>
      </c>
      <c r="C66" s="330">
        <f>'Sources and Uses Budget'!C65</f>
        <v>0</v>
      </c>
      <c r="D66" s="330">
        <f>'Sources and Uses Budget'!C65</f>
        <v>0</v>
      </c>
      <c r="E66" s="332">
        <f t="shared" si="0"/>
        <v>0</v>
      </c>
      <c r="F66" s="331"/>
      <c r="G66" s="331"/>
    </row>
    <row r="67" spans="1:7" s="575" customFormat="1" ht="24">
      <c r="A67" s="239" t="s">
        <v>2049</v>
      </c>
      <c r="B67" s="330">
        <f>'Sources and Uses Budget'!C66</f>
        <v>0</v>
      </c>
      <c r="C67" s="330">
        <f>'Sources and Uses Budget'!C66</f>
        <v>0</v>
      </c>
      <c r="D67" s="330">
        <f>'Sources and Uses Budget'!C66</f>
        <v>0</v>
      </c>
      <c r="E67" s="332">
        <f t="shared" si="0"/>
        <v>0</v>
      </c>
      <c r="F67" s="331"/>
      <c r="G67" s="331"/>
    </row>
    <row r="68" spans="1:7" s="575" customFormat="1" ht="12.75">
      <c r="A68" s="239" t="s">
        <v>2050</v>
      </c>
      <c r="B68" s="330">
        <f>'Sources and Uses Budget'!C67</f>
        <v>0</v>
      </c>
      <c r="C68" s="330">
        <f>'Sources and Uses Budget'!C67</f>
        <v>0</v>
      </c>
      <c r="D68" s="330">
        <f>'Sources and Uses Budget'!C67</f>
        <v>0</v>
      </c>
      <c r="E68" s="332">
        <f t="shared" si="0"/>
        <v>0</v>
      </c>
      <c r="F68" s="331"/>
      <c r="G68" s="331"/>
    </row>
    <row r="69" spans="1:7" s="575" customFormat="1" ht="12.75">
      <c r="A69" s="250" t="s">
        <v>2109</v>
      </c>
      <c r="B69" s="330">
        <f>'Sources and Uses Budget'!C68</f>
        <v>140000</v>
      </c>
      <c r="C69" s="330">
        <f>'Sources and Uses Budget'!C68</f>
        <v>140000</v>
      </c>
      <c r="D69" s="330">
        <f>'Sources and Uses Budget'!C68</f>
        <v>140000</v>
      </c>
      <c r="E69" s="332">
        <f t="shared" si="0"/>
        <v>0</v>
      </c>
      <c r="F69" s="331"/>
      <c r="G69" s="331"/>
    </row>
    <row r="70" spans="1:7" s="575" customFormat="1" ht="12.75">
      <c r="A70" s="243" t="s">
        <v>2051</v>
      </c>
      <c r="B70" s="901">
        <f>'Sources and Uses Budget'!C69</f>
        <v>200000</v>
      </c>
      <c r="C70" s="901">
        <f>'Sources and Uses Budget'!C69</f>
        <v>200000</v>
      </c>
      <c r="D70" s="901">
        <f>'Sources and Uses Budget'!C69</f>
        <v>200000</v>
      </c>
      <c r="E70" s="332">
        <f t="shared" si="0"/>
        <v>0</v>
      </c>
      <c r="F70" s="331"/>
      <c r="G70" s="331"/>
    </row>
    <row r="71" spans="1:7" s="575" customFormat="1" ht="12.75">
      <c r="A71" s="890" t="s">
        <v>299</v>
      </c>
      <c r="B71" s="328"/>
      <c r="C71" s="328"/>
      <c r="D71" s="328"/>
      <c r="E71" s="328"/>
      <c r="F71" s="328"/>
      <c r="G71" s="328"/>
    </row>
    <row r="72" spans="1:7" s="575" customFormat="1" ht="12.75">
      <c r="A72" s="895" t="s">
        <v>300</v>
      </c>
      <c r="B72" s="330">
        <f>'Sources and Uses Budget'!C71</f>
        <v>0</v>
      </c>
      <c r="C72" s="330">
        <f>'Sources and Uses Budget'!C71</f>
        <v>0</v>
      </c>
      <c r="D72" s="330">
        <f>'Sources and Uses Budget'!C71</f>
        <v>0</v>
      </c>
      <c r="E72" s="332">
        <f t="shared" si="0"/>
        <v>0</v>
      </c>
      <c r="F72" s="331"/>
      <c r="G72" s="331"/>
    </row>
    <row r="73" spans="1:7" s="575" customFormat="1" ht="12.75">
      <c r="A73" s="895" t="s">
        <v>301</v>
      </c>
      <c r="B73" s="330">
        <f>'Sources and Uses Budget'!C72</f>
        <v>0</v>
      </c>
      <c r="C73" s="330">
        <f>'Sources and Uses Budget'!C72</f>
        <v>0</v>
      </c>
      <c r="D73" s="330">
        <f>'Sources and Uses Budget'!C72</f>
        <v>0</v>
      </c>
      <c r="E73" s="332">
        <f t="shared" si="0"/>
        <v>0</v>
      </c>
      <c r="F73" s="331"/>
      <c r="G73" s="331"/>
    </row>
    <row r="74" spans="1:7" s="575" customFormat="1" ht="12.75">
      <c r="A74" s="898" t="s">
        <v>1290</v>
      </c>
      <c r="B74" s="330">
        <f>'Sources and Uses Budget'!C73</f>
        <v>0</v>
      </c>
      <c r="C74" s="330">
        <f>'Sources and Uses Budget'!C73</f>
        <v>0</v>
      </c>
      <c r="D74" s="330">
        <f>'Sources and Uses Budget'!C73</f>
        <v>0</v>
      </c>
      <c r="E74" s="332">
        <f>C74-B74</f>
        <v>0</v>
      </c>
      <c r="F74" s="331"/>
      <c r="G74" s="331"/>
    </row>
    <row r="75" spans="1:7" s="575" customFormat="1" ht="12.75">
      <c r="A75" s="895" t="s">
        <v>302</v>
      </c>
      <c r="B75" s="330">
        <f>'Sources and Uses Budget'!C74</f>
        <v>106682.75</v>
      </c>
      <c r="C75" s="330">
        <f>'Sources and Uses Budget'!C74</f>
        <v>106682.75</v>
      </c>
      <c r="D75" s="330">
        <f>'Sources and Uses Budget'!C74</f>
        <v>106682.75</v>
      </c>
      <c r="E75" s="332">
        <f>C75-B75</f>
        <v>0</v>
      </c>
      <c r="F75" s="331"/>
      <c r="G75" s="331"/>
    </row>
    <row r="76" spans="1:7" s="575" customFormat="1" ht="12.75">
      <c r="A76" s="899" t="s">
        <v>563</v>
      </c>
      <c r="B76" s="330">
        <f>'Sources and Uses Budget'!C75</f>
        <v>106683.25</v>
      </c>
      <c r="C76" s="330">
        <f>'Sources and Uses Budget'!C75</f>
        <v>106683.25</v>
      </c>
      <c r="D76" s="330">
        <f>'Sources and Uses Budget'!C75</f>
        <v>106683.25</v>
      </c>
      <c r="E76" s="332">
        <f>C76-B76</f>
        <v>0</v>
      </c>
      <c r="F76" s="331"/>
      <c r="G76" s="331"/>
    </row>
    <row r="77" spans="1:7" s="575" customFormat="1" ht="12.75">
      <c r="A77" s="894" t="s">
        <v>303</v>
      </c>
      <c r="B77" s="901">
        <f>'Sources and Uses Budget'!C76</f>
        <v>213366</v>
      </c>
      <c r="C77" s="901">
        <f>'Sources and Uses Budget'!C76</f>
        <v>213366</v>
      </c>
      <c r="D77" s="901">
        <f>'Sources and Uses Budget'!C76</f>
        <v>213366</v>
      </c>
      <c r="E77" s="332">
        <f>C77-B77</f>
        <v>0</v>
      </c>
      <c r="F77" s="331"/>
      <c r="G77" s="331"/>
    </row>
    <row r="78" spans="1:7" s="575" customFormat="1" ht="12.75">
      <c r="A78" s="890" t="s">
        <v>1814</v>
      </c>
      <c r="B78" s="328"/>
      <c r="C78" s="328"/>
      <c r="D78" s="328"/>
      <c r="E78" s="328"/>
      <c r="F78" s="328"/>
      <c r="G78" s="328"/>
    </row>
    <row r="79" spans="1:7" s="575" customFormat="1" ht="14.1" customHeight="1">
      <c r="A79" s="895" t="s">
        <v>1812</v>
      </c>
      <c r="B79" s="330">
        <f>'Sources and Uses Budget'!C78</f>
        <v>1599410</v>
      </c>
      <c r="C79" s="330">
        <f>'Sources and Uses Budget'!C78</f>
        <v>1599410</v>
      </c>
      <c r="D79" s="330">
        <f>'Sources and Uses Budget'!C78</f>
        <v>1599410</v>
      </c>
      <c r="E79" s="332">
        <f t="shared" ref="E79:E105" si="2">C79-B79</f>
        <v>0</v>
      </c>
      <c r="F79" s="331"/>
      <c r="G79" s="331"/>
    </row>
    <row r="80" spans="1:7" s="575" customFormat="1" ht="12.75">
      <c r="A80" s="895" t="s">
        <v>568</v>
      </c>
      <c r="B80" s="330">
        <f>'Sources and Uses Budget'!C79</f>
        <v>222183</v>
      </c>
      <c r="C80" s="330">
        <f>'Sources and Uses Budget'!C79</f>
        <v>222183</v>
      </c>
      <c r="D80" s="330">
        <f>'Sources and Uses Budget'!C79</f>
        <v>222183</v>
      </c>
      <c r="E80" s="332">
        <f t="shared" si="2"/>
        <v>0</v>
      </c>
      <c r="F80" s="331"/>
      <c r="G80" s="331"/>
    </row>
    <row r="81" spans="1:7" s="575" customFormat="1" ht="12.75">
      <c r="A81" s="894" t="s">
        <v>1813</v>
      </c>
      <c r="B81" s="901">
        <f>'Sources and Uses Budget'!C80</f>
        <v>1821593</v>
      </c>
      <c r="C81" s="901">
        <f>'Sources and Uses Budget'!C80</f>
        <v>1821593</v>
      </c>
      <c r="D81" s="901">
        <f>'Sources and Uses Budget'!C80</f>
        <v>1821593</v>
      </c>
      <c r="E81" s="332">
        <f t="shared" si="2"/>
        <v>0</v>
      </c>
      <c r="F81" s="331"/>
      <c r="G81" s="331"/>
    </row>
    <row r="82" spans="1:7" s="575" customFormat="1" ht="12.75">
      <c r="A82" s="890" t="s">
        <v>545</v>
      </c>
      <c r="B82" s="328"/>
      <c r="C82" s="328"/>
      <c r="D82" s="328"/>
      <c r="E82" s="328"/>
      <c r="F82" s="328"/>
      <c r="G82" s="328"/>
    </row>
    <row r="83" spans="1:7" s="575" customFormat="1" ht="12.75">
      <c r="A83" s="239" t="s">
        <v>2230</v>
      </c>
      <c r="B83" s="330">
        <f>'Sources and Uses Budget'!C82</f>
        <v>109311</v>
      </c>
      <c r="C83" s="330">
        <f>'Sources and Uses Budget'!C82</f>
        <v>109311</v>
      </c>
      <c r="D83" s="330">
        <f>'Sources and Uses Budget'!C82</f>
        <v>109311</v>
      </c>
      <c r="E83" s="332">
        <f t="shared" si="2"/>
        <v>0</v>
      </c>
      <c r="F83" s="331"/>
      <c r="G83" s="331"/>
    </row>
    <row r="84" spans="1:7" s="575" customFormat="1" ht="12.75">
      <c r="A84" s="239" t="s">
        <v>546</v>
      </c>
      <c r="B84" s="330">
        <f>'Sources and Uses Budget'!C83</f>
        <v>80000</v>
      </c>
      <c r="C84" s="330">
        <f>'Sources and Uses Budget'!C83</f>
        <v>80000</v>
      </c>
      <c r="D84" s="330">
        <f>'Sources and Uses Budget'!C83</f>
        <v>80000</v>
      </c>
      <c r="E84" s="332">
        <f t="shared" si="2"/>
        <v>0</v>
      </c>
      <c r="F84" s="331"/>
      <c r="G84" s="331"/>
    </row>
    <row r="85" spans="1:7" s="575" customFormat="1" ht="12.75">
      <c r="A85" s="239" t="s">
        <v>547</v>
      </c>
      <c r="B85" s="330">
        <f>'Sources and Uses Budget'!C84</f>
        <v>391107</v>
      </c>
      <c r="C85" s="330">
        <f>'Sources and Uses Budget'!C84</f>
        <v>391107</v>
      </c>
      <c r="D85" s="330">
        <f>'Sources and Uses Budget'!C84</f>
        <v>391107</v>
      </c>
      <c r="E85" s="332">
        <f t="shared" si="2"/>
        <v>0</v>
      </c>
      <c r="F85" s="331"/>
      <c r="G85" s="331"/>
    </row>
    <row r="86" spans="1:7" s="575" customFormat="1" ht="12.75">
      <c r="A86" s="239" t="s">
        <v>548</v>
      </c>
      <c r="B86" s="330">
        <f>'Sources and Uses Budget'!C85</f>
        <v>125000</v>
      </c>
      <c r="C86" s="330">
        <f>'Sources and Uses Budget'!C85</f>
        <v>125000</v>
      </c>
      <c r="D86" s="330">
        <f>'Sources and Uses Budget'!C85</f>
        <v>125000</v>
      </c>
      <c r="E86" s="332">
        <f t="shared" si="2"/>
        <v>0</v>
      </c>
      <c r="F86" s="331"/>
      <c r="G86" s="331"/>
    </row>
    <row r="87" spans="1:7" s="575" customFormat="1" ht="12.75">
      <c r="A87" s="239" t="s">
        <v>549</v>
      </c>
      <c r="B87" s="330">
        <f>'Sources and Uses Budget'!C86</f>
        <v>680430</v>
      </c>
      <c r="C87" s="330">
        <f>'Sources and Uses Budget'!C86</f>
        <v>680430</v>
      </c>
      <c r="D87" s="330">
        <f>'Sources and Uses Budget'!C86</f>
        <v>680430</v>
      </c>
      <c r="E87" s="332">
        <f t="shared" si="2"/>
        <v>0</v>
      </c>
      <c r="F87" s="331"/>
      <c r="G87" s="331"/>
    </row>
    <row r="88" spans="1:7" s="575" customFormat="1" ht="12.75">
      <c r="A88" s="239" t="s">
        <v>550</v>
      </c>
      <c r="B88" s="330">
        <f>'Sources and Uses Budget'!C87</f>
        <v>0</v>
      </c>
      <c r="C88" s="330">
        <f>'Sources and Uses Budget'!C87</f>
        <v>0</v>
      </c>
      <c r="D88" s="330">
        <f>'Sources and Uses Budget'!C87</f>
        <v>0</v>
      </c>
      <c r="E88" s="332">
        <f t="shared" si="2"/>
        <v>0</v>
      </c>
      <c r="F88" s="331"/>
      <c r="G88" s="331"/>
    </row>
    <row r="89" spans="1:7" s="575" customFormat="1" ht="12.75">
      <c r="A89" s="239" t="s">
        <v>551</v>
      </c>
      <c r="B89" s="330">
        <f>'Sources and Uses Budget'!C88</f>
        <v>100000</v>
      </c>
      <c r="C89" s="330">
        <f>'Sources and Uses Budget'!C88</f>
        <v>100000</v>
      </c>
      <c r="D89" s="330">
        <f>'Sources and Uses Budget'!C88</f>
        <v>100000</v>
      </c>
      <c r="E89" s="332">
        <f t="shared" si="2"/>
        <v>0</v>
      </c>
      <c r="F89" s="331"/>
      <c r="G89" s="331"/>
    </row>
    <row r="90" spans="1:7" s="575" customFormat="1" ht="12.75">
      <c r="A90" s="239" t="s">
        <v>552</v>
      </c>
      <c r="B90" s="330">
        <f>'Sources and Uses Budget'!C89</f>
        <v>8000</v>
      </c>
      <c r="C90" s="330">
        <f>'Sources and Uses Budget'!C89</f>
        <v>8000</v>
      </c>
      <c r="D90" s="330">
        <f>'Sources and Uses Budget'!C89</f>
        <v>8000</v>
      </c>
      <c r="E90" s="332">
        <f t="shared" si="2"/>
        <v>0</v>
      </c>
      <c r="F90" s="331"/>
      <c r="G90" s="331"/>
    </row>
    <row r="91" spans="1:7" s="575" customFormat="1" ht="12.75">
      <c r="A91" s="250" t="s">
        <v>1366</v>
      </c>
      <c r="B91" s="330">
        <f>'Sources and Uses Budget'!C90</f>
        <v>0</v>
      </c>
      <c r="C91" s="330">
        <f>'Sources and Uses Budget'!C90</f>
        <v>0</v>
      </c>
      <c r="D91" s="330">
        <f>'Sources and Uses Budget'!C90</f>
        <v>0</v>
      </c>
      <c r="E91" s="332">
        <f t="shared" si="2"/>
        <v>0</v>
      </c>
      <c r="F91" s="331"/>
      <c r="G91" s="331"/>
    </row>
    <row r="92" spans="1:7" s="575" customFormat="1" ht="12.75">
      <c r="A92" s="250" t="s">
        <v>1811</v>
      </c>
      <c r="B92" s="330">
        <f>'Sources and Uses Budget'!C91</f>
        <v>12000</v>
      </c>
      <c r="C92" s="330">
        <f>'Sources and Uses Budget'!C91</f>
        <v>12000</v>
      </c>
      <c r="D92" s="330">
        <f>'Sources and Uses Budget'!C91</f>
        <v>12000</v>
      </c>
      <c r="E92" s="332">
        <f t="shared" si="2"/>
        <v>0</v>
      </c>
      <c r="F92" s="331"/>
      <c r="G92" s="331"/>
    </row>
    <row r="93" spans="1:7" s="575" customFormat="1" ht="12.75">
      <c r="A93" s="246" t="s">
        <v>563</v>
      </c>
      <c r="B93" s="330">
        <f>'Sources and Uses Budget'!C92</f>
        <v>25000</v>
      </c>
      <c r="C93" s="330">
        <f>'Sources and Uses Budget'!C92</f>
        <v>25000</v>
      </c>
      <c r="D93" s="330">
        <f>'Sources and Uses Budget'!C92</f>
        <v>25000</v>
      </c>
      <c r="E93" s="332">
        <f t="shared" si="2"/>
        <v>0</v>
      </c>
      <c r="F93" s="331"/>
      <c r="G93" s="331"/>
    </row>
    <row r="94" spans="1:7" s="575" customFormat="1" ht="12.75">
      <c r="A94" s="246" t="s">
        <v>563</v>
      </c>
      <c r="B94" s="330">
        <f>'Sources and Uses Budget'!C93</f>
        <v>41666</v>
      </c>
      <c r="C94" s="330">
        <f>'Sources and Uses Budget'!C93</f>
        <v>41666</v>
      </c>
      <c r="D94" s="330">
        <f>'Sources and Uses Budget'!C93</f>
        <v>41666</v>
      </c>
      <c r="E94" s="332">
        <f t="shared" si="2"/>
        <v>0</v>
      </c>
      <c r="F94" s="331"/>
      <c r="G94" s="331"/>
    </row>
    <row r="95" spans="1:7" s="575" customFormat="1" ht="12.75">
      <c r="A95" s="246" t="s">
        <v>563</v>
      </c>
      <c r="B95" s="330">
        <f>'Sources and Uses Budget'!C94</f>
        <v>0</v>
      </c>
      <c r="C95" s="330">
        <f>'Sources and Uses Budget'!C94</f>
        <v>0</v>
      </c>
      <c r="D95" s="330">
        <f>'Sources and Uses Budget'!C94</f>
        <v>0</v>
      </c>
      <c r="E95" s="332">
        <f t="shared" si="2"/>
        <v>0</v>
      </c>
      <c r="F95" s="331"/>
      <c r="G95" s="331"/>
    </row>
    <row r="96" spans="1:7" s="575" customFormat="1" ht="12.75">
      <c r="A96" s="243" t="s">
        <v>553</v>
      </c>
      <c r="B96" s="901">
        <f>'Sources and Uses Budget'!C95</f>
        <v>1572514</v>
      </c>
      <c r="C96" s="901">
        <f>'Sources and Uses Budget'!C95</f>
        <v>1572514</v>
      </c>
      <c r="D96" s="901">
        <f>'Sources and Uses Budget'!C95</f>
        <v>1572514</v>
      </c>
      <c r="E96" s="332">
        <f t="shared" si="2"/>
        <v>0</v>
      </c>
      <c r="F96" s="331"/>
      <c r="G96" s="331"/>
    </row>
    <row r="97" spans="1:7" s="575" customFormat="1" ht="12.75">
      <c r="A97" s="243" t="s">
        <v>554</v>
      </c>
      <c r="B97" s="901">
        <f>'Sources and Uses Budget'!C96</f>
        <v>26701208</v>
      </c>
      <c r="C97" s="901">
        <f>'Sources and Uses Budget'!C96</f>
        <v>26701208</v>
      </c>
      <c r="D97" s="901">
        <f>'Sources and Uses Budget'!C96</f>
        <v>26701208</v>
      </c>
      <c r="E97" s="332">
        <f t="shared" si="2"/>
        <v>0</v>
      </c>
      <c r="F97" s="331"/>
      <c r="G97" s="331"/>
    </row>
    <row r="98" spans="1:7" s="575" customFormat="1" ht="12.75">
      <c r="A98" s="890" t="s">
        <v>555</v>
      </c>
      <c r="B98" s="328"/>
      <c r="C98" s="328"/>
      <c r="D98" s="328"/>
      <c r="E98" s="328"/>
      <c r="F98" s="328"/>
      <c r="G98" s="328"/>
    </row>
    <row r="99" spans="1:7" s="575" customFormat="1" ht="12.75">
      <c r="A99" s="239" t="s">
        <v>556</v>
      </c>
      <c r="B99" s="330">
        <f>'Sources and Uses Budget'!C98</f>
        <v>2200000</v>
      </c>
      <c r="C99" s="330">
        <f>'Sources and Uses Budget'!C98</f>
        <v>2200000</v>
      </c>
      <c r="D99" s="330">
        <f>'Sources and Uses Budget'!C98</f>
        <v>2200000</v>
      </c>
      <c r="E99" s="332">
        <f t="shared" si="2"/>
        <v>0</v>
      </c>
      <c r="F99" s="331"/>
      <c r="G99" s="331"/>
    </row>
    <row r="100" spans="1:7" s="575" customFormat="1" ht="12" customHeight="1">
      <c r="A100" s="239" t="s">
        <v>2107</v>
      </c>
      <c r="B100" s="330">
        <f>'Sources and Uses Budget'!C99</f>
        <v>0</v>
      </c>
      <c r="C100" s="330">
        <f>'Sources and Uses Budget'!C99</f>
        <v>0</v>
      </c>
      <c r="D100" s="330">
        <f>'Sources and Uses Budget'!C99</f>
        <v>0</v>
      </c>
      <c r="E100" s="332">
        <f t="shared" si="2"/>
        <v>0</v>
      </c>
      <c r="F100" s="331"/>
      <c r="G100" s="331"/>
    </row>
    <row r="101" spans="1:7" s="575" customFormat="1" ht="12.75">
      <c r="A101" s="239" t="s">
        <v>557</v>
      </c>
      <c r="B101" s="330">
        <f>'Sources and Uses Budget'!C100</f>
        <v>0</v>
      </c>
      <c r="C101" s="330">
        <f>'Sources and Uses Budget'!C100</f>
        <v>0</v>
      </c>
      <c r="D101" s="330">
        <f>'Sources and Uses Budget'!C100</f>
        <v>0</v>
      </c>
      <c r="E101" s="332">
        <f t="shared" si="2"/>
        <v>0</v>
      </c>
      <c r="F101" s="331"/>
      <c r="G101" s="331"/>
    </row>
    <row r="102" spans="1:7" s="575" customFormat="1" ht="12.75">
      <c r="A102" s="239" t="s">
        <v>2108</v>
      </c>
      <c r="B102" s="330">
        <f>'Sources and Uses Budget'!C101</f>
        <v>0</v>
      </c>
      <c r="C102" s="330">
        <f>'Sources and Uses Budget'!C101</f>
        <v>0</v>
      </c>
      <c r="D102" s="330">
        <f>'Sources and Uses Budget'!C101</f>
        <v>0</v>
      </c>
      <c r="E102" s="332">
        <f t="shared" si="2"/>
        <v>0</v>
      </c>
      <c r="F102" s="331"/>
      <c r="G102" s="331"/>
    </row>
    <row r="103" spans="1:7" s="575" customFormat="1" ht="12.75">
      <c r="A103" s="896" t="s">
        <v>563</v>
      </c>
      <c r="B103" s="330">
        <f>'Sources and Uses Budget'!C102</f>
        <v>0</v>
      </c>
      <c r="C103" s="330">
        <f>'Sources and Uses Budget'!C102</f>
        <v>0</v>
      </c>
      <c r="D103" s="330">
        <f>'Sources and Uses Budget'!C102</f>
        <v>0</v>
      </c>
      <c r="E103" s="332">
        <f t="shared" si="2"/>
        <v>0</v>
      </c>
      <c r="F103" s="331"/>
      <c r="G103" s="331"/>
    </row>
    <row r="104" spans="1:7" s="575" customFormat="1" ht="12.75">
      <c r="A104" s="894" t="s">
        <v>558</v>
      </c>
      <c r="B104" s="901">
        <f>'Sources and Uses Budget'!C103</f>
        <v>2200000</v>
      </c>
      <c r="C104" s="901">
        <f>'Sources and Uses Budget'!C103</f>
        <v>2200000</v>
      </c>
      <c r="D104" s="901">
        <f>'Sources and Uses Budget'!C103</f>
        <v>2200000</v>
      </c>
      <c r="E104" s="332">
        <f t="shared" si="2"/>
        <v>0</v>
      </c>
      <c r="F104" s="331"/>
      <c r="G104" s="331"/>
    </row>
    <row r="105" spans="1:7" s="575" customFormat="1" ht="12.75">
      <c r="A105" s="894" t="s">
        <v>559</v>
      </c>
      <c r="B105" s="901">
        <f>'Sources and Uses Budget'!C104</f>
        <v>28901208</v>
      </c>
      <c r="C105" s="901">
        <f>'Sources and Uses Budget'!C104</f>
        <v>28901208</v>
      </c>
      <c r="D105" s="901">
        <f>'Sources and Uses Budget'!C104</f>
        <v>28901208</v>
      </c>
      <c r="E105" s="332">
        <f t="shared" si="2"/>
        <v>0</v>
      </c>
      <c r="F105" s="331"/>
      <c r="G105" s="900"/>
    </row>
    <row r="106" spans="1:7" s="575" customFormat="1" ht="12.75">
      <c r="A106" s="337" t="s">
        <v>560</v>
      </c>
      <c r="B106" s="138"/>
      <c r="C106" s="338"/>
      <c r="D106" s="339"/>
      <c r="E106" s="357"/>
      <c r="F106" s="329"/>
      <c r="G106" s="336"/>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5" right="0.5" top="0.5" bottom="0.25" header="0.5" footer="0.25"/>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9"/>
  <dimension ref="A1:J89"/>
  <sheetViews>
    <sheetView topLeftCell="A5" workbookViewId="0">
      <selection activeCell="A2" sqref="A2:J2"/>
    </sheetView>
  </sheetViews>
  <sheetFormatPr defaultColWidth="0" defaultRowHeight="12.75" zeroHeight="1"/>
  <cols>
    <col min="1" max="10" width="9.140625" customWidth="1"/>
    <col min="11" max="16384" width="8.85546875" hidden="1"/>
  </cols>
  <sheetData>
    <row r="1" spans="1:10" ht="14.25" customHeight="1"/>
    <row r="2" spans="1:10" ht="15.75">
      <c r="A2" s="983" t="s">
        <v>317</v>
      </c>
      <c r="B2" s="984"/>
      <c r="C2" s="984"/>
      <c r="D2" s="984"/>
      <c r="E2" s="984"/>
      <c r="F2" s="984"/>
      <c r="G2" s="984"/>
      <c r="H2" s="984"/>
      <c r="I2" s="984"/>
      <c r="J2" s="984"/>
    </row>
    <row r="3" spans="1:10" ht="15">
      <c r="A3" s="985" t="s">
        <v>2318</v>
      </c>
      <c r="B3" s="984"/>
      <c r="C3" s="984"/>
      <c r="D3" s="984"/>
      <c r="E3" s="984"/>
      <c r="F3" s="984"/>
      <c r="G3" s="984"/>
      <c r="H3" s="984"/>
      <c r="I3" s="984"/>
      <c r="J3" s="984"/>
    </row>
    <row r="4" spans="1:10"/>
    <row r="5" spans="1:10" ht="12.75" customHeight="1">
      <c r="A5" s="990" t="s">
        <v>2284</v>
      </c>
      <c r="B5" s="990"/>
      <c r="C5" s="990"/>
      <c r="D5" s="990"/>
      <c r="E5" s="990"/>
      <c r="F5" s="990"/>
      <c r="G5" s="990"/>
      <c r="H5" s="990"/>
      <c r="I5" s="990"/>
      <c r="J5" s="990"/>
    </row>
    <row r="6" spans="1:10">
      <c r="A6" s="990"/>
      <c r="B6" s="990"/>
      <c r="C6" s="990"/>
      <c r="D6" s="990"/>
      <c r="E6" s="990"/>
      <c r="F6" s="990"/>
      <c r="G6" s="990"/>
      <c r="H6" s="990"/>
      <c r="I6" s="990"/>
      <c r="J6" s="990"/>
    </row>
    <row r="7" spans="1:10">
      <c r="A7" s="49"/>
      <c r="B7" s="49"/>
      <c r="C7" s="49"/>
      <c r="D7" s="49"/>
      <c r="E7" s="49"/>
      <c r="F7" s="49"/>
      <c r="G7" s="49"/>
      <c r="H7" s="49"/>
      <c r="I7" s="49"/>
      <c r="J7" s="49"/>
    </row>
    <row r="8" spans="1:10">
      <c r="A8" s="5" t="s">
        <v>2111</v>
      </c>
      <c r="B8" s="49"/>
      <c r="C8" s="49"/>
      <c r="D8" s="49"/>
      <c r="E8" s="49"/>
      <c r="F8" s="49"/>
      <c r="G8" s="49"/>
      <c r="H8" s="49"/>
      <c r="I8" s="49"/>
      <c r="J8" s="49"/>
    </row>
    <row r="9" spans="1:10">
      <c r="A9" s="302"/>
      <c r="B9" s="302"/>
      <c r="C9" s="302"/>
      <c r="D9" s="302"/>
      <c r="E9" s="302"/>
      <c r="F9" s="302"/>
      <c r="G9" s="302"/>
      <c r="H9" s="302"/>
      <c r="I9" s="302"/>
      <c r="J9" s="302"/>
    </row>
    <row r="10" spans="1:10" s="973" customFormat="1">
      <c r="A10" s="973" t="s">
        <v>2194</v>
      </c>
    </row>
    <row r="11" spans="1:10" s="973" customFormat="1" ht="12.75" customHeight="1"/>
    <row r="12" spans="1:10" s="973" customFormat="1" ht="12.75" customHeight="1"/>
    <row r="13" spans="1:10" s="973" customFormat="1" ht="12.75" customHeight="1"/>
    <row r="14" spans="1:10" s="973" customFormat="1" ht="12.75" customHeight="1"/>
    <row r="15" spans="1:10"/>
    <row r="16" spans="1:10" ht="12.75" customHeight="1">
      <c r="A16" s="986" t="s">
        <v>1954</v>
      </c>
      <c r="B16" s="987"/>
      <c r="C16" s="987"/>
      <c r="D16" s="987"/>
      <c r="E16" s="987"/>
      <c r="F16" s="987"/>
      <c r="G16" s="987"/>
      <c r="H16" s="987"/>
      <c r="I16" s="987"/>
      <c r="J16" s="987"/>
    </row>
    <row r="17" spans="1:10" ht="12.75" customHeight="1">
      <c r="A17" s="987"/>
      <c r="B17" s="987"/>
      <c r="C17" s="987"/>
      <c r="D17" s="987"/>
      <c r="E17" s="987"/>
      <c r="F17" s="987"/>
      <c r="G17" s="987"/>
      <c r="H17" s="987"/>
      <c r="I17" s="987"/>
      <c r="J17" s="987"/>
    </row>
    <row r="18" spans="1:10">
      <c r="A18" s="987"/>
      <c r="B18" s="987"/>
      <c r="C18" s="987"/>
      <c r="D18" s="987"/>
      <c r="E18" s="987"/>
      <c r="F18" s="987"/>
      <c r="G18" s="987"/>
      <c r="H18" s="987"/>
      <c r="I18" s="987"/>
      <c r="J18" s="987"/>
    </row>
    <row r="19" spans="1:10">
      <c r="A19" s="988"/>
      <c r="B19" s="988"/>
      <c r="C19" s="988"/>
      <c r="D19" s="988"/>
      <c r="E19" s="988"/>
      <c r="F19" s="988"/>
      <c r="G19" s="988"/>
      <c r="H19" s="988"/>
      <c r="I19" s="988"/>
      <c r="J19" s="988"/>
    </row>
    <row r="20" spans="1:10">
      <c r="A20" s="988"/>
      <c r="B20" s="988"/>
      <c r="C20" s="988"/>
      <c r="D20" s="988"/>
      <c r="E20" s="988"/>
      <c r="F20" s="988"/>
      <c r="G20" s="988"/>
      <c r="H20" s="988"/>
      <c r="I20" s="988"/>
      <c r="J20" s="988"/>
    </row>
    <row r="21" spans="1:10">
      <c r="A21" s="988"/>
      <c r="B21" s="988"/>
      <c r="C21" s="988"/>
      <c r="D21" s="988"/>
      <c r="E21" s="988"/>
      <c r="F21" s="988"/>
      <c r="G21" s="988"/>
      <c r="H21" s="988"/>
      <c r="I21" s="988"/>
      <c r="J21" s="988"/>
    </row>
    <row r="22" spans="1:10">
      <c r="A22" s="5" t="s">
        <v>1078</v>
      </c>
      <c r="B22" s="302"/>
      <c r="C22" s="302"/>
      <c r="D22" s="302"/>
      <c r="E22" s="302"/>
      <c r="F22" s="302"/>
      <c r="G22" s="302"/>
      <c r="H22" s="302"/>
      <c r="I22" s="302"/>
      <c r="J22" s="302"/>
    </row>
    <row r="23" spans="1:10" ht="15">
      <c r="A23" s="358" t="s">
        <v>243</v>
      </c>
      <c r="B23" s="358"/>
      <c r="C23" s="358"/>
      <c r="D23" s="358"/>
      <c r="E23" s="358"/>
      <c r="F23" s="358"/>
      <c r="G23" s="358"/>
      <c r="H23" s="358"/>
      <c r="I23" s="358"/>
      <c r="J23" s="941"/>
    </row>
    <row r="24" spans="1:10">
      <c r="A24" s="989" t="s">
        <v>1062</v>
      </c>
      <c r="B24" s="984"/>
      <c r="C24" s="984"/>
      <c r="D24" s="984"/>
      <c r="E24" s="984"/>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987" t="s">
        <v>1079</v>
      </c>
      <c r="B61" s="988"/>
      <c r="C61" s="988"/>
      <c r="D61" s="988"/>
      <c r="E61" s="988"/>
      <c r="F61" s="988"/>
      <c r="G61" s="988"/>
      <c r="H61" s="988"/>
      <c r="I61" s="988"/>
      <c r="J61" s="988"/>
    </row>
    <row r="62" spans="1:10">
      <c r="A62" s="988"/>
      <c r="B62" s="988"/>
      <c r="C62" s="988"/>
      <c r="D62" s="988"/>
      <c r="E62" s="988"/>
      <c r="F62" s="988"/>
      <c r="G62" s="988"/>
      <c r="H62" s="988"/>
      <c r="I62" s="988"/>
      <c r="J62" s="988"/>
    </row>
    <row r="63" spans="1:10">
      <c r="A63" s="988"/>
      <c r="B63" s="988"/>
      <c r="C63" s="988"/>
      <c r="D63" s="988"/>
      <c r="E63" s="988"/>
      <c r="F63" s="988"/>
      <c r="G63" s="988"/>
      <c r="H63" s="988"/>
      <c r="I63" s="988"/>
      <c r="J63" s="988"/>
    </row>
    <row r="64" spans="1:10"/>
    <row r="65" spans="1:9">
      <c r="A65" s="5" t="s">
        <v>1062</v>
      </c>
    </row>
    <row r="66" spans="1:9"/>
    <row r="67" spans="1:9"/>
    <row r="68" spans="1:9"/>
    <row r="69" spans="1:9"/>
    <row r="70" spans="1:9"/>
    <row r="71" spans="1:9"/>
    <row r="72" spans="1:9"/>
    <row r="73" spans="1:9"/>
    <row r="74" spans="1:9"/>
    <row r="75" spans="1:9"/>
    <row r="76" spans="1:9">
      <c r="A76" s="982" t="s">
        <v>1189</v>
      </c>
      <c r="B76" s="982"/>
      <c r="C76" s="982"/>
      <c r="D76" s="982"/>
      <c r="E76" s="982"/>
      <c r="F76" s="982"/>
      <c r="G76" s="982"/>
      <c r="H76" s="982"/>
      <c r="I76" s="982"/>
    </row>
    <row r="77" spans="1:9">
      <c r="A77" s="981" t="s">
        <v>1339</v>
      </c>
      <c r="B77" s="981"/>
      <c r="C77" s="981"/>
      <c r="D77" s="981"/>
      <c r="E77" s="981"/>
      <c r="F77" s="675"/>
    </row>
    <row r="78" spans="1:9">
      <c r="A78" s="981" t="s">
        <v>1338</v>
      </c>
      <c r="B78" s="981"/>
      <c r="C78" s="981"/>
      <c r="D78" s="981"/>
      <c r="E78" s="981"/>
      <c r="F78" s="675"/>
    </row>
    <row r="79" spans="1:9"/>
    <row r="80" spans="1:9"/>
    <row r="81"/>
    <row r="82"/>
    <row r="83"/>
    <row r="84"/>
    <row r="85"/>
    <row r="86"/>
    <row r="87"/>
    <row r="88"/>
    <row r="89"/>
  </sheetData>
  <sheetProtection algorithmName="SHA-512" hashValue="we0c5bUFC6oJYNcrzEhpa59QjpJz/LCsHqJMhbXFqSwNB/5NS5IKviSPbRdSAN8Jee0vgVEVFLr+wsEml7wc3w==" saltValue="r48Q724JnnUaxkyEjc5mdg==" spinCount="100000" sheet="1" objects="1" scenarios="1"/>
  <customSheetViews>
    <customSheetView guid="{48A1B9AA-9520-4513-968D-1FB22989E0AF}" showGridLines="0" hiddenColumns="1">
      <selection activeCell="A78" sqref="A78"/>
      <pageMargins left="0.7" right="0.7" top="0.75" bottom="0.75" header="0.3" footer="0.3"/>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hyperlink ref="A77" r:id="rId3"/>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C1461"/>
  <sheetViews>
    <sheetView showGridLines="0" topLeftCell="A1160" zoomScale="110" zoomScaleNormal="110" workbookViewId="0">
      <selection activeCell="F1186" sqref="F1186"/>
    </sheetView>
  </sheetViews>
  <sheetFormatPr defaultColWidth="0" defaultRowHeight="13.7" customHeight="1" zeroHeight="1"/>
  <cols>
    <col min="1" max="1" width="1.42578125" style="10" customWidth="1"/>
    <col min="2" max="2" width="13.42578125" style="10" customWidth="1"/>
    <col min="3" max="3" width="2.42578125" style="10" customWidth="1"/>
    <col min="4" max="5" width="3.42578125" style="5" customWidth="1"/>
    <col min="6" max="6" width="67" style="5" customWidth="1"/>
    <col min="7" max="7" width="3.28515625" style="5" customWidth="1"/>
    <col min="8" max="8" width="2.42578125" hidden="1" customWidth="1"/>
    <col min="9" max="9" width="14" hidden="1" customWidth="1"/>
    <col min="10" max="16383" width="8.85546875" hidden="1"/>
    <col min="16384" max="16384" width="0.28515625" hidden="1" customWidth="1"/>
  </cols>
  <sheetData>
    <row r="1" spans="1:9" ht="13.7" customHeight="1"/>
    <row r="2" spans="1:9" ht="12.75">
      <c r="A2" s="1015" t="s">
        <v>2317</v>
      </c>
      <c r="B2" s="1015"/>
      <c r="C2" s="984"/>
      <c r="D2" s="984"/>
      <c r="E2" s="984"/>
      <c r="F2" s="984"/>
      <c r="G2" s="984"/>
      <c r="I2" t="s">
        <v>84</v>
      </c>
    </row>
    <row r="3" spans="1:9" ht="12.75">
      <c r="A3" s="190"/>
      <c r="B3" s="190"/>
      <c r="C3"/>
      <c r="D3"/>
      <c r="E3"/>
      <c r="F3"/>
      <c r="G3"/>
      <c r="I3" s="5" t="s">
        <v>1454</v>
      </c>
    </row>
    <row r="4" spans="1:9" ht="12.75">
      <c r="A4" s="1016" t="s">
        <v>2250</v>
      </c>
      <c r="B4" s="1016"/>
      <c r="C4" s="1017"/>
      <c r="D4" s="1017"/>
      <c r="E4" s="1017"/>
      <c r="F4" s="1017"/>
      <c r="G4" s="1017"/>
      <c r="I4" s="5" t="s">
        <v>1438</v>
      </c>
    </row>
    <row r="5" spans="1:9" ht="12.75">
      <c r="A5" s="1016" t="s">
        <v>1087</v>
      </c>
      <c r="B5" s="1016"/>
      <c r="C5" s="1017"/>
      <c r="D5" s="1017"/>
      <c r="E5" s="1017"/>
      <c r="F5" s="1017"/>
      <c r="G5" s="1017"/>
      <c r="I5" t="s">
        <v>132</v>
      </c>
    </row>
    <row r="6" spans="1:9" ht="13.7" customHeight="1"/>
    <row r="7" spans="1:9" ht="12.75">
      <c r="A7" s="1015" t="s">
        <v>1489</v>
      </c>
      <c r="B7" s="1015"/>
      <c r="C7" s="1018"/>
      <c r="D7" s="1018"/>
      <c r="E7" s="1018"/>
      <c r="F7" s="1018"/>
      <c r="G7" s="1018"/>
    </row>
    <row r="8" spans="1:9" ht="12.75">
      <c r="A8" s="1015" t="s">
        <v>1490</v>
      </c>
      <c r="B8" s="1015"/>
      <c r="C8" s="1018"/>
      <c r="D8" s="1018"/>
      <c r="E8" s="1018"/>
      <c r="F8" s="1018"/>
      <c r="G8" s="1018"/>
    </row>
    <row r="9" spans="1:9" ht="12.75">
      <c r="A9" s="192"/>
      <c r="B9" s="192"/>
      <c r="C9" s="190"/>
      <c r="D9" s="190"/>
      <c r="E9" s="190"/>
      <c r="F9" s="190"/>
      <c r="G9" s="190"/>
    </row>
    <row r="10" spans="1:9" ht="12.75">
      <c r="A10" s="1001" t="s">
        <v>1610</v>
      </c>
      <c r="B10" s="1001"/>
      <c r="C10" s="1001"/>
      <c r="D10" s="1001"/>
      <c r="E10" s="1001"/>
      <c r="F10" s="1001"/>
      <c r="G10" s="1001"/>
    </row>
    <row r="11" spans="1:9" ht="12.75">
      <c r="A11" s="190"/>
      <c r="B11" s="190"/>
    </row>
    <row r="12" spans="1:9" ht="13.7" customHeight="1">
      <c r="C12" s="190"/>
      <c r="D12" s="1019" t="s">
        <v>1609</v>
      </c>
      <c r="E12" s="1019"/>
      <c r="F12" s="1019"/>
      <c r="G12" s="617"/>
    </row>
    <row r="13" spans="1:9" ht="12.75">
      <c r="C13" s="190"/>
      <c r="D13" s="1019"/>
      <c r="E13" s="1019"/>
      <c r="F13" s="1019"/>
      <c r="G13" s="617"/>
    </row>
    <row r="14" spans="1:9" ht="12.75">
      <c r="A14" s="191"/>
      <c r="B14" s="191"/>
      <c r="C14" s="191"/>
      <c r="D14" s="996" t="s">
        <v>1476</v>
      </c>
      <c r="E14" s="996"/>
      <c r="F14" s="996"/>
    </row>
    <row r="15" spans="1:9" ht="12.75">
      <c r="A15" s="191"/>
      <c r="B15" s="191"/>
      <c r="C15" s="191"/>
    </row>
    <row r="16" spans="1:9" ht="14.45" customHeight="1">
      <c r="A16" s="271"/>
      <c r="B16" s="616" t="s">
        <v>1438</v>
      </c>
      <c r="C16" s="191"/>
      <c r="D16" s="970" t="s">
        <v>2159</v>
      </c>
      <c r="E16" s="976"/>
      <c r="F16" s="976"/>
      <c r="G16" s="358"/>
    </row>
    <row r="17" spans="1:7" ht="14.45" customHeight="1">
      <c r="A17" s="271"/>
      <c r="C17" s="191"/>
      <c r="D17" s="976"/>
      <c r="E17" s="976"/>
      <c r="F17" s="976"/>
      <c r="G17" s="358"/>
    </row>
    <row r="18" spans="1:7" ht="12.75">
      <c r="A18" s="191"/>
      <c r="C18" s="191"/>
      <c r="D18" s="976"/>
      <c r="E18" s="976"/>
      <c r="F18" s="976"/>
      <c r="G18" s="358"/>
    </row>
    <row r="19" spans="1:7" ht="12.75">
      <c r="A19" s="191"/>
      <c r="C19" s="191"/>
      <c r="D19" s="24"/>
      <c r="E19" s="128" t="s">
        <v>2160</v>
      </c>
      <c r="F19" s="24"/>
      <c r="G19" s="358"/>
    </row>
    <row r="20" spans="1:7" ht="12.75">
      <c r="A20" s="191"/>
      <c r="B20" s="191"/>
      <c r="C20" s="191"/>
    </row>
    <row r="21" spans="1:7" ht="14.25">
      <c r="A21" s="271"/>
      <c r="B21" s="616" t="s">
        <v>1438</v>
      </c>
      <c r="D21" s="970" t="s">
        <v>2161</v>
      </c>
      <c r="E21" s="976"/>
      <c r="F21" s="976"/>
    </row>
    <row r="22" spans="1:7" ht="12.75">
      <c r="D22" s="976"/>
      <c r="E22" s="976"/>
      <c r="F22" s="976"/>
    </row>
    <row r="23" spans="1:7" ht="12.75">
      <c r="D23" s="102"/>
      <c r="E23" s="104" t="s">
        <v>2162</v>
      </c>
      <c r="F23" s="102"/>
    </row>
    <row r="24" spans="1:7" ht="14.25">
      <c r="A24" s="271"/>
      <c r="B24" s="271"/>
      <c r="D24" s="44"/>
    </row>
    <row r="25" spans="1:7" ht="14.25">
      <c r="A25" s="271"/>
      <c r="B25" s="616" t="s">
        <v>132</v>
      </c>
      <c r="D25" s="976" t="s">
        <v>1470</v>
      </c>
      <c r="E25" s="976"/>
      <c r="F25" s="976"/>
    </row>
    <row r="26" spans="1:7" ht="14.25">
      <c r="A26" s="271"/>
      <c r="B26" s="271"/>
      <c r="D26" s="976"/>
      <c r="E26" s="976"/>
      <c r="F26" s="976"/>
    </row>
    <row r="27" spans="1:7" ht="14.25">
      <c r="A27" s="271"/>
      <c r="B27" s="271"/>
      <c r="D27" s="44"/>
    </row>
    <row r="28" spans="1:7" ht="14.25" customHeight="1">
      <c r="A28" s="271"/>
      <c r="B28" s="616" t="s">
        <v>1438</v>
      </c>
      <c r="D28" s="970" t="s">
        <v>2251</v>
      </c>
      <c r="E28" s="970"/>
      <c r="F28" s="970"/>
    </row>
    <row r="29" spans="1:7" ht="14.25">
      <c r="A29" s="271"/>
      <c r="B29" s="271"/>
      <c r="D29" s="970"/>
      <c r="E29" s="970"/>
      <c r="F29" s="970"/>
    </row>
    <row r="30" spans="1:7" ht="14.25">
      <c r="A30" s="271"/>
      <c r="B30" s="271"/>
      <c r="D30" s="970"/>
      <c r="E30" s="970"/>
      <c r="F30" s="970"/>
    </row>
    <row r="31" spans="1:7" ht="14.25">
      <c r="A31" s="271"/>
      <c r="B31" s="271"/>
      <c r="D31" s="970"/>
      <c r="E31" s="970"/>
      <c r="F31" s="970"/>
    </row>
    <row r="32" spans="1:7" ht="14.25">
      <c r="A32" s="271"/>
      <c r="B32" s="271"/>
      <c r="D32" s="970"/>
      <c r="E32" s="970"/>
      <c r="F32" s="970"/>
    </row>
    <row r="33" spans="1:6" ht="14.25">
      <c r="A33" s="271"/>
      <c r="B33" s="271"/>
      <c r="D33" s="583"/>
      <c r="F33" s="619"/>
    </row>
    <row r="34" spans="1:6" ht="14.45" customHeight="1">
      <c r="A34" s="271"/>
      <c r="B34" s="616" t="s">
        <v>1438</v>
      </c>
      <c r="D34" s="976" t="s">
        <v>2252</v>
      </c>
      <c r="E34" s="976"/>
      <c r="F34" s="976"/>
    </row>
    <row r="35" spans="1:6" ht="14.25">
      <c r="A35" s="271"/>
      <c r="B35" s="271"/>
      <c r="D35" s="976"/>
      <c r="E35" s="976"/>
      <c r="F35" s="976"/>
    </row>
    <row r="36" spans="1:6" ht="14.25">
      <c r="A36" s="271"/>
      <c r="B36" s="271"/>
      <c r="D36" s="209"/>
      <c r="E36" s="209"/>
      <c r="F36" s="209"/>
    </row>
    <row r="37" spans="1:6" ht="14.25">
      <c r="A37" s="271"/>
      <c r="B37" s="616" t="s">
        <v>1438</v>
      </c>
      <c r="D37" s="970" t="s">
        <v>1824</v>
      </c>
      <c r="E37" s="976"/>
      <c r="F37" s="976"/>
    </row>
    <row r="38" spans="1:6" ht="14.25">
      <c r="A38" s="271"/>
      <c r="B38" s="271"/>
      <c r="D38" s="976"/>
      <c r="E38" s="976"/>
      <c r="F38" s="976"/>
    </row>
    <row r="39" spans="1:6" ht="14.25">
      <c r="A39" s="271"/>
      <c r="B39" s="271"/>
      <c r="D39" s="976"/>
      <c r="E39" s="976"/>
      <c r="F39" s="976"/>
    </row>
    <row r="40" spans="1:6" ht="14.25">
      <c r="A40" s="271"/>
      <c r="B40" s="271"/>
      <c r="D40" s="976"/>
      <c r="E40" s="976"/>
      <c r="F40" s="976"/>
    </row>
    <row r="41" spans="1:6" ht="14.25">
      <c r="A41" s="271"/>
      <c r="B41" s="271"/>
      <c r="D41" s="976"/>
      <c r="E41" s="976"/>
      <c r="F41" s="976"/>
    </row>
    <row r="42" spans="1:6" ht="14.25">
      <c r="A42" s="271"/>
      <c r="B42" s="271"/>
      <c r="D42" s="976"/>
      <c r="E42" s="976"/>
      <c r="F42" s="976"/>
    </row>
    <row r="43" spans="1:6" ht="14.25">
      <c r="A43" s="271"/>
      <c r="B43" s="271"/>
      <c r="D43" s="976"/>
      <c r="E43" s="976"/>
      <c r="F43" s="976"/>
    </row>
    <row r="44" spans="1:6" ht="14.25">
      <c r="A44" s="271"/>
      <c r="B44" s="271"/>
      <c r="D44" s="976"/>
      <c r="E44" s="976"/>
      <c r="F44" s="976"/>
    </row>
    <row r="45" spans="1:6" ht="14.25">
      <c r="A45" s="271"/>
      <c r="B45" s="271"/>
      <c r="D45" s="24"/>
      <c r="E45" s="24"/>
      <c r="F45" s="24"/>
    </row>
    <row r="46" spans="1:6" ht="14.45" customHeight="1">
      <c r="A46" s="271"/>
      <c r="B46" s="616" t="s">
        <v>1438</v>
      </c>
      <c r="D46" s="976" t="s">
        <v>1506</v>
      </c>
      <c r="E46" s="976"/>
      <c r="F46" s="976"/>
    </row>
    <row r="47" spans="1:6" ht="14.25">
      <c r="A47" s="271"/>
      <c r="B47" s="271"/>
      <c r="D47" s="976"/>
      <c r="E47" s="976"/>
      <c r="F47" s="976"/>
    </row>
    <row r="48" spans="1:6" ht="14.25">
      <c r="A48" s="271"/>
      <c r="B48" s="271"/>
      <c r="D48" s="976"/>
      <c r="E48" s="976"/>
      <c r="F48" s="976"/>
    </row>
    <row r="49" spans="1:6" ht="14.25">
      <c r="A49" s="271"/>
      <c r="B49" s="271"/>
      <c r="D49" s="976"/>
      <c r="E49" s="976"/>
      <c r="F49" s="976"/>
    </row>
    <row r="50" spans="1:6" ht="14.25">
      <c r="A50" s="271"/>
      <c r="B50" s="271"/>
      <c r="D50" s="976"/>
      <c r="E50" s="976"/>
      <c r="F50" s="976"/>
    </row>
    <row r="51" spans="1:6" ht="14.25">
      <c r="A51" s="271"/>
      <c r="B51" s="271"/>
      <c r="D51" s="44"/>
    </row>
    <row r="52" spans="1:6" ht="14.25">
      <c r="A52" s="271"/>
      <c r="B52" s="616" t="s">
        <v>1438</v>
      </c>
      <c r="D52" s="970" t="s">
        <v>1970</v>
      </c>
      <c r="E52" s="976"/>
      <c r="F52" s="976"/>
    </row>
    <row r="53" spans="1:6" ht="14.25">
      <c r="A53" s="271"/>
      <c r="B53" s="271"/>
      <c r="D53" s="976"/>
      <c r="E53" s="976"/>
      <c r="F53" s="976"/>
    </row>
    <row r="54" spans="1:6" ht="14.25">
      <c r="A54" s="271"/>
      <c r="B54" s="271"/>
      <c r="D54" s="976"/>
      <c r="E54" s="976"/>
      <c r="F54" s="976"/>
    </row>
    <row r="55" spans="1:6" ht="14.25">
      <c r="A55" s="271"/>
      <c r="B55" s="271"/>
      <c r="D55" s="976"/>
      <c r="E55" s="976"/>
      <c r="F55" s="976"/>
    </row>
    <row r="56" spans="1:6" ht="14.25">
      <c r="A56" s="271"/>
      <c r="B56" s="271"/>
      <c r="D56" s="976"/>
      <c r="E56" s="976"/>
      <c r="F56" s="976"/>
    </row>
    <row r="57" spans="1:6" ht="15" customHeight="1">
      <c r="A57" s="271"/>
      <c r="B57" s="271"/>
      <c r="D57" s="976"/>
      <c r="E57" s="976"/>
      <c r="F57" s="976"/>
    </row>
    <row r="58" spans="1:6" ht="14.25">
      <c r="A58" s="271"/>
      <c r="B58" s="271"/>
      <c r="D58"/>
    </row>
    <row r="59" spans="1:6" ht="14.25">
      <c r="A59" s="271"/>
      <c r="B59" s="616" t="s">
        <v>132</v>
      </c>
      <c r="D59" s="970" t="s">
        <v>2017</v>
      </c>
      <c r="E59" s="976"/>
      <c r="F59" s="976"/>
    </row>
    <row r="60" spans="1:6" ht="14.25">
      <c r="A60" s="271"/>
      <c r="B60" s="271"/>
      <c r="D60" s="976"/>
      <c r="E60" s="976"/>
      <c r="F60" s="976"/>
    </row>
    <row r="61" spans="1:6" ht="14.25">
      <c r="A61" s="271"/>
      <c r="B61" s="271"/>
      <c r="D61" s="976"/>
      <c r="E61" s="976"/>
      <c r="F61" s="976"/>
    </row>
    <row r="62" spans="1:6" ht="14.25">
      <c r="A62" s="271"/>
      <c r="B62" s="271"/>
      <c r="D62" s="976"/>
      <c r="E62" s="976"/>
      <c r="F62" s="976"/>
    </row>
    <row r="63" spans="1:6" ht="17.25" customHeight="1">
      <c r="A63" s="271"/>
      <c r="B63" s="271"/>
      <c r="D63" s="976"/>
      <c r="E63" s="976"/>
      <c r="F63" s="976"/>
    </row>
    <row r="64" spans="1:6" ht="14.25" customHeight="1">
      <c r="A64" s="271"/>
      <c r="B64" s="616" t="s">
        <v>132</v>
      </c>
      <c r="D64" s="976" t="s">
        <v>2253</v>
      </c>
      <c r="E64" s="976"/>
      <c r="F64" s="976"/>
    </row>
    <row r="65" spans="1:6" ht="15" customHeight="1">
      <c r="A65" s="271"/>
      <c r="B65" s="271"/>
      <c r="D65" s="976"/>
      <c r="E65" s="976"/>
      <c r="F65" s="976"/>
    </row>
    <row r="66" spans="1:6" ht="21.6" customHeight="1">
      <c r="A66" s="271"/>
      <c r="B66" s="271"/>
      <c r="D66" s="976"/>
      <c r="E66" s="976"/>
      <c r="F66" s="976"/>
    </row>
    <row r="67" spans="1:6" ht="14.25">
      <c r="A67" s="271"/>
      <c r="B67" s="271"/>
    </row>
    <row r="68" spans="1:6" ht="14.25" customHeight="1">
      <c r="A68" s="271"/>
      <c r="B68" s="616" t="s">
        <v>1438</v>
      </c>
      <c r="D68" s="970" t="s">
        <v>2163</v>
      </c>
      <c r="E68" s="976"/>
      <c r="F68" s="976"/>
    </row>
    <row r="69" spans="1:6" ht="12.75">
      <c r="D69" s="976"/>
      <c r="E69" s="976"/>
      <c r="F69" s="976"/>
    </row>
    <row r="70" spans="1:6" ht="12.75">
      <c r="D70" s="976"/>
      <c r="E70" s="976"/>
      <c r="F70" s="976"/>
    </row>
    <row r="71" spans="1:6" ht="14.25">
      <c r="A71" s="271"/>
      <c r="B71" s="271"/>
      <c r="D71" s="209"/>
      <c r="E71" s="128" t="s">
        <v>2160</v>
      </c>
      <c r="F71" s="209"/>
    </row>
    <row r="72" spans="1:6" ht="14.25">
      <c r="A72" s="271"/>
      <c r="B72" s="271"/>
    </row>
    <row r="73" spans="1:6" ht="14.25">
      <c r="A73" s="271"/>
      <c r="B73" s="616" t="s">
        <v>132</v>
      </c>
      <c r="D73" s="976" t="s">
        <v>1608</v>
      </c>
      <c r="E73" s="976"/>
      <c r="F73" s="976"/>
    </row>
    <row r="74" spans="1:6" ht="12.75">
      <c r="D74" s="976"/>
      <c r="E74" s="976"/>
      <c r="F74" s="976"/>
    </row>
    <row r="75" spans="1:6" ht="12.75">
      <c r="D75" s="976"/>
      <c r="E75" s="976"/>
      <c r="F75" s="976"/>
    </row>
    <row r="76" spans="1:6" ht="12.75"/>
    <row r="77" spans="1:6" ht="14.25">
      <c r="A77" s="271" t="s">
        <v>243</v>
      </c>
      <c r="B77" s="616" t="s">
        <v>132</v>
      </c>
      <c r="D77" s="976" t="s">
        <v>1509</v>
      </c>
      <c r="E77" s="976"/>
      <c r="F77" s="976"/>
    </row>
    <row r="78" spans="1:6" ht="12.75">
      <c r="D78" s="976"/>
      <c r="E78" s="976"/>
      <c r="F78" s="976"/>
    </row>
    <row r="79" spans="1:6" ht="12.75"/>
    <row r="80" spans="1:6" ht="14.25">
      <c r="A80" s="271" t="s">
        <v>243</v>
      </c>
      <c r="B80" s="616" t="s">
        <v>132</v>
      </c>
      <c r="D80" s="976" t="s">
        <v>1510</v>
      </c>
      <c r="E80" s="976"/>
      <c r="F80" s="976"/>
    </row>
    <row r="81" spans="1:7" ht="12.75">
      <c r="D81" s="976"/>
      <c r="E81" s="976"/>
      <c r="F81" s="976"/>
    </row>
    <row r="82" spans="1:7" ht="12.75">
      <c r="D82" s="976"/>
      <c r="E82" s="976"/>
      <c r="F82" s="976"/>
    </row>
    <row r="83" spans="1:7" ht="12.75">
      <c r="D83" s="44"/>
    </row>
    <row r="84" spans="1:7" ht="14.25">
      <c r="A84" s="271" t="s">
        <v>243</v>
      </c>
      <c r="B84" s="616" t="s">
        <v>132</v>
      </c>
      <c r="D84" s="976" t="s">
        <v>1511</v>
      </c>
      <c r="E84" s="976"/>
      <c r="F84" s="976"/>
    </row>
    <row r="85" spans="1:7" ht="12.75">
      <c r="D85" s="976"/>
      <c r="E85" s="976"/>
      <c r="F85" s="976"/>
    </row>
    <row r="86" spans="1:7" ht="12.75"/>
    <row r="87" spans="1:7" ht="12.75">
      <c r="A87" s="1001" t="s">
        <v>1442</v>
      </c>
      <c r="B87" s="1001"/>
      <c r="C87" s="1001"/>
      <c r="D87" s="1001"/>
      <c r="E87" s="1001"/>
      <c r="F87" s="1001"/>
      <c r="G87" s="1001"/>
    </row>
    <row r="88" spans="1:7" ht="12.75">
      <c r="E88"/>
      <c r="F88"/>
      <c r="G88"/>
    </row>
    <row r="89" spans="1:7" ht="13.7" customHeight="1">
      <c r="C89" s="597"/>
      <c r="D89" s="1003" t="s">
        <v>1443</v>
      </c>
      <c r="E89" s="1003"/>
      <c r="F89" s="1003"/>
      <c r="G89"/>
    </row>
    <row r="90" spans="1:7" ht="13.7" customHeight="1">
      <c r="A90" s="44"/>
      <c r="B90" s="44"/>
      <c r="D90" s="976" t="s">
        <v>1611</v>
      </c>
      <c r="E90" s="976"/>
      <c r="F90" s="976"/>
      <c r="G90"/>
    </row>
    <row r="91" spans="1:7" ht="12.75">
      <c r="A91" s="44"/>
      <c r="B91" s="44"/>
      <c r="E91"/>
      <c r="F91"/>
      <c r="G91"/>
    </row>
    <row r="92" spans="1:7" ht="14.25" customHeight="1">
      <c r="A92" s="271"/>
      <c r="B92" s="616" t="s">
        <v>1438</v>
      </c>
      <c r="D92" s="970" t="s">
        <v>1943</v>
      </c>
      <c r="E92" s="970"/>
      <c r="F92" s="970"/>
      <c r="G92"/>
    </row>
    <row r="93" spans="1:7" ht="14.45" customHeight="1">
      <c r="A93" s="271"/>
      <c r="D93" s="970"/>
      <c r="E93" s="970"/>
      <c r="F93" s="970"/>
      <c r="G93"/>
    </row>
    <row r="94" spans="1:7" ht="14.25">
      <c r="A94" s="271"/>
      <c r="B94" s="271"/>
      <c r="D94" s="970"/>
      <c r="E94" s="970"/>
      <c r="F94" s="970"/>
      <c r="G94"/>
    </row>
    <row r="95" spans="1:7" ht="14.25">
      <c r="A95" s="271"/>
      <c r="B95" s="271"/>
      <c r="D95" s="970"/>
      <c r="E95" s="970"/>
      <c r="F95" s="970"/>
      <c r="G95"/>
    </row>
    <row r="96" spans="1:7" ht="14.25">
      <c r="A96" s="271"/>
      <c r="B96" s="271"/>
      <c r="D96" s="970"/>
      <c r="E96" s="970"/>
      <c r="F96" s="970"/>
      <c r="G96"/>
    </row>
    <row r="97" spans="1:7" ht="14.25">
      <c r="A97" s="271"/>
      <c r="B97" s="271"/>
      <c r="D97" s="970"/>
      <c r="E97" s="970"/>
      <c r="F97" s="970"/>
      <c r="G97"/>
    </row>
    <row r="98" spans="1:7" ht="14.25">
      <c r="A98" s="271"/>
      <c r="B98" s="271"/>
      <c r="D98" s="970"/>
      <c r="E98" s="970"/>
      <c r="F98" s="970"/>
      <c r="G98"/>
    </row>
    <row r="99" spans="1:7" ht="14.25">
      <c r="A99" s="271"/>
      <c r="B99" s="271"/>
      <c r="D99" s="970"/>
      <c r="E99" s="970"/>
      <c r="F99" s="970"/>
      <c r="G99"/>
    </row>
    <row r="100" spans="1:7" ht="14.25">
      <c r="A100" s="271"/>
      <c r="B100" s="271"/>
      <c r="D100" s="970"/>
      <c r="E100" s="970"/>
      <c r="F100" s="970"/>
      <c r="G100"/>
    </row>
    <row r="101" spans="1:7" ht="14.45" customHeight="1">
      <c r="A101" s="271"/>
      <c r="B101" s="616" t="s">
        <v>132</v>
      </c>
      <c r="D101" s="997" t="s">
        <v>1944</v>
      </c>
      <c r="E101" s="997"/>
      <c r="F101" s="997"/>
      <c r="G101"/>
    </row>
    <row r="102" spans="1:7" ht="14.25">
      <c r="A102" s="271"/>
      <c r="B102" s="271"/>
      <c r="D102" s="997"/>
      <c r="E102" s="997"/>
      <c r="F102" s="997"/>
      <c r="G102"/>
    </row>
    <row r="103" spans="1:7" ht="14.25">
      <c r="A103" s="271"/>
      <c r="B103" s="271"/>
      <c r="D103" s="997"/>
      <c r="E103" s="997"/>
      <c r="F103" s="997"/>
      <c r="G103"/>
    </row>
    <row r="104" spans="1:7" ht="14.25">
      <c r="A104" s="271"/>
      <c r="B104" s="271"/>
      <c r="D104" s="997"/>
      <c r="E104" s="997"/>
      <c r="F104" s="997"/>
      <c r="G104"/>
    </row>
    <row r="105" spans="1:7" ht="14.25">
      <c r="A105" s="271"/>
      <c r="B105" s="271"/>
      <c r="D105" s="997"/>
      <c r="E105" s="997"/>
      <c r="F105" s="997"/>
      <c r="G105"/>
    </row>
    <row r="106" spans="1:7" ht="14.25">
      <c r="A106" s="271"/>
      <c r="B106" s="271"/>
      <c r="D106" s="997"/>
      <c r="E106" s="997"/>
      <c r="F106" s="997"/>
      <c r="G106"/>
    </row>
    <row r="107" spans="1:7" ht="14.25">
      <c r="A107" s="271"/>
      <c r="B107" s="271"/>
      <c r="D107" s="997"/>
      <c r="E107" s="997"/>
      <c r="F107" s="997"/>
      <c r="G107"/>
    </row>
    <row r="108" spans="1:7" ht="14.25">
      <c r="A108" s="271"/>
      <c r="B108" s="271"/>
      <c r="D108" s="997"/>
      <c r="E108" s="997"/>
      <c r="F108" s="997"/>
      <c r="G108"/>
    </row>
    <row r="109" spans="1:7" ht="14.25">
      <c r="A109" s="271"/>
      <c r="B109" s="271"/>
      <c r="D109" s="997"/>
      <c r="E109" s="997"/>
      <c r="F109" s="997"/>
      <c r="G109"/>
    </row>
    <row r="110" spans="1:7" ht="14.25">
      <c r="A110" s="271"/>
      <c r="B110" s="271"/>
      <c r="D110" s="997"/>
      <c r="E110" s="997"/>
      <c r="F110" s="997"/>
      <c r="G110"/>
    </row>
    <row r="111" spans="1:7" ht="14.25">
      <c r="A111" s="271"/>
      <c r="B111" s="271"/>
      <c r="D111" s="997"/>
      <c r="E111" s="997"/>
      <c r="F111" s="997"/>
      <c r="G111"/>
    </row>
    <row r="112" spans="1:7" ht="14.25">
      <c r="A112" s="271"/>
      <c r="B112" s="271"/>
      <c r="D112" s="997"/>
      <c r="E112" s="997"/>
      <c r="F112" s="997"/>
      <c r="G112"/>
    </row>
    <row r="113" spans="1:7" ht="14.25">
      <c r="A113" s="271"/>
      <c r="B113" s="271"/>
      <c r="D113" s="997"/>
      <c r="E113" s="997"/>
      <c r="F113" s="997"/>
      <c r="G113"/>
    </row>
    <row r="114" spans="1:7" ht="14.25">
      <c r="A114" s="271"/>
      <c r="B114" s="616" t="s">
        <v>132</v>
      </c>
      <c r="D114" s="976" t="s">
        <v>1612</v>
      </c>
      <c r="E114" s="976"/>
      <c r="F114" s="976"/>
      <c r="G114"/>
    </row>
    <row r="115" spans="1:7" ht="14.25">
      <c r="A115" s="271"/>
      <c r="B115" s="271"/>
      <c r="D115" s="976"/>
      <c r="E115" s="976"/>
      <c r="F115" s="976"/>
      <c r="G115"/>
    </row>
    <row r="116" spans="1:7" ht="14.25">
      <c r="A116" s="271"/>
      <c r="B116" s="271"/>
      <c r="D116" s="976"/>
      <c r="E116" s="976"/>
      <c r="F116" s="976"/>
      <c r="G116"/>
    </row>
    <row r="117" spans="1:7" ht="14.25">
      <c r="A117" s="271"/>
      <c r="B117" s="271"/>
      <c r="D117" s="976"/>
      <c r="E117" s="976"/>
      <c r="F117" s="976"/>
      <c r="G117"/>
    </row>
    <row r="118" spans="1:7" ht="14.25">
      <c r="A118" s="271"/>
      <c r="B118" s="271"/>
      <c r="D118" s="976"/>
      <c r="E118" s="976"/>
      <c r="F118" s="976"/>
      <c r="G118"/>
    </row>
    <row r="119" spans="1:7" ht="14.25">
      <c r="A119" s="271"/>
      <c r="B119" s="271"/>
      <c r="D119" s="976"/>
      <c r="E119" s="976"/>
      <c r="F119" s="976"/>
      <c r="G119"/>
    </row>
    <row r="120" spans="1:7" ht="14.25">
      <c r="A120" s="271"/>
      <c r="B120" s="271"/>
      <c r="D120" s="976"/>
      <c r="E120" s="976"/>
      <c r="F120" s="976"/>
      <c r="G120"/>
    </row>
    <row r="121" spans="1:7" ht="14.25">
      <c r="A121" s="271"/>
      <c r="B121" s="271"/>
      <c r="D121" s="976"/>
      <c r="E121" s="976"/>
      <c r="F121" s="976"/>
      <c r="G121"/>
    </row>
    <row r="122" spans="1:7" ht="12.75" customHeight="1">
      <c r="A122" s="271"/>
      <c r="B122" s="616" t="s">
        <v>1438</v>
      </c>
      <c r="D122" s="976" t="s">
        <v>1613</v>
      </c>
      <c r="E122" s="976"/>
      <c r="F122" s="976"/>
    </row>
    <row r="123" spans="1:7" ht="12.75">
      <c r="D123" s="976"/>
      <c r="E123" s="976"/>
      <c r="F123" s="976"/>
    </row>
    <row r="124" spans="1:7" ht="12.75">
      <c r="D124" s="976"/>
      <c r="E124" s="976"/>
      <c r="F124" s="976"/>
    </row>
    <row r="125" spans="1:7" ht="12.75">
      <c r="D125" s="976"/>
      <c r="E125" s="976"/>
      <c r="F125" s="976"/>
    </row>
    <row r="126" spans="1:7" ht="26.85" customHeight="1">
      <c r="D126" s="976"/>
      <c r="E126" s="976"/>
      <c r="F126" s="976"/>
    </row>
    <row r="127" spans="1:7" ht="12.75"/>
    <row r="128" spans="1:7" ht="14.25">
      <c r="A128" s="271"/>
      <c r="B128" s="616" t="s">
        <v>1438</v>
      </c>
      <c r="D128" s="976" t="s">
        <v>1614</v>
      </c>
      <c r="E128" s="976"/>
      <c r="F128" s="976"/>
    </row>
    <row r="129" spans="1:7" s="324" customFormat="1" ht="14.1" customHeight="1">
      <c r="A129" s="317"/>
      <c r="B129" s="317"/>
      <c r="C129" s="317"/>
      <c r="D129" s="976"/>
      <c r="E129" s="976"/>
      <c r="F129" s="976"/>
      <c r="G129" s="361"/>
    </row>
    <row r="130" spans="1:7" ht="14.1" customHeight="1">
      <c r="D130" s="976"/>
      <c r="E130" s="976"/>
      <c r="F130" s="976"/>
    </row>
    <row r="131" spans="1:7" ht="14.1" customHeight="1">
      <c r="D131" s="976"/>
      <c r="E131" s="976"/>
      <c r="F131" s="976"/>
    </row>
    <row r="132" spans="1:7" ht="14.1" customHeight="1">
      <c r="D132" s="976"/>
      <c r="E132" s="976"/>
      <c r="F132" s="976"/>
    </row>
    <row r="133" spans="1:7" ht="14.1" customHeight="1">
      <c r="D133" s="976"/>
      <c r="E133" s="976"/>
      <c r="F133" s="976"/>
    </row>
    <row r="134" spans="1:7" ht="14.1" customHeight="1">
      <c r="D134" s="976"/>
      <c r="E134" s="976"/>
      <c r="F134" s="976"/>
      <c r="G134"/>
    </row>
    <row r="135" spans="1:7" ht="14.1" customHeight="1">
      <c r="D135" s="976"/>
      <c r="E135" s="976"/>
      <c r="F135" s="976"/>
      <c r="G135"/>
    </row>
    <row r="136" spans="1:7" ht="14.1" customHeight="1">
      <c r="D136" s="976"/>
      <c r="E136" s="976"/>
      <c r="F136" s="976"/>
      <c r="G136"/>
    </row>
    <row r="137" spans="1:7" ht="14.1" customHeight="1">
      <c r="D137" s="976"/>
      <c r="E137" s="976"/>
      <c r="F137" s="976"/>
      <c r="G137"/>
    </row>
    <row r="138" spans="1:7" ht="17.25" customHeight="1">
      <c r="D138" s="976"/>
      <c r="E138" s="976"/>
      <c r="F138" s="976"/>
      <c r="G138"/>
    </row>
    <row r="139" spans="1:7" ht="25.5" hidden="1" customHeight="1">
      <c r="D139" s="976"/>
      <c r="E139" s="976"/>
      <c r="F139" s="976"/>
      <c r="G139"/>
    </row>
    <row r="140" spans="1:7" ht="14.1" customHeight="1">
      <c r="G140"/>
    </row>
    <row r="141" spans="1:7" ht="14.1" customHeight="1">
      <c r="B141" s="616" t="s">
        <v>132</v>
      </c>
      <c r="D141" s="970" t="s">
        <v>1801</v>
      </c>
      <c r="E141" s="976"/>
      <c r="F141" s="976"/>
      <c r="G141"/>
    </row>
    <row r="142" spans="1:7" ht="14.1" customHeight="1">
      <c r="D142" s="976"/>
      <c r="E142" s="976"/>
      <c r="F142" s="976"/>
      <c r="G142"/>
    </row>
    <row r="143" spans="1:7" ht="14.1" customHeight="1">
      <c r="D143" s="976"/>
      <c r="E143" s="976"/>
      <c r="F143" s="976"/>
      <c r="G143"/>
    </row>
    <row r="144" spans="1:7" ht="14.1" customHeight="1">
      <c r="D144" s="976"/>
      <c r="E144" s="976"/>
      <c r="F144" s="976"/>
      <c r="G144"/>
    </row>
    <row r="145" spans="1:7" ht="14.1" customHeight="1">
      <c r="D145" s="976"/>
      <c r="E145" s="976"/>
      <c r="F145" s="976"/>
      <c r="G145"/>
    </row>
    <row r="146" spans="1:7" ht="14.1" customHeight="1">
      <c r="A146" s="18"/>
      <c r="B146" s="18"/>
      <c r="D146" s="976"/>
      <c r="E146" s="976"/>
      <c r="F146" s="976"/>
      <c r="G146"/>
    </row>
    <row r="147" spans="1:7" ht="14.1" customHeight="1">
      <c r="A147" s="18"/>
      <c r="B147" s="18"/>
      <c r="D147" s="976"/>
      <c r="E147" s="976"/>
      <c r="F147" s="976"/>
      <c r="G147"/>
    </row>
    <row r="148" spans="1:7" ht="14.1" customHeight="1">
      <c r="A148" s="18"/>
      <c r="B148" s="18"/>
      <c r="D148" s="976"/>
      <c r="E148" s="976"/>
      <c r="F148" s="976"/>
      <c r="G148"/>
    </row>
    <row r="149" spans="1:7" ht="14.1" customHeight="1">
      <c r="A149" s="18"/>
      <c r="B149" s="18"/>
      <c r="D149" s="976"/>
      <c r="E149" s="976"/>
      <c r="F149" s="976"/>
      <c r="G149"/>
    </row>
    <row r="150" spans="1:7" ht="14.1" customHeight="1">
      <c r="A150" s="18"/>
      <c r="B150" s="18"/>
      <c r="D150" s="976"/>
      <c r="E150" s="976"/>
      <c r="F150" s="976"/>
      <c r="G150"/>
    </row>
    <row r="151" spans="1:7" ht="14.1" customHeight="1">
      <c r="A151" s="18"/>
      <c r="B151" s="18"/>
      <c r="D151" s="976"/>
      <c r="E151" s="976"/>
      <c r="F151" s="976"/>
      <c r="G151"/>
    </row>
    <row r="152" spans="1:7" ht="14.1" customHeight="1">
      <c r="A152" s="18"/>
      <c r="B152" s="18"/>
      <c r="D152" s="976"/>
      <c r="E152" s="976"/>
      <c r="F152" s="976"/>
      <c r="G152"/>
    </row>
    <row r="153" spans="1:7" ht="14.1" customHeight="1">
      <c r="A153" s="18"/>
      <c r="B153" s="18"/>
      <c r="D153" s="976"/>
      <c r="E153" s="976"/>
      <c r="F153" s="976"/>
      <c r="G153"/>
    </row>
    <row r="154" spans="1:7" ht="14.1" customHeight="1">
      <c r="A154" s="18"/>
      <c r="B154" s="18"/>
      <c r="D154" s="976"/>
      <c r="E154" s="976"/>
      <c r="F154" s="976"/>
      <c r="G154"/>
    </row>
    <row r="155" spans="1:7" ht="14.1" customHeight="1">
      <c r="A155" s="18"/>
      <c r="B155" s="18"/>
      <c r="D155" s="976"/>
      <c r="E155" s="976"/>
      <c r="F155" s="976"/>
      <c r="G155"/>
    </row>
    <row r="156" spans="1:7" ht="14.1" customHeight="1">
      <c r="A156" s="18"/>
      <c r="B156" s="18"/>
      <c r="D156" s="976"/>
      <c r="E156" s="976"/>
      <c r="F156" s="976"/>
      <c r="G156"/>
    </row>
    <row r="157" spans="1:7" ht="14.1" customHeight="1">
      <c r="A157" s="18"/>
      <c r="B157" s="18"/>
      <c r="D157" s="976"/>
      <c r="E157" s="976"/>
      <c r="F157" s="976"/>
      <c r="G157"/>
    </row>
    <row r="158" spans="1:7" ht="14.1" customHeight="1">
      <c r="A158" s="18"/>
      <c r="B158" s="18"/>
      <c r="D158" s="976"/>
      <c r="E158" s="976"/>
      <c r="F158" s="976"/>
      <c r="G158"/>
    </row>
    <row r="159" spans="1:7" ht="14.1" customHeight="1">
      <c r="A159" s="18"/>
      <c r="B159" s="18"/>
      <c r="D159" s="1035" t="s">
        <v>1802</v>
      </c>
      <c r="E159" s="1035"/>
      <c r="F159" s="1035"/>
      <c r="G159"/>
    </row>
    <row r="160" spans="1:7" ht="14.1" customHeight="1">
      <c r="A160" s="18"/>
      <c r="B160" s="18"/>
      <c r="D160" s="44"/>
      <c r="G160"/>
    </row>
    <row r="161" spans="1:7" ht="14.1" customHeight="1">
      <c r="A161" s="271"/>
      <c r="B161" s="616" t="s">
        <v>1438</v>
      </c>
      <c r="D161" s="997" t="s">
        <v>1830</v>
      </c>
      <c r="E161" s="1037"/>
      <c r="F161" s="1037"/>
      <c r="G161"/>
    </row>
    <row r="162" spans="1:7" ht="14.1" customHeight="1">
      <c r="A162" s="271"/>
      <c r="B162" s="18"/>
      <c r="D162" s="1037"/>
      <c r="E162" s="1037"/>
      <c r="F162" s="1037"/>
      <c r="G162"/>
    </row>
    <row r="163" spans="1:7" ht="14.1" customHeight="1">
      <c r="A163" s="18"/>
      <c r="B163" s="18"/>
      <c r="D163" s="1037"/>
      <c r="E163" s="1037"/>
      <c r="F163" s="1037"/>
      <c r="G163"/>
    </row>
    <row r="164" spans="1:7" ht="14.1" customHeight="1">
      <c r="A164" s="18"/>
      <c r="B164" s="18"/>
      <c r="D164" s="44"/>
      <c r="G164"/>
    </row>
    <row r="165" spans="1:7" ht="14.1" customHeight="1">
      <c r="A165" s="271"/>
      <c r="B165" s="616" t="s">
        <v>1438</v>
      </c>
      <c r="D165" s="1037" t="s">
        <v>1615</v>
      </c>
      <c r="E165" s="1037"/>
      <c r="F165" s="1037"/>
      <c r="G165"/>
    </row>
    <row r="166" spans="1:7" ht="14.1" customHeight="1">
      <c r="A166" s="18"/>
      <c r="B166" s="18"/>
      <c r="D166" s="1037"/>
      <c r="E166" s="1037"/>
      <c r="F166" s="1037"/>
    </row>
    <row r="167" spans="1:7" ht="14.1" customHeight="1">
      <c r="A167" s="18"/>
      <c r="B167" s="18"/>
      <c r="D167" s="1037"/>
      <c r="E167" s="1037"/>
      <c r="F167" s="1037"/>
    </row>
    <row r="168" spans="1:7" ht="14.1" customHeight="1">
      <c r="A168" s="18"/>
      <c r="B168" s="18"/>
      <c r="D168" s="1037"/>
      <c r="E168" s="1037"/>
      <c r="F168" s="1037"/>
    </row>
    <row r="169" spans="1:7" ht="14.1" customHeight="1">
      <c r="A169" s="18"/>
      <c r="B169" s="18"/>
      <c r="D169" s="44"/>
    </row>
    <row r="170" spans="1:7" ht="14.1" customHeight="1">
      <c r="A170" s="374"/>
      <c r="B170" s="616" t="s">
        <v>132</v>
      </c>
      <c r="C170" s="374"/>
      <c r="D170" s="1033" t="s">
        <v>2254</v>
      </c>
      <c r="E170" s="1033"/>
      <c r="F170" s="1033"/>
      <c r="G170" s="365"/>
    </row>
    <row r="171" spans="1:7" ht="14.1" customHeight="1">
      <c r="A171" s="374"/>
      <c r="B171" s="374"/>
      <c r="C171" s="374"/>
      <c r="D171" s="1033"/>
      <c r="E171" s="1033"/>
      <c r="F171" s="1033"/>
      <c r="G171" s="365"/>
    </row>
    <row r="172" spans="1:7" ht="14.1" customHeight="1">
      <c r="A172" s="374"/>
      <c r="B172" s="374"/>
      <c r="C172" s="374"/>
      <c r="D172" s="1033"/>
      <c r="E172" s="1033"/>
      <c r="F172" s="1033"/>
      <c r="G172" s="365"/>
    </row>
    <row r="173" spans="1:7" ht="12.75">
      <c r="A173" s="374"/>
      <c r="B173" s="374"/>
      <c r="C173" s="374"/>
      <c r="D173" s="376"/>
      <c r="E173" s="365"/>
      <c r="F173" s="365"/>
      <c r="G173" s="365"/>
    </row>
    <row r="174" spans="1:7" ht="12.75">
      <c r="A174" s="1001" t="s">
        <v>1445</v>
      </c>
      <c r="B174" s="1001"/>
      <c r="C174" s="1001"/>
      <c r="D174" s="1001"/>
      <c r="E174" s="1001"/>
      <c r="F174" s="1001"/>
      <c r="G174" s="1001"/>
    </row>
    <row r="175" spans="1:7" ht="12.75">
      <c r="D175" s="44"/>
    </row>
    <row r="176" spans="1:7" ht="12.75">
      <c r="C176" s="597"/>
      <c r="D176" s="1010" t="s">
        <v>1444</v>
      </c>
      <c r="E176" s="1010"/>
      <c r="F176" s="1010"/>
    </row>
    <row r="177" spans="1:6" ht="12.75">
      <c r="A177" s="190"/>
      <c r="B177" s="190"/>
      <c r="C177" s="190"/>
      <c r="D177" s="1034" t="s">
        <v>1477</v>
      </c>
      <c r="E177" s="1034"/>
      <c r="F177" s="1034"/>
    </row>
    <row r="178" spans="1:6" ht="12.75">
      <c r="A178" s="191"/>
      <c r="B178" s="191"/>
      <c r="C178" s="191"/>
    </row>
    <row r="179" spans="1:6" ht="14.25">
      <c r="A179" s="271"/>
      <c r="B179" s="616" t="s">
        <v>132</v>
      </c>
      <c r="D179" s="999" t="s">
        <v>1804</v>
      </c>
      <c r="E179" s="1000"/>
      <c r="F179" s="1000"/>
    </row>
    <row r="180" spans="1:6" ht="14.25">
      <c r="A180" s="271"/>
      <c r="D180" s="313"/>
      <c r="E180" s="102"/>
      <c r="F180" s="102"/>
    </row>
    <row r="181" spans="1:6" ht="14.25">
      <c r="A181" s="271"/>
      <c r="B181" s="616" t="s">
        <v>132</v>
      </c>
      <c r="D181" s="1000" t="s">
        <v>1616</v>
      </c>
      <c r="E181" s="1000"/>
      <c r="F181" s="1000"/>
    </row>
    <row r="182" spans="1:6" ht="14.25">
      <c r="A182" s="271"/>
      <c r="D182" s="102"/>
      <c r="E182" s="102"/>
      <c r="F182" s="102"/>
    </row>
    <row r="183" spans="1:6" ht="14.25">
      <c r="A183" s="271"/>
      <c r="B183" s="616" t="s">
        <v>132</v>
      </c>
      <c r="D183" s="1036" t="s">
        <v>1884</v>
      </c>
      <c r="E183" s="1036"/>
      <c r="F183" s="1036"/>
    </row>
    <row r="184" spans="1:6" ht="13.7" customHeight="1">
      <c r="A184" s="271"/>
      <c r="D184" s="41" t="s">
        <v>943</v>
      </c>
      <c r="E184" s="970" t="s">
        <v>2249</v>
      </c>
      <c r="F184" s="970"/>
    </row>
    <row r="185" spans="1:6" ht="14.25">
      <c r="A185" s="271"/>
      <c r="D185" s="783"/>
      <c r="E185" s="970"/>
      <c r="F185" s="970"/>
    </row>
    <row r="186" spans="1:6" ht="14.25">
      <c r="A186" s="271"/>
      <c r="D186" s="783"/>
      <c r="E186" s="970"/>
      <c r="F186" s="970"/>
    </row>
    <row r="187" spans="1:6" ht="14.25">
      <c r="A187" s="271"/>
      <c r="D187"/>
      <c r="E187" s="970"/>
      <c r="F187" s="970"/>
    </row>
    <row r="188" spans="1:6" ht="13.7" customHeight="1">
      <c r="A188" s="271"/>
      <c r="D188" s="783" t="s">
        <v>944</v>
      </c>
      <c r="E188" s="970" t="s">
        <v>1885</v>
      </c>
      <c r="F188" s="970"/>
    </row>
    <row r="189" spans="1:6" ht="13.7" customHeight="1">
      <c r="A189" s="271"/>
      <c r="D189" s="783"/>
      <c r="E189" s="970"/>
      <c r="F189" s="970"/>
    </row>
    <row r="190" spans="1:6" ht="13.7" customHeight="1">
      <c r="A190" s="271"/>
      <c r="D190" s="783"/>
      <c r="E190" s="970"/>
      <c r="F190" s="970"/>
    </row>
    <row r="191" spans="1:6" ht="13.7" customHeight="1">
      <c r="A191" s="271"/>
      <c r="D191" s="783"/>
      <c r="E191" s="970"/>
      <c r="F191" s="970"/>
    </row>
    <row r="192" spans="1:6" ht="13.7" customHeight="1">
      <c r="A192" s="271"/>
      <c r="D192" s="783"/>
      <c r="E192" s="970"/>
      <c r="F192" s="970"/>
    </row>
    <row r="193" spans="1:7" ht="14.25">
      <c r="A193" s="271"/>
      <c r="D193"/>
      <c r="E193" s="970"/>
      <c r="F193" s="970"/>
    </row>
    <row r="194" spans="1:7" ht="14.25">
      <c r="A194" s="271"/>
      <c r="D194"/>
      <c r="E194" s="970"/>
      <c r="F194" s="970"/>
    </row>
    <row r="195" spans="1:7" ht="12.75"/>
    <row r="196" spans="1:7" ht="14.25">
      <c r="A196" s="271"/>
      <c r="B196" s="616" t="s">
        <v>132</v>
      </c>
      <c r="D196" s="976" t="s">
        <v>1617</v>
      </c>
      <c r="E196" s="976"/>
      <c r="F196" s="976"/>
    </row>
    <row r="197" spans="1:7" ht="14.25">
      <c r="A197" s="271"/>
      <c r="B197" s="271"/>
      <c r="D197" s="976"/>
      <c r="E197" s="976"/>
      <c r="F197" s="976"/>
    </row>
    <row r="198" spans="1:7" ht="14.25">
      <c r="A198" s="271"/>
      <c r="B198" s="271"/>
      <c r="D198" s="976"/>
      <c r="E198" s="976"/>
      <c r="F198" s="976"/>
    </row>
    <row r="199" spans="1:7" ht="14.25">
      <c r="A199" s="271"/>
      <c r="B199" s="271"/>
      <c r="D199" s="976"/>
      <c r="E199" s="976"/>
      <c r="F199" s="976"/>
    </row>
    <row r="200" spans="1:7" ht="12.75">
      <c r="D200" s="1035" t="s">
        <v>2339</v>
      </c>
      <c r="E200" s="1035"/>
      <c r="F200" s="1035"/>
    </row>
    <row r="201" spans="1:7" ht="12.75">
      <c r="D201" s="632"/>
      <c r="E201" s="632"/>
      <c r="F201" s="632"/>
    </row>
    <row r="202" spans="1:7" ht="14.25">
      <c r="A202" s="271"/>
      <c r="B202" s="616" t="s">
        <v>132</v>
      </c>
      <c r="D202" s="996" t="s">
        <v>1618</v>
      </c>
      <c r="E202" s="996"/>
      <c r="F202" s="996"/>
    </row>
    <row r="203" spans="1:7" ht="12.75"/>
    <row r="204" spans="1:7" ht="12.75">
      <c r="A204" s="1001" t="s">
        <v>1447</v>
      </c>
      <c r="B204" s="1001"/>
      <c r="C204" s="1001"/>
      <c r="D204" s="1001"/>
      <c r="E204" s="1001"/>
      <c r="F204" s="1001"/>
      <c r="G204" s="1001"/>
    </row>
    <row r="205" spans="1:7" ht="12.75"/>
    <row r="206" spans="1:7" ht="12.75">
      <c r="C206" s="598"/>
      <c r="D206" s="1010" t="s">
        <v>1446</v>
      </c>
      <c r="E206" s="1010"/>
      <c r="F206" s="1010"/>
    </row>
    <row r="207" spans="1:7" ht="12.75">
      <c r="A207" s="599"/>
      <c r="B207" s="599"/>
      <c r="C207" s="598"/>
      <c r="D207" s="1010" t="s">
        <v>732</v>
      </c>
      <c r="E207" s="1010"/>
      <c r="F207" s="1010"/>
    </row>
    <row r="208" spans="1:7" ht="12.75">
      <c r="A208" s="190"/>
      <c r="B208" s="190"/>
      <c r="C208" s="190"/>
      <c r="D208" s="1000" t="s">
        <v>1478</v>
      </c>
      <c r="E208" s="1000"/>
      <c r="F208" s="1000"/>
    </row>
    <row r="209" spans="1:6" ht="12.75">
      <c r="A209" s="190"/>
      <c r="B209" s="190"/>
      <c r="C209" s="190"/>
    </row>
    <row r="210" spans="1:6" ht="12.75">
      <c r="A210" s="190"/>
      <c r="B210" s="190"/>
      <c r="C210" s="190"/>
      <c r="D210" s="976" t="s">
        <v>1488</v>
      </c>
      <c r="E210" s="976"/>
      <c r="F210" s="976"/>
    </row>
    <row r="211" spans="1:6" ht="12.75">
      <c r="A211" s="190"/>
      <c r="B211" s="190"/>
      <c r="C211" s="190"/>
      <c r="D211" s="976"/>
      <c r="E211" s="976"/>
      <c r="F211" s="976"/>
    </row>
    <row r="212" spans="1:6" ht="12.75">
      <c r="A212" s="190"/>
      <c r="B212" s="190"/>
      <c r="C212" s="190"/>
      <c r="D212" s="976"/>
      <c r="E212" s="976"/>
      <c r="F212" s="976"/>
    </row>
    <row r="213" spans="1:6" ht="12.75">
      <c r="A213" s="190"/>
      <c r="B213" s="190"/>
      <c r="C213" s="190"/>
      <c r="D213" s="976"/>
      <c r="E213" s="976"/>
      <c r="F213" s="976"/>
    </row>
    <row r="214" spans="1:6" ht="12.75">
      <c r="A214" s="190"/>
      <c r="B214" s="190"/>
      <c r="C214" s="190"/>
    </row>
    <row r="215" spans="1:6" ht="12.75">
      <c r="A215" s="190"/>
      <c r="B215" s="190"/>
      <c r="C215" s="190"/>
      <c r="D215" s="970" t="s">
        <v>2255</v>
      </c>
      <c r="E215" s="976"/>
      <c r="F215" s="976"/>
    </row>
    <row r="216" spans="1:6" ht="12.75">
      <c r="A216" s="190"/>
      <c r="B216" s="190"/>
      <c r="C216" s="190"/>
      <c r="D216" s="976"/>
      <c r="E216" s="976"/>
      <c r="F216" s="976"/>
    </row>
    <row r="217" spans="1:6" ht="12.75">
      <c r="A217" s="190"/>
      <c r="B217" s="190"/>
      <c r="C217" s="190"/>
      <c r="D217" s="976"/>
      <c r="E217" s="976"/>
      <c r="F217" s="976"/>
    </row>
    <row r="218" spans="1:6" ht="12.75">
      <c r="A218" s="190"/>
      <c r="B218" s="190"/>
      <c r="C218" s="190"/>
      <c r="D218" s="976"/>
      <c r="E218" s="976"/>
      <c r="F218" s="976"/>
    </row>
    <row r="219" spans="1:6" ht="12.75">
      <c r="A219" s="190"/>
      <c r="B219" s="190"/>
      <c r="C219" s="190"/>
      <c r="D219" s="976"/>
      <c r="E219" s="976"/>
      <c r="F219" s="976"/>
    </row>
    <row r="220" spans="1:6" ht="12.75">
      <c r="A220" s="190"/>
      <c r="B220" s="190"/>
      <c r="C220" s="190"/>
      <c r="D220" s="976"/>
      <c r="E220" s="976"/>
      <c r="F220" s="976"/>
    </row>
    <row r="221" spans="1:6" ht="12.75">
      <c r="A221" s="191"/>
      <c r="B221" s="191"/>
      <c r="C221" s="191"/>
    </row>
    <row r="222" spans="1:6" ht="14.45" customHeight="1">
      <c r="A222" s="271"/>
      <c r="B222" s="616" t="s">
        <v>1438</v>
      </c>
      <c r="C222" s="191"/>
      <c r="D222" s="996" t="s">
        <v>307</v>
      </c>
      <c r="E222" s="996"/>
      <c r="F222" s="996"/>
    </row>
    <row r="223" spans="1:6" ht="14.25">
      <c r="A223" s="271"/>
      <c r="C223" s="191"/>
      <c r="D223" s="1000" t="s">
        <v>1157</v>
      </c>
      <c r="E223" s="1000"/>
      <c r="F223" s="1000"/>
    </row>
    <row r="224" spans="1:6" ht="14.25">
      <c r="A224" s="271"/>
      <c r="B224" s="271"/>
      <c r="C224" s="191"/>
      <c r="D224" s="104" t="s">
        <v>1495</v>
      </c>
      <c r="E224" s="1008" t="s">
        <v>2164</v>
      </c>
      <c r="F224" s="1008"/>
    </row>
    <row r="225" spans="1:6" ht="12.75">
      <c r="D225" s="999" t="s">
        <v>1471</v>
      </c>
      <c r="E225" s="1000"/>
      <c r="F225" s="1000"/>
    </row>
    <row r="226" spans="1:6" ht="12.75"/>
    <row r="227" spans="1:6" ht="14.25">
      <c r="A227" s="271"/>
      <c r="B227" s="616" t="s">
        <v>132</v>
      </c>
      <c r="D227" s="1000" t="s">
        <v>308</v>
      </c>
      <c r="E227" s="1000"/>
      <c r="F227" s="1000"/>
    </row>
    <row r="228" spans="1:6" ht="14.25">
      <c r="A228" s="271"/>
      <c r="D228" s="996" t="s">
        <v>1157</v>
      </c>
      <c r="E228" s="996"/>
      <c r="F228" s="996"/>
    </row>
    <row r="229" spans="1:6" ht="14.25">
      <c r="A229" s="271"/>
      <c r="B229" s="271"/>
      <c r="D229" s="63" t="s">
        <v>1496</v>
      </c>
      <c r="E229" s="1008" t="s">
        <v>2165</v>
      </c>
      <c r="F229" s="1008"/>
    </row>
    <row r="230" spans="1:6" ht="12.75">
      <c r="D230" s="1000" t="s">
        <v>1472</v>
      </c>
      <c r="E230" s="1000"/>
      <c r="F230" s="1000"/>
    </row>
    <row r="231" spans="1:6" ht="12.75"/>
    <row r="232" spans="1:6" ht="14.25">
      <c r="A232" s="271"/>
      <c r="B232" s="616" t="s">
        <v>1438</v>
      </c>
      <c r="D232" s="1000" t="s">
        <v>676</v>
      </c>
      <c r="E232" s="1000"/>
      <c r="F232" s="1000"/>
    </row>
    <row r="233" spans="1:6" ht="14.25">
      <c r="A233" s="271"/>
      <c r="D233" s="44" t="s">
        <v>1157</v>
      </c>
    </row>
    <row r="234" spans="1:6" ht="14.25">
      <c r="A234" s="271"/>
      <c r="B234" s="271"/>
      <c r="D234" s="63" t="s">
        <v>1495</v>
      </c>
      <c r="E234" s="1008" t="s">
        <v>2166</v>
      </c>
      <c r="F234" s="1008"/>
    </row>
    <row r="235" spans="1:6" ht="14.25">
      <c r="A235" s="271"/>
      <c r="B235" s="271"/>
      <c r="D235" s="976" t="s">
        <v>1498</v>
      </c>
      <c r="E235" s="976"/>
      <c r="F235" s="976"/>
    </row>
    <row r="236" spans="1:6" ht="12.75">
      <c r="D236" s="976"/>
      <c r="E236" s="976"/>
      <c r="F236" s="976"/>
    </row>
    <row r="237" spans="1:6" ht="12.75">
      <c r="D237" s="976"/>
      <c r="E237" s="976"/>
      <c r="F237" s="976"/>
    </row>
    <row r="238" spans="1:6" ht="12.75">
      <c r="D238" s="976"/>
      <c r="E238" s="976"/>
      <c r="F238" s="976"/>
    </row>
    <row r="239" spans="1:6" ht="12.75">
      <c r="D239" s="976"/>
      <c r="E239" s="976"/>
      <c r="F239" s="976"/>
    </row>
    <row r="240" spans="1:6" ht="12.75">
      <c r="D240" s="976" t="s">
        <v>1473</v>
      </c>
      <c r="E240" s="976"/>
      <c r="F240" s="976"/>
    </row>
    <row r="241" spans="1:6" ht="12.75">
      <c r="D241" s="44"/>
    </row>
    <row r="242" spans="1:6" ht="14.25">
      <c r="A242" s="271"/>
      <c r="B242" s="616" t="s">
        <v>132</v>
      </c>
      <c r="D242" s="1000" t="s">
        <v>677</v>
      </c>
      <c r="E242" s="1000"/>
      <c r="F242" s="1000"/>
    </row>
    <row r="243" spans="1:6" ht="14.25">
      <c r="A243" s="271"/>
      <c r="D243" s="1000" t="s">
        <v>1157</v>
      </c>
      <c r="E243" s="1000"/>
      <c r="F243" s="1000"/>
    </row>
    <row r="244" spans="1:6" ht="14.25">
      <c r="A244" s="271"/>
      <c r="B244" s="271"/>
      <c r="D244" s="63" t="s">
        <v>1495</v>
      </c>
      <c r="E244" s="1008" t="s">
        <v>2167</v>
      </c>
      <c r="F244" s="1008"/>
    </row>
    <row r="245" spans="1:6" ht="12.75">
      <c r="D245" s="999" t="s">
        <v>2021</v>
      </c>
      <c r="E245" s="1000"/>
      <c r="F245" s="1000"/>
    </row>
    <row r="246" spans="1:6" ht="12.75">
      <c r="D246" s="102"/>
      <c r="E246" s="102"/>
      <c r="F246" s="102"/>
    </row>
    <row r="247" spans="1:6" ht="14.25">
      <c r="A247" s="271"/>
      <c r="B247" s="616" t="s">
        <v>132</v>
      </c>
      <c r="D247" s="999" t="s">
        <v>2020</v>
      </c>
      <c r="E247" s="1000"/>
      <c r="F247" s="1000"/>
    </row>
    <row r="248" spans="1:6" ht="14.25">
      <c r="A248" s="271"/>
      <c r="D248" s="1000" t="s">
        <v>1157</v>
      </c>
      <c r="E248" s="1000"/>
      <c r="F248" s="1000"/>
    </row>
    <row r="249" spans="1:6" ht="14.25">
      <c r="A249" s="271"/>
      <c r="B249" s="271"/>
      <c r="D249" s="63" t="s">
        <v>1495</v>
      </c>
      <c r="E249" s="1008" t="s">
        <v>2168</v>
      </c>
      <c r="F249" s="1008"/>
    </row>
    <row r="250" spans="1:6" ht="12.75">
      <c r="D250" s="999" t="s">
        <v>2022</v>
      </c>
      <c r="E250" s="1000"/>
      <c r="F250" s="1000"/>
    </row>
    <row r="251" spans="1:6" ht="12.75">
      <c r="D251" s="44"/>
    </row>
    <row r="252" spans="1:6" ht="14.25">
      <c r="A252" s="271"/>
      <c r="B252" s="616" t="s">
        <v>132</v>
      </c>
      <c r="D252" s="102" t="s">
        <v>1518</v>
      </c>
      <c r="E252" s="102"/>
      <c r="F252" s="102"/>
    </row>
    <row r="253" spans="1:6" ht="14.25">
      <c r="A253" s="271"/>
      <c r="B253"/>
      <c r="D253" s="970" t="s">
        <v>1825</v>
      </c>
      <c r="E253" s="976"/>
      <c r="F253" s="976"/>
    </row>
    <row r="254" spans="1:6" ht="14.25">
      <c r="A254" s="271"/>
      <c r="D254" s="976"/>
      <c r="E254" s="976"/>
      <c r="F254" s="976"/>
    </row>
    <row r="255" spans="1:6" ht="14.25">
      <c r="A255" s="271"/>
      <c r="D255" s="976"/>
      <c r="E255" s="976"/>
      <c r="F255" s="976"/>
    </row>
    <row r="256" spans="1:6" ht="14.25">
      <c r="A256" s="271"/>
      <c r="D256" s="24"/>
      <c r="E256" s="24"/>
      <c r="F256" s="24"/>
    </row>
    <row r="257" spans="1:7" ht="14.25">
      <c r="A257" s="271"/>
      <c r="B257" s="616" t="s">
        <v>132</v>
      </c>
      <c r="D257" s="1000" t="s">
        <v>1066</v>
      </c>
      <c r="E257" s="1000"/>
      <c r="F257" s="1000"/>
    </row>
    <row r="258" spans="1:7" ht="14.25">
      <c r="A258" s="271"/>
      <c r="D258" s="102"/>
      <c r="E258" s="102"/>
      <c r="F258" s="102"/>
    </row>
    <row r="259" spans="1:7" ht="12.75">
      <c r="A259" s="1001" t="s">
        <v>1449</v>
      </c>
      <c r="B259" s="1001"/>
      <c r="C259" s="1001"/>
      <c r="D259" s="1001"/>
      <c r="E259" s="1001"/>
      <c r="F259" s="1001"/>
      <c r="G259" s="1001"/>
    </row>
    <row r="260" spans="1:7" ht="12.75">
      <c r="D260" s="44"/>
    </row>
    <row r="261" spans="1:7" ht="12.75">
      <c r="C261" s="597"/>
      <c r="D261" s="1002" t="s">
        <v>1448</v>
      </c>
      <c r="E261" s="1002"/>
      <c r="F261" s="1002"/>
    </row>
    <row r="262" spans="1:7" ht="12.75">
      <c r="A262" s="190"/>
      <c r="B262" s="190"/>
      <c r="C262" s="190"/>
      <c r="D262" s="996" t="s">
        <v>1479</v>
      </c>
      <c r="E262" s="996"/>
      <c r="F262" s="996"/>
    </row>
    <row r="263" spans="1:7" ht="12.75">
      <c r="A263" s="18"/>
      <c r="B263" s="18"/>
      <c r="C263" s="18"/>
      <c r="D263" s="3"/>
    </row>
    <row r="264" spans="1:7" ht="12.75">
      <c r="A264" s="18"/>
      <c r="C264" s="18"/>
      <c r="D264" s="1002" t="s">
        <v>223</v>
      </c>
      <c r="E264" s="1002"/>
      <c r="F264" s="1002"/>
      <c r="G264"/>
    </row>
    <row r="265" spans="1:7" ht="14.45" customHeight="1">
      <c r="A265" s="271"/>
      <c r="B265" s="616" t="s">
        <v>1438</v>
      </c>
      <c r="C265" s="887"/>
      <c r="D265" s="1011" t="s">
        <v>2102</v>
      </c>
      <c r="E265" s="1011"/>
      <c r="F265" s="1011"/>
      <c r="G265"/>
    </row>
    <row r="266" spans="1:7" ht="14.25">
      <c r="A266" s="271"/>
      <c r="B266" s="888"/>
      <c r="C266" s="887"/>
      <c r="D266" s="1011"/>
      <c r="E266" s="1011"/>
      <c r="F266" s="1011"/>
      <c r="G266"/>
    </row>
    <row r="267" spans="1:7" ht="14.25">
      <c r="A267" s="271"/>
      <c r="B267" s="888"/>
      <c r="C267" s="887"/>
      <c r="D267" s="1011"/>
      <c r="E267" s="1011"/>
      <c r="F267" s="1011"/>
      <c r="G267"/>
    </row>
    <row r="268" spans="1:7" ht="14.45" customHeight="1">
      <c r="A268" s="271"/>
      <c r="B268" s="888"/>
      <c r="C268" s="887"/>
      <c r="D268" s="1011"/>
      <c r="E268" s="1011"/>
      <c r="F268" s="1011"/>
      <c r="G268"/>
    </row>
    <row r="269" spans="1:7" ht="14.25">
      <c r="A269" s="271"/>
      <c r="B269" s="888"/>
      <c r="C269" s="887"/>
      <c r="D269" s="889"/>
      <c r="E269" s="889"/>
      <c r="F269" s="889"/>
      <c r="G269"/>
    </row>
    <row r="270" spans="1:7" ht="14.25">
      <c r="A270" s="271"/>
      <c r="B270" s="616" t="s">
        <v>1438</v>
      </c>
      <c r="C270" s="887"/>
      <c r="D270" s="1011" t="s">
        <v>2103</v>
      </c>
      <c r="E270" s="1011"/>
      <c r="F270" s="1011"/>
      <c r="G270"/>
    </row>
    <row r="271" spans="1:7" ht="14.25">
      <c r="A271" s="271"/>
      <c r="B271" s="888"/>
      <c r="C271" s="887"/>
      <c r="D271" s="1011"/>
      <c r="E271" s="1011"/>
      <c r="F271" s="1011"/>
      <c r="G271"/>
    </row>
    <row r="272" spans="1:7" ht="14.25">
      <c r="A272" s="271"/>
      <c r="B272" s="888"/>
      <c r="C272" s="887"/>
      <c r="D272" s="1011"/>
      <c r="E272" s="1011"/>
      <c r="F272" s="1011"/>
      <c r="G272"/>
    </row>
    <row r="273" spans="1:7" ht="14.25">
      <c r="A273" s="271"/>
      <c r="B273" s="888"/>
      <c r="C273" s="887"/>
      <c r="D273" s="1011"/>
      <c r="E273" s="1011"/>
      <c r="F273" s="1011"/>
      <c r="G273"/>
    </row>
    <row r="274" spans="1:7" ht="14.25">
      <c r="A274" s="271"/>
      <c r="B274" s="888"/>
      <c r="C274" s="887"/>
      <c r="D274" s="1011"/>
      <c r="E274" s="1011"/>
      <c r="F274" s="1011"/>
      <c r="G274"/>
    </row>
    <row r="275" spans="1:7" ht="14.25">
      <c r="A275" s="271"/>
      <c r="B275" s="888"/>
      <c r="C275" s="887"/>
      <c r="D275" s="889"/>
      <c r="E275" s="889"/>
      <c r="F275" s="889"/>
      <c r="G275"/>
    </row>
    <row r="276" spans="1:7" ht="14.25">
      <c r="A276" s="271"/>
      <c r="B276" s="888"/>
      <c r="C276" s="887"/>
      <c r="D276" s="1011" t="s">
        <v>1627</v>
      </c>
      <c r="E276" s="1011"/>
      <c r="F276" s="1011"/>
      <c r="G276"/>
    </row>
    <row r="277" spans="1:7" ht="14.25">
      <c r="A277" s="271"/>
      <c r="B277" s="888"/>
      <c r="C277" s="887"/>
      <c r="D277" s="1011"/>
      <c r="E277" s="1011"/>
      <c r="F277" s="1011"/>
      <c r="G277"/>
    </row>
    <row r="278" spans="1:7" ht="14.25">
      <c r="A278" s="271"/>
      <c r="B278" s="888"/>
      <c r="C278" s="887"/>
      <c r="D278" s="1011"/>
      <c r="E278" s="1011"/>
      <c r="F278" s="1011"/>
      <c r="G278"/>
    </row>
    <row r="279" spans="1:7" ht="14.25">
      <c r="A279" s="271"/>
      <c r="B279" s="888"/>
      <c r="C279" s="887"/>
      <c r="D279" s="1011"/>
      <c r="E279" s="1011"/>
      <c r="F279" s="1011"/>
      <c r="G279"/>
    </row>
    <row r="280" spans="1:7" ht="14.25">
      <c r="A280" s="271"/>
      <c r="B280" s="888"/>
      <c r="C280" s="887"/>
      <c r="D280" s="1011"/>
      <c r="E280" s="1011"/>
      <c r="F280" s="1011"/>
      <c r="G280"/>
    </row>
    <row r="281" spans="1:7" ht="14.25">
      <c r="A281" s="271"/>
      <c r="B281" s="271"/>
      <c r="D281" s="209"/>
      <c r="E281" s="209"/>
      <c r="F281" s="209"/>
      <c r="G281"/>
    </row>
    <row r="282" spans="1:7" s="452" customFormat="1" ht="14.45" customHeight="1">
      <c r="A282" s="289"/>
      <c r="B282" s="616" t="s">
        <v>132</v>
      </c>
      <c r="C282" s="805"/>
      <c r="D282" s="1009" t="s">
        <v>2015</v>
      </c>
      <c r="E282" s="1009"/>
      <c r="F282" s="1009"/>
      <c r="G282" s="806"/>
    </row>
    <row r="283" spans="1:7" s="452" customFormat="1" ht="14.25">
      <c r="A283" s="289"/>
      <c r="B283" s="805"/>
      <c r="C283" s="805"/>
      <c r="D283" s="1009"/>
      <c r="E283" s="1009"/>
      <c r="F283" s="1009"/>
      <c r="G283" s="806"/>
    </row>
    <row r="284" spans="1:7" s="452" customFormat="1" ht="14.25">
      <c r="A284" s="289"/>
      <c r="B284" s="805"/>
      <c r="C284" s="805"/>
      <c r="D284" s="1009"/>
      <c r="E284" s="1009"/>
      <c r="F284" s="1009"/>
      <c r="G284" s="806"/>
    </row>
    <row r="285" spans="1:7" s="452" customFormat="1" ht="12.75">
      <c r="A285" s="805"/>
      <c r="B285" s="805"/>
      <c r="C285" s="805"/>
      <c r="D285" s="933"/>
      <c r="E285" s="934" t="s">
        <v>2169</v>
      </c>
      <c r="F285" s="933"/>
      <c r="G285" s="806"/>
    </row>
    <row r="286" spans="1:7" ht="14.25">
      <c r="A286" s="271"/>
      <c r="B286" s="271"/>
      <c r="D286" s="44"/>
      <c r="E286"/>
      <c r="F286"/>
      <c r="G286"/>
    </row>
    <row r="287" spans="1:7" ht="14.25">
      <c r="A287" s="271"/>
      <c r="B287" s="616" t="s">
        <v>1438</v>
      </c>
      <c r="D287" s="996" t="s">
        <v>1158</v>
      </c>
      <c r="E287" s="996"/>
      <c r="F287" s="996"/>
      <c r="G287"/>
    </row>
    <row r="288" spans="1:7" ht="14.25">
      <c r="A288" s="271"/>
      <c r="B288" s="271"/>
      <c r="D288" s="996" t="s">
        <v>1628</v>
      </c>
      <c r="E288" s="996"/>
      <c r="F288" s="996"/>
      <c r="G288"/>
    </row>
    <row r="289" spans="1:7" ht="14.25">
      <c r="A289" s="271"/>
      <c r="B289" s="271"/>
      <c r="D289" s="3" t="s">
        <v>1088</v>
      </c>
      <c r="E289" s="934" t="s">
        <v>2170</v>
      </c>
      <c r="F289" s="3"/>
    </row>
    <row r="290" spans="1:7" ht="12.75">
      <c r="D290" s="28"/>
    </row>
    <row r="291" spans="1:7" ht="14.25">
      <c r="A291" s="271"/>
      <c r="B291" s="616" t="s">
        <v>1438</v>
      </c>
      <c r="D291" s="976" t="s">
        <v>1629</v>
      </c>
      <c r="E291" s="976"/>
      <c r="F291" s="976"/>
    </row>
    <row r="292" spans="1:7" ht="14.25">
      <c r="A292" s="271"/>
      <c r="B292" s="271"/>
      <c r="D292" s="976"/>
      <c r="E292" s="976"/>
      <c r="F292" s="976"/>
    </row>
    <row r="293" spans="1:7" ht="12.75">
      <c r="D293" s="28"/>
    </row>
    <row r="294" spans="1:7" ht="12.75">
      <c r="A294" s="1001" t="s">
        <v>1451</v>
      </c>
      <c r="B294" s="1001"/>
      <c r="C294" s="1001"/>
      <c r="D294" s="1001"/>
      <c r="E294" s="1001"/>
      <c r="F294" s="1001"/>
      <c r="G294" s="1001"/>
    </row>
    <row r="295" spans="1:7" ht="12.75">
      <c r="D295" s="28"/>
    </row>
    <row r="296" spans="1:7" ht="12.75">
      <c r="C296" s="597"/>
      <c r="D296" s="1002" t="s">
        <v>1450</v>
      </c>
      <c r="E296" s="1002"/>
      <c r="F296" s="1002"/>
    </row>
    <row r="297" spans="1:7" ht="12.75">
      <c r="A297" s="190"/>
      <c r="B297" s="190"/>
      <c r="C297" s="190"/>
      <c r="D297" s="44"/>
    </row>
    <row r="298" spans="1:7" ht="12.75">
      <c r="A298" s="191"/>
      <c r="B298" s="191"/>
      <c r="C298" s="191"/>
      <c r="D298" s="1002" t="s">
        <v>225</v>
      </c>
      <c r="E298" s="1002"/>
      <c r="F298" s="1002"/>
    </row>
    <row r="299" spans="1:7" ht="14.45" customHeight="1">
      <c r="A299" s="271"/>
      <c r="B299" s="616" t="s">
        <v>1438</v>
      </c>
      <c r="D299" s="970" t="s">
        <v>1967</v>
      </c>
      <c r="E299" s="976"/>
      <c r="F299" s="976"/>
    </row>
    <row r="300" spans="1:7" ht="12.75">
      <c r="D300" s="976"/>
      <c r="E300" s="976"/>
      <c r="F300" s="976"/>
    </row>
    <row r="301" spans="1:7" ht="12.75">
      <c r="D301" s="976"/>
      <c r="E301" s="976"/>
      <c r="F301" s="976"/>
    </row>
    <row r="302" spans="1:7" ht="12.75">
      <c r="D302" s="24"/>
      <c r="E302" s="24"/>
      <c r="F302" s="24"/>
    </row>
    <row r="303" spans="1:7" s="452" customFormat="1" ht="14.45" customHeight="1">
      <c r="A303" s="289"/>
      <c r="B303" s="616" t="s">
        <v>132</v>
      </c>
      <c r="C303" s="805"/>
      <c r="D303" s="1009" t="s">
        <v>2016</v>
      </c>
      <c r="E303" s="1009"/>
      <c r="F303" s="1009"/>
      <c r="G303" s="806"/>
    </row>
    <row r="304" spans="1:7" s="452" customFormat="1" ht="12.75">
      <c r="A304" s="805"/>
      <c r="B304" s="805"/>
      <c r="C304" s="805"/>
      <c r="D304" s="1009"/>
      <c r="E304" s="1009"/>
      <c r="F304" s="1009"/>
      <c r="G304" s="806"/>
    </row>
    <row r="305" spans="1:7" s="452" customFormat="1" ht="12.75">
      <c r="A305" s="805"/>
      <c r="B305" s="805"/>
      <c r="C305" s="805"/>
      <c r="D305" s="1009"/>
      <c r="E305" s="1009"/>
      <c r="F305" s="1009"/>
      <c r="G305" s="806"/>
    </row>
    <row r="306" spans="1:7" s="452" customFormat="1" ht="12.75">
      <c r="A306" s="805"/>
      <c r="B306" s="805"/>
      <c r="C306" s="805"/>
      <c r="E306" s="377" t="s">
        <v>2171</v>
      </c>
      <c r="F306" s="377"/>
      <c r="G306" s="806"/>
    </row>
    <row r="307" spans="1:7" ht="12.75">
      <c r="D307" s="212"/>
    </row>
    <row r="308" spans="1:7" ht="12.75">
      <c r="A308" s="1001" t="s">
        <v>1452</v>
      </c>
      <c r="B308" s="1001"/>
      <c r="C308" s="1001"/>
      <c r="D308" s="1001"/>
      <c r="E308" s="1001"/>
      <c r="F308" s="1001"/>
      <c r="G308" s="1001"/>
    </row>
    <row r="309" spans="1:7" ht="12.75">
      <c r="D309" s="212"/>
    </row>
    <row r="310" spans="1:7" ht="12.75">
      <c r="C310" s="190"/>
      <c r="D310" s="1003" t="s">
        <v>1630</v>
      </c>
      <c r="E310" s="1003"/>
      <c r="F310" s="1003"/>
    </row>
    <row r="311" spans="1:7" ht="12.75">
      <c r="C311" s="190"/>
      <c r="D311" s="1003"/>
      <c r="E311" s="1003"/>
      <c r="F311" s="1003"/>
    </row>
    <row r="312" spans="1:7" ht="12.75">
      <c r="A312" s="191"/>
      <c r="B312" s="191"/>
      <c r="C312" s="191"/>
      <c r="D312" s="3"/>
    </row>
    <row r="313" spans="1:7" ht="12.75">
      <c r="C313" s="191"/>
      <c r="D313" s="1002" t="s">
        <v>173</v>
      </c>
      <c r="E313" s="1002"/>
      <c r="F313" s="1002"/>
    </row>
    <row r="314" spans="1:7" ht="14.25">
      <c r="A314" s="271"/>
      <c r="B314" s="271"/>
      <c r="D314" s="1013" t="s">
        <v>1631</v>
      </c>
      <c r="E314" s="1013"/>
      <c r="F314" s="1013"/>
    </row>
    <row r="315" spans="1:7" ht="12" customHeight="1"/>
    <row r="316" spans="1:7" ht="14.45" customHeight="1">
      <c r="A316" s="271"/>
      <c r="B316" s="616" t="s">
        <v>132</v>
      </c>
      <c r="D316" s="976" t="s">
        <v>1632</v>
      </c>
      <c r="E316" s="976"/>
      <c r="F316" s="976"/>
    </row>
    <row r="317" spans="1:7" ht="14.25">
      <c r="A317" s="271"/>
      <c r="B317" s="271"/>
      <c r="D317" s="976"/>
      <c r="E317" s="976"/>
      <c r="F317" s="976"/>
    </row>
    <row r="318" spans="1:7" ht="12.75"/>
    <row r="319" spans="1:7" ht="14.45" customHeight="1">
      <c r="A319" s="271"/>
      <c r="B319" s="616" t="s">
        <v>132</v>
      </c>
      <c r="D319" s="976" t="s">
        <v>1633</v>
      </c>
      <c r="E319" s="976"/>
      <c r="F319" s="976"/>
    </row>
    <row r="320" spans="1:7" ht="14.25">
      <c r="A320" s="271"/>
      <c r="B320" s="271"/>
      <c r="D320" s="976"/>
      <c r="E320" s="976"/>
      <c r="F320" s="976"/>
    </row>
    <row r="321" spans="1:7" ht="14.25">
      <c r="A321" s="271"/>
      <c r="B321" s="271"/>
      <c r="D321" s="976"/>
      <c r="E321" s="976"/>
      <c r="F321" s="976"/>
    </row>
    <row r="322" spans="1:7" ht="12.75">
      <c r="D322" s="44"/>
      <c r="E322"/>
      <c r="F322"/>
      <c r="G322"/>
    </row>
    <row r="323" spans="1:7" ht="14.25">
      <c r="A323" s="271"/>
      <c r="B323" s="616" t="s">
        <v>132</v>
      </c>
      <c r="D323" s="976" t="s">
        <v>1634</v>
      </c>
      <c r="E323" s="976"/>
      <c r="F323" s="976"/>
    </row>
    <row r="324" spans="1:7" ht="14.25">
      <c r="A324" s="271"/>
      <c r="B324" s="271"/>
      <c r="D324" s="976"/>
      <c r="E324" s="976"/>
      <c r="F324" s="976"/>
    </row>
    <row r="325" spans="1:7" ht="12.75">
      <c r="A325" s="18"/>
      <c r="B325" s="18"/>
      <c r="D325" s="44"/>
    </row>
    <row r="326" spans="1:7" ht="12.75">
      <c r="A326" s="1001" t="s">
        <v>1439</v>
      </c>
      <c r="B326" s="1001"/>
      <c r="C326" s="1001"/>
      <c r="D326" s="1001"/>
      <c r="E326" s="1001"/>
      <c r="F326" s="1001"/>
      <c r="G326" s="1001"/>
    </row>
    <row r="327" spans="1:7" ht="12.75">
      <c r="A327" s="18"/>
      <c r="B327" s="18"/>
      <c r="D327" s="44"/>
      <c r="G327"/>
    </row>
    <row r="328" spans="1:7" ht="12.75">
      <c r="C328" s="18"/>
      <c r="D328" s="1002" t="s">
        <v>174</v>
      </c>
      <c r="E328" s="1002"/>
      <c r="F328" s="1002"/>
      <c r="G328"/>
    </row>
    <row r="329" spans="1:7" ht="12.75">
      <c r="C329" s="18"/>
      <c r="D329" s="996" t="s">
        <v>1480</v>
      </c>
      <c r="E329" s="996"/>
      <c r="F329" s="996"/>
      <c r="G329"/>
    </row>
    <row r="330" spans="1:7" ht="12.75">
      <c r="C330" s="18"/>
      <c r="D330" s="182"/>
      <c r="G330"/>
    </row>
    <row r="331" spans="1:7" ht="12.75">
      <c r="B331" s="616" t="s">
        <v>132</v>
      </c>
      <c r="D331" s="996" t="s">
        <v>1635</v>
      </c>
      <c r="E331" s="996"/>
      <c r="F331" s="996"/>
      <c r="G331"/>
    </row>
    <row r="332" spans="1:7" ht="14.25">
      <c r="A332" s="271"/>
      <c r="B332" s="271"/>
      <c r="D332" s="424"/>
      <c r="G332"/>
    </row>
    <row r="333" spans="1:7" ht="14.25">
      <c r="A333" s="271"/>
      <c r="B333" s="616" t="s">
        <v>132</v>
      </c>
      <c r="D333" s="996" t="s">
        <v>1636</v>
      </c>
      <c r="E333" s="996"/>
      <c r="F333" s="996"/>
      <c r="G333"/>
    </row>
    <row r="334" spans="1:7" ht="12.75">
      <c r="G334"/>
    </row>
    <row r="335" spans="1:7" ht="14.45" customHeight="1">
      <c r="A335" s="271"/>
      <c r="B335" s="616" t="s">
        <v>132</v>
      </c>
      <c r="D335" s="976" t="s">
        <v>1642</v>
      </c>
      <c r="E335" s="976"/>
      <c r="F335" s="976"/>
      <c r="G335"/>
    </row>
    <row r="336" spans="1:7" ht="14.25">
      <c r="A336" s="271"/>
      <c r="B336" s="271"/>
      <c r="D336" s="976"/>
      <c r="E336" s="976"/>
      <c r="F336" s="976"/>
      <c r="G336"/>
    </row>
    <row r="337" spans="1:7" ht="14.25">
      <c r="A337" s="271"/>
      <c r="B337" s="271"/>
      <c r="D337" s="976"/>
      <c r="E337" s="976"/>
      <c r="F337" s="976"/>
      <c r="G337"/>
    </row>
    <row r="338" spans="1:7" ht="14.25">
      <c r="A338" s="271"/>
      <c r="B338" s="271"/>
      <c r="D338" s="976"/>
      <c r="E338" s="976"/>
      <c r="F338" s="976"/>
      <c r="G338"/>
    </row>
    <row r="339" spans="1:7" ht="14.25">
      <c r="A339" s="271"/>
      <c r="B339" s="271"/>
      <c r="D339" s="976"/>
      <c r="E339" s="976"/>
      <c r="F339" s="976"/>
      <c r="G339"/>
    </row>
    <row r="340" spans="1:7" ht="14.25">
      <c r="A340" s="271"/>
      <c r="B340" s="271"/>
      <c r="D340" s="976"/>
      <c r="E340" s="976"/>
      <c r="F340" s="976"/>
      <c r="G340"/>
    </row>
    <row r="341" spans="1:7" ht="14.25">
      <c r="A341" s="271"/>
      <c r="B341" s="271"/>
      <c r="D341" s="976"/>
      <c r="E341" s="976"/>
      <c r="F341" s="976"/>
      <c r="G341"/>
    </row>
    <row r="342" spans="1:7" ht="14.25">
      <c r="A342" s="271"/>
      <c r="B342" s="271"/>
      <c r="D342" s="976"/>
      <c r="E342" s="976"/>
      <c r="F342" s="976"/>
      <c r="G342"/>
    </row>
    <row r="343" spans="1:7" ht="14.25">
      <c r="A343" s="271"/>
      <c r="B343" s="271"/>
      <c r="D343" s="976"/>
      <c r="E343" s="976"/>
      <c r="F343" s="976"/>
    </row>
    <row r="344" spans="1:7" ht="14.25">
      <c r="A344" s="271"/>
      <c r="B344" s="271"/>
      <c r="D344" s="976"/>
      <c r="E344" s="976"/>
      <c r="F344" s="976"/>
    </row>
    <row r="345" spans="1:7" ht="14.25">
      <c r="A345" s="271"/>
      <c r="B345" s="271"/>
      <c r="D345" s="976"/>
      <c r="E345" s="976"/>
      <c r="F345" s="976"/>
    </row>
    <row r="346" spans="1:7" ht="14.25">
      <c r="A346" s="271"/>
      <c r="B346" s="271"/>
      <c r="D346" s="976"/>
      <c r="E346" s="976"/>
      <c r="F346" s="976"/>
    </row>
    <row r="347" spans="1:7" ht="14.25">
      <c r="A347" s="271"/>
      <c r="B347" s="271"/>
      <c r="D347" s="976"/>
      <c r="E347" s="976"/>
      <c r="F347" s="976"/>
    </row>
    <row r="348" spans="1:7" ht="14.25">
      <c r="A348" s="271"/>
      <c r="B348" s="271"/>
      <c r="D348" s="976"/>
      <c r="E348" s="976"/>
      <c r="F348" s="976"/>
    </row>
    <row r="349" spans="1:7" ht="14.25">
      <c r="A349" s="271"/>
      <c r="B349" s="271"/>
      <c r="D349" s="976"/>
      <c r="E349" s="976"/>
      <c r="F349" s="976"/>
    </row>
    <row r="350" spans="1:7" ht="12.75"/>
    <row r="351" spans="1:7" ht="14.45" customHeight="1">
      <c r="A351" s="271"/>
      <c r="B351" s="616" t="s">
        <v>132</v>
      </c>
      <c r="D351" s="976" t="s">
        <v>1637</v>
      </c>
      <c r="E351" s="976"/>
      <c r="F351" s="976"/>
    </row>
    <row r="352" spans="1:7" ht="12.75">
      <c r="D352" s="976"/>
      <c r="E352" s="976"/>
      <c r="F352" s="976"/>
    </row>
    <row r="353" spans="1:6" ht="12.75">
      <c r="D353" s="976"/>
      <c r="E353" s="976"/>
      <c r="F353" s="976"/>
    </row>
    <row r="354" spans="1:6" ht="12.75">
      <c r="D354" s="976"/>
      <c r="E354" s="976"/>
      <c r="F354" s="976"/>
    </row>
    <row r="355" spans="1:6" ht="12.75">
      <c r="D355" s="976"/>
      <c r="E355" s="976"/>
      <c r="F355" s="976"/>
    </row>
    <row r="356" spans="1:6" ht="12.75">
      <c r="D356" s="976"/>
      <c r="E356" s="976"/>
      <c r="F356" s="976"/>
    </row>
    <row r="357" spans="1:6" ht="12.75">
      <c r="D357" s="976"/>
      <c r="E357" s="976"/>
      <c r="F357" s="976"/>
    </row>
    <row r="358" spans="1:6" ht="12.75">
      <c r="D358" s="976"/>
      <c r="E358" s="976"/>
      <c r="F358" s="976"/>
    </row>
    <row r="359" spans="1:6" ht="12.75">
      <c r="D359" s="976"/>
      <c r="E359" s="976"/>
      <c r="F359" s="976"/>
    </row>
    <row r="360" spans="1:6" ht="12.75">
      <c r="E360" s="44"/>
      <c r="F360" s="44"/>
    </row>
    <row r="361" spans="1:6" ht="14.25" customHeight="1">
      <c r="A361" s="271"/>
      <c r="B361" s="616" t="s">
        <v>132</v>
      </c>
      <c r="D361" s="990" t="s">
        <v>2172</v>
      </c>
      <c r="E361" s="990"/>
      <c r="F361" s="990"/>
    </row>
    <row r="362" spans="1:6" ht="12.75">
      <c r="D362" s="990"/>
      <c r="E362" s="990"/>
      <c r="F362" s="990"/>
    </row>
    <row r="363" spans="1:6" ht="12.75">
      <c r="D363" s="990"/>
      <c r="E363" s="990"/>
      <c r="F363" s="990"/>
    </row>
    <row r="364" spans="1:6" ht="12.75">
      <c r="D364" s="990"/>
      <c r="E364" s="990"/>
      <c r="F364" s="990"/>
    </row>
    <row r="365" spans="1:6" ht="12.75">
      <c r="D365" s="990"/>
      <c r="E365" s="990"/>
      <c r="F365" s="990"/>
    </row>
    <row r="366" spans="1:6" ht="12.75">
      <c r="D366" s="209"/>
      <c r="E366" s="104" t="s">
        <v>2173</v>
      </c>
      <c r="F366" s="209"/>
    </row>
    <row r="367" spans="1:6" ht="13.5" thickBot="1">
      <c r="D367" s="784"/>
      <c r="E367" s="98"/>
      <c r="F367" s="98"/>
    </row>
    <row r="368" spans="1:6" ht="14.25" thickTop="1" thickBot="1">
      <c r="D368" s="1012" t="s">
        <v>1317</v>
      </c>
      <c r="E368" s="1012"/>
      <c r="F368" s="1012"/>
    </row>
    <row r="369" spans="1:6" ht="13.5" thickTop="1">
      <c r="D369" s="1014" t="s">
        <v>1638</v>
      </c>
      <c r="E369" s="1014"/>
      <c r="F369" s="1014"/>
    </row>
    <row r="370" spans="1:6" ht="12.75">
      <c r="D370" s="44"/>
    </row>
    <row r="371" spans="1:6" ht="14.25">
      <c r="A371" s="271"/>
      <c r="B371" s="616" t="s">
        <v>132</v>
      </c>
      <c r="C371" s="365"/>
      <c r="D371" s="1006" t="s">
        <v>2256</v>
      </c>
      <c r="E371" s="1006"/>
      <c r="F371" s="1006"/>
    </row>
    <row r="372" spans="1:6" ht="14.25">
      <c r="A372" s="271"/>
      <c r="B372" s="271"/>
      <c r="C372" s="365"/>
      <c r="D372" s="424"/>
    </row>
    <row r="373" spans="1:6" ht="14.25">
      <c r="A373" s="271"/>
      <c r="B373" s="616" t="s">
        <v>132</v>
      </c>
      <c r="C373" s="365"/>
      <c r="D373" s="971" t="s">
        <v>2257</v>
      </c>
      <c r="E373" s="994"/>
      <c r="F373" s="994"/>
    </row>
    <row r="374" spans="1:6" ht="14.25">
      <c r="A374" s="271"/>
      <c r="B374" s="271"/>
      <c r="C374" s="365"/>
      <c r="D374" s="994"/>
      <c r="E374" s="994"/>
      <c r="F374" s="994"/>
    </row>
    <row r="375" spans="1:6" ht="14.25">
      <c r="A375" s="271"/>
      <c r="B375" s="271"/>
      <c r="C375" s="365"/>
      <c r="D375" s="994"/>
      <c r="E375" s="994"/>
      <c r="F375" s="994"/>
    </row>
    <row r="376" spans="1:6" ht="14.25">
      <c r="A376" s="271"/>
      <c r="B376" s="271"/>
      <c r="C376" s="365"/>
      <c r="D376" s="994"/>
      <c r="E376" s="994"/>
      <c r="F376" s="994"/>
    </row>
    <row r="377" spans="1:6" ht="14.25">
      <c r="A377" s="271"/>
      <c r="B377" s="271"/>
      <c r="C377" s="365"/>
      <c r="D377" s="994"/>
      <c r="E377" s="994"/>
      <c r="F377" s="994"/>
    </row>
    <row r="378" spans="1:6" ht="14.25">
      <c r="A378" s="271"/>
      <c r="B378" s="271"/>
      <c r="C378" s="365"/>
      <c r="D378" s="994"/>
      <c r="E378" s="994"/>
      <c r="F378" s="994"/>
    </row>
    <row r="379" spans="1:6" ht="14.25">
      <c r="A379" s="271"/>
      <c r="B379" s="271"/>
      <c r="C379" s="365"/>
      <c r="D379" s="994"/>
      <c r="E379" s="994"/>
      <c r="F379" s="994"/>
    </row>
    <row r="380" spans="1:6" ht="14.25">
      <c r="A380" s="271"/>
      <c r="B380" s="271"/>
      <c r="C380" s="365"/>
      <c r="D380" s="994"/>
      <c r="E380" s="994"/>
      <c r="F380" s="994"/>
    </row>
    <row r="381" spans="1:6" ht="14.25">
      <c r="A381" s="271"/>
      <c r="B381" s="271"/>
      <c r="C381" s="365"/>
      <c r="D381" s="994"/>
      <c r="E381" s="994"/>
      <c r="F381" s="994"/>
    </row>
    <row r="382" spans="1:6" ht="14.25">
      <c r="A382" s="271"/>
      <c r="B382" s="271"/>
      <c r="C382" s="365"/>
      <c r="D382" s="994"/>
      <c r="E382" s="994"/>
      <c r="F382" s="994"/>
    </row>
    <row r="383" spans="1:6" ht="14.25">
      <c r="A383" s="271"/>
      <c r="B383" s="271"/>
      <c r="C383" s="365"/>
      <c r="D383" s="634"/>
      <c r="E383" s="634"/>
      <c r="F383" s="634"/>
    </row>
    <row r="384" spans="1:6" ht="14.25">
      <c r="A384" s="271"/>
      <c r="B384" s="616" t="s">
        <v>132</v>
      </c>
      <c r="C384" s="365"/>
      <c r="D384" s="994" t="s">
        <v>1639</v>
      </c>
      <c r="E384" s="994"/>
      <c r="F384" s="994"/>
    </row>
    <row r="385" spans="1:6" ht="12.75">
      <c r="A385" s="365"/>
      <c r="B385" s="365"/>
      <c r="C385" s="365"/>
      <c r="D385" s="994"/>
      <c r="E385" s="994"/>
      <c r="F385" s="994"/>
    </row>
    <row r="386" spans="1:6" ht="12.75">
      <c r="A386" s="365"/>
      <c r="B386" s="365"/>
      <c r="C386" s="365"/>
      <c r="D386" s="994"/>
      <c r="E386" s="994"/>
      <c r="F386" s="994"/>
    </row>
    <row r="387" spans="1:6" ht="12.75">
      <c r="A387" s="365"/>
      <c r="B387" s="365"/>
      <c r="C387" s="365"/>
      <c r="D387" s="994"/>
      <c r="E387" s="994"/>
      <c r="F387" s="994"/>
    </row>
    <row r="388" spans="1:6" ht="12.75">
      <c r="A388" s="365"/>
      <c r="B388" s="365"/>
      <c r="C388" s="365"/>
      <c r="D388" s="634"/>
      <c r="E388" s="634"/>
      <c r="F388" s="634"/>
    </row>
    <row r="389" spans="1:6" ht="12.75">
      <c r="A389" s="365"/>
      <c r="B389" s="365"/>
      <c r="C389" s="365"/>
      <c r="D389" s="994" t="s">
        <v>1640</v>
      </c>
      <c r="E389" s="994"/>
      <c r="F389" s="994"/>
    </row>
    <row r="390" spans="1:6" ht="12.75">
      <c r="A390" s="365"/>
      <c r="B390" s="365"/>
      <c r="C390" s="365"/>
      <c r="D390" s="994"/>
      <c r="E390" s="994"/>
      <c r="F390" s="994"/>
    </row>
    <row r="391" spans="1:6" ht="12.75">
      <c r="A391" s="365"/>
      <c r="B391" s="365"/>
      <c r="C391" s="365"/>
      <c r="D391" s="994"/>
      <c r="E391" s="994"/>
      <c r="F391" s="994"/>
    </row>
    <row r="392" spans="1:6" ht="12.75">
      <c r="A392" s="365"/>
      <c r="B392" s="365"/>
      <c r="C392" s="365"/>
      <c r="D392" s="994"/>
      <c r="E392" s="994"/>
      <c r="F392" s="994"/>
    </row>
    <row r="393" spans="1:6" ht="12.75">
      <c r="A393" s="365"/>
      <c r="B393" s="365"/>
      <c r="C393" s="365"/>
      <c r="D393" s="994"/>
      <c r="E393" s="994"/>
      <c r="F393" s="994"/>
    </row>
    <row r="394" spans="1:6" ht="12.75">
      <c r="A394" s="365"/>
      <c r="B394" s="365"/>
      <c r="C394" s="365"/>
      <c r="D394" s="994"/>
      <c r="E394" s="994"/>
      <c r="F394" s="994"/>
    </row>
    <row r="395" spans="1:6" ht="12.75">
      <c r="A395" s="365"/>
      <c r="B395" s="365"/>
      <c r="C395" s="365"/>
      <c r="D395" s="994"/>
      <c r="E395" s="994"/>
      <c r="F395" s="994"/>
    </row>
    <row r="396" spans="1:6" ht="12.75">
      <c r="A396" s="365"/>
      <c r="B396" s="365"/>
      <c r="C396" s="365"/>
      <c r="D396" s="994"/>
      <c r="E396" s="994"/>
      <c r="F396" s="994"/>
    </row>
    <row r="397" spans="1:6" ht="12.75">
      <c r="A397" s="365"/>
      <c r="B397" s="365"/>
      <c r="C397" s="365"/>
      <c r="D397" s="994"/>
      <c r="E397" s="994"/>
      <c r="F397" s="994"/>
    </row>
    <row r="398" spans="1:6" ht="13.7" customHeight="1">
      <c r="A398" s="365"/>
      <c r="B398" s="365"/>
      <c r="C398" s="365"/>
      <c r="D398" s="994" t="s">
        <v>1643</v>
      </c>
      <c r="E398" s="994"/>
      <c r="F398" s="994"/>
    </row>
    <row r="399" spans="1:6" ht="13.7" customHeight="1">
      <c r="A399" s="365"/>
      <c r="B399" s="365"/>
      <c r="C399" s="365"/>
      <c r="D399" s="994"/>
      <c r="E399" s="994"/>
      <c r="F399" s="994"/>
    </row>
    <row r="400" spans="1:6" ht="13.7" customHeight="1">
      <c r="A400" s="365"/>
      <c r="B400" s="365"/>
      <c r="C400" s="365"/>
      <c r="D400" s="994"/>
      <c r="E400" s="994"/>
      <c r="F400" s="994"/>
    </row>
    <row r="401" spans="1:6" ht="13.7" customHeight="1">
      <c r="A401" s="365"/>
      <c r="B401" s="365"/>
      <c r="C401" s="365"/>
      <c r="D401" s="994"/>
      <c r="E401" s="994"/>
      <c r="F401" s="994"/>
    </row>
    <row r="402" spans="1:6" ht="13.7" customHeight="1">
      <c r="A402" s="365"/>
      <c r="B402" s="365"/>
      <c r="C402" s="365"/>
      <c r="D402" s="994"/>
      <c r="E402" s="994"/>
      <c r="F402" s="994"/>
    </row>
    <row r="403" spans="1:6" ht="13.7" customHeight="1">
      <c r="A403" s="365"/>
      <c r="B403" s="365"/>
      <c r="C403" s="365"/>
      <c r="D403" s="994"/>
      <c r="E403" s="994"/>
      <c r="F403" s="994"/>
    </row>
    <row r="404" spans="1:6" ht="13.7" customHeight="1">
      <c r="A404" s="365"/>
      <c r="B404" s="365"/>
      <c r="C404" s="365"/>
      <c r="D404" s="994"/>
      <c r="E404" s="994"/>
      <c r="F404" s="994"/>
    </row>
    <row r="405" spans="1:6" ht="13.7" customHeight="1">
      <c r="A405" s="365"/>
      <c r="B405" s="365"/>
      <c r="C405" s="365"/>
      <c r="D405" s="994"/>
      <c r="E405" s="994"/>
      <c r="F405" s="994"/>
    </row>
    <row r="406" spans="1:6" ht="13.7" customHeight="1">
      <c r="A406" s="365"/>
      <c r="B406" s="365"/>
      <c r="C406" s="365"/>
      <c r="D406" s="994"/>
      <c r="E406" s="994"/>
      <c r="F406" s="994"/>
    </row>
    <row r="407" spans="1:6" ht="13.7" customHeight="1">
      <c r="A407" s="365"/>
      <c r="B407" s="365"/>
      <c r="C407" s="365"/>
      <c r="D407" s="994"/>
      <c r="E407" s="994"/>
      <c r="F407" s="994"/>
    </row>
    <row r="408" spans="1:6" ht="13.7" customHeight="1">
      <c r="A408" s="365"/>
      <c r="B408" s="365"/>
      <c r="C408" s="365"/>
      <c r="D408" s="994"/>
      <c r="E408" s="994"/>
      <c r="F408" s="994"/>
    </row>
    <row r="409" spans="1:6" ht="13.7" customHeight="1">
      <c r="A409" s="365"/>
      <c r="B409" s="365"/>
      <c r="C409" s="365"/>
      <c r="D409" s="994"/>
      <c r="E409" s="994"/>
      <c r="F409" s="994"/>
    </row>
    <row r="410" spans="1:6" ht="13.7" customHeight="1">
      <c r="A410" s="365"/>
      <c r="B410" s="365"/>
      <c r="C410" s="365"/>
      <c r="D410" s="994"/>
      <c r="E410" s="994"/>
      <c r="F410" s="994"/>
    </row>
    <row r="411" spans="1:6" ht="13.7" customHeight="1">
      <c r="A411" s="365"/>
      <c r="B411" s="365"/>
      <c r="C411" s="365"/>
      <c r="D411" s="994"/>
      <c r="E411" s="994"/>
      <c r="F411" s="994"/>
    </row>
    <row r="412" spans="1:6" ht="13.7" customHeight="1">
      <c r="A412" s="365"/>
      <c r="B412" s="365"/>
      <c r="C412" s="365"/>
      <c r="D412" s="994"/>
      <c r="E412" s="994"/>
      <c r="F412" s="994"/>
    </row>
    <row r="413" spans="1:6" ht="13.7" customHeight="1">
      <c r="A413" s="365"/>
      <c r="B413" s="365"/>
      <c r="C413" s="365"/>
      <c r="D413" s="994"/>
      <c r="E413" s="994"/>
      <c r="F413" s="994"/>
    </row>
    <row r="414" spans="1:6" ht="13.7" customHeight="1">
      <c r="A414" s="365"/>
      <c r="B414" s="365"/>
      <c r="C414" s="365"/>
      <c r="D414" s="994"/>
      <c r="E414" s="994"/>
      <c r="F414" s="994"/>
    </row>
    <row r="415" spans="1:6" ht="13.7" customHeight="1">
      <c r="A415" s="365"/>
      <c r="B415" s="365"/>
      <c r="C415" s="365"/>
      <c r="D415" s="994"/>
      <c r="E415" s="994"/>
      <c r="F415" s="994"/>
    </row>
    <row r="416" spans="1:6" ht="12.75">
      <c r="A416" s="365"/>
      <c r="B416" s="365"/>
      <c r="C416" s="365"/>
      <c r="D416" s="424"/>
    </row>
    <row r="417" spans="1:6" ht="13.7" customHeight="1">
      <c r="A417" s="365"/>
      <c r="B417" s="616" t="s">
        <v>132</v>
      </c>
      <c r="C417" s="365"/>
      <c r="D417" s="994" t="s">
        <v>1641</v>
      </c>
      <c r="E417" s="994"/>
      <c r="F417" s="994"/>
    </row>
    <row r="418" spans="1:6" ht="12.75">
      <c r="A418" s="365"/>
      <c r="B418" s="365"/>
      <c r="C418" s="365"/>
      <c r="D418" s="994"/>
      <c r="E418" s="994"/>
      <c r="F418" s="994"/>
    </row>
    <row r="419" spans="1:6" ht="12.75">
      <c r="A419" s="365"/>
      <c r="B419" s="365"/>
      <c r="C419" s="365"/>
      <c r="D419" s="634"/>
      <c r="E419" s="634"/>
      <c r="F419" s="634"/>
    </row>
    <row r="420" spans="1:6" ht="12.75">
      <c r="A420" s="365"/>
      <c r="B420" s="616" t="s">
        <v>132</v>
      </c>
      <c r="C420" s="365"/>
      <c r="D420" s="997" t="s">
        <v>1964</v>
      </c>
      <c r="E420" s="997"/>
      <c r="F420" s="997"/>
    </row>
    <row r="421" spans="1:6" ht="12.75">
      <c r="A421" s="365"/>
      <c r="B421" s="365"/>
      <c r="C421" s="365"/>
      <c r="D421" s="997"/>
      <c r="E421" s="997"/>
      <c r="F421" s="997"/>
    </row>
    <row r="422" spans="1:6" ht="12.75">
      <c r="A422" s="365"/>
      <c r="B422" s="365"/>
      <c r="C422" s="365"/>
      <c r="D422" s="997"/>
      <c r="E422" s="997"/>
      <c r="F422" s="997"/>
    </row>
    <row r="423" spans="1:6" ht="12.75">
      <c r="A423" s="365"/>
      <c r="B423" s="365"/>
      <c r="C423" s="365"/>
      <c r="D423" s="997"/>
      <c r="E423" s="997"/>
      <c r="F423" s="997"/>
    </row>
    <row r="424" spans="1:6" ht="12.75">
      <c r="A424" s="365"/>
      <c r="B424" s="365"/>
      <c r="C424" s="365"/>
      <c r="D424" s="997"/>
      <c r="E424" s="997"/>
      <c r="F424" s="997"/>
    </row>
    <row r="425" spans="1:6" ht="12.75">
      <c r="A425" s="365"/>
      <c r="B425" s="365"/>
      <c r="C425" s="365"/>
      <c r="D425" s="997"/>
      <c r="E425" s="997"/>
      <c r="F425" s="997"/>
    </row>
    <row r="426" spans="1:6" ht="14.45" customHeight="1">
      <c r="A426" s="271"/>
      <c r="B426" s="616" t="s">
        <v>132</v>
      </c>
      <c r="C426" s="365"/>
      <c r="D426" s="997" t="s">
        <v>1945</v>
      </c>
      <c r="E426" s="997"/>
      <c r="F426" s="997"/>
    </row>
    <row r="427" spans="1:6" ht="14.25">
      <c r="A427" s="507"/>
      <c r="B427" s="507"/>
      <c r="C427" s="365"/>
      <c r="D427" s="997"/>
      <c r="E427" s="997"/>
      <c r="F427" s="997"/>
    </row>
    <row r="428" spans="1:6" ht="14.25">
      <c r="A428" s="507"/>
      <c r="B428" s="507"/>
      <c r="C428" s="365"/>
      <c r="D428" s="997"/>
      <c r="E428" s="997"/>
      <c r="F428" s="997"/>
    </row>
    <row r="429" spans="1:6" ht="14.25">
      <c r="A429" s="507"/>
      <c r="B429" s="507"/>
      <c r="C429" s="365"/>
      <c r="D429" s="997"/>
      <c r="E429" s="997"/>
      <c r="F429" s="997"/>
    </row>
    <row r="430" spans="1:6" ht="14.25" customHeight="1">
      <c r="A430" s="507"/>
      <c r="B430" s="507"/>
      <c r="C430" s="365"/>
      <c r="D430" s="998" t="s">
        <v>1960</v>
      </c>
      <c r="E430" s="998"/>
      <c r="F430" s="998"/>
    </row>
    <row r="431" spans="1:6" ht="12.75">
      <c r="D431" s="44"/>
    </row>
    <row r="432" spans="1:6" ht="14.45" customHeight="1">
      <c r="A432" s="271"/>
      <c r="B432" s="616" t="s">
        <v>132</v>
      </c>
      <c r="C432" s="207"/>
      <c r="D432" s="976" t="s">
        <v>2258</v>
      </c>
      <c r="E432" s="976"/>
      <c r="F432" s="976"/>
    </row>
    <row r="433" spans="1:6" ht="14.25">
      <c r="A433" s="271"/>
      <c r="B433" s="271"/>
      <c r="D433" s="976"/>
      <c r="E433" s="976"/>
      <c r="F433" s="976"/>
    </row>
    <row r="434" spans="1:6" ht="14.25">
      <c r="A434" s="271"/>
      <c r="B434" s="271"/>
      <c r="D434" s="976"/>
      <c r="E434" s="976"/>
      <c r="F434" s="976"/>
    </row>
    <row r="435" spans="1:6" ht="14.25">
      <c r="A435" s="271"/>
      <c r="B435" s="271"/>
      <c r="D435" s="976"/>
      <c r="E435" s="976"/>
      <c r="F435" s="976"/>
    </row>
    <row r="436" spans="1:6" ht="14.25">
      <c r="A436" s="271"/>
      <c r="B436" s="271"/>
      <c r="D436" s="976"/>
      <c r="E436" s="976"/>
      <c r="F436" s="976"/>
    </row>
    <row r="437" spans="1:6" ht="14.25">
      <c r="A437" s="271"/>
      <c r="B437" s="271"/>
      <c r="D437" s="976"/>
      <c r="E437" s="976"/>
      <c r="F437" s="976"/>
    </row>
    <row r="438" spans="1:6" ht="14.25">
      <c r="A438" s="271"/>
      <c r="B438" s="271"/>
      <c r="D438" s="976"/>
      <c r="E438" s="976"/>
      <c r="F438" s="976"/>
    </row>
    <row r="439" spans="1:6" ht="14.25">
      <c r="A439" s="271"/>
      <c r="B439" s="271"/>
      <c r="D439" s="976"/>
      <c r="E439" s="976"/>
      <c r="F439" s="976"/>
    </row>
    <row r="440" spans="1:6" ht="14.25">
      <c r="A440" s="271"/>
      <c r="B440" s="271"/>
      <c r="D440" s="976"/>
      <c r="E440" s="976"/>
      <c r="F440" s="976"/>
    </row>
    <row r="441" spans="1:6" ht="14.25">
      <c r="A441" s="271"/>
      <c r="B441" s="271"/>
      <c r="D441" s="976"/>
      <c r="E441" s="976"/>
      <c r="F441" s="976"/>
    </row>
    <row r="442" spans="1:6" ht="14.25">
      <c r="A442" s="271"/>
      <c r="B442" s="271"/>
      <c r="D442" s="976"/>
      <c r="E442" s="976"/>
      <c r="F442" s="976"/>
    </row>
    <row r="443" spans="1:6" ht="14.25">
      <c r="A443" s="271"/>
      <c r="B443" s="271"/>
      <c r="D443" s="976"/>
      <c r="E443" s="976"/>
      <c r="F443" s="976"/>
    </row>
    <row r="444" spans="1:6" ht="14.25">
      <c r="A444" s="271"/>
      <c r="B444" s="271"/>
      <c r="D444" s="976"/>
      <c r="E444" s="976"/>
      <c r="F444" s="976"/>
    </row>
    <row r="445" spans="1:6" ht="14.25">
      <c r="A445" s="271"/>
      <c r="B445" s="271"/>
      <c r="D445" s="976"/>
      <c r="E445" s="976"/>
      <c r="F445" s="976"/>
    </row>
    <row r="446" spans="1:6" ht="14.25">
      <c r="A446" s="271"/>
      <c r="B446" s="271"/>
      <c r="D446" s="976"/>
      <c r="E446" s="976"/>
      <c r="F446" s="976"/>
    </row>
    <row r="447" spans="1:6" ht="14.25">
      <c r="A447" s="271"/>
      <c r="B447" s="271"/>
      <c r="D447" s="976"/>
      <c r="E447" s="976"/>
      <c r="F447" s="976"/>
    </row>
    <row r="448" spans="1:6" ht="14.25">
      <c r="A448" s="271"/>
      <c r="B448" s="271"/>
      <c r="D448" s="976"/>
      <c r="E448" s="976"/>
      <c r="F448" s="976"/>
    </row>
    <row r="449" spans="1:6" ht="14.25">
      <c r="A449" s="271"/>
      <c r="B449" s="271"/>
      <c r="D449" s="976"/>
      <c r="E449" s="976"/>
      <c r="F449" s="976"/>
    </row>
    <row r="450" spans="1:6" ht="14.25">
      <c r="A450" s="271"/>
      <c r="B450" s="271"/>
      <c r="D450" s="976"/>
      <c r="E450" s="976"/>
      <c r="F450" s="976"/>
    </row>
    <row r="451" spans="1:6" ht="14.25">
      <c r="A451" s="271"/>
      <c r="B451" s="271"/>
      <c r="D451" s="976"/>
      <c r="E451" s="976"/>
      <c r="F451" s="976"/>
    </row>
    <row r="452" spans="1:6" ht="14.25">
      <c r="A452" s="271"/>
      <c r="B452" s="271"/>
      <c r="D452" s="976"/>
      <c r="E452" s="976"/>
      <c r="F452" s="976"/>
    </row>
    <row r="453" spans="1:6" ht="14.25">
      <c r="A453" s="271"/>
      <c r="B453" s="271"/>
      <c r="D453" s="976"/>
      <c r="E453" s="976"/>
      <c r="F453" s="976"/>
    </row>
    <row r="454" spans="1:6" ht="14.25">
      <c r="A454" s="271"/>
      <c r="B454" s="271"/>
      <c r="D454" s="976"/>
      <c r="E454" s="976"/>
      <c r="F454" s="976"/>
    </row>
    <row r="455" spans="1:6" ht="14.25">
      <c r="A455" s="271"/>
      <c r="B455" s="271"/>
      <c r="D455" s="976"/>
      <c r="E455" s="976"/>
      <c r="F455" s="976"/>
    </row>
    <row r="456" spans="1:6" ht="14.25">
      <c r="A456" s="271"/>
      <c r="B456" s="271"/>
      <c r="D456" s="976"/>
      <c r="E456" s="976"/>
      <c r="F456" s="976"/>
    </row>
    <row r="457" spans="1:6" ht="14.25">
      <c r="A457" s="271"/>
      <c r="B457" s="271"/>
      <c r="D457" s="976"/>
      <c r="E457" s="976"/>
      <c r="F457" s="976"/>
    </row>
    <row r="458" spans="1:6" ht="14.25">
      <c r="A458" s="271"/>
      <c r="B458" s="271"/>
      <c r="D458" s="976"/>
      <c r="E458" s="976"/>
      <c r="F458" s="976"/>
    </row>
    <row r="459" spans="1:6" ht="14.25">
      <c r="A459" s="271"/>
      <c r="B459" s="271"/>
      <c r="D459" s="976"/>
      <c r="E459" s="976"/>
      <c r="F459" s="976"/>
    </row>
    <row r="460" spans="1:6" ht="14.25">
      <c r="A460" s="271"/>
      <c r="B460" s="271"/>
      <c r="D460" s="976"/>
      <c r="E460" s="976"/>
      <c r="F460" s="976"/>
    </row>
    <row r="461" spans="1:6" ht="14.25">
      <c r="A461" s="271"/>
      <c r="B461" s="271"/>
      <c r="D461" s="976"/>
      <c r="E461" s="976"/>
      <c r="F461" s="976"/>
    </row>
    <row r="462" spans="1:6" ht="12.75" hidden="1">
      <c r="D462" s="976"/>
      <c r="E462" s="976"/>
      <c r="F462" s="976"/>
    </row>
    <row r="463" spans="1:6" ht="12.75" hidden="1">
      <c r="D463" s="44"/>
    </row>
    <row r="464" spans="1:6" ht="14.25">
      <c r="A464" s="271"/>
      <c r="B464" s="616" t="s">
        <v>132</v>
      </c>
      <c r="C464" s="207"/>
      <c r="D464" s="995" t="s">
        <v>2175</v>
      </c>
      <c r="E464" s="996"/>
      <c r="F464" s="996"/>
    </row>
    <row r="465" spans="1:6" ht="12.75">
      <c r="D465"/>
      <c r="E465" s="935" t="s">
        <v>2174</v>
      </c>
      <c r="F465" s="935"/>
    </row>
    <row r="466" spans="1:6" ht="13.7" customHeight="1">
      <c r="D466" s="970" t="s">
        <v>1942</v>
      </c>
      <c r="E466" s="976"/>
      <c r="F466" s="976"/>
    </row>
    <row r="467" spans="1:6" ht="13.7" customHeight="1">
      <c r="D467" s="976"/>
      <c r="E467" s="976"/>
      <c r="F467" s="976"/>
    </row>
    <row r="468" spans="1:6" ht="12.75">
      <c r="D468" s="44"/>
    </row>
    <row r="469" spans="1:6" ht="14.45" customHeight="1">
      <c r="A469" s="271"/>
      <c r="B469" s="616" t="s">
        <v>132</v>
      </c>
      <c r="C469" s="207"/>
      <c r="D469" s="976" t="s">
        <v>1644</v>
      </c>
      <c r="E469" s="976"/>
      <c r="F469" s="976"/>
    </row>
    <row r="470" spans="1:6" ht="12.75">
      <c r="D470" s="976"/>
      <c r="E470" s="976"/>
      <c r="F470" s="976"/>
    </row>
    <row r="471" spans="1:6" ht="12.75">
      <c r="D471" s="976"/>
      <c r="E471" s="976"/>
      <c r="F471" s="976"/>
    </row>
    <row r="472" spans="1:6" ht="12.75">
      <c r="D472" s="24"/>
      <c r="E472" s="24"/>
      <c r="F472" s="24"/>
    </row>
    <row r="473" spans="1:6" ht="14.25">
      <c r="B473" s="616" t="s">
        <v>132</v>
      </c>
      <c r="C473" s="271"/>
      <c r="D473" s="970" t="s">
        <v>1789</v>
      </c>
      <c r="E473" s="976"/>
      <c r="F473" s="976"/>
    </row>
    <row r="474" spans="1:6" ht="12.75">
      <c r="D474" s="976"/>
      <c r="E474" s="976"/>
      <c r="F474" s="976"/>
    </row>
    <row r="475" spans="1:6" ht="12.75">
      <c r="D475" s="44"/>
      <c r="E475" s="44"/>
    </row>
    <row r="476" spans="1:6" ht="14.25">
      <c r="B476" s="616" t="s">
        <v>132</v>
      </c>
      <c r="C476" s="271"/>
      <c r="D476" s="976" t="s">
        <v>1645</v>
      </c>
      <c r="E476" s="976"/>
      <c r="F476" s="976"/>
    </row>
    <row r="477" spans="1:6" ht="12.75">
      <c r="D477" s="976"/>
      <c r="E477" s="976"/>
      <c r="F477" s="976"/>
    </row>
    <row r="478" spans="1:6" ht="12.75">
      <c r="D478" s="976"/>
      <c r="E478" s="976"/>
      <c r="F478" s="976"/>
    </row>
    <row r="479" spans="1:6" ht="12.75">
      <c r="D479" s="976"/>
      <c r="E479" s="976"/>
      <c r="F479" s="976"/>
    </row>
    <row r="480" spans="1:6" ht="12.75">
      <c r="B480" s="616" t="s">
        <v>132</v>
      </c>
      <c r="D480" s="976"/>
      <c r="E480" s="976"/>
      <c r="F480" s="976"/>
    </row>
    <row r="481" spans="2:6" ht="12.75">
      <c r="D481" s="976"/>
      <c r="E481" s="976"/>
      <c r="F481" s="976"/>
    </row>
    <row r="482" spans="2:6" ht="12.75">
      <c r="D482" s="976"/>
      <c r="E482" s="976"/>
      <c r="F482" s="976"/>
    </row>
    <row r="483" spans="2:6" ht="12.75">
      <c r="B483" s="616" t="s">
        <v>132</v>
      </c>
      <c r="D483" s="976"/>
      <c r="E483" s="976"/>
      <c r="F483" s="976"/>
    </row>
    <row r="484" spans="2:6" ht="12.75">
      <c r="D484" s="976"/>
      <c r="E484" s="976"/>
      <c r="F484" s="976"/>
    </row>
    <row r="485" spans="2:6" ht="12.75">
      <c r="D485" s="976"/>
      <c r="E485" s="976"/>
      <c r="F485" s="976"/>
    </row>
    <row r="486" spans="2:6" ht="12.75">
      <c r="D486" s="976"/>
      <c r="E486" s="976"/>
      <c r="F486" s="976"/>
    </row>
    <row r="487" spans="2:6" ht="12.75">
      <c r="B487" s="616" t="s">
        <v>132</v>
      </c>
      <c r="D487" s="976"/>
      <c r="E487" s="976"/>
      <c r="F487" s="976"/>
    </row>
    <row r="488" spans="2:6" ht="12.75">
      <c r="D488" s="976"/>
      <c r="E488" s="976"/>
      <c r="F488" s="976"/>
    </row>
    <row r="489" spans="2:6" ht="12.75">
      <c r="B489" s="616" t="s">
        <v>132</v>
      </c>
      <c r="D489" s="976"/>
      <c r="E489" s="976"/>
      <c r="F489" s="976"/>
    </row>
    <row r="490" spans="2:6" ht="12.75">
      <c r="D490" s="976"/>
      <c r="E490" s="976"/>
      <c r="F490" s="976"/>
    </row>
    <row r="491" spans="2:6" ht="13.7" customHeight="1">
      <c r="B491" s="616" t="s">
        <v>132</v>
      </c>
      <c r="D491" s="976" t="s">
        <v>1646</v>
      </c>
      <c r="E491" s="976"/>
      <c r="F491" s="976"/>
    </row>
    <row r="492" spans="2:6" ht="12.75">
      <c r="D492" s="976"/>
      <c r="E492" s="976"/>
      <c r="F492" s="976"/>
    </row>
    <row r="493" spans="2:6" ht="12.75">
      <c r="D493" s="976"/>
      <c r="E493" s="976"/>
      <c r="F493" s="976"/>
    </row>
    <row r="494" spans="2:6" ht="12.75">
      <c r="D494" s="976"/>
      <c r="E494" s="976"/>
      <c r="F494" s="976"/>
    </row>
    <row r="495" spans="2:6" ht="12.75">
      <c r="D495" s="976"/>
      <c r="E495" s="976"/>
      <c r="F495" s="976"/>
    </row>
    <row r="496" spans="2:6" ht="12.75">
      <c r="D496" s="44"/>
    </row>
    <row r="497" spans="1:7" ht="12.75">
      <c r="B497" s="616" t="s">
        <v>132</v>
      </c>
      <c r="D497" s="996" t="s">
        <v>1481</v>
      </c>
      <c r="E497" s="996"/>
      <c r="F497" s="996"/>
    </row>
    <row r="498" spans="1:7" ht="12.75">
      <c r="A498" s="44"/>
      <c r="B498" s="44"/>
    </row>
    <row r="499" spans="1:7" ht="12.75">
      <c r="A499" s="1001" t="s">
        <v>1440</v>
      </c>
      <c r="B499" s="1001"/>
      <c r="C499" s="1001"/>
      <c r="D499" s="1001"/>
      <c r="E499" s="1001"/>
      <c r="F499" s="1001"/>
      <c r="G499" s="1001"/>
    </row>
    <row r="500" spans="1:7" ht="12.75">
      <c r="A500" s="44"/>
      <c r="B500" s="44"/>
    </row>
    <row r="501" spans="1:7" ht="12.75">
      <c r="D501" s="1005" t="s">
        <v>1164</v>
      </c>
      <c r="E501" s="1005"/>
      <c r="F501" s="1005"/>
    </row>
    <row r="502" spans="1:7" ht="12.75">
      <c r="D502" s="1006" t="s">
        <v>1474</v>
      </c>
      <c r="E502" s="1006"/>
      <c r="F502" s="1006"/>
    </row>
    <row r="503" spans="1:7" ht="14.25">
      <c r="A503" s="271"/>
      <c r="B503" s="271"/>
      <c r="D503" s="424"/>
    </row>
    <row r="504" spans="1:7" ht="14.25">
      <c r="A504" s="271"/>
      <c r="B504" s="616" t="s">
        <v>1438</v>
      </c>
      <c r="D504" s="994" t="s">
        <v>1647</v>
      </c>
      <c r="E504" s="994"/>
      <c r="F504" s="994"/>
    </row>
    <row r="505" spans="1:7" ht="14.25">
      <c r="A505" s="271"/>
      <c r="B505" s="271"/>
      <c r="D505" s="994"/>
      <c r="E505" s="994"/>
      <c r="F505" s="994"/>
    </row>
    <row r="506" spans="1:7" ht="14.25">
      <c r="A506" s="271"/>
      <c r="B506" s="271"/>
      <c r="D506" s="44"/>
    </row>
    <row r="507" spans="1:7" ht="14.25">
      <c r="A507" s="271"/>
      <c r="B507" s="616" t="s">
        <v>1438</v>
      </c>
      <c r="D507" s="1007" t="s">
        <v>1961</v>
      </c>
      <c r="E507" s="1004"/>
      <c r="F507" s="1004"/>
    </row>
    <row r="508" spans="1:7" ht="14.25">
      <c r="A508" s="271"/>
      <c r="B508" s="271"/>
      <c r="D508" s="1004"/>
      <c r="E508" s="1004"/>
      <c r="F508" s="1004"/>
    </row>
    <row r="509" spans="1:7" ht="14.25">
      <c r="A509" s="271"/>
      <c r="B509" s="271"/>
      <c r="D509" s="1004"/>
      <c r="E509" s="1004"/>
      <c r="F509" s="1004"/>
      <c r="G509"/>
    </row>
    <row r="510" spans="1:7" ht="14.25">
      <c r="A510" s="271"/>
      <c r="B510" s="271"/>
      <c r="D510" s="1004"/>
      <c r="E510" s="1004"/>
      <c r="F510" s="1004"/>
      <c r="G510"/>
    </row>
    <row r="511" spans="1:7" ht="12.75">
      <c r="G511"/>
    </row>
    <row r="512" spans="1:7" ht="14.25">
      <c r="A512" s="271"/>
      <c r="B512" s="616" t="s">
        <v>1438</v>
      </c>
      <c r="D512" s="996" t="s">
        <v>1649</v>
      </c>
      <c r="E512" s="996"/>
      <c r="F512" s="996"/>
      <c r="G512"/>
    </row>
    <row r="513" spans="1:7" ht="12.75">
      <c r="D513" s="44"/>
      <c r="G513"/>
    </row>
    <row r="514" spans="1:7" ht="14.25">
      <c r="A514" s="271"/>
      <c r="B514" s="616" t="s">
        <v>1438</v>
      </c>
      <c r="D514" s="976" t="s">
        <v>1650</v>
      </c>
      <c r="E514" s="976"/>
      <c r="F514" s="976"/>
      <c r="G514"/>
    </row>
    <row r="515" spans="1:7" ht="12.75">
      <c r="D515" s="976"/>
      <c r="E515" s="976"/>
      <c r="F515" s="976"/>
      <c r="G515"/>
    </row>
    <row r="516" spans="1:7" ht="12.75">
      <c r="D516" s="424"/>
      <c r="G516"/>
    </row>
    <row r="517" spans="1:7" ht="14.25">
      <c r="A517" s="271"/>
      <c r="B517" s="616" t="s">
        <v>132</v>
      </c>
      <c r="D517" s="996" t="s">
        <v>1648</v>
      </c>
      <c r="E517" s="996"/>
      <c r="F517" s="996"/>
    </row>
    <row r="518" spans="1:7" ht="14.25">
      <c r="A518" s="271"/>
      <c r="B518" s="271"/>
      <c r="D518" s="44"/>
    </row>
    <row r="519" spans="1:7" ht="12.75">
      <c r="A519" s="1001" t="s">
        <v>1441</v>
      </c>
      <c r="B519" s="1001"/>
      <c r="C519" s="1001"/>
      <c r="D519" s="1001"/>
      <c r="E519" s="1001"/>
      <c r="F519" s="1001"/>
      <c r="G519" s="1001"/>
    </row>
    <row r="520" spans="1:7" ht="12" customHeight="1">
      <c r="A520" s="271"/>
      <c r="B520" s="271"/>
      <c r="D520" s="44"/>
    </row>
    <row r="521" spans="1:7" ht="12.75">
      <c r="B521" s="616" t="s">
        <v>1438</v>
      </c>
      <c r="C521" s="190"/>
      <c r="D521" s="1025" t="s">
        <v>1591</v>
      </c>
      <c r="E521" s="1025"/>
      <c r="F521" s="1025"/>
    </row>
    <row r="522" spans="1:7" ht="12.75">
      <c r="C522" s="190"/>
      <c r="D522" s="1025"/>
      <c r="E522" s="1025"/>
      <c r="F522" s="1025"/>
    </row>
    <row r="523" spans="1:7" ht="12.75">
      <c r="A523" s="191"/>
      <c r="B523" s="191"/>
      <c r="C523" s="191"/>
      <c r="D523" s="1025"/>
      <c r="E523" s="1025"/>
      <c r="F523" s="1025"/>
    </row>
    <row r="524" spans="1:7" ht="12.75">
      <c r="A524" s="191"/>
      <c r="B524" s="191"/>
      <c r="C524" s="191"/>
      <c r="D524" s="1025"/>
      <c r="E524" s="1025"/>
      <c r="F524" s="1025"/>
    </row>
    <row r="525" spans="1:7" ht="12.75">
      <c r="A525" s="191"/>
      <c r="B525" s="191"/>
      <c r="C525" s="191"/>
    </row>
    <row r="526" spans="1:7" ht="14.25">
      <c r="A526" s="271"/>
      <c r="B526" s="616" t="s">
        <v>132</v>
      </c>
      <c r="C526" s="207"/>
      <c r="D526" s="976" t="s">
        <v>2259</v>
      </c>
      <c r="E526" s="976"/>
      <c r="F526" s="976"/>
      <c r="G526"/>
    </row>
    <row r="527" spans="1:7" ht="12.75">
      <c r="A527" s="207"/>
      <c r="B527" s="207"/>
      <c r="C527" s="207"/>
      <c r="D527" s="976"/>
      <c r="E527" s="976"/>
      <c r="F527" s="976"/>
      <c r="G527"/>
    </row>
    <row r="528" spans="1:7" ht="12.75">
      <c r="A528" s="191"/>
      <c r="B528" s="191"/>
      <c r="C528" s="191"/>
      <c r="D528" s="44"/>
      <c r="G528"/>
    </row>
    <row r="529" spans="1:7" ht="12.75">
      <c r="A529" s="191"/>
      <c r="B529" s="616" t="s">
        <v>132</v>
      </c>
      <c r="C529" s="191"/>
      <c r="D529" s="936" t="s">
        <v>2176</v>
      </c>
      <c r="E529" s="937"/>
      <c r="G529"/>
    </row>
    <row r="530" spans="1:7" ht="12.75">
      <c r="A530" s="191"/>
      <c r="B530" s="191"/>
      <c r="C530" s="191"/>
      <c r="D530" s="937"/>
      <c r="E530" s="104" t="s">
        <v>2177</v>
      </c>
      <c r="G530"/>
    </row>
    <row r="531" spans="1:7" ht="14.25">
      <c r="A531" s="271"/>
      <c r="B531"/>
      <c r="D531" s="994" t="s">
        <v>2260</v>
      </c>
      <c r="E531" s="994"/>
      <c r="F531" s="994"/>
      <c r="G531"/>
    </row>
    <row r="532" spans="1:7" ht="14.25">
      <c r="A532" s="271"/>
      <c r="B532" s="271"/>
      <c r="D532" s="994"/>
      <c r="E532" s="994"/>
      <c r="F532" s="994"/>
      <c r="G532"/>
    </row>
    <row r="533" spans="1:7" ht="12.75">
      <c r="D533" s="994"/>
      <c r="E533" s="994"/>
      <c r="F533" s="994"/>
    </row>
    <row r="534" spans="1:7" ht="12" customHeight="1">
      <c r="A534" s="44"/>
      <c r="B534" s="44"/>
      <c r="C534" s="207"/>
      <c r="E534" s="44"/>
    </row>
    <row r="535" spans="1:7" ht="12.75">
      <c r="A535" s="1001" t="s">
        <v>1453</v>
      </c>
      <c r="B535" s="1001"/>
      <c r="C535" s="1001"/>
      <c r="D535" s="1001"/>
      <c r="E535" s="1001"/>
      <c r="F535" s="1001"/>
      <c r="G535" s="1001"/>
    </row>
    <row r="536" spans="1:7" ht="12" customHeight="1">
      <c r="A536" s="44"/>
      <c r="B536" s="44"/>
      <c r="C536" s="207"/>
      <c r="E536" s="44"/>
    </row>
    <row r="537" spans="1:7" ht="12.75">
      <c r="C537" s="207"/>
      <c r="D537" s="1002" t="s">
        <v>1482</v>
      </c>
      <c r="E537" s="1002"/>
      <c r="F537" s="1002"/>
    </row>
    <row r="538" spans="1:7" ht="12.75"/>
    <row r="539" spans="1:7" ht="12.75">
      <c r="B539" s="616" t="s">
        <v>132</v>
      </c>
      <c r="D539" s="976" t="s">
        <v>1619</v>
      </c>
      <c r="E539" s="976"/>
      <c r="F539" s="976"/>
    </row>
    <row r="540" spans="1:7" ht="12.75">
      <c r="D540" s="976"/>
      <c r="E540" s="976"/>
      <c r="F540" s="976"/>
    </row>
    <row r="541" spans="1:7" ht="12" customHeight="1">
      <c r="A541" s="207"/>
      <c r="B541" s="207"/>
      <c r="C541" s="207"/>
      <c r="D541" s="44"/>
    </row>
    <row r="542" spans="1:7" ht="14.25">
      <c r="A542" s="271"/>
      <c r="B542" s="616" t="s">
        <v>132</v>
      </c>
      <c r="C542" s="207"/>
      <c r="D542" s="976" t="s">
        <v>1620</v>
      </c>
      <c r="E542" s="976"/>
      <c r="F542" s="976"/>
    </row>
    <row r="543" spans="1:7" ht="12.75">
      <c r="A543" s="207"/>
      <c r="B543" s="207"/>
      <c r="C543" s="207"/>
      <c r="D543" s="976"/>
      <c r="E543" s="976"/>
      <c r="F543" s="976"/>
    </row>
    <row r="544" spans="1:7" ht="12" customHeight="1">
      <c r="A544" s="207"/>
      <c r="B544" s="207"/>
      <c r="C544" s="207"/>
      <c r="D544" s="44"/>
    </row>
    <row r="545" spans="1:7" ht="12.75">
      <c r="A545" s="1021" t="s">
        <v>1491</v>
      </c>
      <c r="B545" s="1021"/>
      <c r="C545" s="1021"/>
      <c r="D545" s="1021"/>
      <c r="E545" s="1021"/>
      <c r="F545" s="1021"/>
      <c r="G545" s="1021"/>
    </row>
    <row r="546" spans="1:7" ht="12" customHeight="1">
      <c r="A546" s="44"/>
      <c r="B546" s="44"/>
      <c r="C546" s="207"/>
      <c r="D546" s="44"/>
    </row>
    <row r="547" spans="1:7" ht="12.75">
      <c r="C547" s="207"/>
      <c r="D547" s="1002" t="s">
        <v>175</v>
      </c>
      <c r="E547" s="1002"/>
      <c r="F547" s="1002"/>
    </row>
    <row r="548" spans="1:7" ht="12.75">
      <c r="C548" s="207"/>
      <c r="D548" s="996" t="s">
        <v>1600</v>
      </c>
      <c r="E548" s="996"/>
      <c r="F548" s="996"/>
    </row>
    <row r="549" spans="1:7" ht="12.75">
      <c r="C549" s="207"/>
      <c r="D549" s="44"/>
      <c r="E549" s="44"/>
      <c r="F549" s="44"/>
    </row>
    <row r="550" spans="1:7" ht="14.25">
      <c r="A550" s="271"/>
      <c r="B550" s="616" t="s">
        <v>1438</v>
      </c>
      <c r="C550" s="207"/>
      <c r="D550" s="996" t="s">
        <v>1159</v>
      </c>
      <c r="E550" s="996"/>
      <c r="F550" s="996"/>
    </row>
    <row r="551" spans="1:7" ht="12" customHeight="1">
      <c r="A551" s="207"/>
      <c r="B551" s="207"/>
      <c r="C551" s="207"/>
      <c r="D551" s="44"/>
      <c r="E551"/>
      <c r="F551"/>
      <c r="G551"/>
    </row>
    <row r="552" spans="1:7" ht="14.45" customHeight="1">
      <c r="A552" s="271"/>
      <c r="B552" s="616" t="s">
        <v>1438</v>
      </c>
      <c r="C552" s="207"/>
      <c r="D552" s="976" t="s">
        <v>1599</v>
      </c>
      <c r="E552" s="976"/>
      <c r="F552" s="976"/>
      <c r="G552"/>
    </row>
    <row r="553" spans="1:7" ht="12.75">
      <c r="A553" s="207"/>
      <c r="B553" s="207"/>
      <c r="C553" s="207"/>
      <c r="D553" s="976"/>
      <c r="E553" s="976"/>
      <c r="F553" s="976"/>
      <c r="G553"/>
    </row>
    <row r="554" spans="1:7" ht="12" customHeight="1">
      <c r="A554" s="207"/>
      <c r="B554" s="207"/>
      <c r="C554" s="207"/>
      <c r="D554" s="44"/>
      <c r="E554"/>
      <c r="F554"/>
      <c r="G554"/>
    </row>
    <row r="555" spans="1:7" ht="14.25">
      <c r="A555" s="271"/>
      <c r="B555" s="616" t="s">
        <v>1438</v>
      </c>
      <c r="C555" s="207"/>
      <c r="D555" s="976" t="s">
        <v>1601</v>
      </c>
      <c r="E555" s="976"/>
      <c r="F555" s="976"/>
      <c r="G555"/>
    </row>
    <row r="556" spans="1:7" ht="12.75">
      <c r="A556" s="207"/>
      <c r="B556" s="207"/>
      <c r="C556" s="207"/>
      <c r="D556" s="976"/>
      <c r="E556" s="976"/>
      <c r="F556" s="976"/>
      <c r="G556"/>
    </row>
    <row r="557" spans="1:7" ht="12" customHeight="1">
      <c r="A557" s="207"/>
      <c r="B557" s="207"/>
      <c r="C557" s="207"/>
      <c r="D557" s="44"/>
      <c r="E557"/>
      <c r="F557"/>
      <c r="G557"/>
    </row>
    <row r="558" spans="1:7" ht="14.25">
      <c r="A558" s="271"/>
      <c r="B558" s="616" t="s">
        <v>1438</v>
      </c>
      <c r="C558" s="207"/>
      <c r="D558" s="976" t="s">
        <v>1602</v>
      </c>
      <c r="E558" s="976"/>
      <c r="F558" s="976"/>
      <c r="G558"/>
    </row>
    <row r="559" spans="1:7" ht="12.75">
      <c r="A559" s="207"/>
      <c r="B559" s="207"/>
      <c r="C559" s="207"/>
      <c r="D559" s="976"/>
      <c r="E559" s="976"/>
      <c r="F559" s="976"/>
      <c r="G559"/>
    </row>
    <row r="560" spans="1:7" ht="12" customHeight="1">
      <c r="A560" s="207"/>
      <c r="B560" s="207"/>
      <c r="C560" s="207"/>
      <c r="D560" s="44"/>
      <c r="E560"/>
      <c r="F560"/>
      <c r="G560"/>
    </row>
    <row r="561" spans="1:7" ht="14.45" customHeight="1">
      <c r="A561" s="271"/>
      <c r="B561" s="616" t="s">
        <v>1438</v>
      </c>
      <c r="C561" s="207"/>
      <c r="D561" s="976" t="s">
        <v>1603</v>
      </c>
      <c r="E561" s="976"/>
      <c r="F561" s="976"/>
      <c r="G561"/>
    </row>
    <row r="562" spans="1:7" ht="12.75">
      <c r="A562" s="207"/>
      <c r="B562" s="207"/>
      <c r="C562" s="207"/>
      <c r="D562" s="976"/>
      <c r="E562" s="976"/>
      <c r="F562" s="976"/>
      <c r="G562"/>
    </row>
    <row r="563" spans="1:7" ht="12.75">
      <c r="A563" s="207"/>
      <c r="B563" s="207"/>
      <c r="C563" s="207"/>
      <c r="D563" s="976"/>
      <c r="E563" s="976"/>
      <c r="F563" s="976"/>
      <c r="G563"/>
    </row>
    <row r="564" spans="1:7" ht="12.75">
      <c r="A564" s="207"/>
      <c r="B564" s="207"/>
      <c r="C564" s="207"/>
      <c r="D564" s="44"/>
      <c r="E564"/>
      <c r="F564"/>
      <c r="G564"/>
    </row>
    <row r="565" spans="1:7" ht="14.25">
      <c r="A565" s="271"/>
      <c r="B565" s="616" t="s">
        <v>132</v>
      </c>
      <c r="C565" s="207"/>
      <c r="D565" s="970" t="s">
        <v>1700</v>
      </c>
      <c r="E565" s="976"/>
      <c r="F565" s="976"/>
      <c r="G565"/>
    </row>
    <row r="566" spans="1:7" ht="12.75">
      <c r="A566" s="207"/>
      <c r="B566" s="207"/>
      <c r="C566" s="207"/>
      <c r="D566" s="976"/>
      <c r="E566" s="976"/>
      <c r="F566" s="976"/>
      <c r="G566"/>
    </row>
    <row r="567" spans="1:7" ht="12.75">
      <c r="A567" s="207"/>
      <c r="B567" s="207"/>
      <c r="C567" s="207"/>
      <c r="D567" s="44"/>
      <c r="G567"/>
    </row>
    <row r="568" spans="1:7" ht="14.25">
      <c r="A568" s="271"/>
      <c r="B568" s="616" t="s">
        <v>132</v>
      </c>
      <c r="C568" s="207"/>
      <c r="D568" s="976" t="s">
        <v>1604</v>
      </c>
      <c r="E568" s="976"/>
      <c r="F568" s="976"/>
      <c r="G568"/>
    </row>
    <row r="569" spans="1:7" ht="12.75">
      <c r="A569" s="207"/>
      <c r="B569" s="207"/>
      <c r="C569" s="207"/>
      <c r="D569" s="976"/>
      <c r="E569" s="976"/>
      <c r="F569" s="976"/>
      <c r="G569"/>
    </row>
    <row r="570" spans="1:7" ht="12" customHeight="1">
      <c r="A570" s="207"/>
      <c r="B570" s="207"/>
      <c r="C570" s="207"/>
      <c r="D570" s="44"/>
      <c r="G570"/>
    </row>
    <row r="571" spans="1:7" ht="14.25">
      <c r="A571" s="271"/>
      <c r="B571" s="616" t="s">
        <v>1438</v>
      </c>
      <c r="C571" s="207"/>
      <c r="D571" s="996" t="s">
        <v>1605</v>
      </c>
      <c r="E571" s="996"/>
      <c r="F571" s="996"/>
      <c r="G571"/>
    </row>
    <row r="572" spans="1:7" ht="14.25">
      <c r="A572" s="271"/>
      <c r="B572" s="271"/>
      <c r="C572" s="207"/>
      <c r="D572" s="1024" t="s">
        <v>2178</v>
      </c>
      <c r="E572" s="1024"/>
      <c r="F572" s="1024"/>
      <c r="G572"/>
    </row>
    <row r="573" spans="1:7" ht="12.75">
      <c r="A573" s="18"/>
      <c r="B573" s="18"/>
      <c r="C573" s="207"/>
      <c r="D573" s="938"/>
      <c r="E573" s="104" t="s">
        <v>2179</v>
      </c>
      <c r="F573" s="939"/>
      <c r="G573"/>
    </row>
    <row r="574" spans="1:7" ht="15" customHeight="1">
      <c r="A574" s="18"/>
      <c r="B574" s="18"/>
      <c r="C574" s="207"/>
      <c r="D574" s="970" t="s">
        <v>1823</v>
      </c>
      <c r="E574" s="976"/>
      <c r="F574" s="976"/>
      <c r="G574"/>
    </row>
    <row r="575" spans="1:7" ht="12.75">
      <c r="A575" s="18"/>
      <c r="B575" s="18"/>
      <c r="C575" s="207"/>
      <c r="D575" s="976"/>
      <c r="E575" s="976"/>
      <c r="F575" s="976"/>
      <c r="G575"/>
    </row>
    <row r="576" spans="1:7" ht="12.75">
      <c r="A576" s="18"/>
      <c r="B576" s="18"/>
      <c r="C576" s="207"/>
      <c r="D576" s="976"/>
      <c r="E576" s="976"/>
      <c r="F576" s="976"/>
      <c r="G576"/>
    </row>
    <row r="577" spans="1:7" ht="12.75">
      <c r="A577" s="18"/>
      <c r="B577" s="18"/>
      <c r="C577" s="207"/>
      <c r="D577" s="976"/>
      <c r="E577" s="976"/>
      <c r="F577" s="976"/>
      <c r="G577"/>
    </row>
    <row r="578" spans="1:7" ht="12.75">
      <c r="A578" s="18"/>
      <c r="B578" s="18"/>
      <c r="C578" s="207"/>
      <c r="D578" s="976"/>
      <c r="E578" s="976"/>
      <c r="F578" s="976"/>
      <c r="G578"/>
    </row>
    <row r="579" spans="1:7" ht="12.75">
      <c r="A579" s="18"/>
      <c r="B579" s="18"/>
      <c r="C579" s="207"/>
      <c r="D579" s="976"/>
      <c r="E579" s="976"/>
      <c r="F579" s="976"/>
      <c r="G579"/>
    </row>
    <row r="580" spans="1:7" ht="12.75">
      <c r="A580" s="18"/>
      <c r="B580" s="18"/>
      <c r="C580" s="207"/>
      <c r="D580" s="976"/>
      <c r="E580" s="976"/>
      <c r="F580" s="976"/>
      <c r="G580"/>
    </row>
    <row r="581" spans="1:7" ht="12.75">
      <c r="A581" s="18"/>
      <c r="B581" s="18"/>
      <c r="C581" s="207"/>
      <c r="D581" s="976"/>
      <c r="E581" s="976"/>
      <c r="F581" s="976"/>
      <c r="G581"/>
    </row>
    <row r="582" spans="1:7" ht="12.75">
      <c r="A582" s="18"/>
      <c r="B582" s="18"/>
      <c r="C582" s="207"/>
      <c r="D582" s="976"/>
      <c r="E582" s="976"/>
      <c r="F582" s="976"/>
      <c r="G582"/>
    </row>
    <row r="583" spans="1:7" ht="12.75">
      <c r="A583" s="18"/>
      <c r="B583" s="18"/>
      <c r="C583" s="207"/>
      <c r="D583" s="209"/>
      <c r="E583" s="209"/>
      <c r="F583" s="209"/>
      <c r="G583"/>
    </row>
    <row r="584" spans="1:7" ht="14.25">
      <c r="A584" s="271"/>
      <c r="B584" s="616" t="s">
        <v>1438</v>
      </c>
      <c r="C584" s="207"/>
      <c r="D584" s="996" t="s">
        <v>1606</v>
      </c>
      <c r="E584" s="996"/>
      <c r="F584" s="996"/>
      <c r="G584"/>
    </row>
    <row r="585" spans="1:7" ht="13.7" customHeight="1">
      <c r="C585" s="207"/>
      <c r="D585" s="976" t="s">
        <v>1607</v>
      </c>
      <c r="E585" s="976"/>
      <c r="F585" s="976"/>
      <c r="G585"/>
    </row>
    <row r="586" spans="1:7" ht="12.75">
      <c r="A586" s="207"/>
      <c r="B586" s="207"/>
      <c r="C586" s="207"/>
      <c r="D586" s="976"/>
      <c r="E586" s="976"/>
      <c r="F586" s="976"/>
      <c r="G586"/>
    </row>
    <row r="587" spans="1:7" ht="12.75">
      <c r="A587" s="207"/>
      <c r="B587" s="207"/>
      <c r="C587" s="207"/>
      <c r="D587" s="976"/>
      <c r="E587" s="976"/>
      <c r="F587" s="976"/>
      <c r="G587"/>
    </row>
    <row r="588" spans="1:7" ht="12.75">
      <c r="A588" s="207"/>
      <c r="B588" s="207"/>
      <c r="C588" s="207"/>
      <c r="D588" s="209"/>
      <c r="E588" s="209"/>
      <c r="F588" s="209"/>
      <c r="G588"/>
    </row>
    <row r="589" spans="1:7" ht="14.45" customHeight="1">
      <c r="A589" s="271"/>
      <c r="B589" s="616" t="s">
        <v>1438</v>
      </c>
      <c r="C589" s="207"/>
      <c r="D589" s="976" t="s">
        <v>2261</v>
      </c>
      <c r="E589" s="976"/>
      <c r="F589" s="976"/>
      <c r="G589"/>
    </row>
    <row r="590" spans="1:7" ht="14.25">
      <c r="A590" s="271"/>
      <c r="B590" s="271"/>
      <c r="C590" s="207"/>
      <c r="D590" s="976"/>
      <c r="E590" s="976"/>
      <c r="F590" s="976"/>
      <c r="G590"/>
    </row>
    <row r="591" spans="1:7" ht="14.25">
      <c r="A591" s="271"/>
      <c r="B591" s="271"/>
      <c r="C591" s="207"/>
      <c r="D591" s="976"/>
      <c r="E591" s="976"/>
      <c r="F591" s="976"/>
    </row>
    <row r="592" spans="1:7" ht="12.75">
      <c r="A592" s="207"/>
      <c r="B592" s="207"/>
      <c r="C592" s="207"/>
      <c r="D592" s="976"/>
      <c r="E592" s="976"/>
      <c r="F592" s="976"/>
    </row>
    <row r="593" spans="1:7" ht="12.75">
      <c r="A593" s="207"/>
      <c r="B593" s="207"/>
      <c r="C593" s="207"/>
      <c r="D593" s="44"/>
    </row>
    <row r="594" spans="1:7" ht="12.75">
      <c r="A594" s="191"/>
      <c r="B594" s="616" t="s">
        <v>132</v>
      </c>
      <c r="C594" s="191"/>
      <c r="D594" s="999" t="s">
        <v>1887</v>
      </c>
      <c r="E594" s="1000"/>
      <c r="F594" s="1000"/>
    </row>
    <row r="595" spans="1:7" ht="12.75">
      <c r="A595" s="191"/>
      <c r="B595" s="191"/>
      <c r="C595" s="191"/>
    </row>
    <row r="596" spans="1:7" ht="12.75">
      <c r="A596" s="207"/>
      <c r="B596" s="207"/>
      <c r="C596" s="207"/>
      <c r="D596" s="24"/>
      <c r="E596" s="24"/>
      <c r="F596" s="24"/>
    </row>
    <row r="597" spans="1:7" ht="12.75">
      <c r="A597" s="1001" t="s">
        <v>1455</v>
      </c>
      <c r="B597" s="1001"/>
      <c r="C597" s="1001"/>
      <c r="D597" s="1001"/>
      <c r="E597" s="1001"/>
      <c r="F597" s="1001"/>
      <c r="G597" s="1001"/>
    </row>
    <row r="598" spans="1:7" ht="12.75">
      <c r="A598" s="207"/>
      <c r="B598" s="207"/>
      <c r="C598" s="207"/>
    </row>
    <row r="599" spans="1:7" ht="12.75">
      <c r="C599" s="190"/>
      <c r="D599" s="1003" t="s">
        <v>176</v>
      </c>
      <c r="E599" s="1003"/>
      <c r="F599" s="1003"/>
    </row>
    <row r="600" spans="1:7" ht="12.75">
      <c r="C600" s="190"/>
      <c r="D600" s="1004" t="s">
        <v>1507</v>
      </c>
      <c r="E600" s="1004"/>
      <c r="F600" s="1004"/>
    </row>
    <row r="601" spans="1:7" ht="12.75">
      <c r="C601" s="190"/>
      <c r="D601" s="375"/>
    </row>
    <row r="602" spans="1:7" ht="14.25">
      <c r="A602" s="271"/>
      <c r="B602" s="616" t="s">
        <v>1438</v>
      </c>
      <c r="D602" s="1004" t="s">
        <v>1160</v>
      </c>
      <c r="E602" s="1004"/>
      <c r="F602" s="1004"/>
    </row>
    <row r="603" spans="1:7" ht="12.75">
      <c r="A603" s="18"/>
      <c r="B603" s="18"/>
      <c r="D603" s="365"/>
    </row>
    <row r="604" spans="1:7" ht="14.45" customHeight="1">
      <c r="A604" s="271"/>
      <c r="B604" s="616" t="s">
        <v>1438</v>
      </c>
      <c r="D604" s="1004" t="s">
        <v>2262</v>
      </c>
      <c r="E604" s="1004"/>
      <c r="F604" s="1004"/>
    </row>
    <row r="605" spans="1:7" ht="14.45" customHeight="1">
      <c r="A605" s="271"/>
      <c r="B605" s="271"/>
      <c r="D605" s="1004"/>
      <c r="E605" s="1004"/>
      <c r="F605" s="1004"/>
    </row>
    <row r="606" spans="1:7" ht="14.25">
      <c r="A606" s="271"/>
      <c r="B606" s="271"/>
      <c r="D606" s="1004"/>
      <c r="E606" s="1004"/>
      <c r="F606" s="1004"/>
    </row>
    <row r="607" spans="1:7" ht="14.25">
      <c r="A607" s="271"/>
      <c r="B607" s="271"/>
      <c r="D607" s="620"/>
      <c r="E607" s="620"/>
      <c r="F607" s="620"/>
    </row>
    <row r="608" spans="1:7" ht="14.25">
      <c r="A608" s="271"/>
      <c r="B608" s="616" t="s">
        <v>132</v>
      </c>
      <c r="D608" s="1004" t="s">
        <v>1508</v>
      </c>
      <c r="E608" s="1004"/>
      <c r="F608" s="1004"/>
    </row>
    <row r="609" spans="1:7" ht="14.25">
      <c r="A609" s="271"/>
      <c r="B609" s="271"/>
      <c r="D609" s="1004"/>
      <c r="E609" s="1004"/>
      <c r="F609" s="1004"/>
    </row>
    <row r="610" spans="1:7" ht="14.25">
      <c r="A610" s="271"/>
      <c r="B610" s="271"/>
      <c r="D610" s="1004"/>
      <c r="E610" s="1004"/>
      <c r="F610" s="1004"/>
    </row>
    <row r="611" spans="1:7" ht="14.25">
      <c r="A611" s="271"/>
      <c r="B611" s="271"/>
      <c r="D611" s="1004"/>
      <c r="E611" s="1004"/>
      <c r="F611" s="1004"/>
    </row>
    <row r="612" spans="1:7" ht="14.25">
      <c r="A612" s="271"/>
      <c r="B612" s="271"/>
      <c r="D612" s="375"/>
    </row>
    <row r="613" spans="1:7" ht="14.25">
      <c r="A613" s="271"/>
      <c r="B613" s="616" t="s">
        <v>1438</v>
      </c>
      <c r="D613" s="1004" t="s">
        <v>2263</v>
      </c>
      <c r="E613" s="1004"/>
      <c r="F613" s="1004"/>
    </row>
    <row r="614" spans="1:7" ht="14.25">
      <c r="A614" s="271"/>
      <c r="B614" s="271"/>
      <c r="D614" s="1004"/>
      <c r="E614" s="1004"/>
      <c r="F614" s="1004"/>
    </row>
    <row r="615" spans="1:7" ht="14.25">
      <c r="A615" s="271"/>
      <c r="B615" s="271"/>
      <c r="D615" s="375"/>
    </row>
    <row r="616" spans="1:7" ht="14.45" customHeight="1">
      <c r="A616" s="271"/>
      <c r="B616" s="616" t="s">
        <v>132</v>
      </c>
      <c r="D616" s="1004" t="s">
        <v>1512</v>
      </c>
      <c r="E616" s="1004"/>
      <c r="F616" s="1004"/>
    </row>
    <row r="617" spans="1:7" ht="14.25">
      <c r="A617" s="271"/>
      <c r="B617" s="271"/>
      <c r="D617" s="1004"/>
      <c r="E617" s="1004"/>
      <c r="F617" s="1004"/>
    </row>
    <row r="618" spans="1:7" ht="14.25">
      <c r="A618" s="271"/>
      <c r="B618" s="271"/>
      <c r="D618" s="375"/>
    </row>
    <row r="619" spans="1:7" ht="14.25">
      <c r="A619" s="271"/>
      <c r="B619" s="616" t="s">
        <v>1438</v>
      </c>
      <c r="D619" s="1004" t="s">
        <v>1161</v>
      </c>
      <c r="E619" s="1004"/>
      <c r="F619" s="1004"/>
    </row>
    <row r="620" spans="1:7" ht="12.75">
      <c r="A620" s="18"/>
      <c r="B620" s="18"/>
    </row>
    <row r="621" spans="1:7" ht="12.75">
      <c r="A621" s="1001" t="s">
        <v>1457</v>
      </c>
      <c r="B621" s="1001"/>
      <c r="C621" s="1001"/>
      <c r="D621" s="1001"/>
      <c r="E621" s="1001"/>
      <c r="F621" s="1001"/>
      <c r="G621" s="1001"/>
    </row>
    <row r="622" spans="1:7" ht="12.75">
      <c r="A622" s="63"/>
      <c r="B622" s="63"/>
    </row>
    <row r="623" spans="1:7" ht="12.75">
      <c r="C623" s="191"/>
      <c r="D623" s="1010" t="s">
        <v>1456</v>
      </c>
      <c r="E623" s="1010"/>
      <c r="F623" s="1010"/>
    </row>
    <row r="624" spans="1:7" ht="12.75">
      <c r="C624" s="191"/>
      <c r="D624" s="1000" t="s">
        <v>1483</v>
      </c>
      <c r="E624" s="1000"/>
      <c r="F624" s="1000"/>
    </row>
    <row r="625" spans="1:7" ht="12.75">
      <c r="C625" s="191"/>
      <c r="D625" s="102"/>
      <c r="E625" s="102"/>
      <c r="F625" s="102"/>
    </row>
    <row r="626" spans="1:7" ht="14.25" customHeight="1">
      <c r="A626" s="271"/>
      <c r="B626" s="616" t="s">
        <v>1438</v>
      </c>
      <c r="D626" s="991" t="s">
        <v>2181</v>
      </c>
      <c r="E626" s="992"/>
      <c r="F626" s="992"/>
    </row>
    <row r="627" spans="1:7" ht="12.75">
      <c r="D627" s="992"/>
      <c r="E627" s="992"/>
      <c r="F627" s="992"/>
    </row>
    <row r="628" spans="1:7" ht="12.75">
      <c r="D628" s="940"/>
      <c r="E628" s="934" t="s">
        <v>2180</v>
      </c>
      <c r="F628" s="940"/>
    </row>
    <row r="629" spans="1:7" ht="12.75">
      <c r="A629" s="63"/>
      <c r="B629" s="63"/>
    </row>
    <row r="630" spans="1:7" ht="12" customHeight="1">
      <c r="A630" s="1001" t="s">
        <v>1459</v>
      </c>
      <c r="B630" s="1001"/>
      <c r="C630" s="1001"/>
      <c r="D630" s="1001"/>
      <c r="E630" s="1001"/>
      <c r="F630" s="1001"/>
      <c r="G630" s="1001"/>
    </row>
    <row r="631" spans="1:7" ht="12.75">
      <c r="A631" s="44"/>
      <c r="B631" s="44"/>
    </row>
    <row r="632" spans="1:7" ht="12.75">
      <c r="C632" s="190"/>
      <c r="D632" s="1002" t="s">
        <v>1458</v>
      </c>
      <c r="E632" s="1002"/>
      <c r="F632" s="1002"/>
    </row>
    <row r="633" spans="1:7" ht="12.75">
      <c r="A633" s="191"/>
      <c r="B633" s="191"/>
      <c r="C633" s="191"/>
      <c r="D633" s="996" t="s">
        <v>1621</v>
      </c>
      <c r="E633" s="996"/>
      <c r="F633" s="996"/>
    </row>
    <row r="634" spans="1:7" ht="12.75">
      <c r="A634" s="191"/>
      <c r="B634" s="191"/>
      <c r="C634" s="191"/>
    </row>
    <row r="635" spans="1:7" ht="14.25">
      <c r="A635" s="271"/>
      <c r="B635" s="271"/>
      <c r="D635" s="1010" t="s">
        <v>910</v>
      </c>
      <c r="E635" s="1010"/>
      <c r="F635" s="1010"/>
    </row>
    <row r="636" spans="1:7" ht="14.25">
      <c r="A636" s="271"/>
      <c r="B636" s="616" t="s">
        <v>1438</v>
      </c>
      <c r="D636" s="1000" t="s">
        <v>1622</v>
      </c>
      <c r="E636" s="1000"/>
      <c r="F636" s="1000"/>
    </row>
    <row r="637" spans="1:7" ht="14.25">
      <c r="A637" s="271"/>
      <c r="B637" s="271"/>
      <c r="D637" s="44"/>
    </row>
    <row r="638" spans="1:7" ht="14.25">
      <c r="A638" s="271"/>
      <c r="B638" s="616" t="s">
        <v>132</v>
      </c>
      <c r="D638" s="976" t="s">
        <v>1623</v>
      </c>
      <c r="E638" s="976"/>
      <c r="F638" s="976"/>
    </row>
    <row r="639" spans="1:7" ht="14.25">
      <c r="A639" s="271"/>
      <c r="B639" s="271"/>
      <c r="D639" s="976"/>
      <c r="E639" s="976"/>
      <c r="F639" s="976"/>
    </row>
    <row r="640" spans="1:7" ht="14.25">
      <c r="A640" s="271"/>
      <c r="B640" s="271"/>
      <c r="D640" s="44"/>
    </row>
    <row r="641" spans="1:7" ht="14.25">
      <c r="A641" s="271"/>
      <c r="B641" s="616" t="s">
        <v>1438</v>
      </c>
      <c r="D641" s="970" t="s">
        <v>2011</v>
      </c>
      <c r="E641" s="970"/>
      <c r="F641" s="970"/>
    </row>
    <row r="642" spans="1:7" ht="13.7" customHeight="1">
      <c r="D642" s="970"/>
      <c r="E642" s="970"/>
      <c r="F642" s="970"/>
    </row>
    <row r="643" spans="1:7" ht="12.75"/>
    <row r="644" spans="1:7" ht="14.25">
      <c r="A644" s="271"/>
      <c r="B644" s="616" t="s">
        <v>1438</v>
      </c>
      <c r="D644" s="1000" t="s">
        <v>1624</v>
      </c>
      <c r="E644" s="1000"/>
      <c r="F644" s="1000"/>
    </row>
    <row r="645" spans="1:7" ht="12.75">
      <c r="A645" s="190"/>
      <c r="B645" s="190"/>
      <c r="C645" s="190"/>
    </row>
    <row r="646" spans="1:7" ht="12.75">
      <c r="A646" s="1001" t="s">
        <v>1460</v>
      </c>
      <c r="B646" s="1001"/>
      <c r="C646" s="1001"/>
      <c r="D646" s="1001"/>
      <c r="E646" s="1001"/>
      <c r="F646" s="1001"/>
      <c r="G646" s="1001"/>
    </row>
    <row r="647" spans="1:7" ht="12.75">
      <c r="A647" s="190"/>
      <c r="B647" s="190"/>
      <c r="C647" s="190"/>
    </row>
    <row r="648" spans="1:7" ht="12.75">
      <c r="C648" s="18"/>
      <c r="D648" s="1040" t="s">
        <v>1484</v>
      </c>
      <c r="E648" s="1040"/>
      <c r="F648" s="1040"/>
    </row>
    <row r="649" spans="1:7" ht="12.75">
      <c r="A649" s="18"/>
      <c r="B649" s="18"/>
      <c r="D649" s="3"/>
    </row>
    <row r="650" spans="1:7" ht="14.25" customHeight="1">
      <c r="A650" s="271"/>
      <c r="B650" s="616" t="s">
        <v>1438</v>
      </c>
      <c r="D650" s="991" t="s">
        <v>2264</v>
      </c>
      <c r="E650" s="991"/>
      <c r="F650" s="991"/>
    </row>
    <row r="651" spans="1:7" ht="14.25">
      <c r="A651" s="271"/>
      <c r="B651" s="271"/>
      <c r="D651" s="991"/>
      <c r="E651" s="991"/>
      <c r="F651" s="991"/>
    </row>
    <row r="652" spans="1:7" ht="12.75">
      <c r="D652" s="940"/>
      <c r="E652" s="934" t="s">
        <v>2183</v>
      </c>
      <c r="F652" s="940"/>
    </row>
    <row r="653" spans="1:7" ht="12.75">
      <c r="D653" s="973" t="s">
        <v>2182</v>
      </c>
      <c r="E653" s="973"/>
      <c r="F653" s="973"/>
    </row>
    <row r="654" spans="1:7" ht="12.75" customHeight="1">
      <c r="D654" s="973"/>
      <c r="E654" s="973"/>
      <c r="F654" s="973"/>
    </row>
    <row r="655" spans="1:7" ht="12.75">
      <c r="B655"/>
      <c r="D655" s="973"/>
      <c r="E655" s="973"/>
      <c r="F655" s="973"/>
    </row>
    <row r="656" spans="1:7" ht="12.75"/>
    <row r="657" spans="1:9" ht="14.25">
      <c r="A657" s="303"/>
      <c r="B657" s="616" t="s">
        <v>132</v>
      </c>
      <c r="D657" s="1041" t="s">
        <v>1625</v>
      </c>
      <c r="E657" s="1041"/>
      <c r="F657" s="1041"/>
      <c r="G657" s="44"/>
    </row>
    <row r="658" spans="1:9" ht="14.25">
      <c r="A658" s="303"/>
      <c r="B658" s="303"/>
      <c r="D658" s="1041"/>
      <c r="E658" s="1041"/>
      <c r="F658" s="1041"/>
      <c r="G658" s="44"/>
    </row>
    <row r="659" spans="1:9" ht="14.25">
      <c r="A659" s="303"/>
      <c r="B659" s="303"/>
      <c r="D659" s="44"/>
      <c r="E659" s="44"/>
      <c r="F659" s="44"/>
      <c r="G659" s="44"/>
    </row>
    <row r="660" spans="1:9" ht="13.7" customHeight="1">
      <c r="A660" s="303"/>
      <c r="B660" s="616" t="s">
        <v>132</v>
      </c>
      <c r="D660" s="1011" t="s">
        <v>1888</v>
      </c>
      <c r="E660" s="1011"/>
      <c r="F660" s="1011"/>
      <c r="G660" s="44"/>
    </row>
    <row r="661" spans="1:9" ht="14.25">
      <c r="A661" s="303"/>
      <c r="B661" s="303"/>
      <c r="D661" s="1011"/>
      <c r="E661" s="1011"/>
      <c r="F661" s="1011"/>
      <c r="G661" s="44"/>
    </row>
    <row r="662" spans="1:9" ht="14.25">
      <c r="A662" s="271"/>
      <c r="B662" s="271"/>
      <c r="D662" s="633"/>
      <c r="E662" s="633"/>
      <c r="F662" s="633"/>
      <c r="G662" s="44"/>
    </row>
    <row r="663" spans="1:9" ht="14.25">
      <c r="A663" s="271"/>
      <c r="B663" s="616" t="s">
        <v>132</v>
      </c>
      <c r="C663" s="207"/>
      <c r="D663" s="1042" t="s">
        <v>1626</v>
      </c>
      <c r="E663" s="1042"/>
      <c r="F663" s="1042"/>
      <c r="G663" s="44"/>
    </row>
    <row r="664" spans="1:9" ht="12.75">
      <c r="A664" s="44"/>
      <c r="B664" s="44"/>
      <c r="C664" s="207"/>
      <c r="D664" s="44"/>
      <c r="E664" s="44"/>
      <c r="F664" s="44"/>
      <c r="G664" s="44"/>
      <c r="H664" s="267"/>
      <c r="I664" s="267"/>
    </row>
    <row r="665" spans="1:9" ht="12.75">
      <c r="A665" s="1001" t="s">
        <v>1462</v>
      </c>
      <c r="B665" s="1001"/>
      <c r="C665" s="1001"/>
      <c r="D665" s="1001"/>
      <c r="E665" s="1001"/>
      <c r="F665" s="1001"/>
      <c r="G665" s="1001"/>
    </row>
    <row r="666" spans="1:9" ht="12.75">
      <c r="A666" s="44"/>
      <c r="B666" s="44"/>
      <c r="C666" s="207"/>
      <c r="D666" s="44"/>
      <c r="E666" s="44"/>
      <c r="F666" s="44"/>
      <c r="G666" s="44"/>
    </row>
    <row r="667" spans="1:9" ht="12.75">
      <c r="C667" s="190"/>
      <c r="D667" s="1002" t="s">
        <v>1461</v>
      </c>
      <c r="E667" s="1002"/>
      <c r="F667" s="1002"/>
      <c r="G667" s="44"/>
    </row>
    <row r="668" spans="1:9" ht="12.75">
      <c r="A668" s="191"/>
      <c r="B668" s="191"/>
      <c r="C668" s="191"/>
      <c r="D668" s="996" t="s">
        <v>1485</v>
      </c>
      <c r="E668" s="996"/>
      <c r="F668" s="996"/>
      <c r="G668" s="44"/>
    </row>
    <row r="669" spans="1:9" ht="12.75">
      <c r="A669" s="191"/>
      <c r="B669" s="191"/>
      <c r="C669" s="191"/>
      <c r="D669" s="44"/>
      <c r="E669" s="44"/>
      <c r="F669" s="44"/>
      <c r="G669" s="44"/>
    </row>
    <row r="670" spans="1:9" ht="14.45" customHeight="1">
      <c r="A670" s="271"/>
      <c r="B670" s="616" t="s">
        <v>1438</v>
      </c>
      <c r="C670" s="207"/>
      <c r="D670" s="970" t="s">
        <v>1963</v>
      </c>
      <c r="E670" s="970"/>
      <c r="F670" s="970"/>
      <c r="G670" s="44"/>
    </row>
    <row r="671" spans="1:9" ht="14.25">
      <c r="A671" s="271"/>
      <c r="B671" s="271"/>
      <c r="C671" s="207"/>
      <c r="D671" s="970"/>
      <c r="E671" s="970"/>
      <c r="F671" s="970"/>
      <c r="G671" s="44"/>
    </row>
    <row r="672" spans="1:9" ht="14.25">
      <c r="A672" s="271"/>
      <c r="B672" s="271"/>
      <c r="C672" s="207"/>
      <c r="D672" s="970"/>
      <c r="E672" s="970"/>
      <c r="F672" s="970"/>
      <c r="G672" s="44"/>
    </row>
    <row r="673" spans="1:7" ht="14.25">
      <c r="A673" s="271"/>
      <c r="B673" s="271"/>
      <c r="C673" s="207"/>
      <c r="D673" s="970"/>
      <c r="E673" s="970"/>
      <c r="F673" s="970"/>
      <c r="G673" s="44"/>
    </row>
    <row r="674" spans="1:7" ht="14.25">
      <c r="A674" s="271"/>
      <c r="B674" s="271"/>
      <c r="C674" s="207"/>
      <c r="D674" s="970"/>
      <c r="E674" s="970"/>
      <c r="F674" s="970"/>
      <c r="G674" s="44"/>
    </row>
    <row r="675" spans="1:7" ht="14.25">
      <c r="A675" s="271"/>
      <c r="B675" s="271"/>
      <c r="C675" s="207"/>
      <c r="D675" s="970"/>
      <c r="E675" s="970"/>
      <c r="F675" s="970"/>
      <c r="G675" s="44"/>
    </row>
    <row r="676" spans="1:7" ht="14.25" hidden="1">
      <c r="A676" s="271"/>
      <c r="B676" s="271"/>
      <c r="C676" s="207"/>
      <c r="D676" s="375"/>
      <c r="F676" s="44"/>
      <c r="G676" s="44"/>
    </row>
    <row r="677" spans="1:7" ht="14.25" hidden="1">
      <c r="A677" s="271"/>
      <c r="B677" s="616" t="s">
        <v>84</v>
      </c>
      <c r="C677" s="207"/>
      <c r="D677" s="1027" t="s">
        <v>1505</v>
      </c>
      <c r="E677" s="1027"/>
      <c r="F677" s="1027"/>
      <c r="G677" s="44"/>
    </row>
    <row r="678" spans="1:7" ht="14.25" hidden="1">
      <c r="A678" s="271"/>
      <c r="B678" s="271"/>
      <c r="C678" s="207"/>
      <c r="D678" s="1022" t="s">
        <v>2265</v>
      </c>
      <c r="E678" s="1022"/>
      <c r="F678" s="1022"/>
      <c r="G678" s="44"/>
    </row>
    <row r="679" spans="1:7" ht="14.25" hidden="1">
      <c r="A679" s="271"/>
      <c r="B679" s="271"/>
      <c r="C679" s="207"/>
      <c r="D679" s="1022"/>
      <c r="E679" s="1022"/>
      <c r="F679" s="1022"/>
      <c r="G679" s="44"/>
    </row>
    <row r="680" spans="1:7" ht="14.25" hidden="1">
      <c r="A680" s="271"/>
      <c r="B680" s="271"/>
      <c r="C680" s="207"/>
      <c r="D680" s="1022"/>
      <c r="E680" s="1022"/>
      <c r="F680" s="1022"/>
      <c r="G680" s="44"/>
    </row>
    <row r="681" spans="1:7" ht="14.25" hidden="1">
      <c r="A681" s="271"/>
      <c r="B681" s="271"/>
      <c r="C681" s="207"/>
      <c r="D681" s="1022"/>
      <c r="E681" s="1022"/>
      <c r="F681" s="1022"/>
      <c r="G681" s="44"/>
    </row>
    <row r="682" spans="1:7" ht="14.25" hidden="1">
      <c r="A682" s="271"/>
      <c r="B682" s="271"/>
      <c r="C682" s="207"/>
      <c r="D682" s="1022"/>
      <c r="E682" s="1022"/>
      <c r="F682" s="1022"/>
      <c r="G682" s="44"/>
    </row>
    <row r="683" spans="1:7" ht="14.25" hidden="1">
      <c r="A683" s="271"/>
      <c r="B683" s="271"/>
      <c r="C683" s="207"/>
      <c r="D683" s="1043" t="s">
        <v>1962</v>
      </c>
      <c r="E683" s="1043"/>
      <c r="F683" s="1043"/>
      <c r="G683" s="44"/>
    </row>
    <row r="684" spans="1:7" ht="12.75">
      <c r="A684" s="44"/>
      <c r="B684" s="44"/>
      <c r="C684" s="207"/>
      <c r="D684" s="44"/>
      <c r="E684" s="44"/>
      <c r="F684" s="44"/>
      <c r="G684" s="44"/>
    </row>
    <row r="685" spans="1:7" ht="12.75">
      <c r="A685" s="1001" t="s">
        <v>1463</v>
      </c>
      <c r="B685" s="1001"/>
      <c r="C685" s="1001"/>
      <c r="D685" s="1001"/>
      <c r="E685" s="1001"/>
      <c r="F685" s="1001"/>
      <c r="G685" s="1001"/>
    </row>
    <row r="686" spans="1:7" ht="12.75">
      <c r="A686" s="44"/>
      <c r="B686" s="44"/>
      <c r="C686" s="207"/>
      <c r="D686" s="44"/>
      <c r="E686" s="44"/>
      <c r="F686" s="44"/>
      <c r="G686" s="44"/>
    </row>
    <row r="687" spans="1:7" ht="12.75">
      <c r="C687" s="190"/>
      <c r="D687" s="1002" t="s">
        <v>819</v>
      </c>
      <c r="E687" s="1002"/>
      <c r="F687" s="1002"/>
      <c r="G687" s="44"/>
    </row>
    <row r="688" spans="1:7" ht="12.75">
      <c r="A688" s="190"/>
      <c r="B688" s="190"/>
      <c r="C688" s="190"/>
      <c r="D688" s="1002" t="s">
        <v>911</v>
      </c>
      <c r="E688" s="1002"/>
      <c r="F688" s="1002"/>
      <c r="G688" s="44"/>
    </row>
    <row r="689" spans="1:6" ht="12.75">
      <c r="A689" s="191"/>
      <c r="B689" s="191"/>
      <c r="C689" s="191"/>
      <c r="D689" s="996" t="s">
        <v>1590</v>
      </c>
      <c r="E689" s="996"/>
      <c r="F689" s="996"/>
    </row>
    <row r="690" spans="1:6" ht="14.25" customHeight="1">
      <c r="A690" s="191"/>
      <c r="B690" s="191"/>
      <c r="C690" s="191"/>
    </row>
    <row r="691" spans="1:6" ht="14.25">
      <c r="A691" s="271"/>
      <c r="B691" s="616" t="s">
        <v>1438</v>
      </c>
      <c r="C691" s="191"/>
      <c r="D691" s="996" t="s">
        <v>1162</v>
      </c>
      <c r="E691" s="996"/>
      <c r="F691" s="996"/>
    </row>
    <row r="692" spans="1:6" ht="12.75">
      <c r="A692" s="191"/>
      <c r="B692" s="191"/>
      <c r="C692" s="191"/>
      <c r="D692" s="996" t="s">
        <v>1180</v>
      </c>
      <c r="E692" s="996"/>
      <c r="F692" s="996"/>
    </row>
    <row r="693" spans="1:6" ht="12.75" customHeight="1">
      <c r="A693" s="191"/>
      <c r="B693" s="191"/>
      <c r="C693" s="191"/>
      <c r="E693" s="934" t="s">
        <v>2185</v>
      </c>
      <c r="F693" s="15"/>
    </row>
    <row r="694" spans="1:6" ht="12.75">
      <c r="A694" s="191"/>
      <c r="B694" s="191"/>
      <c r="C694" s="191"/>
      <c r="E694" s="933" t="s">
        <v>2184</v>
      </c>
      <c r="F694" s="15"/>
    </row>
    <row r="695" spans="1:6" ht="12.75">
      <c r="A695" s="191"/>
      <c r="B695" s="191"/>
      <c r="C695" s="191"/>
      <c r="D695" s="212"/>
      <c r="E695" s="212"/>
      <c r="F695" s="212"/>
    </row>
    <row r="696" spans="1:6" ht="14.25">
      <c r="A696" s="271"/>
      <c r="B696" s="616" t="s">
        <v>132</v>
      </c>
      <c r="C696" s="191"/>
      <c r="D696" s="976" t="s">
        <v>2266</v>
      </c>
      <c r="E696" s="976"/>
      <c r="F696" s="976"/>
    </row>
    <row r="697" spans="1:6" ht="12.75">
      <c r="A697" s="18"/>
      <c r="B697" s="18"/>
      <c r="C697" s="191"/>
      <c r="D697" s="976"/>
      <c r="E697" s="976"/>
      <c r="F697" s="976"/>
    </row>
    <row r="698" spans="1:6" ht="12.75">
      <c r="A698" s="191"/>
      <c r="B698" s="191"/>
      <c r="C698" s="191"/>
      <c r="D698" s="976"/>
      <c r="E698" s="976"/>
      <c r="F698" s="976"/>
    </row>
    <row r="699" spans="1:6" ht="12.75">
      <c r="A699" s="191"/>
      <c r="B699" s="191"/>
      <c r="C699" s="191"/>
    </row>
    <row r="700" spans="1:6" ht="14.25">
      <c r="A700" s="271"/>
      <c r="B700" s="616" t="s">
        <v>132</v>
      </c>
      <c r="C700" s="191"/>
      <c r="D700" s="996" t="s">
        <v>1220</v>
      </c>
      <c r="E700" s="996"/>
      <c r="F700" s="996"/>
    </row>
    <row r="701" spans="1:6" ht="14.25">
      <c r="A701" s="271"/>
      <c r="B701" s="271"/>
      <c r="C701" s="191"/>
      <c r="D701" s="996" t="s">
        <v>1180</v>
      </c>
      <c r="E701" s="996"/>
      <c r="F701" s="996"/>
    </row>
    <row r="702" spans="1:6" ht="12.75">
      <c r="A702" s="191"/>
      <c r="B702" s="191"/>
      <c r="C702" s="191"/>
      <c r="E702" s="1013" t="s">
        <v>2186</v>
      </c>
      <c r="F702" s="1013"/>
    </row>
    <row r="703" spans="1:6" ht="12.75">
      <c r="A703" s="191"/>
      <c r="B703" s="191"/>
      <c r="C703" s="191"/>
      <c r="D703" s="3"/>
    </row>
    <row r="704" spans="1:6" ht="14.25">
      <c r="A704" s="271"/>
      <c r="B704" s="616" t="s">
        <v>1438</v>
      </c>
      <c r="C704" s="191"/>
      <c r="D704" s="976" t="s">
        <v>1592</v>
      </c>
      <c r="E704" s="976"/>
      <c r="F704" s="976"/>
    </row>
    <row r="705" spans="1:6" ht="12.75">
      <c r="A705" s="191"/>
      <c r="B705" s="191"/>
      <c r="C705" s="191"/>
      <c r="D705" s="976"/>
      <c r="E705" s="976"/>
      <c r="F705" s="976"/>
    </row>
    <row r="706" spans="1:6" ht="12.75">
      <c r="A706" s="191"/>
      <c r="B706" s="191"/>
      <c r="C706" s="191"/>
      <c r="D706" s="976"/>
      <c r="E706" s="976"/>
      <c r="F706" s="976"/>
    </row>
    <row r="707" spans="1:6" ht="12.75">
      <c r="A707" s="191"/>
      <c r="B707" s="191"/>
      <c r="C707" s="191"/>
      <c r="D707" s="976"/>
      <c r="E707" s="976"/>
      <c r="F707" s="976"/>
    </row>
    <row r="708" spans="1:6" ht="12.75">
      <c r="A708" s="191"/>
      <c r="B708" s="191"/>
      <c r="C708" s="191"/>
      <c r="D708" s="976"/>
      <c r="E708" s="976"/>
      <c r="F708" s="976"/>
    </row>
    <row r="709" spans="1:6" ht="12.75">
      <c r="A709" s="191"/>
      <c r="B709" s="191"/>
      <c r="C709" s="191"/>
      <c r="D709" s="976"/>
      <c r="E709" s="976"/>
      <c r="F709" s="976"/>
    </row>
    <row r="710" spans="1:6" ht="12.75">
      <c r="A710" s="191"/>
      <c r="B710" s="191"/>
      <c r="C710" s="191"/>
      <c r="D710" s="976"/>
      <c r="E710" s="976"/>
      <c r="F710" s="976"/>
    </row>
    <row r="711" spans="1:6" ht="12.75">
      <c r="A711" s="191"/>
      <c r="B711" s="616" t="s">
        <v>1438</v>
      </c>
      <c r="C711" s="191"/>
      <c r="D711" s="970" t="s">
        <v>1803</v>
      </c>
      <c r="E711" s="976"/>
      <c r="F711" s="976"/>
    </row>
    <row r="712" spans="1:6" ht="12.75">
      <c r="A712" s="191"/>
      <c r="B712" s="191"/>
      <c r="C712" s="191"/>
      <c r="D712" s="976"/>
      <c r="E712" s="976"/>
      <c r="F712" s="976"/>
    </row>
    <row r="713" spans="1:6" ht="12.75">
      <c r="A713" s="191"/>
      <c r="B713" s="191"/>
      <c r="C713" s="191"/>
    </row>
    <row r="714" spans="1:6" ht="14.45" customHeight="1">
      <c r="A714" s="271"/>
      <c r="B714" s="616" t="s">
        <v>132</v>
      </c>
      <c r="C714" s="191"/>
      <c r="D714" s="976" t="s">
        <v>1593</v>
      </c>
      <c r="E714" s="976"/>
      <c r="F714" s="976"/>
    </row>
    <row r="715" spans="1:6" ht="12.75">
      <c r="A715" s="191"/>
      <c r="B715" s="191"/>
      <c r="C715" s="191"/>
      <c r="D715" s="976"/>
      <c r="E715" s="976"/>
      <c r="F715" s="976"/>
    </row>
    <row r="716" spans="1:6" ht="12.75">
      <c r="A716" s="191"/>
      <c r="B716" s="191"/>
      <c r="C716" s="191"/>
      <c r="D716" s="976"/>
      <c r="E716" s="976"/>
      <c r="F716" s="976"/>
    </row>
    <row r="717" spans="1:6" ht="12.75">
      <c r="A717" s="191"/>
      <c r="B717" s="191"/>
      <c r="C717" s="191"/>
      <c r="D717" s="976"/>
      <c r="E717" s="976"/>
      <c r="F717" s="976"/>
    </row>
    <row r="718" spans="1:6" ht="12.75">
      <c r="A718" s="191"/>
      <c r="B718" s="191"/>
      <c r="C718" s="191"/>
      <c r="D718" s="976"/>
      <c r="E718" s="976"/>
      <c r="F718" s="976"/>
    </row>
    <row r="719" spans="1:6" ht="12.75">
      <c r="A719" s="191"/>
      <c r="B719" s="191"/>
      <c r="C719" s="191"/>
      <c r="D719" s="976"/>
      <c r="E719" s="976"/>
      <c r="F719" s="976"/>
    </row>
    <row r="720" spans="1:6" ht="12.75">
      <c r="A720" s="191"/>
      <c r="B720" s="191"/>
      <c r="C720" s="191"/>
      <c r="D720" s="976"/>
      <c r="E720" s="976"/>
      <c r="F720" s="976"/>
    </row>
    <row r="721" spans="1:9" ht="12.75">
      <c r="A721" s="191"/>
      <c r="B721" s="191"/>
      <c r="C721" s="191"/>
      <c r="D721" s="976"/>
      <c r="E721" s="976"/>
      <c r="F721" s="976"/>
    </row>
    <row r="722" spans="1:9" ht="12.75">
      <c r="A722" s="191"/>
      <c r="B722" s="191"/>
      <c r="C722" s="191"/>
      <c r="D722" s="976"/>
      <c r="E722" s="976"/>
      <c r="F722" s="976"/>
    </row>
    <row r="723" spans="1:9" ht="12.75">
      <c r="A723" s="191"/>
      <c r="B723" s="191"/>
      <c r="C723" s="191"/>
      <c r="D723" s="976"/>
      <c r="E723" s="976"/>
      <c r="F723" s="976"/>
    </row>
    <row r="724" spans="1:9" ht="12.75">
      <c r="A724" s="191"/>
      <c r="B724" s="191"/>
      <c r="C724" s="191"/>
      <c r="D724" s="976"/>
      <c r="E724" s="976"/>
      <c r="F724" s="976"/>
    </row>
    <row r="725" spans="1:9" ht="12.75">
      <c r="A725" s="191"/>
      <c r="B725" s="191"/>
      <c r="C725" s="191"/>
      <c r="D725" s="976"/>
      <c r="E725" s="976"/>
      <c r="F725" s="976"/>
    </row>
    <row r="726" spans="1:9" ht="12.75">
      <c r="A726" s="191"/>
      <c r="B726" s="191"/>
      <c r="C726" s="191"/>
      <c r="D726" s="976"/>
      <c r="E726" s="976"/>
      <c r="F726" s="976"/>
    </row>
    <row r="727" spans="1:9" ht="12.75">
      <c r="A727" s="191"/>
      <c r="B727" s="616" t="s">
        <v>132</v>
      </c>
      <c r="C727" s="191"/>
      <c r="D727" s="976" t="s">
        <v>1597</v>
      </c>
      <c r="E727" s="976"/>
      <c r="F727" s="976"/>
      <c r="H727" s="267"/>
      <c r="I727" s="267"/>
    </row>
    <row r="728" spans="1:9" ht="12.75">
      <c r="A728" s="191"/>
      <c r="B728" s="191"/>
      <c r="C728" s="191"/>
      <c r="D728" s="976"/>
      <c r="E728" s="976"/>
      <c r="F728" s="976"/>
      <c r="H728" s="267"/>
      <c r="I728" s="267"/>
    </row>
    <row r="729" spans="1:9" ht="12.75">
      <c r="A729" s="191"/>
      <c r="B729" s="191"/>
      <c r="C729" s="191"/>
      <c r="D729" s="24"/>
      <c r="E729" s="24"/>
      <c r="F729" s="24"/>
      <c r="H729" s="267"/>
      <c r="I729" s="267"/>
    </row>
    <row r="730" spans="1:9" ht="12.75">
      <c r="A730" s="191"/>
      <c r="B730" s="616" t="s">
        <v>132</v>
      </c>
      <c r="C730" s="191"/>
      <c r="D730" s="976" t="s">
        <v>1598</v>
      </c>
      <c r="E730" s="976"/>
      <c r="F730" s="976"/>
      <c r="H730" s="267"/>
      <c r="I730" s="267"/>
    </row>
    <row r="731" spans="1:9" ht="12.75">
      <c r="A731" s="191"/>
      <c r="B731" s="191"/>
      <c r="C731" s="191"/>
      <c r="D731" s="976"/>
      <c r="E731" s="976"/>
      <c r="F731" s="976"/>
      <c r="H731" s="267"/>
      <c r="I731" s="267"/>
    </row>
    <row r="732" spans="1:9" ht="12.75">
      <c r="A732" s="191"/>
      <c r="B732" s="191"/>
      <c r="C732" s="191"/>
      <c r="D732" s="976"/>
      <c r="E732" s="976"/>
      <c r="F732" s="976"/>
      <c r="H732" s="267"/>
      <c r="I732" s="267"/>
    </row>
    <row r="733" spans="1:9" ht="12.75">
      <c r="A733" s="191"/>
      <c r="B733" s="191"/>
      <c r="C733" s="191"/>
      <c r="D733" s="24"/>
      <c r="E733" s="24"/>
      <c r="F733" s="24"/>
      <c r="H733" s="267"/>
      <c r="I733" s="267"/>
    </row>
    <row r="734" spans="1:9" ht="14.45" customHeight="1">
      <c r="A734" s="271"/>
      <c r="B734" s="616" t="s">
        <v>132</v>
      </c>
      <c r="C734" s="191"/>
      <c r="D734" s="970" t="s">
        <v>2012</v>
      </c>
      <c r="E734" s="976"/>
      <c r="F734" s="976"/>
    </row>
    <row r="735" spans="1:9" ht="12.75">
      <c r="A735" s="191"/>
      <c r="B735" s="191"/>
      <c r="C735" s="191"/>
      <c r="D735" s="976"/>
      <c r="E735" s="976"/>
      <c r="F735" s="976"/>
    </row>
    <row r="736" spans="1:9" ht="12.75">
      <c r="A736" s="191"/>
      <c r="B736" s="191"/>
      <c r="C736" s="191"/>
      <c r="D736" s="976"/>
      <c r="E736" s="976"/>
      <c r="F736" s="976"/>
    </row>
    <row r="737" spans="1:9" ht="12.75">
      <c r="A737" s="191"/>
      <c r="B737" s="191"/>
      <c r="C737" s="191"/>
    </row>
    <row r="738" spans="1:9" ht="14.45" customHeight="1">
      <c r="A738" s="271"/>
      <c r="B738" s="616" t="s">
        <v>132</v>
      </c>
      <c r="C738" s="191"/>
      <c r="D738" s="976" t="s">
        <v>1594</v>
      </c>
      <c r="E738" s="976"/>
      <c r="F738" s="976"/>
    </row>
    <row r="739" spans="1:9" ht="12.75">
      <c r="A739" s="191"/>
      <c r="B739" s="191"/>
      <c r="C739" s="191"/>
      <c r="D739" s="976"/>
      <c r="E739" s="976"/>
      <c r="F739" s="976"/>
    </row>
    <row r="740" spans="1:9" ht="12.75">
      <c r="A740" s="191"/>
      <c r="B740" s="191"/>
      <c r="C740" s="191"/>
      <c r="D740" s="976"/>
      <c r="E740" s="976"/>
      <c r="F740" s="976"/>
    </row>
    <row r="741" spans="1:9" ht="12.75">
      <c r="A741" s="191"/>
      <c r="B741" s="191"/>
      <c r="C741" s="191"/>
      <c r="D741" s="212"/>
      <c r="H741" s="267"/>
      <c r="I741" s="267"/>
    </row>
    <row r="742" spans="1:9" ht="14.25">
      <c r="A742" s="271"/>
      <c r="B742" s="616" t="s">
        <v>132</v>
      </c>
      <c r="C742" s="191"/>
      <c r="D742" s="976" t="s">
        <v>1596</v>
      </c>
      <c r="E742" s="976"/>
      <c r="F742" s="976"/>
    </row>
    <row r="743" spans="1:9" ht="12.75">
      <c r="A743" s="191"/>
      <c r="B743" s="191"/>
      <c r="C743" s="191"/>
      <c r="D743" s="976"/>
      <c r="E743" s="976"/>
      <c r="F743" s="976"/>
    </row>
    <row r="744" spans="1:9" ht="12.75">
      <c r="A744" s="191"/>
      <c r="B744" s="191"/>
      <c r="C744" s="191"/>
      <c r="D744" s="976"/>
      <c r="E744" s="976"/>
      <c r="F744" s="976"/>
    </row>
    <row r="745" spans="1:9" ht="12.75">
      <c r="A745" s="191"/>
      <c r="B745" s="191"/>
      <c r="C745" s="191"/>
      <c r="D745" s="976"/>
      <c r="E745" s="976"/>
      <c r="F745" s="976"/>
    </row>
    <row r="746" spans="1:9" ht="12.75">
      <c r="A746" s="191"/>
      <c r="B746" s="191"/>
      <c r="C746" s="191"/>
      <c r="D746" s="24"/>
      <c r="E746" s="24"/>
      <c r="F746" s="24"/>
    </row>
    <row r="747" spans="1:9" ht="14.25">
      <c r="A747" s="271"/>
      <c r="B747" s="616" t="s">
        <v>132</v>
      </c>
      <c r="C747" s="191"/>
      <c r="D747" s="970" t="s">
        <v>2344</v>
      </c>
      <c r="E747" s="976"/>
      <c r="F747" s="976"/>
      <c r="H747" s="267"/>
      <c r="I747" s="267"/>
    </row>
    <row r="748" spans="1:9" ht="12.75">
      <c r="A748" s="191"/>
      <c r="B748" s="191"/>
      <c r="C748" s="191"/>
      <c r="D748" s="976"/>
      <c r="E748" s="976"/>
      <c r="F748" s="976"/>
      <c r="H748" s="267"/>
      <c r="I748" s="267"/>
    </row>
    <row r="749" spans="1:9" ht="12.75">
      <c r="A749" s="191"/>
      <c r="B749" s="191"/>
      <c r="C749" s="191"/>
      <c r="D749" s="976"/>
      <c r="E749" s="976"/>
      <c r="F749" s="976"/>
      <c r="H749" s="267"/>
      <c r="I749" s="267"/>
    </row>
    <row r="750" spans="1:9" ht="12.75">
      <c r="A750" s="191"/>
      <c r="B750" s="191"/>
      <c r="C750" s="191"/>
      <c r="D750" s="976"/>
      <c r="E750" s="976"/>
      <c r="F750" s="976"/>
      <c r="H750" s="267"/>
      <c r="I750" s="267"/>
    </row>
    <row r="751" spans="1:9" ht="12.75">
      <c r="A751" s="191"/>
      <c r="B751" s="191"/>
      <c r="C751" s="191"/>
      <c r="D751" s="976"/>
      <c r="E751" s="976"/>
      <c r="F751" s="976"/>
      <c r="H751" s="267"/>
      <c r="I751" s="267"/>
    </row>
    <row r="752" spans="1:9" ht="12.75">
      <c r="A752" s="191"/>
      <c r="B752" s="191"/>
      <c r="C752" s="191"/>
      <c r="D752" s="976"/>
      <c r="E752" s="976"/>
      <c r="F752" s="976"/>
      <c r="H752" s="267"/>
      <c r="I752" s="267"/>
    </row>
    <row r="753" spans="1:9" ht="12.75">
      <c r="A753" s="191"/>
      <c r="B753" s="191"/>
      <c r="C753" s="191"/>
      <c r="D753" s="976"/>
      <c r="E753" s="976"/>
      <c r="F753" s="976"/>
      <c r="H753" s="267"/>
      <c r="I753" s="267"/>
    </row>
    <row r="754" spans="1:9" ht="12.75">
      <c r="A754" s="191"/>
      <c r="B754" s="191"/>
      <c r="C754" s="191"/>
      <c r="D754" s="1038" t="s">
        <v>1595</v>
      </c>
      <c r="E754" s="1038"/>
      <c r="F754" s="1038"/>
      <c r="H754" s="267"/>
      <c r="I754" s="267"/>
    </row>
    <row r="755" spans="1:9" ht="12.75">
      <c r="A755" s="191"/>
      <c r="B755" s="191"/>
      <c r="C755" s="191"/>
      <c r="D755" s="567"/>
      <c r="H755" s="267"/>
      <c r="I755" s="267"/>
    </row>
    <row r="756" spans="1:9" ht="12.75">
      <c r="A756" s="1021" t="s">
        <v>1492</v>
      </c>
      <c r="B756" s="1021"/>
      <c r="C756" s="1021"/>
      <c r="D756" s="1021"/>
      <c r="E756" s="1021"/>
      <c r="F756" s="1021"/>
      <c r="G756" s="1021"/>
      <c r="H756" s="267"/>
      <c r="I756" s="267"/>
    </row>
    <row r="757" spans="1:9" ht="12.75">
      <c r="A757" s="191"/>
      <c r="B757" s="191"/>
      <c r="C757" s="191"/>
      <c r="D757" s="212"/>
      <c r="H757" s="267"/>
      <c r="I757" s="267"/>
    </row>
    <row r="758" spans="1:9" ht="12.75">
      <c r="C758" s="191"/>
      <c r="D758" s="1003" t="s">
        <v>1513</v>
      </c>
      <c r="E758" s="1003"/>
      <c r="F758" s="1003"/>
      <c r="H758" s="267"/>
      <c r="I758" s="267"/>
    </row>
    <row r="759" spans="1:9" ht="12.75">
      <c r="A759" s="190"/>
      <c r="B759" s="190"/>
      <c r="C759" s="190"/>
      <c r="D759" s="1000" t="s">
        <v>1516</v>
      </c>
      <c r="E759" s="1000"/>
      <c r="F759" s="1000"/>
      <c r="H759" s="267"/>
      <c r="I759" s="267"/>
    </row>
    <row r="760" spans="1:9" ht="12.75">
      <c r="A760" s="191"/>
      <c r="B760" s="191"/>
      <c r="C760" s="191"/>
      <c r="H760" s="267"/>
      <c r="I760" s="267"/>
    </row>
    <row r="761" spans="1:9" ht="14.25" customHeight="1">
      <c r="A761" s="271"/>
      <c r="B761" s="616" t="s">
        <v>1438</v>
      </c>
      <c r="D761" s="976" t="s">
        <v>1514</v>
      </c>
      <c r="E761" s="976"/>
      <c r="F761" s="976"/>
      <c r="H761" s="267"/>
      <c r="I761" s="267"/>
    </row>
    <row r="762" spans="1:9" ht="11.25" customHeight="1">
      <c r="D762" s="976"/>
      <c r="E762" s="976"/>
      <c r="F762" s="976"/>
      <c r="H762" s="267"/>
      <c r="I762" s="267"/>
    </row>
    <row r="763" spans="1:9" ht="12.75">
      <c r="D763" s="976"/>
      <c r="E763" s="976"/>
      <c r="F763" s="976"/>
      <c r="H763" s="267"/>
      <c r="I763" s="267"/>
    </row>
    <row r="764" spans="1:9" ht="12.75">
      <c r="D764" s="976"/>
      <c r="E764" s="976"/>
      <c r="F764" s="976"/>
      <c r="H764" s="267"/>
      <c r="I764" s="267"/>
    </row>
    <row r="765" spans="1:9" ht="12.75">
      <c r="D765" s="976"/>
      <c r="E765" s="976"/>
      <c r="F765" s="976"/>
      <c r="H765" s="267"/>
      <c r="I765" s="267"/>
    </row>
    <row r="766" spans="1:9" ht="17.25" customHeight="1">
      <c r="D766" s="976"/>
      <c r="E766" s="976"/>
      <c r="F766" s="976"/>
      <c r="H766" s="267"/>
      <c r="I766" s="267"/>
    </row>
    <row r="767" spans="1:9" ht="12.75">
      <c r="D767" s="44"/>
      <c r="E767" s="44"/>
      <c r="F767" s="44"/>
      <c r="H767" s="267"/>
      <c r="I767" s="267"/>
    </row>
    <row r="768" spans="1:9" ht="12.75" customHeight="1">
      <c r="B768" s="616" t="s">
        <v>1438</v>
      </c>
      <c r="D768" s="1011" t="s">
        <v>1949</v>
      </c>
      <c r="E768" s="1011"/>
      <c r="F768" s="1011"/>
      <c r="H768" s="267"/>
      <c r="I768" s="267"/>
    </row>
    <row r="769" spans="1:9" ht="12.75">
      <c r="D769" s="1011"/>
      <c r="E769" s="1011"/>
      <c r="F769" s="1011"/>
      <c r="H769" s="267"/>
      <c r="I769" s="267"/>
    </row>
    <row r="770" spans="1:9" ht="12.75">
      <c r="D770" s="1011"/>
      <c r="E770" s="1011"/>
      <c r="F770" s="1011"/>
      <c r="H770" s="267"/>
      <c r="I770" s="267"/>
    </row>
    <row r="771" spans="1:9" ht="12.75">
      <c r="D771" s="1011"/>
      <c r="E771" s="1011"/>
      <c r="F771" s="1011"/>
      <c r="H771" s="267"/>
      <c r="I771" s="267"/>
    </row>
    <row r="772" spans="1:9" ht="12.75">
      <c r="D772" s="44"/>
      <c r="H772" s="267"/>
      <c r="I772" s="267"/>
    </row>
    <row r="773" spans="1:9" ht="12.75">
      <c r="B773" s="616" t="s">
        <v>132</v>
      </c>
      <c r="C773" s="437"/>
      <c r="D773" s="1009" t="s">
        <v>1950</v>
      </c>
      <c r="E773" s="1022"/>
      <c r="F773" s="1022"/>
      <c r="G773" s="376"/>
      <c r="H773" s="267"/>
      <c r="I773" s="267"/>
    </row>
    <row r="774" spans="1:9" ht="12.75">
      <c r="A774" s="437"/>
      <c r="B774" s="437"/>
      <c r="C774" s="437"/>
      <c r="D774" s="1022"/>
      <c r="E774" s="1022"/>
      <c r="F774" s="1022"/>
      <c r="G774" s="376"/>
      <c r="H774" s="267"/>
      <c r="I774" s="267"/>
    </row>
    <row r="775" spans="1:9" ht="12.75">
      <c r="A775" s="437"/>
      <c r="B775" s="437"/>
      <c r="C775" s="437"/>
      <c r="D775" s="1022"/>
      <c r="E775" s="1022"/>
      <c r="F775" s="1022"/>
      <c r="G775" s="376"/>
      <c r="H775" s="267"/>
      <c r="I775" s="267"/>
    </row>
    <row r="776" spans="1:9" ht="12.75">
      <c r="D776" s="44"/>
      <c r="E776" s="44"/>
      <c r="F776" s="44"/>
      <c r="H776" s="267"/>
      <c r="I776" s="267"/>
    </row>
    <row r="777" spans="1:9" ht="12.75">
      <c r="B777" s="616" t="s">
        <v>132</v>
      </c>
      <c r="D777" s="976" t="s">
        <v>1515</v>
      </c>
      <c r="E777" s="976"/>
      <c r="F777" s="976"/>
      <c r="H777" s="267"/>
      <c r="I777" s="267"/>
    </row>
    <row r="778" spans="1:9" ht="12.75">
      <c r="D778" s="976"/>
      <c r="E778" s="976"/>
      <c r="F778" s="976"/>
      <c r="H778" s="267"/>
      <c r="I778" s="267"/>
    </row>
    <row r="779" spans="1:9" ht="12.75">
      <c r="D779" s="24"/>
      <c r="E779" s="24"/>
      <c r="F779" s="24"/>
      <c r="H779" s="267"/>
      <c r="I779" s="267"/>
    </row>
    <row r="780" spans="1:9" ht="13.7" customHeight="1">
      <c r="B780" s="616" t="s">
        <v>132</v>
      </c>
      <c r="D780" s="970" t="s">
        <v>1826</v>
      </c>
      <c r="E780" s="976"/>
      <c r="F780" s="976"/>
      <c r="H780" s="267"/>
      <c r="I780" s="267"/>
    </row>
    <row r="781" spans="1:9" ht="12.75">
      <c r="D781" s="976"/>
      <c r="E781" s="976"/>
      <c r="F781" s="976"/>
      <c r="H781" s="267"/>
      <c r="I781" s="267"/>
    </row>
    <row r="782" spans="1:9" ht="12.75">
      <c r="D782" s="976"/>
      <c r="E782" s="976"/>
      <c r="F782" s="976"/>
      <c r="H782" s="267"/>
      <c r="I782" s="267"/>
    </row>
    <row r="783" spans="1:9" ht="12.75">
      <c r="D783" s="24"/>
      <c r="E783" s="24"/>
      <c r="F783" s="24"/>
      <c r="H783" s="267"/>
      <c r="I783" s="267"/>
    </row>
    <row r="784" spans="1:9" ht="12" customHeight="1">
      <c r="A784" s="1021" t="s">
        <v>1660</v>
      </c>
      <c r="B784" s="1021"/>
      <c r="C784" s="1021"/>
      <c r="D784" s="1021"/>
      <c r="E784" s="1021"/>
      <c r="F784" s="1021"/>
      <c r="G784" s="1021"/>
      <c r="H784" s="267"/>
      <c r="I784" s="267"/>
    </row>
    <row r="785" spans="1:9" ht="12.75">
      <c r="A785" s="63"/>
      <c r="B785" s="63"/>
      <c r="H785" s="267"/>
      <c r="I785" s="267"/>
    </row>
    <row r="786" spans="1:9" ht="13.7" customHeight="1">
      <c r="A786" s="63"/>
      <c r="B786" s="63"/>
      <c r="D786" s="1049" t="s">
        <v>1661</v>
      </c>
      <c r="E786" s="1049"/>
      <c r="F786" s="1049"/>
      <c r="H786" s="267"/>
      <c r="I786" s="267"/>
    </row>
    <row r="787" spans="1:9" ht="12.75">
      <c r="A787" s="63"/>
      <c r="B787" s="63"/>
      <c r="D787" s="1006" t="s">
        <v>1662</v>
      </c>
      <c r="E787" s="1006"/>
      <c r="F787" s="1006"/>
      <c r="H787" s="267"/>
      <c r="I787" s="267"/>
    </row>
    <row r="788" spans="1:9" ht="12.75">
      <c r="A788" s="63"/>
      <c r="B788" s="63"/>
      <c r="D788" s="424"/>
      <c r="E788" s="424"/>
      <c r="F788" s="424"/>
      <c r="H788" s="267"/>
      <c r="I788" s="267"/>
    </row>
    <row r="789" spans="1:9" ht="12.75">
      <c r="A789" s="63"/>
      <c r="B789" s="616" t="s">
        <v>1438</v>
      </c>
      <c r="D789" s="1022" t="s">
        <v>1663</v>
      </c>
      <c r="E789" s="1022"/>
      <c r="F789" s="1022"/>
      <c r="H789" s="267"/>
      <c r="I789" s="267"/>
    </row>
    <row r="790" spans="1:9" ht="12.75">
      <c r="A790" s="63"/>
      <c r="B790" s="63"/>
      <c r="D790" s="1022"/>
      <c r="E790" s="1022"/>
      <c r="F790" s="1022"/>
      <c r="H790" s="267"/>
      <c r="I790" s="267"/>
    </row>
    <row r="791" spans="1:9" ht="12.75">
      <c r="A791" s="191"/>
      <c r="B791" s="191"/>
      <c r="C791" s="191"/>
      <c r="D791" s="1022"/>
      <c r="E791" s="1022"/>
      <c r="F791" s="1022"/>
      <c r="G791" s="44"/>
      <c r="H791" s="267"/>
      <c r="I791" s="267"/>
    </row>
    <row r="792" spans="1:9" ht="12.75">
      <c r="D792" s="192"/>
      <c r="H792" s="267"/>
      <c r="I792" s="267"/>
    </row>
    <row r="793" spans="1:9" ht="12.75">
      <c r="A793" s="190"/>
      <c r="B793" s="616" t="s">
        <v>132</v>
      </c>
      <c r="C793" s="190"/>
      <c r="D793" s="1009" t="s">
        <v>2333</v>
      </c>
      <c r="E793" s="1022"/>
      <c r="F793" s="1022"/>
      <c r="H793" s="267"/>
      <c r="I793" s="267"/>
    </row>
    <row r="794" spans="1:9" ht="12.75">
      <c r="A794" s="190"/>
      <c r="B794" s="190"/>
      <c r="C794" s="190"/>
      <c r="D794" s="1022"/>
      <c r="E794" s="1022"/>
      <c r="F794" s="1022"/>
      <c r="H794" s="267"/>
      <c r="I794" s="267"/>
    </row>
    <row r="795" spans="1:9" ht="27.75" customHeight="1">
      <c r="A795" s="190"/>
      <c r="B795" s="190"/>
      <c r="C795" s="190"/>
      <c r="D795" s="1022"/>
      <c r="E795" s="1022"/>
      <c r="F795" s="1022"/>
      <c r="H795" s="267"/>
      <c r="I795" s="267"/>
    </row>
    <row r="796" spans="1:9" ht="12.75">
      <c r="A796" s="191"/>
      <c r="B796" s="191"/>
      <c r="C796" s="191"/>
      <c r="E796" s="188"/>
      <c r="F796" s="188"/>
      <c r="G796" s="188"/>
      <c r="H796" s="267"/>
      <c r="I796" s="267"/>
    </row>
    <row r="797" spans="1:9" ht="14.45" customHeight="1">
      <c r="A797" s="271"/>
      <c r="B797" s="616" t="s">
        <v>132</v>
      </c>
      <c r="C797" s="207"/>
      <c r="D797" s="1009" t="s">
        <v>1767</v>
      </c>
      <c r="E797" s="1009"/>
      <c r="F797" s="1009"/>
      <c r="G797" s="188"/>
      <c r="H797" s="267"/>
      <c r="I797" s="267"/>
    </row>
    <row r="798" spans="1:9" ht="14.25">
      <c r="A798" s="271"/>
      <c r="B798" s="271"/>
      <c r="C798" s="207"/>
      <c r="D798" s="1009"/>
      <c r="E798" s="1009"/>
      <c r="F798" s="1009"/>
      <c r="G798" s="188"/>
      <c r="H798" s="267"/>
      <c r="I798" s="267"/>
    </row>
    <row r="799" spans="1:9" ht="14.25">
      <c r="A799" s="271"/>
      <c r="B799" s="271"/>
      <c r="C799" s="207"/>
      <c r="D799" s="1009"/>
      <c r="E799" s="1009"/>
      <c r="F799" s="1009"/>
      <c r="G799" s="188"/>
      <c r="H799" s="267"/>
      <c r="I799" s="267"/>
    </row>
    <row r="800" spans="1:9" ht="14.25">
      <c r="A800" s="271"/>
      <c r="B800" s="271"/>
      <c r="C800" s="207"/>
      <c r="D800" s="44"/>
      <c r="G800" s="188"/>
      <c r="H800" s="267"/>
      <c r="I800" s="267"/>
    </row>
    <row r="801" spans="1:9" ht="14.25" customHeight="1">
      <c r="A801" s="271"/>
      <c r="B801" s="616" t="s">
        <v>132</v>
      </c>
      <c r="C801" s="207"/>
      <c r="D801" s="1022" t="s">
        <v>1664</v>
      </c>
      <c r="E801" s="1022"/>
      <c r="F801" s="1022"/>
      <c r="G801" s="188"/>
      <c r="H801" s="267"/>
      <c r="I801" s="267"/>
    </row>
    <row r="802" spans="1:9" ht="14.25">
      <c r="A802" s="271"/>
      <c r="B802" s="271"/>
      <c r="C802" s="207"/>
      <c r="D802" s="1022"/>
      <c r="E802" s="1022"/>
      <c r="F802" s="1022"/>
      <c r="G802" s="188"/>
      <c r="H802" s="267"/>
      <c r="I802" s="267"/>
    </row>
    <row r="803" spans="1:9" ht="14.25">
      <c r="A803" s="271"/>
      <c r="B803" s="271"/>
      <c r="C803" s="207"/>
      <c r="D803" s="1022"/>
      <c r="E803" s="1022"/>
      <c r="F803" s="1022"/>
      <c r="G803" s="188"/>
      <c r="H803" s="267"/>
      <c r="I803" s="267"/>
    </row>
    <row r="804" spans="1:9" ht="14.25">
      <c r="A804" s="271"/>
      <c r="B804" s="271"/>
      <c r="C804" s="207"/>
      <c r="D804" s="1022"/>
      <c r="E804" s="1022"/>
      <c r="F804" s="1022"/>
      <c r="G804" s="188"/>
      <c r="H804" s="267"/>
      <c r="I804" s="267"/>
    </row>
    <row r="805" spans="1:9" ht="14.25">
      <c r="A805" s="271"/>
      <c r="B805" s="271"/>
      <c r="C805" s="207"/>
      <c r="D805" s="1022"/>
      <c r="E805" s="1022"/>
      <c r="F805" s="1022"/>
      <c r="G805" s="188"/>
      <c r="H805" s="267"/>
      <c r="I805" s="267"/>
    </row>
    <row r="806" spans="1:9" ht="14.25">
      <c r="A806" s="271"/>
      <c r="B806" s="271"/>
      <c r="C806" s="207"/>
      <c r="D806" s="1009" t="s">
        <v>2104</v>
      </c>
      <c r="E806" s="1009"/>
      <c r="F806" s="1009"/>
      <c r="G806" s="188"/>
      <c r="H806" s="267"/>
      <c r="I806" s="267"/>
    </row>
    <row r="807" spans="1:9" ht="14.25">
      <c r="A807" s="271"/>
      <c r="B807" s="271"/>
      <c r="C807" s="207"/>
      <c r="D807" s="1009"/>
      <c r="E807" s="1009"/>
      <c r="F807" s="1009"/>
      <c r="G807" s="188"/>
      <c r="H807" s="267"/>
      <c r="I807" s="267"/>
    </row>
    <row r="808" spans="1:9" ht="14.25">
      <c r="A808" s="271"/>
      <c r="B808" s="271"/>
      <c r="C808" s="207"/>
      <c r="D808" s="1009"/>
      <c r="E808" s="1009"/>
      <c r="F808" s="1009"/>
      <c r="G808" s="188"/>
      <c r="H808" s="267"/>
      <c r="I808" s="267"/>
    </row>
    <row r="809" spans="1:9" ht="14.25">
      <c r="A809" s="271"/>
      <c r="C809" s="207"/>
      <c r="D809" s="800"/>
      <c r="E809" s="800"/>
      <c r="F809" s="800"/>
      <c r="G809" s="188"/>
      <c r="H809" s="267"/>
      <c r="I809" s="267"/>
    </row>
    <row r="810" spans="1:9" ht="14.25">
      <c r="A810" s="271"/>
      <c r="B810" s="616" t="s">
        <v>132</v>
      </c>
      <c r="C810" s="207"/>
      <c r="D810" s="1022" t="s">
        <v>1666</v>
      </c>
      <c r="E810" s="1022"/>
      <c r="F810" s="1022"/>
      <c r="G810" s="188"/>
      <c r="H810" s="267"/>
      <c r="I810" s="267"/>
    </row>
    <row r="811" spans="1:9" ht="14.25">
      <c r="A811" s="271"/>
      <c r="B811" s="271"/>
      <c r="C811" s="207"/>
      <c r="D811" s="1022"/>
      <c r="E811" s="1022"/>
      <c r="F811" s="1022"/>
      <c r="G811" s="188"/>
      <c r="H811" s="267"/>
      <c r="I811" s="267"/>
    </row>
    <row r="812" spans="1:9" ht="14.25">
      <c r="A812" s="271"/>
      <c r="B812" s="271"/>
      <c r="C812" s="207"/>
      <c r="D812" s="1022"/>
      <c r="E812" s="1022"/>
      <c r="F812" s="1022"/>
      <c r="G812" s="188"/>
      <c r="H812" s="267"/>
      <c r="I812" s="267"/>
    </row>
    <row r="813" spans="1:9" ht="14.25">
      <c r="A813" s="271"/>
      <c r="B813" s="271"/>
      <c r="C813" s="207"/>
      <c r="D813" s="1022"/>
      <c r="E813" s="1022"/>
      <c r="F813" s="1022"/>
      <c r="G813" s="188"/>
      <c r="H813" s="267"/>
      <c r="I813" s="267"/>
    </row>
    <row r="814" spans="1:9" ht="14.25">
      <c r="A814" s="271"/>
      <c r="B814" s="271"/>
      <c r="C814" s="207"/>
      <c r="D814" s="1022"/>
      <c r="E814" s="1022"/>
      <c r="F814" s="1022"/>
      <c r="G814" s="188"/>
      <c r="H814" s="267"/>
      <c r="I814" s="267"/>
    </row>
    <row r="815" spans="1:9" ht="14.25">
      <c r="A815" s="271"/>
      <c r="B815" s="271"/>
      <c r="C815" s="207"/>
      <c r="D815" s="1022"/>
      <c r="E815" s="1022"/>
      <c r="F815" s="1022"/>
      <c r="G815" s="188"/>
      <c r="H815" s="267"/>
      <c r="I815" s="267"/>
    </row>
    <row r="816" spans="1:9" ht="14.25">
      <c r="A816" s="271"/>
      <c r="B816" s="271"/>
      <c r="C816" s="207"/>
      <c r="D816" s="661"/>
      <c r="E816" s="661"/>
      <c r="F816" s="661"/>
      <c r="G816" s="188"/>
      <c r="H816" s="267"/>
      <c r="I816" s="267"/>
    </row>
    <row r="817" spans="1:9" ht="14.25">
      <c r="A817" s="271"/>
      <c r="B817" s="616" t="s">
        <v>132</v>
      </c>
      <c r="C817" s="207"/>
      <c r="D817" s="1009" t="s">
        <v>1951</v>
      </c>
      <c r="E817" s="1022"/>
      <c r="F817" s="1022"/>
      <c r="G817" s="188"/>
      <c r="H817" s="267"/>
      <c r="I817" s="267"/>
    </row>
    <row r="818" spans="1:9" ht="14.25">
      <c r="A818" s="271"/>
      <c r="B818" s="271"/>
      <c r="C818" s="207"/>
      <c r="D818" s="1022"/>
      <c r="E818" s="1022"/>
      <c r="F818" s="1022"/>
      <c r="G818" s="188"/>
      <c r="H818" s="267"/>
      <c r="I818" s="267"/>
    </row>
    <row r="819" spans="1:9" ht="14.25">
      <c r="A819" s="271"/>
      <c r="B819" s="271"/>
      <c r="C819" s="207"/>
      <c r="D819" s="1022"/>
      <c r="E819" s="1022"/>
      <c r="F819" s="1022"/>
      <c r="G819" s="188"/>
      <c r="H819" s="267"/>
      <c r="I819" s="267"/>
    </row>
    <row r="820" spans="1:9" ht="14.25">
      <c r="A820" s="271"/>
      <c r="B820" s="271"/>
      <c r="C820" s="207"/>
      <c r="D820" s="1022"/>
      <c r="E820" s="1022"/>
      <c r="F820" s="1022"/>
      <c r="G820" s="188"/>
      <c r="H820" s="267"/>
      <c r="I820" s="267"/>
    </row>
    <row r="821" spans="1:9" ht="14.25">
      <c r="A821" s="271"/>
      <c r="B821" s="271"/>
      <c r="C821" s="207"/>
      <c r="D821" s="1022"/>
      <c r="E821" s="1022"/>
      <c r="F821" s="1022"/>
      <c r="G821" s="188"/>
      <c r="H821" s="267"/>
      <c r="I821" s="267"/>
    </row>
    <row r="822" spans="1:9" ht="14.25">
      <c r="A822" s="271"/>
      <c r="B822" s="271"/>
      <c r="C822" s="207"/>
      <c r="D822" s="661"/>
      <c r="E822" s="661"/>
      <c r="F822" s="661"/>
      <c r="G822" s="188"/>
      <c r="H822" s="267"/>
      <c r="I822" s="267"/>
    </row>
    <row r="823" spans="1:9" ht="14.25">
      <c r="A823" s="271"/>
      <c r="B823" s="616" t="s">
        <v>132</v>
      </c>
      <c r="C823" s="207"/>
      <c r="D823" s="1022" t="s">
        <v>1665</v>
      </c>
      <c r="E823" s="1022"/>
      <c r="F823" s="1022"/>
      <c r="G823" s="188"/>
      <c r="H823" s="267"/>
      <c r="I823" s="267"/>
    </row>
    <row r="824" spans="1:9" ht="14.25">
      <c r="A824" s="271"/>
      <c r="B824" s="271"/>
      <c r="C824" s="207"/>
      <c r="D824" s="1022"/>
      <c r="E824" s="1022"/>
      <c r="F824" s="1022"/>
      <c r="G824" s="188"/>
      <c r="H824" s="267"/>
      <c r="I824" s="267"/>
    </row>
    <row r="825" spans="1:9" ht="14.25">
      <c r="A825" s="271"/>
      <c r="B825" s="271"/>
      <c r="C825" s="207"/>
      <c r="D825" s="1022"/>
      <c r="E825" s="1022"/>
      <c r="F825" s="1022"/>
      <c r="G825" s="188"/>
      <c r="H825" s="267"/>
      <c r="I825" s="267"/>
    </row>
    <row r="826" spans="1:9" ht="14.25">
      <c r="A826" s="271"/>
      <c r="B826" s="271"/>
      <c r="C826" s="207"/>
      <c r="D826" s="1022"/>
      <c r="E826" s="1022"/>
      <c r="F826" s="1022"/>
      <c r="G826" s="188"/>
      <c r="H826" s="267"/>
      <c r="I826" s="267"/>
    </row>
    <row r="827" spans="1:9" ht="14.25">
      <c r="A827" s="271"/>
      <c r="B827" s="271"/>
      <c r="C827" s="207"/>
      <c r="D827" s="188"/>
      <c r="G827" s="188"/>
      <c r="H827" s="267"/>
      <c r="I827" s="267"/>
    </row>
    <row r="828" spans="1:9" ht="14.25">
      <c r="A828" s="271"/>
      <c r="B828" s="616" t="s">
        <v>132</v>
      </c>
      <c r="C828" s="207"/>
      <c r="D828" s="1030" t="s">
        <v>1668</v>
      </c>
      <c r="E828" s="1030"/>
      <c r="F828" s="1030"/>
      <c r="G828" s="188"/>
      <c r="H828" s="267"/>
      <c r="I828" s="267"/>
    </row>
    <row r="829" spans="1:9" ht="14.25">
      <c r="A829" s="271"/>
      <c r="B829" s="271"/>
      <c r="C829" s="207"/>
      <c r="D829" s="1030"/>
      <c r="E829" s="1030"/>
      <c r="F829" s="1030"/>
      <c r="G829" s="188"/>
      <c r="H829" s="267"/>
      <c r="I829" s="267"/>
    </row>
    <row r="830" spans="1:9" ht="12.75">
      <c r="A830" s="18"/>
      <c r="B830" s="18"/>
      <c r="C830" s="207"/>
      <c r="D830" s="1030"/>
      <c r="E830" s="1030"/>
      <c r="F830" s="1030"/>
      <c r="G830" s="188"/>
      <c r="H830" s="267"/>
      <c r="I830" s="267"/>
    </row>
    <row r="831" spans="1:9" ht="14.25">
      <c r="A831" s="271"/>
      <c r="B831" s="18"/>
      <c r="C831" s="207"/>
      <c r="D831" s="1030"/>
      <c r="E831" s="1030"/>
      <c r="F831" s="1030"/>
      <c r="G831" s="188"/>
      <c r="H831" s="267"/>
      <c r="I831" s="267"/>
    </row>
    <row r="832" spans="1:9" ht="14.25">
      <c r="A832" s="271"/>
      <c r="B832" s="18"/>
      <c r="C832" s="207"/>
      <c r="D832" s="1030"/>
      <c r="E832" s="1030"/>
      <c r="F832" s="1030"/>
      <c r="G832" s="188"/>
      <c r="H832" s="267"/>
      <c r="I832" s="267"/>
    </row>
    <row r="833" spans="1:9" ht="14.25">
      <c r="A833" s="271"/>
      <c r="B833" s="18"/>
      <c r="C833" s="207"/>
      <c r="D833" s="1030"/>
      <c r="E833" s="1030"/>
      <c r="F833" s="1030"/>
      <c r="G833" s="188"/>
      <c r="H833" s="267"/>
      <c r="I833" s="267"/>
    </row>
    <row r="834" spans="1:9" ht="14.25">
      <c r="A834" s="271"/>
      <c r="B834" s="18"/>
      <c r="C834" s="207"/>
      <c r="D834" s="660"/>
      <c r="E834" s="660"/>
      <c r="F834" s="660"/>
      <c r="G834" s="188"/>
      <c r="H834" s="267"/>
      <c r="I834" s="267"/>
    </row>
    <row r="835" spans="1:9" ht="14.25">
      <c r="A835" s="271"/>
      <c r="B835" s="616" t="s">
        <v>132</v>
      </c>
      <c r="C835" s="207"/>
      <c r="D835" s="1022" t="s">
        <v>1667</v>
      </c>
      <c r="E835" s="1022"/>
      <c r="F835" s="1022"/>
      <c r="G835" s="188"/>
      <c r="H835" s="267"/>
      <c r="I835" s="267"/>
    </row>
    <row r="836" spans="1:9" ht="14.25">
      <c r="A836" s="271"/>
      <c r="B836" s="271"/>
      <c r="C836" s="207"/>
      <c r="D836" s="1022"/>
      <c r="E836" s="1022"/>
      <c r="F836" s="1022"/>
      <c r="G836" s="188"/>
      <c r="H836" s="267"/>
      <c r="I836" s="267"/>
    </row>
    <row r="837" spans="1:9" ht="14.25">
      <c r="A837" s="271"/>
      <c r="B837" s="271"/>
      <c r="C837" s="207"/>
      <c r="D837" s="188"/>
      <c r="G837" s="188"/>
      <c r="H837" s="267"/>
      <c r="I837" s="267"/>
    </row>
    <row r="838" spans="1:9" ht="14.25">
      <c r="A838" s="271"/>
      <c r="B838" s="616" t="s">
        <v>132</v>
      </c>
      <c r="C838" s="207"/>
      <c r="D838" s="1030" t="s">
        <v>1669</v>
      </c>
      <c r="E838" s="1030"/>
      <c r="F838" s="1030"/>
      <c r="G838" s="188"/>
      <c r="H838" s="267"/>
      <c r="I838" s="267"/>
    </row>
    <row r="839" spans="1:9" ht="14.25">
      <c r="A839" s="271"/>
      <c r="B839" s="271"/>
      <c r="C839" s="207"/>
      <c r="D839" s="1030"/>
      <c r="E839" s="1030"/>
      <c r="F839" s="1030"/>
      <c r="G839" s="188"/>
      <c r="H839" s="267"/>
      <c r="I839" s="267"/>
    </row>
    <row r="840" spans="1:9" ht="12.75">
      <c r="A840" s="18"/>
      <c r="B840" s="18"/>
      <c r="C840" s="207"/>
      <c r="D840" s="188"/>
      <c r="G840" s="188"/>
      <c r="H840" s="267"/>
      <c r="I840" s="267"/>
    </row>
    <row r="841" spans="1:9" ht="12.75">
      <c r="A841" s="1001" t="s">
        <v>1968</v>
      </c>
      <c r="B841" s="1001"/>
      <c r="C841" s="1001"/>
      <c r="D841" s="1001"/>
      <c r="E841" s="1001"/>
      <c r="F841" s="1001"/>
      <c r="G841" s="1001"/>
      <c r="H841" s="267"/>
      <c r="I841" s="267"/>
    </row>
    <row r="842" spans="1:9" ht="12.75">
      <c r="A842" s="190"/>
      <c r="B842" s="190"/>
      <c r="C842" s="207"/>
      <c r="D842" s="188"/>
      <c r="E842" s="188"/>
      <c r="F842" s="188"/>
      <c r="G842" s="188"/>
      <c r="H842" s="267"/>
      <c r="I842" s="267"/>
    </row>
    <row r="843" spans="1:9" ht="14.25">
      <c r="A843" s="271"/>
      <c r="B843" s="271"/>
      <c r="D843" s="1003" t="s">
        <v>1583</v>
      </c>
      <c r="E843" s="1003"/>
      <c r="F843" s="1003"/>
      <c r="H843" s="267"/>
      <c r="I843" s="267"/>
    </row>
    <row r="844" spans="1:9" ht="14.25">
      <c r="A844" s="271"/>
      <c r="B844" s="271"/>
      <c r="D844" s="970" t="s">
        <v>1965</v>
      </c>
      <c r="E844" s="970"/>
      <c r="F844" s="970"/>
      <c r="H844" s="267"/>
      <c r="I844" s="267"/>
    </row>
    <row r="845" spans="1:9" ht="14.25">
      <c r="A845" s="271"/>
      <c r="B845" s="271"/>
      <c r="D845" s="24"/>
      <c r="E845" s="210"/>
      <c r="F845" s="210"/>
      <c r="H845" s="267"/>
      <c r="I845" s="267"/>
    </row>
    <row r="846" spans="1:9" ht="12.75">
      <c r="B846" s="616" t="s">
        <v>1438</v>
      </c>
      <c r="C846" s="207"/>
      <c r="D846" s="976" t="s">
        <v>1519</v>
      </c>
      <c r="E846" s="976"/>
      <c r="F846" s="976"/>
      <c r="H846" s="267"/>
      <c r="I846" s="267"/>
    </row>
    <row r="847" spans="1:9" ht="12.75">
      <c r="A847" s="18"/>
      <c r="B847" s="18"/>
      <c r="C847" s="207"/>
      <c r="D847" s="3" t="s">
        <v>1496</v>
      </c>
      <c r="E847" s="977" t="s">
        <v>2169</v>
      </c>
      <c r="F847" s="977"/>
      <c r="H847" s="267"/>
      <c r="I847" s="267"/>
    </row>
    <row r="848" spans="1:9" ht="12.75">
      <c r="A848" s="18"/>
      <c r="B848" s="18"/>
      <c r="C848" s="207"/>
      <c r="D848" s="213"/>
      <c r="H848" s="267"/>
      <c r="I848" s="267"/>
    </row>
    <row r="849" spans="1:9" ht="12.75">
      <c r="A849" s="18"/>
      <c r="B849" s="616" t="s">
        <v>132</v>
      </c>
      <c r="C849" s="207"/>
      <c r="D849" s="1039" t="s">
        <v>1748</v>
      </c>
      <c r="E849" s="1039"/>
      <c r="F849" s="1039"/>
      <c r="H849" s="267"/>
      <c r="I849" s="267"/>
    </row>
    <row r="850" spans="1:9" ht="12.75">
      <c r="A850" s="18"/>
      <c r="B850" s="18"/>
      <c r="C850" s="207"/>
      <c r="D850" s="1039"/>
      <c r="E850" s="1039"/>
      <c r="F850" s="1039"/>
      <c r="H850" s="267"/>
      <c r="I850" s="267"/>
    </row>
    <row r="851" spans="1:9" ht="12.75">
      <c r="A851" s="18"/>
      <c r="B851" s="18"/>
      <c r="C851" s="207"/>
      <c r="D851" s="1039"/>
      <c r="E851" s="1039"/>
      <c r="F851" s="1039"/>
      <c r="H851" s="267"/>
      <c r="I851" s="267"/>
    </row>
    <row r="852" spans="1:9" ht="12.75">
      <c r="A852" s="18"/>
      <c r="B852" s="18"/>
      <c r="C852" s="207"/>
      <c r="D852" s="1039"/>
      <c r="E852" s="1039"/>
      <c r="F852" s="1039"/>
      <c r="H852" s="267"/>
      <c r="I852" s="267"/>
    </row>
    <row r="853" spans="1:9" ht="12.75">
      <c r="A853" s="18"/>
      <c r="B853" s="18"/>
      <c r="C853" s="207"/>
      <c r="D853" s="1039"/>
      <c r="E853" s="1039"/>
      <c r="F853" s="1039"/>
      <c r="H853" s="267"/>
      <c r="I853" s="267"/>
    </row>
    <row r="854" spans="1:9" ht="12.75">
      <c r="A854" s="18"/>
      <c r="B854" s="18"/>
      <c r="C854" s="207"/>
      <c r="D854" s="1039"/>
      <c r="E854" s="1039"/>
      <c r="F854" s="1039"/>
      <c r="H854" s="267"/>
      <c r="I854" s="267"/>
    </row>
    <row r="855" spans="1:9" ht="12.75">
      <c r="A855" s="18"/>
      <c r="B855" s="18"/>
      <c r="C855" s="207"/>
      <c r="D855" s="1039"/>
      <c r="E855" s="1039"/>
      <c r="F855" s="1039"/>
      <c r="H855" s="267"/>
      <c r="I855" s="267"/>
    </row>
    <row r="856" spans="1:9" ht="12.75">
      <c r="A856" s="18"/>
      <c r="B856" s="18"/>
      <c r="C856" s="207"/>
      <c r="D856" s="1039"/>
      <c r="E856" s="1039"/>
      <c r="F856" s="1039"/>
      <c r="H856" s="267"/>
      <c r="I856" s="267"/>
    </row>
    <row r="857" spans="1:9" ht="12.75">
      <c r="A857" s="18"/>
      <c r="B857" s="18"/>
      <c r="C857" s="207"/>
      <c r="D857" s="1039"/>
      <c r="E857" s="1039"/>
      <c r="F857" s="1039"/>
      <c r="H857" s="267"/>
      <c r="I857" s="267"/>
    </row>
    <row r="858" spans="1:9" ht="12.75">
      <c r="A858" s="18"/>
      <c r="B858" s="18"/>
      <c r="C858" s="207"/>
      <c r="D858" s="213"/>
      <c r="H858" s="267"/>
      <c r="I858" s="267"/>
    </row>
    <row r="859" spans="1:9" ht="14.25">
      <c r="A859" s="271"/>
      <c r="B859" s="616" t="s">
        <v>1438</v>
      </c>
      <c r="C859" s="207"/>
      <c r="D859" s="976" t="s">
        <v>1520</v>
      </c>
      <c r="E859" s="976"/>
      <c r="F859" s="976"/>
      <c r="H859" s="267"/>
      <c r="I859" s="267"/>
    </row>
    <row r="860" spans="1:9" ht="14.25">
      <c r="A860" s="271"/>
      <c r="B860" s="271"/>
      <c r="C860" s="207"/>
      <c r="D860" s="976"/>
      <c r="E860" s="976"/>
      <c r="F860" s="976"/>
      <c r="H860" s="267"/>
      <c r="I860" s="267"/>
    </row>
    <row r="861" spans="1:9" ht="14.25">
      <c r="A861" s="271"/>
      <c r="B861" s="271"/>
      <c r="C861" s="207"/>
      <c r="D861" s="976"/>
      <c r="E861" s="976"/>
      <c r="F861" s="976"/>
      <c r="H861" s="267"/>
      <c r="I861" s="267"/>
    </row>
    <row r="862" spans="1:9" ht="14.25">
      <c r="A862" s="271"/>
      <c r="B862" s="271"/>
      <c r="C862" s="207"/>
      <c r="D862" s="44"/>
      <c r="H862" s="267"/>
      <c r="I862" s="267"/>
    </row>
    <row r="863" spans="1:9" ht="12.75">
      <c r="A863" s="423"/>
      <c r="B863" s="616" t="s">
        <v>132</v>
      </c>
      <c r="C863" s="207"/>
      <c r="D863" s="1003" t="s">
        <v>1521</v>
      </c>
      <c r="E863" s="1003"/>
      <c r="F863" s="1003"/>
      <c r="H863" s="267"/>
      <c r="I863" s="267"/>
    </row>
    <row r="864" spans="1:9" ht="12.75">
      <c r="B864" s="423"/>
      <c r="C864" s="207"/>
      <c r="D864" s="1003"/>
      <c r="E864" s="1003"/>
      <c r="F864" s="1003"/>
      <c r="H864" s="267"/>
      <c r="I864" s="267"/>
    </row>
    <row r="865" spans="1:9" ht="14.25" customHeight="1">
      <c r="A865" s="271"/>
      <c r="C865" s="207"/>
      <c r="D865" s="976" t="s">
        <v>2267</v>
      </c>
      <c r="E865" s="976"/>
      <c r="F865" s="976"/>
      <c r="H865" s="267"/>
      <c r="I865" s="267"/>
    </row>
    <row r="866" spans="1:9" ht="14.25">
      <c r="A866" s="271"/>
      <c r="B866" s="271"/>
      <c r="C866" s="207"/>
      <c r="D866" s="976"/>
      <c r="E866" s="976"/>
      <c r="F866" s="976"/>
      <c r="H866" s="267"/>
      <c r="I866" s="267"/>
    </row>
    <row r="867" spans="1:9" ht="14.25">
      <c r="A867" s="271"/>
      <c r="B867" s="271"/>
      <c r="C867" s="207"/>
      <c r="D867" s="976"/>
      <c r="E867" s="976"/>
      <c r="F867" s="976"/>
      <c r="H867" s="267"/>
      <c r="I867" s="267"/>
    </row>
    <row r="868" spans="1:9" ht="14.25">
      <c r="A868" s="271"/>
      <c r="B868" s="271"/>
      <c r="C868" s="207"/>
      <c r="D868" s="976"/>
      <c r="E868" s="976"/>
      <c r="F868" s="976"/>
      <c r="H868" s="267"/>
      <c r="I868" s="267"/>
    </row>
    <row r="869" spans="1:9" ht="14.25">
      <c r="A869" s="271"/>
      <c r="B869" s="271"/>
      <c r="C869" s="207"/>
      <c r="D869" s="976"/>
      <c r="E869" s="976"/>
      <c r="F869" s="976"/>
      <c r="H869" s="267"/>
      <c r="I869" s="267"/>
    </row>
    <row r="870" spans="1:9" ht="14.25" customHeight="1">
      <c r="A870" s="271"/>
      <c r="B870" s="271"/>
      <c r="C870" s="207"/>
      <c r="D870" s="976"/>
      <c r="E870" s="976"/>
      <c r="F870" s="976"/>
      <c r="H870" s="267"/>
      <c r="I870" s="267"/>
    </row>
    <row r="871" spans="1:9" ht="14.25">
      <c r="A871" s="271"/>
      <c r="B871" s="271"/>
      <c r="C871" s="207"/>
      <c r="D871" s="44"/>
      <c r="H871" s="267"/>
      <c r="I871" s="267"/>
    </row>
    <row r="872" spans="1:9" ht="14.25">
      <c r="A872" s="271"/>
      <c r="B872" s="616" t="s">
        <v>132</v>
      </c>
      <c r="C872" s="207"/>
      <c r="D872" s="976" t="s">
        <v>1221</v>
      </c>
      <c r="E872" s="976"/>
      <c r="F872" s="976"/>
      <c r="H872" s="267"/>
      <c r="I872" s="267"/>
    </row>
    <row r="873" spans="1:9" ht="14.25">
      <c r="A873" s="271"/>
      <c r="B873" s="271"/>
      <c r="C873" s="207"/>
      <c r="D873" s="976" t="s">
        <v>1222</v>
      </c>
      <c r="E873" s="976"/>
      <c r="F873" s="976"/>
      <c r="H873" s="267"/>
      <c r="I873" s="267"/>
    </row>
    <row r="874" spans="1:9" ht="14.25">
      <c r="A874" s="271"/>
      <c r="B874" s="271"/>
      <c r="C874" s="207"/>
      <c r="D874" s="3" t="s">
        <v>1495</v>
      </c>
      <c r="E874" s="977" t="s">
        <v>2171</v>
      </c>
      <c r="F874" s="977"/>
      <c r="H874" s="267"/>
      <c r="I874" s="267"/>
    </row>
    <row r="875" spans="1:9" ht="14.25">
      <c r="A875" s="271"/>
      <c r="B875" s="271"/>
      <c r="C875" s="207"/>
      <c r="D875" s="44"/>
      <c r="H875" s="267"/>
      <c r="I875" s="267"/>
    </row>
    <row r="876" spans="1:9" ht="14.25">
      <c r="A876" s="271"/>
      <c r="B876" s="616" t="s">
        <v>132</v>
      </c>
      <c r="C876" s="207"/>
      <c r="D876" s="976" t="s">
        <v>1522</v>
      </c>
      <c r="E876" s="976"/>
      <c r="F876" s="976"/>
      <c r="H876" s="267"/>
      <c r="I876" s="267"/>
    </row>
    <row r="877" spans="1:9" ht="14.25">
      <c r="A877" s="271"/>
      <c r="B877" s="271"/>
      <c r="C877" s="207"/>
      <c r="D877" s="976"/>
      <c r="E877" s="976"/>
      <c r="F877" s="976"/>
      <c r="H877" s="267"/>
      <c r="I877" s="267"/>
    </row>
    <row r="878" spans="1:9" ht="14.25">
      <c r="A878" s="271"/>
      <c r="B878" s="271"/>
      <c r="C878" s="207"/>
      <c r="D878" s="976"/>
      <c r="E878" s="976"/>
      <c r="F878" s="976"/>
      <c r="H878" s="267"/>
      <c r="I878" s="267"/>
    </row>
    <row r="879" spans="1:9" ht="14.25">
      <c r="A879" s="271"/>
      <c r="B879" s="271"/>
      <c r="C879" s="207"/>
      <c r="D879" s="976"/>
      <c r="E879" s="976"/>
      <c r="F879" s="976"/>
      <c r="H879" s="267"/>
      <c r="I879" s="267"/>
    </row>
    <row r="880" spans="1:9" ht="12.75">
      <c r="A880" s="190"/>
      <c r="B880" s="190"/>
      <c r="C880" s="190"/>
      <c r="D880" s="44"/>
      <c r="H880" s="267"/>
      <c r="I880" s="267"/>
    </row>
    <row r="881" spans="1:9" ht="12.75">
      <c r="A881" s="272" t="s">
        <v>1464</v>
      </c>
      <c r="B881" s="272"/>
      <c r="C881" s="618"/>
      <c r="D881" s="618"/>
      <c r="E881" s="618"/>
      <c r="F881" s="618"/>
      <c r="G881" s="618"/>
      <c r="H881" s="267"/>
      <c r="I881" s="267"/>
    </row>
    <row r="882" spans="1:9" ht="12.75">
      <c r="A882" s="190"/>
      <c r="B882" s="190"/>
      <c r="C882" s="190"/>
      <c r="D882" s="212"/>
      <c r="H882" s="267"/>
      <c r="I882" s="267"/>
    </row>
    <row r="883" spans="1:9" ht="12.75">
      <c r="C883" s="191"/>
      <c r="D883" s="1002" t="s">
        <v>1582</v>
      </c>
      <c r="E883" s="1002"/>
      <c r="F883" s="1002"/>
      <c r="G883" s="188"/>
      <c r="H883" s="267"/>
      <c r="I883" s="267"/>
    </row>
    <row r="884" spans="1:9" ht="12.75">
      <c r="C884" s="191"/>
      <c r="D884" s="1047" t="s">
        <v>1966</v>
      </c>
      <c r="E884" s="1048"/>
      <c r="F884" s="1048"/>
      <c r="G884" s="188"/>
      <c r="H884" s="267"/>
      <c r="I884" s="267"/>
    </row>
    <row r="885" spans="1:9" ht="12.75">
      <c r="C885" s="191"/>
      <c r="D885" s="647"/>
      <c r="E885" s="647"/>
      <c r="F885" s="647"/>
      <c r="G885" s="188"/>
      <c r="H885" s="267"/>
      <c r="I885" s="267"/>
    </row>
    <row r="886" spans="1:9" ht="14.25">
      <c r="A886" s="271"/>
      <c r="B886" s="616" t="s">
        <v>1438</v>
      </c>
      <c r="D886" s="996" t="s">
        <v>1541</v>
      </c>
      <c r="E886" s="996"/>
      <c r="F886" s="996"/>
      <c r="G886" s="188"/>
      <c r="H886" s="267"/>
      <c r="I886" s="267"/>
    </row>
    <row r="887" spans="1:9" ht="12.75">
      <c r="D887" s="3" t="s">
        <v>1495</v>
      </c>
      <c r="E887" s="1046" t="s">
        <v>2171</v>
      </c>
      <c r="F887" s="1046"/>
      <c r="G887" s="188"/>
    </row>
    <row r="888" spans="1:9" ht="12.75">
      <c r="D888" s="44"/>
      <c r="E888" s="188"/>
      <c r="F888" s="188"/>
      <c r="G888" s="188"/>
      <c r="H888" s="267"/>
      <c r="I888" s="267"/>
    </row>
    <row r="889" spans="1:9" ht="14.25">
      <c r="A889" s="271"/>
      <c r="B889" s="616" t="s">
        <v>1438</v>
      </c>
      <c r="D889" s="970" t="s">
        <v>1969</v>
      </c>
      <c r="E889" s="1023"/>
      <c r="F889" s="1023"/>
    </row>
    <row r="890" spans="1:9" ht="12.6" customHeight="1">
      <c r="D890" s="1023"/>
      <c r="E890" s="1023"/>
      <c r="F890" s="1023"/>
    </row>
    <row r="891" spans="1:9" ht="14.25">
      <c r="A891" s="271"/>
      <c r="B891" s="271"/>
      <c r="D891" s="44"/>
      <c r="E891" s="188"/>
      <c r="F891" s="188"/>
      <c r="G891" s="188"/>
      <c r="H891" s="267"/>
      <c r="I891" s="267"/>
    </row>
    <row r="892" spans="1:9" ht="12.75">
      <c r="B892" s="616" t="s">
        <v>132</v>
      </c>
      <c r="D892" s="1044" t="s">
        <v>1750</v>
      </c>
      <c r="E892" s="1044"/>
      <c r="F892" s="1044"/>
      <c r="G892" s="188"/>
      <c r="H892" s="267"/>
      <c r="I892" s="267"/>
    </row>
    <row r="893" spans="1:9" ht="29.45" customHeight="1">
      <c r="B893" s="572"/>
      <c r="D893" s="1044"/>
      <c r="E893" s="1044"/>
      <c r="F893" s="1044"/>
      <c r="G893" s="188"/>
      <c r="H893" s="267"/>
      <c r="I893" s="267"/>
    </row>
    <row r="894" spans="1:9" ht="14.25">
      <c r="A894" s="271"/>
      <c r="B894"/>
      <c r="D894" s="976" t="s">
        <v>2267</v>
      </c>
      <c r="E894" s="976"/>
      <c r="F894" s="976"/>
      <c r="G894" s="188"/>
      <c r="H894" s="267"/>
      <c r="I894" s="267"/>
    </row>
    <row r="895" spans="1:9" ht="14.25">
      <c r="A895" s="271"/>
      <c r="B895" s="271"/>
      <c r="D895" s="976"/>
      <c r="E895" s="976"/>
      <c r="F895" s="976"/>
      <c r="G895" s="188"/>
      <c r="H895" s="267"/>
      <c r="I895" s="267"/>
    </row>
    <row r="896" spans="1:9" ht="14.25">
      <c r="A896" s="271"/>
      <c r="B896" s="271"/>
      <c r="D896" s="976"/>
      <c r="E896" s="976"/>
      <c r="F896" s="976"/>
      <c r="G896" s="188"/>
      <c r="H896" s="267"/>
      <c r="I896" s="267"/>
    </row>
    <row r="897" spans="1:9" ht="14.25">
      <c r="A897" s="271"/>
      <c r="B897" s="271"/>
      <c r="D897" s="976"/>
      <c r="E897" s="976"/>
      <c r="F897" s="976"/>
      <c r="G897" s="188"/>
      <c r="H897" s="267"/>
      <c r="I897" s="267"/>
    </row>
    <row r="898" spans="1:9" ht="14.25">
      <c r="A898" s="271"/>
      <c r="B898" s="271"/>
      <c r="D898" s="976"/>
      <c r="E898" s="976"/>
      <c r="F898" s="976"/>
      <c r="G898" s="188"/>
      <c r="H898" s="267"/>
      <c r="I898" s="267"/>
    </row>
    <row r="899" spans="1:9" ht="14.25">
      <c r="A899" s="271"/>
      <c r="B899" s="271"/>
      <c r="D899" s="976"/>
      <c r="E899" s="976"/>
      <c r="F899" s="976"/>
      <c r="G899" s="188"/>
      <c r="H899" s="267"/>
      <c r="I899" s="267"/>
    </row>
    <row r="900" spans="1:9" ht="14.25">
      <c r="A900" s="271"/>
      <c r="B900" s="271"/>
      <c r="D900" s="44"/>
      <c r="E900" s="188"/>
      <c r="F900" s="188"/>
      <c r="G900" s="188"/>
      <c r="H900" s="267"/>
      <c r="I900" s="267"/>
    </row>
    <row r="901" spans="1:9" ht="14.25">
      <c r="A901" s="271"/>
      <c r="B901" s="616" t="s">
        <v>132</v>
      </c>
      <c r="D901" s="1000" t="s">
        <v>1221</v>
      </c>
      <c r="E901" s="1000"/>
      <c r="F901" s="1000"/>
      <c r="G901" s="188"/>
      <c r="H901" s="267"/>
      <c r="I901" s="267"/>
    </row>
    <row r="902" spans="1:9" ht="14.25">
      <c r="A902" s="271"/>
      <c r="B902" s="271"/>
      <c r="D902" s="1000" t="s">
        <v>1222</v>
      </c>
      <c r="E902" s="1000"/>
      <c r="F902" s="1000"/>
      <c r="G902" s="188"/>
      <c r="H902" s="267"/>
      <c r="I902" s="267"/>
    </row>
    <row r="903" spans="1:9" ht="14.25">
      <c r="A903" s="271"/>
      <c r="B903" s="271"/>
      <c r="D903" s="3" t="s">
        <v>1542</v>
      </c>
      <c r="E903" s="1045" t="s">
        <v>2171</v>
      </c>
      <c r="F903" s="1045"/>
      <c r="G903" s="188"/>
      <c r="H903" s="267"/>
      <c r="I903" s="267"/>
    </row>
    <row r="904" spans="1:9" ht="14.25">
      <c r="A904" s="271"/>
      <c r="B904" s="271"/>
      <c r="D904" s="44"/>
      <c r="E904" s="188"/>
      <c r="F904" s="188"/>
      <c r="G904" s="188"/>
      <c r="H904" s="267"/>
      <c r="I904" s="267"/>
    </row>
    <row r="905" spans="1:9" ht="14.25">
      <c r="A905" s="271"/>
      <c r="B905" s="616" t="s">
        <v>132</v>
      </c>
      <c r="D905" s="976" t="s">
        <v>1522</v>
      </c>
      <c r="E905" s="976"/>
      <c r="F905" s="976"/>
      <c r="G905" s="188"/>
      <c r="H905" s="267"/>
      <c r="I905" s="267"/>
    </row>
    <row r="906" spans="1:9" ht="14.25">
      <c r="A906" s="271"/>
      <c r="B906" s="271"/>
      <c r="D906" s="976"/>
      <c r="E906" s="976"/>
      <c r="F906" s="976"/>
      <c r="G906" s="188"/>
      <c r="H906" s="267"/>
      <c r="I906" s="267"/>
    </row>
    <row r="907" spans="1:9" ht="14.25">
      <c r="A907" s="271"/>
      <c r="B907" s="271"/>
      <c r="D907" s="976"/>
      <c r="E907" s="976"/>
      <c r="F907" s="976"/>
      <c r="G907" s="188"/>
      <c r="H907" s="267"/>
      <c r="I907" s="267"/>
    </row>
    <row r="908" spans="1:9" ht="14.25">
      <c r="A908" s="271"/>
      <c r="B908" s="271"/>
      <c r="D908" s="976"/>
      <c r="E908" s="976"/>
      <c r="F908" s="976"/>
      <c r="G908" s="188"/>
      <c r="H908" s="267"/>
      <c r="I908" s="267"/>
    </row>
    <row r="909" spans="1:9" ht="12.75">
      <c r="A909" s="44"/>
      <c r="B909" s="44"/>
      <c r="C909" s="207"/>
      <c r="D909" s="188"/>
      <c r="E909" s="188"/>
      <c r="F909" s="188"/>
      <c r="G909" s="188"/>
      <c r="H909" s="267"/>
      <c r="I909" s="267"/>
    </row>
    <row r="910" spans="1:9" ht="12.75">
      <c r="A910" s="1001" t="s">
        <v>1465</v>
      </c>
      <c r="B910" s="1001"/>
      <c r="C910" s="1001"/>
      <c r="D910" s="1001"/>
      <c r="E910" s="1001"/>
      <c r="F910" s="1001"/>
      <c r="G910" s="1001"/>
      <c r="H910" s="267"/>
      <c r="I910" s="267"/>
    </row>
    <row r="911" spans="1:9" ht="12.75">
      <c r="A911" s="44"/>
      <c r="B911" s="44"/>
      <c r="C911" s="207"/>
      <c r="D911" s="188"/>
      <c r="E911" s="188"/>
      <c r="F911" s="188"/>
      <c r="G911" s="188"/>
      <c r="H911" s="267"/>
      <c r="I911" s="267"/>
    </row>
    <row r="912" spans="1:9" ht="12.75">
      <c r="C912" s="207"/>
      <c r="D912" s="1027" t="s">
        <v>1703</v>
      </c>
      <c r="E912" s="1027"/>
      <c r="F912" s="1027"/>
      <c r="G912" s="188"/>
      <c r="H912" s="267"/>
      <c r="I912" s="267"/>
    </row>
    <row r="913" spans="1:9" ht="12.75">
      <c r="A913" s="190"/>
      <c r="B913" s="190"/>
      <c r="C913" s="190"/>
      <c r="D913" s="996" t="s">
        <v>1540</v>
      </c>
      <c r="E913" s="996"/>
      <c r="F913" s="996"/>
      <c r="G913" s="188"/>
      <c r="H913" s="267"/>
      <c r="I913" s="267"/>
    </row>
    <row r="914" spans="1:9" ht="12.75">
      <c r="A914" s="190"/>
      <c r="B914" s="190"/>
      <c r="C914" s="190"/>
      <c r="F914" s="188"/>
      <c r="G914" s="188"/>
      <c r="H914" s="267"/>
      <c r="I914" s="267"/>
    </row>
    <row r="915" spans="1:9" ht="13.7" customHeight="1">
      <c r="A915" s="190"/>
      <c r="B915" s="616" t="s">
        <v>132</v>
      </c>
      <c r="C915" s="190"/>
      <c r="D915" s="1003" t="s">
        <v>1713</v>
      </c>
      <c r="E915" s="1003"/>
      <c r="F915" s="1003"/>
      <c r="G915" s="188"/>
      <c r="H915" s="267"/>
      <c r="I915" s="267"/>
    </row>
    <row r="916" spans="1:9" ht="12.75">
      <c r="A916" s="190"/>
      <c r="B916" s="190"/>
      <c r="C916" s="190"/>
      <c r="D916" s="1003"/>
      <c r="E916" s="1003"/>
      <c r="F916" s="1003"/>
      <c r="G916" s="188"/>
      <c r="H916" s="267"/>
      <c r="I916" s="267"/>
    </row>
    <row r="917" spans="1:9" ht="12.75">
      <c r="A917" s="190"/>
      <c r="B917" s="190"/>
      <c r="C917" s="190"/>
      <c r="D917" s="1003"/>
      <c r="E917" s="1003"/>
      <c r="F917" s="1003"/>
      <c r="G917" s="188"/>
      <c r="H917" s="267"/>
      <c r="I917" s="267"/>
    </row>
    <row r="918" spans="1:9" ht="12.75">
      <c r="A918" s="190"/>
      <c r="B918" s="190"/>
      <c r="C918" s="190"/>
      <c r="D918" s="1003"/>
      <c r="E918" s="1003"/>
      <c r="F918" s="1003"/>
      <c r="G918" s="188"/>
      <c r="H918" s="267"/>
      <c r="I918" s="267"/>
    </row>
    <row r="919" spans="1:9" ht="12.75">
      <c r="A919" s="190"/>
      <c r="B919" s="190"/>
      <c r="C919" s="190"/>
      <c r="D919" s="1003"/>
      <c r="E919" s="1003"/>
      <c r="F919" s="1003"/>
      <c r="G919" s="188"/>
      <c r="H919" s="267"/>
      <c r="I919" s="267"/>
    </row>
    <row r="920" spans="1:9" ht="12.75">
      <c r="A920" s="191"/>
      <c r="B920" s="191"/>
      <c r="C920" s="191"/>
      <c r="F920" s="188"/>
      <c r="G920" s="188"/>
      <c r="H920" s="267"/>
      <c r="I920" s="267"/>
    </row>
    <row r="921" spans="1:9" ht="14.25" customHeight="1">
      <c r="A921" s="271"/>
      <c r="B921" s="616" t="s">
        <v>1438</v>
      </c>
      <c r="C921" s="191"/>
      <c r="D921" s="977" t="s">
        <v>1799</v>
      </c>
      <c r="E921" s="977"/>
      <c r="F921" s="977"/>
      <c r="G921" s="188"/>
      <c r="H921" s="267"/>
      <c r="I921" s="267"/>
    </row>
    <row r="922" spans="1:9" ht="14.25" customHeight="1">
      <c r="A922" s="271"/>
      <c r="B922" s="271"/>
      <c r="C922" s="191"/>
      <c r="D922" s="977"/>
      <c r="E922" s="977"/>
      <c r="F922" s="977"/>
      <c r="G922" s="188"/>
      <c r="H922" s="267"/>
      <c r="I922" s="267"/>
    </row>
    <row r="923" spans="1:9" ht="14.25" customHeight="1">
      <c r="A923" s="271"/>
      <c r="B923" s="271"/>
      <c r="C923" s="191"/>
      <c r="D923" s="977"/>
      <c r="E923" s="977"/>
      <c r="F923" s="977"/>
      <c r="G923" s="188"/>
      <c r="H923" s="267"/>
      <c r="I923" s="267"/>
    </row>
    <row r="924" spans="1:9" ht="14.25" customHeight="1">
      <c r="A924" s="271"/>
      <c r="B924" s="271"/>
      <c r="C924" s="191"/>
      <c r="D924" s="977"/>
      <c r="E924" s="977"/>
      <c r="F924" s="977"/>
      <c r="G924" s="188"/>
      <c r="H924" s="267"/>
      <c r="I924" s="267"/>
    </row>
    <row r="925" spans="1:9" ht="14.25" customHeight="1">
      <c r="A925" s="191"/>
      <c r="B925" s="191"/>
      <c r="C925" s="191"/>
      <c r="D925" s="977"/>
      <c r="E925" s="977"/>
      <c r="F925" s="977"/>
      <c r="G925" s="188"/>
      <c r="H925" s="267"/>
      <c r="I925" s="267"/>
    </row>
    <row r="926" spans="1:9" ht="14.25" customHeight="1">
      <c r="A926" s="191"/>
      <c r="B926" s="191"/>
      <c r="C926" s="191"/>
      <c r="D926" s="977"/>
      <c r="E926" s="977"/>
      <c r="F926" s="977"/>
      <c r="G926" s="188"/>
      <c r="H926" s="267"/>
      <c r="I926" s="267"/>
    </row>
    <row r="927" spans="1:9" ht="14.25" customHeight="1">
      <c r="A927" s="191"/>
      <c r="B927" s="191"/>
      <c r="C927" s="191"/>
      <c r="D927" s="977"/>
      <c r="E927" s="977"/>
      <c r="F927" s="977"/>
      <c r="G927" s="188"/>
      <c r="H927" s="267"/>
      <c r="I927" s="267"/>
    </row>
    <row r="928" spans="1:9" ht="14.25" customHeight="1">
      <c r="A928" s="191"/>
      <c r="B928" s="191"/>
      <c r="C928" s="191"/>
      <c r="D928" s="3"/>
      <c r="F928" s="188"/>
      <c r="G928" s="188"/>
      <c r="H928" s="267"/>
      <c r="I928" s="267"/>
    </row>
    <row r="929" spans="1:9" s="324" customFormat="1" ht="14.25" customHeight="1">
      <c r="A929" s="359"/>
      <c r="B929" s="616" t="s">
        <v>1438</v>
      </c>
      <c r="C929" s="360"/>
      <c r="D929" s="977" t="s">
        <v>1800</v>
      </c>
      <c r="E929" s="977"/>
      <c r="F929" s="977"/>
      <c r="G929" s="362"/>
      <c r="H929" s="363"/>
      <c r="I929" s="363"/>
    </row>
    <row r="930" spans="1:9" s="324" customFormat="1" ht="14.25" customHeight="1">
      <c r="A930" s="359"/>
      <c r="B930" s="359"/>
      <c r="C930" s="360"/>
      <c r="D930" s="977"/>
      <c r="E930" s="977"/>
      <c r="F930" s="977"/>
      <c r="G930" s="362"/>
      <c r="H930" s="363"/>
      <c r="I930" s="363"/>
    </row>
    <row r="931" spans="1:9" s="324" customFormat="1" ht="14.25" customHeight="1">
      <c r="A931" s="359"/>
      <c r="B931" s="359"/>
      <c r="C931" s="360"/>
      <c r="D931" s="977"/>
      <c r="E931" s="977"/>
      <c r="F931" s="977"/>
      <c r="G931" s="362"/>
      <c r="H931" s="363"/>
      <c r="I931" s="363"/>
    </row>
    <row r="932" spans="1:9" s="324" customFormat="1" ht="14.25" customHeight="1">
      <c r="A932" s="359"/>
      <c r="B932" s="359"/>
      <c r="C932" s="360"/>
      <c r="D932" s="977"/>
      <c r="E932" s="977"/>
      <c r="F932" s="977"/>
      <c r="G932" s="362"/>
      <c r="H932" s="363"/>
      <c r="I932" s="363"/>
    </row>
    <row r="933" spans="1:9" s="324" customFormat="1" ht="14.25" customHeight="1">
      <c r="A933" s="359"/>
      <c r="B933" s="359"/>
      <c r="C933" s="360"/>
      <c r="D933" s="977"/>
      <c r="E933" s="977"/>
      <c r="F933" s="977"/>
      <c r="G933" s="362"/>
      <c r="H933" s="363"/>
      <c r="I933" s="363"/>
    </row>
    <row r="934" spans="1:9" s="324" customFormat="1" ht="14.25">
      <c r="A934" s="359"/>
      <c r="B934" s="359"/>
      <c r="C934" s="360"/>
      <c r="D934" s="977"/>
      <c r="E934" s="977"/>
      <c r="F934" s="977"/>
      <c r="G934" s="362"/>
      <c r="H934" s="363"/>
      <c r="I934" s="363"/>
    </row>
    <row r="935" spans="1:9" s="324" customFormat="1" ht="14.25" customHeight="1">
      <c r="A935" s="359"/>
      <c r="B935" s="359"/>
      <c r="C935" s="360"/>
      <c r="D935" s="977"/>
      <c r="E935" s="977"/>
      <c r="F935" s="977"/>
      <c r="G935" s="362"/>
      <c r="H935" s="363"/>
      <c r="I935" s="363"/>
    </row>
    <row r="936" spans="1:9" s="324" customFormat="1" ht="14.25" customHeight="1">
      <c r="A936" s="359"/>
      <c r="B936" s="359"/>
      <c r="C936" s="360"/>
      <c r="D936" s="977"/>
      <c r="E936" s="977"/>
      <c r="F936" s="977"/>
      <c r="G936" s="362"/>
      <c r="H936" s="363"/>
      <c r="I936" s="363"/>
    </row>
    <row r="937" spans="1:9" s="324" customFormat="1" ht="14.25" customHeight="1">
      <c r="A937" s="359"/>
      <c r="B937" s="359"/>
      <c r="C937" s="360"/>
      <c r="D937" s="977"/>
      <c r="E937" s="977"/>
      <c r="F937" s="977"/>
      <c r="G937" s="362"/>
      <c r="H937" s="363"/>
      <c r="I937" s="363"/>
    </row>
    <row r="938" spans="1:9" ht="14.25" customHeight="1">
      <c r="A938" s="191"/>
      <c r="B938" s="191"/>
      <c r="C938" s="191"/>
      <c r="D938" s="3"/>
      <c r="F938" s="188"/>
      <c r="G938" s="188"/>
      <c r="H938" s="267"/>
      <c r="I938" s="267"/>
    </row>
    <row r="939" spans="1:9" ht="14.25" customHeight="1">
      <c r="A939" s="271"/>
      <c r="B939" s="616" t="s">
        <v>1438</v>
      </c>
      <c r="C939" s="191"/>
      <c r="D939" s="1025" t="s">
        <v>1714</v>
      </c>
      <c r="E939" s="1025"/>
      <c r="F939" s="1025"/>
      <c r="G939" s="188"/>
      <c r="H939" s="267"/>
      <c r="I939" s="267"/>
    </row>
    <row r="940" spans="1:9" ht="14.25" customHeight="1">
      <c r="A940" s="271"/>
      <c r="B940" s="271"/>
      <c r="C940" s="191"/>
      <c r="D940" s="1025"/>
      <c r="E940" s="1025"/>
      <c r="F940" s="1025"/>
      <c r="G940" s="188"/>
      <c r="H940" s="267"/>
      <c r="I940" s="267"/>
    </row>
    <row r="941" spans="1:9" ht="14.25" customHeight="1">
      <c r="A941" s="271"/>
      <c r="B941" s="271"/>
      <c r="C941" s="191"/>
      <c r="D941" s="1025"/>
      <c r="E941" s="1025"/>
      <c r="F941" s="1025"/>
      <c r="G941" s="188"/>
      <c r="H941" s="267"/>
      <c r="I941" s="267"/>
    </row>
    <row r="942" spans="1:9" ht="14.25" customHeight="1">
      <c r="A942" s="271"/>
      <c r="B942" s="271"/>
      <c r="C942" s="191"/>
      <c r="D942" s="1025"/>
      <c r="E942" s="1025"/>
      <c r="F942" s="1025"/>
      <c r="G942" s="188"/>
      <c r="H942" s="267"/>
      <c r="I942" s="267"/>
    </row>
    <row r="943" spans="1:9" ht="14.25" customHeight="1">
      <c r="A943" s="271"/>
      <c r="B943" s="271"/>
      <c r="C943" s="191"/>
      <c r="D943" s="1025"/>
      <c r="E943" s="1025"/>
      <c r="F943" s="1025"/>
      <c r="G943" s="188"/>
      <c r="H943" s="267"/>
      <c r="I943" s="267"/>
    </row>
    <row r="944" spans="1:9" ht="14.25" customHeight="1">
      <c r="A944" s="271"/>
      <c r="B944" s="271"/>
      <c r="C944" s="191"/>
      <c r="D944" s="1025"/>
      <c r="E944" s="1025"/>
      <c r="F944" s="1025"/>
      <c r="G944" s="188"/>
      <c r="H944" s="267"/>
      <c r="I944" s="267"/>
    </row>
    <row r="945" spans="1:9" ht="14.25" customHeight="1">
      <c r="A945" s="271"/>
      <c r="B945" s="271"/>
      <c r="C945" s="191"/>
      <c r="D945" s="1025"/>
      <c r="E945" s="1025"/>
      <c r="F945" s="1025"/>
      <c r="G945" s="188"/>
      <c r="H945" s="267"/>
      <c r="I945" s="267"/>
    </row>
    <row r="946" spans="1:9" ht="14.25" customHeight="1">
      <c r="A946" s="271"/>
      <c r="B946" s="271"/>
      <c r="C946" s="191"/>
      <c r="D946" s="377"/>
      <c r="F946" s="188"/>
      <c r="G946" s="188"/>
      <c r="H946" s="267"/>
      <c r="I946" s="267"/>
    </row>
    <row r="947" spans="1:9" s="452" customFormat="1" ht="14.25">
      <c r="A947" s="271"/>
      <c r="B947" s="616" t="s">
        <v>132</v>
      </c>
      <c r="C947" s="191"/>
      <c r="D947" s="977" t="s">
        <v>1715</v>
      </c>
      <c r="E947" s="977"/>
      <c r="F947" s="977"/>
      <c r="G947" s="188"/>
    </row>
    <row r="948" spans="1:9" s="452" customFormat="1" ht="14.25">
      <c r="A948" s="271"/>
      <c r="B948" s="271"/>
      <c r="C948" s="191"/>
      <c r="D948" s="977"/>
      <c r="E948" s="977"/>
      <c r="F948" s="977"/>
      <c r="G948" s="188"/>
    </row>
    <row r="949" spans="1:9" s="452" customFormat="1" ht="14.25">
      <c r="A949" s="271"/>
      <c r="B949" s="271"/>
      <c r="C949" s="191"/>
      <c r="D949" s="977"/>
      <c r="E949" s="977"/>
      <c r="F949" s="977"/>
      <c r="G949" s="188"/>
    </row>
    <row r="950" spans="1:9" s="452" customFormat="1" ht="14.25">
      <c r="A950" s="271"/>
      <c r="B950" s="271"/>
      <c r="C950" s="191"/>
      <c r="D950" s="977"/>
      <c r="E950" s="977"/>
      <c r="F950" s="977"/>
      <c r="G950" s="188"/>
    </row>
    <row r="951" spans="1:9" s="452" customFormat="1" ht="14.25">
      <c r="A951" s="271"/>
      <c r="B951" s="271"/>
      <c r="C951" s="191"/>
      <c r="D951" s="3"/>
      <c r="E951" s="5"/>
      <c r="F951" s="188"/>
      <c r="G951" s="188"/>
    </row>
    <row r="952" spans="1:9" ht="14.25" customHeight="1">
      <c r="A952" s="18"/>
      <c r="B952" s="18"/>
      <c r="C952" s="207"/>
      <c r="D952" s="976" t="s">
        <v>1716</v>
      </c>
      <c r="E952" s="976"/>
      <c r="F952" s="976"/>
      <c r="G952" s="188"/>
      <c r="H952" s="267"/>
      <c r="I952" s="267"/>
    </row>
    <row r="953" spans="1:9" ht="14.25" customHeight="1">
      <c r="A953" s="207"/>
      <c r="B953" s="207"/>
      <c r="C953" s="207"/>
      <c r="D953" s="976"/>
      <c r="E953" s="976"/>
      <c r="F953" s="976"/>
      <c r="G953" s="188"/>
      <c r="H953" s="267"/>
      <c r="I953" s="267"/>
    </row>
    <row r="954" spans="1:9" ht="14.25" customHeight="1">
      <c r="A954" s="207"/>
      <c r="B954" s="207"/>
      <c r="C954" s="207"/>
      <c r="D954" s="3"/>
      <c r="E954" s="188"/>
      <c r="F954" s="188"/>
      <c r="G954" s="188"/>
      <c r="H954" s="267"/>
      <c r="I954" s="267"/>
    </row>
    <row r="955" spans="1:9" ht="14.25">
      <c r="A955" s="271"/>
      <c r="B955" s="616" t="s">
        <v>1438</v>
      </c>
      <c r="D955" s="976" t="s">
        <v>1717</v>
      </c>
      <c r="E955" s="976"/>
      <c r="F955" s="976"/>
    </row>
    <row r="956" spans="1:9" ht="12.75">
      <c r="D956" s="976"/>
      <c r="E956" s="976"/>
      <c r="F956" s="976"/>
    </row>
    <row r="957" spans="1:9" ht="14.25" customHeight="1">
      <c r="A957" s="207"/>
      <c r="B957" s="207"/>
      <c r="C957" s="207"/>
      <c r="D957" s="3"/>
      <c r="E957" s="188"/>
      <c r="F957" s="188"/>
      <c r="G957" s="188"/>
      <c r="H957" s="267"/>
      <c r="I957" s="267"/>
    </row>
    <row r="958" spans="1:9" ht="14.25" customHeight="1">
      <c r="A958" s="191"/>
      <c r="B958" s="191"/>
      <c r="C958" s="191"/>
      <c r="D958" s="1027" t="s">
        <v>1706</v>
      </c>
      <c r="E958" s="1027"/>
      <c r="F958" s="1027"/>
      <c r="G958" s="188"/>
      <c r="H958" s="267"/>
      <c r="I958" s="267"/>
    </row>
    <row r="959" spans="1:9" ht="14.25" customHeight="1">
      <c r="A959" s="191"/>
      <c r="B959" s="191"/>
      <c r="C959" s="191"/>
      <c r="D959" s="192"/>
      <c r="F959" s="188"/>
      <c r="G959" s="188"/>
      <c r="H959" s="267"/>
      <c r="I959" s="267"/>
    </row>
    <row r="960" spans="1:9" ht="14.45" customHeight="1">
      <c r="A960" s="271"/>
      <c r="B960" s="616" t="s">
        <v>132</v>
      </c>
      <c r="C960" s="207"/>
      <c r="D960" s="1004" t="s">
        <v>1705</v>
      </c>
      <c r="E960" s="1004"/>
      <c r="F960" s="1004"/>
      <c r="G960" s="188"/>
      <c r="H960" s="267"/>
      <c r="I960" s="267"/>
    </row>
    <row r="961" spans="1:9" ht="12.75">
      <c r="A961" s="207"/>
      <c r="B961" s="207"/>
      <c r="C961" s="207"/>
      <c r="D961" s="1004"/>
      <c r="E961" s="1004"/>
      <c r="F961" s="1004"/>
      <c r="G961" s="188"/>
      <c r="H961" s="267"/>
      <c r="I961" s="267"/>
    </row>
    <row r="962" spans="1:9" ht="12.75">
      <c r="A962" s="207"/>
      <c r="B962" s="207"/>
      <c r="C962" s="207"/>
      <c r="D962" s="1004"/>
      <c r="E962" s="1004"/>
      <c r="F962" s="1004"/>
      <c r="G962" s="188"/>
      <c r="H962" s="267"/>
      <c r="I962" s="267"/>
    </row>
    <row r="963" spans="1:9" ht="12.75">
      <c r="A963" s="207"/>
      <c r="B963" s="207"/>
      <c r="C963" s="207"/>
      <c r="D963" s="1004"/>
      <c r="E963" s="1004"/>
      <c r="F963" s="1004"/>
      <c r="G963" s="188"/>
      <c r="H963" s="267"/>
      <c r="I963" s="267"/>
    </row>
    <row r="964" spans="1:9" ht="12.75">
      <c r="A964" s="207"/>
      <c r="B964" s="207"/>
      <c r="C964" s="207"/>
      <c r="D964" s="1004"/>
      <c r="E964" s="1004"/>
      <c r="F964" s="1004"/>
      <c r="G964" s="188"/>
      <c r="H964" s="267"/>
      <c r="I964" s="267"/>
    </row>
    <row r="965" spans="1:9" ht="12.75">
      <c r="A965" s="207"/>
      <c r="B965" s="207"/>
      <c r="C965" s="207"/>
      <c r="D965" s="1004"/>
      <c r="E965" s="1004"/>
      <c r="F965" s="1004"/>
      <c r="G965" s="188"/>
      <c r="H965" s="267"/>
      <c r="I965" s="267"/>
    </row>
    <row r="966" spans="1:9" ht="12.75">
      <c r="A966" s="207"/>
      <c r="B966" s="207"/>
      <c r="C966" s="207"/>
      <c r="D966" s="620"/>
      <c r="E966" s="620"/>
      <c r="F966" s="620"/>
      <c r="G966" s="188"/>
      <c r="H966" s="267"/>
      <c r="I966" s="267"/>
    </row>
    <row r="967" spans="1:9" ht="14.45" customHeight="1">
      <c r="A967" s="271"/>
      <c r="B967" s="616" t="s">
        <v>1438</v>
      </c>
      <c r="C967" s="207"/>
      <c r="D967" s="1004" t="s">
        <v>1704</v>
      </c>
      <c r="E967" s="1004"/>
      <c r="F967" s="1004"/>
      <c r="G967" s="188"/>
      <c r="H967" s="267"/>
      <c r="I967" s="267"/>
    </row>
    <row r="968" spans="1:9" ht="12.75">
      <c r="A968" s="207"/>
      <c r="B968" s="207"/>
      <c r="C968" s="207"/>
      <c r="D968" s="1004"/>
      <c r="E968" s="1004"/>
      <c r="F968" s="1004"/>
      <c r="G968" s="188"/>
      <c r="H968" s="267"/>
      <c r="I968" s="267"/>
    </row>
    <row r="969" spans="1:9" ht="12.75">
      <c r="A969" s="207"/>
      <c r="B969" s="207"/>
      <c r="C969" s="207"/>
      <c r="D969" s="1004"/>
      <c r="E969" s="1004"/>
      <c r="F969" s="1004"/>
      <c r="G969" s="188"/>
      <c r="H969" s="267"/>
      <c r="I969" s="267"/>
    </row>
    <row r="970" spans="1:9" ht="12.75">
      <c r="A970" s="207"/>
      <c r="B970" s="207"/>
      <c r="C970" s="207"/>
      <c r="D970" s="1004"/>
      <c r="E970" s="1004"/>
      <c r="F970" s="1004"/>
      <c r="G970" s="188"/>
      <c r="H970" s="267"/>
      <c r="I970" s="267"/>
    </row>
    <row r="971" spans="1:9" ht="12.75">
      <c r="A971" s="207"/>
      <c r="B971" s="207"/>
      <c r="C971" s="207"/>
      <c r="D971" s="1004"/>
      <c r="E971" s="1004"/>
      <c r="F971" s="1004"/>
      <c r="G971" s="188"/>
      <c r="H971" s="267"/>
      <c r="I971" s="267"/>
    </row>
    <row r="972" spans="1:9" ht="12.75">
      <c r="A972" s="207"/>
      <c r="B972" s="207"/>
      <c r="C972" s="207"/>
      <c r="D972" s="375"/>
      <c r="E972" s="188"/>
      <c r="F972" s="188"/>
      <c r="G972" s="188"/>
      <c r="H972" s="267"/>
      <c r="I972" s="267"/>
    </row>
    <row r="973" spans="1:9" ht="14.25">
      <c r="A973" s="271"/>
      <c r="B973" s="616" t="s">
        <v>132</v>
      </c>
      <c r="C973" s="207"/>
      <c r="D973" s="1004" t="s">
        <v>1707</v>
      </c>
      <c r="E973" s="1004"/>
      <c r="F973" s="1004"/>
      <c r="G973" s="188"/>
      <c r="H973" s="267"/>
      <c r="I973" s="267"/>
    </row>
    <row r="974" spans="1:9" ht="12.75">
      <c r="A974" s="207"/>
      <c r="B974" s="207"/>
      <c r="C974" s="207"/>
      <c r="D974" s="1004"/>
      <c r="E974" s="1004"/>
      <c r="F974" s="1004"/>
      <c r="G974" s="188"/>
      <c r="H974" s="267"/>
      <c r="I974" s="267"/>
    </row>
    <row r="975" spans="1:9" ht="12.75">
      <c r="A975" s="207"/>
      <c r="B975" s="207"/>
      <c r="C975" s="207"/>
      <c r="D975" s="1004"/>
      <c r="E975" s="1004"/>
      <c r="F975" s="1004"/>
      <c r="G975" s="188"/>
      <c r="H975" s="267"/>
      <c r="I975" s="267"/>
    </row>
    <row r="976" spans="1:9" ht="12.75">
      <c r="A976" s="207"/>
      <c r="B976" s="207"/>
      <c r="C976" s="207"/>
      <c r="D976" s="1004"/>
      <c r="E976" s="1004"/>
      <c r="F976" s="1004"/>
      <c r="G976" s="188"/>
      <c r="H976" s="267"/>
      <c r="I976" s="267"/>
    </row>
    <row r="977" spans="1:9" ht="12.75">
      <c r="A977" s="207"/>
      <c r="B977" s="207"/>
      <c r="C977" s="207"/>
      <c r="D977" s="1004"/>
      <c r="E977" s="1004"/>
      <c r="F977" s="1004"/>
      <c r="G977" s="188"/>
      <c r="H977" s="267"/>
      <c r="I977" s="267"/>
    </row>
    <row r="978" spans="1:9" ht="12.75">
      <c r="A978" s="207"/>
      <c r="B978" s="207"/>
      <c r="C978" s="207"/>
      <c r="D978" s="375"/>
      <c r="E978" s="188"/>
      <c r="F978" s="188"/>
      <c r="G978" s="188"/>
      <c r="H978" s="267"/>
      <c r="I978" s="267"/>
    </row>
    <row r="979" spans="1:9" ht="14.45" customHeight="1">
      <c r="A979" s="271"/>
      <c r="B979" s="616" t="s">
        <v>132</v>
      </c>
      <c r="C979" s="207"/>
      <c r="D979" s="1004" t="s">
        <v>1708</v>
      </c>
      <c r="E979" s="1004"/>
      <c r="F979" s="1004"/>
      <c r="G979" s="188"/>
      <c r="H979" s="267"/>
      <c r="I979" s="267"/>
    </row>
    <row r="980" spans="1:9" ht="12.75">
      <c r="A980" s="207"/>
      <c r="B980" s="207"/>
      <c r="C980" s="207"/>
      <c r="D980" s="1004"/>
      <c r="E980" s="1004"/>
      <c r="F980" s="1004"/>
      <c r="G980" s="188"/>
      <c r="H980" s="267"/>
      <c r="I980" s="267"/>
    </row>
    <row r="981" spans="1:9" ht="12.75">
      <c r="A981" s="207"/>
      <c r="B981" s="207"/>
      <c r="C981" s="207"/>
      <c r="D981" s="1004"/>
      <c r="E981" s="1004"/>
      <c r="F981" s="1004"/>
      <c r="G981" s="188"/>
      <c r="H981" s="267"/>
      <c r="I981" s="267"/>
    </row>
    <row r="982" spans="1:9" ht="12.75">
      <c r="A982" s="207"/>
      <c r="B982" s="207"/>
      <c r="C982" s="207"/>
      <c r="D982" s="620"/>
      <c r="E982" s="620"/>
      <c r="F982" s="620"/>
      <c r="G982" s="188"/>
      <c r="H982" s="267"/>
      <c r="I982" s="267"/>
    </row>
    <row r="983" spans="1:9" ht="14.25">
      <c r="A983" s="271"/>
      <c r="B983" s="616" t="s">
        <v>132</v>
      </c>
      <c r="C983" s="207"/>
      <c r="D983" s="1004" t="s">
        <v>1709</v>
      </c>
      <c r="E983" s="1004"/>
      <c r="F983" s="1004"/>
      <c r="G983" s="188"/>
      <c r="H983" s="267"/>
      <c r="I983" s="267"/>
    </row>
    <row r="984" spans="1:9" ht="12.75">
      <c r="A984" s="207"/>
      <c r="B984" s="207"/>
      <c r="C984" s="207"/>
      <c r="D984" s="1004"/>
      <c r="E984" s="1004"/>
      <c r="F984" s="1004"/>
      <c r="G984" s="188"/>
      <c r="H984" s="267"/>
      <c r="I984" s="267"/>
    </row>
    <row r="985" spans="1:9" ht="12.75">
      <c r="A985" s="207"/>
      <c r="B985" s="207"/>
      <c r="C985" s="207"/>
      <c r="D985" s="375"/>
      <c r="E985" s="188"/>
      <c r="F985" s="188"/>
      <c r="G985" s="188"/>
      <c r="H985" s="267"/>
      <c r="I985" s="267"/>
    </row>
    <row r="986" spans="1:9" ht="12.75">
      <c r="A986" s="207"/>
      <c r="B986" s="616" t="s">
        <v>132</v>
      </c>
      <c r="C986" s="207"/>
      <c r="D986" s="976" t="s">
        <v>1710</v>
      </c>
      <c r="E986" s="976"/>
      <c r="F986" s="976"/>
      <c r="G986" s="188"/>
      <c r="H986" s="267"/>
      <c r="I986" s="267"/>
    </row>
    <row r="987" spans="1:9" ht="12.75">
      <c r="A987" s="207"/>
      <c r="B987" s="207"/>
      <c r="C987" s="207"/>
      <c r="D987" s="976"/>
      <c r="E987" s="976"/>
      <c r="F987" s="976"/>
      <c r="G987" s="188"/>
      <c r="H987" s="267"/>
      <c r="I987" s="267"/>
    </row>
    <row r="988" spans="1:9" ht="12.75">
      <c r="A988" s="207"/>
      <c r="B988" s="207"/>
      <c r="C988" s="207"/>
      <c r="D988" s="188"/>
      <c r="E988" s="188"/>
      <c r="F988" s="188"/>
      <c r="G988" s="188"/>
      <c r="H988" s="267"/>
      <c r="I988" s="267"/>
    </row>
    <row r="989" spans="1:9" ht="12.75">
      <c r="A989" s="207"/>
      <c r="B989" s="616" t="s">
        <v>132</v>
      </c>
      <c r="C989" s="207"/>
      <c r="D989" s="1032" t="s">
        <v>1843</v>
      </c>
      <c r="E989" s="1030"/>
      <c r="F989" s="1030"/>
      <c r="G989" s="188"/>
      <c r="H989" s="267"/>
      <c r="I989" s="267"/>
    </row>
    <row r="990" spans="1:9" ht="12.75">
      <c r="A990" s="207"/>
      <c r="B990" s="207"/>
      <c r="C990" s="207"/>
      <c r="D990" s="1032"/>
      <c r="E990" s="1030"/>
      <c r="F990" s="1030"/>
      <c r="G990" s="188"/>
      <c r="H990" s="267"/>
      <c r="I990" s="267"/>
    </row>
    <row r="991" spans="1:9" ht="12.75">
      <c r="A991" s="207"/>
      <c r="B991" s="207"/>
      <c r="C991" s="207"/>
      <c r="D991" s="1032"/>
      <c r="E991" s="1030"/>
      <c r="F991" s="1030"/>
      <c r="G991" s="188"/>
      <c r="H991" s="267"/>
      <c r="I991" s="267"/>
    </row>
    <row r="992" spans="1:9" ht="12.75">
      <c r="A992" s="207"/>
      <c r="B992" s="207"/>
      <c r="C992" s="207"/>
      <c r="D992" s="1030"/>
      <c r="E992" s="1030"/>
      <c r="F992" s="1030"/>
      <c r="G992" s="188"/>
      <c r="H992" s="267"/>
      <c r="I992" s="267"/>
    </row>
    <row r="993" spans="1:9" ht="12.75">
      <c r="A993" s="207"/>
      <c r="B993" s="207"/>
      <c r="C993" s="207"/>
      <c r="D993" s="44"/>
      <c r="E993" s="188"/>
      <c r="F993" s="188"/>
      <c r="G993" s="188"/>
      <c r="H993" s="267"/>
      <c r="I993" s="267"/>
    </row>
    <row r="994" spans="1:9" ht="12.75">
      <c r="A994" s="207"/>
      <c r="B994" s="616" t="s">
        <v>132</v>
      </c>
      <c r="C994" s="207"/>
      <c r="D994" s="996" t="s">
        <v>2268</v>
      </c>
      <c r="E994" s="996"/>
      <c r="F994" s="996"/>
      <c r="G994" s="188"/>
      <c r="H994" s="267"/>
      <c r="I994" s="267"/>
    </row>
    <row r="995" spans="1:9" ht="12.75">
      <c r="A995" s="207"/>
      <c r="B995" s="207"/>
      <c r="C995" s="207"/>
      <c r="D995" s="44"/>
      <c r="E995" s="188"/>
      <c r="F995" s="188"/>
      <c r="G995" s="188"/>
      <c r="H995" s="267"/>
      <c r="I995" s="267"/>
    </row>
    <row r="996" spans="1:9" ht="12.75">
      <c r="A996" s="207"/>
      <c r="B996" s="616" t="s">
        <v>132</v>
      </c>
      <c r="C996" s="207"/>
      <c r="D996" s="996" t="s">
        <v>2269</v>
      </c>
      <c r="E996" s="996"/>
      <c r="F996" s="996"/>
      <c r="G996" s="188"/>
      <c r="H996" s="267"/>
      <c r="I996" s="267"/>
    </row>
    <row r="997" spans="1:9" ht="12.75" customHeight="1">
      <c r="A997" s="207"/>
      <c r="B997" s="207"/>
      <c r="C997" s="207"/>
      <c r="D997" s="188"/>
      <c r="E997" s="188"/>
      <c r="F997" s="188"/>
      <c r="G997" s="188"/>
      <c r="H997" s="267"/>
      <c r="I997" s="267"/>
    </row>
    <row r="998" spans="1:9" ht="12.75">
      <c r="A998" s="207"/>
      <c r="C998" s="207"/>
      <c r="D998" s="1002" t="s">
        <v>1543</v>
      </c>
      <c r="E998" s="1002"/>
      <c r="F998" s="1002"/>
      <c r="G998" s="188"/>
      <c r="H998" s="267"/>
      <c r="I998" s="267"/>
    </row>
    <row r="999" spans="1:9" ht="12.75">
      <c r="A999" s="207"/>
      <c r="C999" s="207"/>
      <c r="D999" s="192"/>
      <c r="E999" s="188"/>
      <c r="F999" s="188"/>
      <c r="G999" s="188"/>
      <c r="H999" s="267"/>
      <c r="I999" s="267"/>
    </row>
    <row r="1000" spans="1:9" ht="14.25">
      <c r="A1000" s="271"/>
      <c r="B1000" s="616" t="s">
        <v>1438</v>
      </c>
      <c r="C1000" s="207"/>
      <c r="D1000" s="976" t="s">
        <v>1711</v>
      </c>
      <c r="E1000" s="976"/>
      <c r="F1000" s="976"/>
      <c r="G1000" s="188"/>
      <c r="H1000" s="267"/>
      <c r="I1000" s="267"/>
    </row>
    <row r="1001" spans="1:9" ht="12.75">
      <c r="A1001" s="207"/>
      <c r="B1001" s="207"/>
      <c r="C1001" s="207"/>
      <c r="D1001" s="976"/>
      <c r="E1001" s="976"/>
      <c r="F1001" s="976"/>
      <c r="G1001" s="188"/>
      <c r="H1001" s="267"/>
      <c r="I1001" s="267"/>
    </row>
    <row r="1002" spans="1:9" ht="12.75">
      <c r="A1002" s="207"/>
      <c r="B1002" s="207"/>
      <c r="C1002" s="207"/>
      <c r="D1002" s="976"/>
      <c r="E1002" s="976"/>
      <c r="F1002" s="976"/>
      <c r="G1002" s="188"/>
      <c r="H1002" s="267"/>
      <c r="I1002" s="267"/>
    </row>
    <row r="1003" spans="1:9" ht="12.75">
      <c r="A1003" s="207"/>
      <c r="B1003" s="207"/>
      <c r="C1003" s="207"/>
      <c r="D1003" s="976"/>
      <c r="E1003" s="976"/>
      <c r="F1003" s="976"/>
      <c r="G1003" s="188"/>
      <c r="H1003" s="267"/>
      <c r="I1003" s="267"/>
    </row>
    <row r="1004" spans="1:9" ht="12.75">
      <c r="A1004" s="207"/>
      <c r="B1004" s="207"/>
      <c r="C1004" s="207"/>
      <c r="D1004" s="976"/>
      <c r="E1004" s="976"/>
      <c r="F1004" s="976"/>
      <c r="G1004" s="188"/>
      <c r="H1004" s="267"/>
      <c r="I1004" s="267"/>
    </row>
    <row r="1005" spans="1:9" ht="12.75">
      <c r="A1005" s="207"/>
      <c r="B1005" s="207"/>
      <c r="C1005" s="207"/>
      <c r="G1005" s="188"/>
      <c r="H1005" s="267"/>
      <c r="I1005" s="267"/>
    </row>
    <row r="1006" spans="1:9" ht="14.25">
      <c r="A1006" s="271"/>
      <c r="B1006" s="616" t="s">
        <v>132</v>
      </c>
      <c r="C1006" s="207"/>
      <c r="D1006" s="976" t="s">
        <v>1712</v>
      </c>
      <c r="E1006" s="976"/>
      <c r="F1006" s="976"/>
      <c r="G1006" s="188"/>
      <c r="H1006" s="267"/>
      <c r="I1006" s="267"/>
    </row>
    <row r="1007" spans="1:9" ht="12.75">
      <c r="A1007" s="207"/>
      <c r="B1007" s="207"/>
      <c r="C1007" s="207"/>
      <c r="D1007" s="976"/>
      <c r="E1007" s="976"/>
      <c r="F1007" s="976"/>
      <c r="G1007" s="188"/>
      <c r="H1007" s="267"/>
      <c r="I1007" s="267"/>
    </row>
    <row r="1008" spans="1:9" ht="12.75">
      <c r="A1008" s="207"/>
      <c r="B1008" s="207"/>
      <c r="C1008" s="207"/>
      <c r="D1008" s="976"/>
      <c r="E1008" s="976"/>
      <c r="F1008" s="976"/>
      <c r="G1008" s="188"/>
      <c r="H1008" s="267"/>
      <c r="I1008" s="267"/>
    </row>
    <row r="1009" spans="1:9" ht="12.75">
      <c r="A1009" s="207"/>
      <c r="B1009" s="207"/>
      <c r="C1009" s="207"/>
      <c r="D1009" s="976"/>
      <c r="E1009" s="976"/>
      <c r="F1009" s="976"/>
      <c r="G1009" s="188"/>
      <c r="H1009" s="267"/>
      <c r="I1009" s="267"/>
    </row>
    <row r="1010" spans="1:9" ht="12.75">
      <c r="A1010" s="207"/>
      <c r="B1010" s="207"/>
      <c r="C1010" s="207"/>
      <c r="D1010" s="976"/>
      <c r="E1010" s="976"/>
      <c r="F1010" s="976"/>
      <c r="G1010" s="188"/>
      <c r="H1010" s="267"/>
      <c r="I1010" s="267"/>
    </row>
    <row r="1011" spans="1:9" ht="12.75">
      <c r="A1011" s="207"/>
      <c r="B1011" s="207"/>
      <c r="C1011" s="207"/>
      <c r="D1011" s="188"/>
      <c r="E1011" s="188"/>
      <c r="F1011" s="188"/>
      <c r="G1011" s="188"/>
      <c r="H1011" s="267"/>
      <c r="I1011" s="267"/>
    </row>
    <row r="1012" spans="1:9" ht="12.75">
      <c r="A1012" s="207"/>
      <c r="B1012" s="207"/>
      <c r="C1012" s="207"/>
      <c r="D1012" s="1002" t="s">
        <v>1544</v>
      </c>
      <c r="E1012" s="1002"/>
      <c r="F1012" s="1002"/>
      <c r="G1012" s="188"/>
      <c r="H1012" s="267"/>
      <c r="I1012" s="267"/>
    </row>
    <row r="1013" spans="1:9" ht="12.75">
      <c r="A1013" s="207"/>
      <c r="B1013" s="207"/>
      <c r="C1013" s="207"/>
      <c r="D1013" s="192"/>
      <c r="E1013" s="188"/>
      <c r="F1013" s="188"/>
      <c r="G1013" s="188"/>
      <c r="H1013" s="267"/>
      <c r="I1013" s="267"/>
    </row>
    <row r="1014" spans="1:9" ht="14.25">
      <c r="A1014" s="271"/>
      <c r="B1014" s="616" t="s">
        <v>132</v>
      </c>
      <c r="C1014" s="207"/>
      <c r="D1014" s="976" t="s">
        <v>1718</v>
      </c>
      <c r="E1014" s="976"/>
      <c r="F1014" s="976"/>
      <c r="G1014" s="188"/>
      <c r="H1014" s="267"/>
      <c r="I1014" s="267"/>
    </row>
    <row r="1015" spans="1:9" ht="12.75">
      <c r="A1015" s="207"/>
      <c r="B1015" s="207"/>
      <c r="C1015" s="207"/>
      <c r="D1015" s="976"/>
      <c r="E1015" s="976"/>
      <c r="F1015" s="976"/>
      <c r="G1015" s="188"/>
      <c r="H1015" s="267"/>
      <c r="I1015" s="267"/>
    </row>
    <row r="1016" spans="1:9" ht="12.75">
      <c r="A1016" s="207"/>
      <c r="B1016" s="207"/>
      <c r="C1016" s="207"/>
      <c r="D1016" s="976"/>
      <c r="E1016" s="976"/>
      <c r="F1016" s="976"/>
      <c r="G1016" s="188"/>
      <c r="H1016" s="267"/>
      <c r="I1016" s="267"/>
    </row>
    <row r="1017" spans="1:9" ht="12.75">
      <c r="A1017" s="207"/>
      <c r="B1017" s="207"/>
      <c r="C1017" s="207"/>
      <c r="G1017" s="188"/>
      <c r="H1017" s="267"/>
      <c r="I1017" s="267"/>
    </row>
    <row r="1018" spans="1:9" ht="14.25">
      <c r="A1018" s="271"/>
      <c r="B1018" s="616" t="s">
        <v>132</v>
      </c>
      <c r="C1018" s="207"/>
      <c r="D1018" s="976" t="s">
        <v>1719</v>
      </c>
      <c r="E1018" s="976"/>
      <c r="F1018" s="976"/>
      <c r="G1018" s="188"/>
      <c r="H1018" s="267"/>
      <c r="I1018" s="267"/>
    </row>
    <row r="1019" spans="1:9" ht="12.75">
      <c r="A1019" s="207"/>
      <c r="B1019" s="207"/>
      <c r="C1019" s="207"/>
      <c r="D1019" s="976"/>
      <c r="E1019" s="976"/>
      <c r="F1019" s="976"/>
      <c r="G1019" s="188"/>
      <c r="H1019" s="267"/>
      <c r="I1019" s="267"/>
    </row>
    <row r="1020" spans="1:9" ht="12.75">
      <c r="A1020" s="207"/>
      <c r="B1020" s="207"/>
      <c r="C1020" s="207"/>
      <c r="D1020" s="976"/>
      <c r="E1020" s="976"/>
      <c r="F1020" s="976"/>
      <c r="G1020" s="188"/>
      <c r="H1020" s="267"/>
      <c r="I1020" s="267"/>
    </row>
    <row r="1021" spans="1:9" ht="12.75">
      <c r="A1021" s="207"/>
      <c r="B1021" s="207"/>
      <c r="C1021" s="207"/>
      <c r="D1021" s="44"/>
      <c r="E1021" s="188"/>
      <c r="F1021" s="188"/>
      <c r="G1021" s="188"/>
      <c r="H1021" s="267"/>
      <c r="I1021" s="267"/>
    </row>
    <row r="1022" spans="1:9" ht="12.75">
      <c r="A1022" s="207"/>
      <c r="B1022" s="207"/>
      <c r="C1022" s="207"/>
      <c r="D1022" s="1002" t="s">
        <v>1545</v>
      </c>
      <c r="E1022" s="1002"/>
      <c r="F1022" s="1002"/>
      <c r="G1022" s="188"/>
      <c r="H1022" s="267"/>
      <c r="I1022" s="267"/>
    </row>
    <row r="1023" spans="1:9" ht="12.75">
      <c r="A1023" s="207"/>
      <c r="B1023" s="207"/>
      <c r="C1023" s="207"/>
      <c r="D1023" s="192"/>
      <c r="E1023" s="188"/>
      <c r="F1023" s="188"/>
      <c r="G1023" s="188"/>
      <c r="H1023" s="267"/>
      <c r="I1023" s="267"/>
    </row>
    <row r="1024" spans="1:9" ht="14.25" customHeight="1">
      <c r="A1024" s="271"/>
      <c r="B1024" s="616" t="s">
        <v>132</v>
      </c>
      <c r="C1024" s="207"/>
      <c r="D1024" s="976" t="s">
        <v>1721</v>
      </c>
      <c r="E1024" s="976"/>
      <c r="F1024" s="976"/>
      <c r="G1024" s="24"/>
      <c r="H1024" s="209"/>
      <c r="I1024" s="209"/>
    </row>
    <row r="1025" spans="1:9" ht="12.75">
      <c r="A1025" s="207"/>
      <c r="B1025" s="207"/>
      <c r="C1025" s="207"/>
      <c r="D1025" s="976"/>
      <c r="E1025" s="976"/>
      <c r="F1025" s="976"/>
      <c r="G1025" s="24"/>
      <c r="H1025" s="209"/>
      <c r="I1025" s="209"/>
    </row>
    <row r="1026" spans="1:9" ht="12.75">
      <c r="A1026" s="207"/>
      <c r="B1026" s="207"/>
      <c r="C1026" s="207"/>
      <c r="D1026" s="976"/>
      <c r="E1026" s="976"/>
      <c r="F1026" s="976"/>
      <c r="G1026" s="24"/>
      <c r="H1026" s="209"/>
      <c r="I1026" s="209"/>
    </row>
    <row r="1027" spans="1:9" ht="12" customHeight="1">
      <c r="A1027" s="207"/>
      <c r="B1027" s="207"/>
      <c r="C1027" s="207"/>
      <c r="D1027" s="209"/>
      <c r="E1027" s="209"/>
      <c r="F1027" s="209"/>
      <c r="G1027" s="209"/>
      <c r="H1027" s="209"/>
      <c r="I1027" s="209"/>
    </row>
    <row r="1028" spans="1:9" ht="12.75" customHeight="1">
      <c r="A1028" s="207"/>
      <c r="B1028" s="616" t="s">
        <v>1438</v>
      </c>
      <c r="C1028" s="207"/>
      <c r="D1028" s="976" t="s">
        <v>1720</v>
      </c>
      <c r="E1028" s="976"/>
      <c r="F1028" s="976"/>
      <c r="G1028" s="209"/>
      <c r="H1028" s="267"/>
      <c r="I1028" s="267"/>
    </row>
    <row r="1029" spans="1:9" ht="12.75">
      <c r="A1029" s="207"/>
      <c r="B1029" s="207"/>
      <c r="C1029" s="207"/>
      <c r="D1029" s="976"/>
      <c r="E1029" s="976"/>
      <c r="F1029" s="976"/>
      <c r="G1029" s="209"/>
      <c r="H1029" s="267"/>
      <c r="I1029" s="267"/>
    </row>
    <row r="1030" spans="1:9" ht="12.75">
      <c r="A1030" s="207"/>
      <c r="B1030" s="207"/>
      <c r="C1030" s="207"/>
      <c r="D1030" s="976"/>
      <c r="E1030" s="976"/>
      <c r="F1030" s="976"/>
      <c r="G1030" s="209"/>
      <c r="H1030" s="267"/>
      <c r="I1030" s="267"/>
    </row>
    <row r="1031" spans="1:9" ht="12" customHeight="1">
      <c r="A1031" s="207"/>
      <c r="B1031" s="207"/>
      <c r="C1031" s="207"/>
      <c r="D1031" s="44"/>
      <c r="E1031" s="188"/>
      <c r="F1031" s="188"/>
      <c r="G1031" s="188"/>
      <c r="H1031" s="267"/>
      <c r="I1031" s="267"/>
    </row>
    <row r="1032" spans="1:9" ht="12.75" customHeight="1">
      <c r="A1032" s="207"/>
      <c r="B1032" s="616" t="s">
        <v>132</v>
      </c>
      <c r="C1032" s="207"/>
      <c r="D1032" s="974" t="s">
        <v>1722</v>
      </c>
      <c r="E1032" s="974"/>
      <c r="F1032" s="974"/>
      <c r="G1032" s="208"/>
      <c r="H1032" s="267"/>
      <c r="I1032" s="267"/>
    </row>
    <row r="1033" spans="1:9" ht="12.75">
      <c r="A1033" s="207"/>
      <c r="B1033" s="207"/>
      <c r="C1033" s="207"/>
      <c r="D1033" s="974"/>
      <c r="E1033" s="974"/>
      <c r="F1033" s="974"/>
      <c r="G1033" s="208"/>
      <c r="H1033" s="267"/>
      <c r="I1033" s="267"/>
    </row>
    <row r="1034" spans="1:9" ht="12.75">
      <c r="A1034" s="207"/>
      <c r="B1034" s="207"/>
      <c r="C1034" s="207"/>
      <c r="D1034" s="974"/>
      <c r="E1034" s="974"/>
      <c r="F1034" s="974"/>
      <c r="G1034" s="208"/>
      <c r="H1034" s="267"/>
      <c r="I1034" s="267"/>
    </row>
    <row r="1035" spans="1:9" ht="12" customHeight="1">
      <c r="A1035" s="207"/>
      <c r="B1035" s="207"/>
      <c r="C1035" s="207"/>
      <c r="D1035" s="188"/>
      <c r="E1035" s="188"/>
      <c r="F1035" s="188"/>
      <c r="G1035" s="188"/>
      <c r="H1035" s="267"/>
      <c r="I1035" s="267"/>
    </row>
    <row r="1036" spans="1:9" ht="12.75" customHeight="1">
      <c r="A1036" s="207"/>
      <c r="B1036" s="616" t="s">
        <v>132</v>
      </c>
      <c r="C1036" s="207"/>
      <c r="D1036" s="976" t="s">
        <v>1723</v>
      </c>
      <c r="E1036" s="976"/>
      <c r="F1036" s="976"/>
      <c r="G1036" s="208"/>
      <c r="H1036" s="208"/>
      <c r="I1036" s="208"/>
    </row>
    <row r="1037" spans="1:9" ht="12.75">
      <c r="A1037" s="207"/>
      <c r="B1037" s="207"/>
      <c r="C1037" s="207"/>
      <c r="D1037" s="976"/>
      <c r="E1037" s="976"/>
      <c r="F1037" s="976"/>
      <c r="G1037" s="208"/>
      <c r="H1037" s="208"/>
      <c r="I1037" s="208"/>
    </row>
    <row r="1038" spans="1:9" ht="12.75">
      <c r="A1038" s="207"/>
      <c r="B1038" s="207"/>
      <c r="C1038" s="207"/>
      <c r="D1038" s="976"/>
      <c r="E1038" s="976"/>
      <c r="F1038" s="976"/>
      <c r="G1038" s="208"/>
      <c r="H1038" s="208"/>
      <c r="I1038" s="208"/>
    </row>
    <row r="1039" spans="1:9" ht="14.25">
      <c r="A1039" s="271"/>
      <c r="B1039" s="271"/>
      <c r="C1039" s="207"/>
      <c r="D1039" s="44"/>
      <c r="E1039" s="188"/>
      <c r="F1039" s="188"/>
      <c r="G1039" s="188"/>
      <c r="H1039" s="267"/>
      <c r="I1039" s="267"/>
    </row>
    <row r="1040" spans="1:9" ht="12.75" customHeight="1">
      <c r="A1040" s="207"/>
      <c r="B1040" s="616" t="s">
        <v>132</v>
      </c>
      <c r="C1040" s="207"/>
      <c r="D1040" s="976" t="s">
        <v>1724</v>
      </c>
      <c r="E1040" s="976"/>
      <c r="F1040" s="976"/>
      <c r="G1040" s="208"/>
      <c r="H1040" s="208"/>
      <c r="I1040" s="208"/>
    </row>
    <row r="1041" spans="1:9" ht="12.75">
      <c r="A1041" s="207"/>
      <c r="B1041" s="207"/>
      <c r="C1041" s="207"/>
      <c r="D1041" s="976"/>
      <c r="E1041" s="976"/>
      <c r="F1041" s="976"/>
      <c r="G1041" s="208"/>
      <c r="H1041" s="208"/>
      <c r="I1041" s="208"/>
    </row>
    <row r="1042" spans="1:9" ht="12.75">
      <c r="A1042" s="207"/>
      <c r="B1042" s="207"/>
      <c r="C1042" s="207"/>
      <c r="D1042" s="976"/>
      <c r="E1042" s="976"/>
      <c r="F1042" s="976"/>
      <c r="G1042" s="208"/>
      <c r="H1042" s="208"/>
      <c r="I1042" s="208"/>
    </row>
    <row r="1043" spans="1:9" ht="12.75">
      <c r="A1043" s="207"/>
      <c r="B1043" s="207"/>
      <c r="C1043" s="207"/>
      <c r="D1043" s="44"/>
      <c r="E1043" s="188"/>
      <c r="F1043" s="188"/>
      <c r="G1043" s="188"/>
      <c r="H1043" s="267"/>
      <c r="I1043" s="267"/>
    </row>
    <row r="1044" spans="1:9" ht="12.75" customHeight="1">
      <c r="A1044" s="207"/>
      <c r="B1044" s="616" t="s">
        <v>132</v>
      </c>
      <c r="C1044" s="207"/>
      <c r="D1044" s="976" t="s">
        <v>1546</v>
      </c>
      <c r="E1044" s="976"/>
      <c r="F1044" s="976"/>
      <c r="G1044" s="24"/>
      <c r="H1044" s="267"/>
      <c r="I1044" s="267"/>
    </row>
    <row r="1045" spans="1:9" ht="12.75">
      <c r="A1045" s="207"/>
      <c r="B1045" s="207"/>
      <c r="C1045" s="207"/>
      <c r="D1045" s="976"/>
      <c r="E1045" s="976"/>
      <c r="F1045" s="976"/>
      <c r="G1045" s="24"/>
      <c r="H1045" s="267"/>
      <c r="I1045" s="267"/>
    </row>
    <row r="1046" spans="1:9" ht="12.75">
      <c r="A1046" s="207"/>
      <c r="B1046" s="207"/>
      <c r="C1046" s="207"/>
      <c r="D1046" s="976"/>
      <c r="E1046" s="976"/>
      <c r="F1046" s="976"/>
      <c r="G1046" s="24"/>
      <c r="H1046" s="267"/>
      <c r="I1046" s="267"/>
    </row>
    <row r="1047" spans="1:9" ht="12.75">
      <c r="A1047" s="207"/>
      <c r="B1047" s="207"/>
      <c r="C1047" s="207"/>
      <c r="D1047" s="24"/>
      <c r="E1047" s="24"/>
      <c r="F1047" s="24"/>
      <c r="G1047" s="24"/>
      <c r="H1047" s="267"/>
      <c r="I1047" s="267"/>
    </row>
    <row r="1048" spans="1:9" ht="12.75" customHeight="1">
      <c r="A1048" s="207"/>
      <c r="B1048" s="616" t="s">
        <v>132</v>
      </c>
      <c r="C1048" s="207"/>
      <c r="D1048" s="976" t="s">
        <v>1547</v>
      </c>
      <c r="E1048" s="976"/>
      <c r="F1048" s="976"/>
      <c r="G1048" s="24"/>
      <c r="H1048" s="267"/>
      <c r="I1048" s="267"/>
    </row>
    <row r="1049" spans="1:9" ht="12.75">
      <c r="A1049" s="207"/>
      <c r="B1049" s="207"/>
      <c r="C1049" s="207"/>
      <c r="D1049" s="976"/>
      <c r="E1049" s="976"/>
      <c r="F1049" s="976"/>
      <c r="G1049" s="24"/>
      <c r="H1049" s="267"/>
      <c r="I1049" s="267"/>
    </row>
    <row r="1050" spans="1:9" ht="12.75">
      <c r="A1050" s="207"/>
      <c r="B1050" s="207"/>
      <c r="C1050" s="207"/>
      <c r="D1050" s="976"/>
      <c r="E1050" s="976"/>
      <c r="F1050" s="976"/>
      <c r="G1050" s="24"/>
      <c r="H1050" s="267"/>
      <c r="I1050" s="267"/>
    </row>
    <row r="1051" spans="1:9" ht="12.75">
      <c r="A1051" s="207"/>
      <c r="B1051" s="207"/>
      <c r="C1051" s="207"/>
      <c r="D1051" s="302"/>
      <c r="E1051" s="302"/>
      <c r="F1051" s="302"/>
      <c r="G1051" s="302"/>
      <c r="H1051" s="267"/>
      <c r="I1051" s="267"/>
    </row>
    <row r="1052" spans="1:9" ht="12.75" customHeight="1">
      <c r="A1052" s="207"/>
      <c r="B1052" s="616" t="s">
        <v>1438</v>
      </c>
      <c r="C1052" s="207"/>
      <c r="D1052" s="1020" t="s">
        <v>1171</v>
      </c>
      <c r="E1052" s="1020"/>
      <c r="F1052" s="1020"/>
      <c r="G1052" s="615"/>
      <c r="H1052" s="267"/>
      <c r="I1052" s="267"/>
    </row>
    <row r="1053" spans="1:9" ht="12.75">
      <c r="A1053" s="207"/>
      <c r="B1053" s="207"/>
      <c r="C1053" s="207"/>
      <c r="D1053" s="1020"/>
      <c r="E1053" s="1020"/>
      <c r="F1053" s="1020"/>
      <c r="G1053" s="615"/>
      <c r="H1053" s="267"/>
      <c r="I1053" s="267"/>
    </row>
    <row r="1054" spans="1:9" ht="12.75">
      <c r="A1054" s="207"/>
      <c r="B1054" s="207"/>
      <c r="C1054" s="207"/>
      <c r="D1054" s="1020"/>
      <c r="E1054" s="1020"/>
      <c r="F1054" s="1020"/>
      <c r="G1054" s="615"/>
      <c r="H1054" s="267"/>
      <c r="I1054" s="267"/>
    </row>
    <row r="1055" spans="1:9" ht="12.75">
      <c r="A1055" s="207"/>
      <c r="B1055" s="207"/>
      <c r="C1055" s="207"/>
      <c r="D1055" s="1020"/>
      <c r="E1055" s="1020"/>
      <c r="F1055" s="1020"/>
      <c r="G1055" s="615"/>
      <c r="H1055" s="267"/>
      <c r="I1055" s="267"/>
    </row>
    <row r="1056" spans="1:9" ht="12.75">
      <c r="A1056" s="207"/>
      <c r="B1056" s="207"/>
      <c r="C1056" s="207"/>
      <c r="D1056" s="1020"/>
      <c r="E1056" s="1020"/>
      <c r="F1056" s="1020"/>
      <c r="G1056" s="615"/>
      <c r="H1056" s="267"/>
      <c r="I1056" s="267"/>
    </row>
    <row r="1057" spans="1:9" ht="12.75">
      <c r="A1057" s="207"/>
      <c r="B1057" s="207"/>
      <c r="C1057" s="207"/>
      <c r="D1057" s="1020"/>
      <c r="E1057" s="1020"/>
      <c r="F1057" s="1020"/>
      <c r="G1057" s="615"/>
      <c r="H1057" s="267"/>
      <c r="I1057" s="267"/>
    </row>
    <row r="1058" spans="1:9" ht="12.75">
      <c r="A1058" s="207"/>
      <c r="B1058" s="207"/>
      <c r="C1058" s="207"/>
      <c r="D1058" s="1020"/>
      <c r="E1058" s="1020"/>
      <c r="F1058" s="1020"/>
      <c r="G1058" s="615"/>
      <c r="H1058" s="267"/>
      <c r="I1058" s="267"/>
    </row>
    <row r="1059" spans="1:9" ht="12.75">
      <c r="A1059" s="207"/>
      <c r="B1059" s="207"/>
      <c r="C1059" s="207"/>
      <c r="D1059" s="1020"/>
      <c r="E1059" s="1020"/>
      <c r="F1059" s="1020"/>
      <c r="G1059" s="615"/>
      <c r="H1059" s="267"/>
      <c r="I1059" s="267"/>
    </row>
    <row r="1060" spans="1:9" ht="12.75">
      <c r="A1060" s="207"/>
      <c r="B1060" s="207"/>
      <c r="C1060" s="207"/>
      <c r="D1060" s="1020"/>
      <c r="E1060" s="1020"/>
      <c r="F1060" s="1020"/>
      <c r="G1060" s="615"/>
      <c r="H1060" s="267"/>
      <c r="I1060" s="267"/>
    </row>
    <row r="1061" spans="1:9" ht="12.75">
      <c r="A1061" s="207"/>
      <c r="B1061" s="207"/>
      <c r="C1061" s="207"/>
      <c r="D1061" s="1020"/>
      <c r="E1061" s="1020"/>
      <c r="F1061" s="1020"/>
      <c r="G1061" s="615"/>
      <c r="H1061" s="267"/>
      <c r="I1061" s="267"/>
    </row>
    <row r="1062" spans="1:9" ht="27.6" customHeight="1">
      <c r="A1062" s="207"/>
      <c r="B1062" s="207"/>
      <c r="C1062" s="207"/>
      <c r="D1062" s="1020"/>
      <c r="E1062" s="1020"/>
      <c r="F1062" s="1020"/>
      <c r="G1062" s="615"/>
      <c r="H1062" s="267"/>
      <c r="I1062" s="267"/>
    </row>
    <row r="1063" spans="1:9" ht="12.75">
      <c r="A1063" s="207"/>
      <c r="B1063" s="207"/>
      <c r="C1063" s="207"/>
      <c r="D1063" s="422"/>
      <c r="E1063" s="422"/>
      <c r="F1063" s="422"/>
      <c r="G1063" s="422"/>
      <c r="H1063" s="267"/>
      <c r="I1063" s="267"/>
    </row>
    <row r="1064" spans="1:9" ht="12.75" customHeight="1">
      <c r="A1064" s="207"/>
      <c r="B1064" s="207"/>
      <c r="C1064" s="207"/>
      <c r="D1064" s="1002" t="s">
        <v>1548</v>
      </c>
      <c r="E1064" s="1002"/>
      <c r="F1064" s="1002"/>
      <c r="G1064" s="422"/>
      <c r="H1064" s="267"/>
      <c r="I1064" s="267"/>
    </row>
    <row r="1065" spans="1:9" ht="12.75" customHeight="1">
      <c r="A1065" s="207"/>
      <c r="B1065" s="207"/>
      <c r="C1065" s="207"/>
      <c r="D1065" s="192"/>
      <c r="E1065" s="422"/>
      <c r="F1065" s="422"/>
      <c r="G1065" s="422"/>
      <c r="H1065" s="267"/>
      <c r="I1065" s="267"/>
    </row>
    <row r="1066" spans="1:9" ht="14.25">
      <c r="A1066" s="271"/>
      <c r="B1066" s="616" t="s">
        <v>132</v>
      </c>
      <c r="C1066" s="207"/>
      <c r="D1066" s="970" t="s">
        <v>2321</v>
      </c>
      <c r="E1066" s="976"/>
      <c r="F1066" s="976"/>
      <c r="G1066" s="188"/>
      <c r="H1066" s="267"/>
      <c r="I1066" s="267"/>
    </row>
    <row r="1067" spans="1:9" ht="12.75">
      <c r="A1067" s="207"/>
      <c r="B1067" s="207"/>
      <c r="C1067" s="207"/>
      <c r="D1067" s="976"/>
      <c r="E1067" s="976"/>
      <c r="F1067" s="976"/>
      <c r="G1067" s="188"/>
      <c r="H1067" s="267"/>
      <c r="I1067" s="267"/>
    </row>
    <row r="1068" spans="1:9" ht="12.75">
      <c r="A1068" s="207"/>
      <c r="B1068" s="207"/>
      <c r="C1068" s="207"/>
      <c r="D1068" s="976"/>
      <c r="E1068" s="976"/>
      <c r="F1068" s="976"/>
      <c r="G1068" s="188"/>
      <c r="H1068" s="267"/>
      <c r="I1068" s="267"/>
    </row>
    <row r="1069" spans="1:9" ht="12.75">
      <c r="A1069" s="207"/>
      <c r="B1069" s="207"/>
      <c r="C1069" s="207"/>
      <c r="D1069" s="976"/>
      <c r="E1069" s="976"/>
      <c r="F1069" s="976"/>
      <c r="G1069" s="188"/>
      <c r="H1069" s="267"/>
      <c r="I1069" s="267"/>
    </row>
    <row r="1070" spans="1:9" ht="12.75">
      <c r="A1070" s="207"/>
      <c r="B1070" s="207"/>
      <c r="C1070" s="207"/>
      <c r="D1070" s="188"/>
      <c r="E1070" s="188"/>
      <c r="F1070" s="188"/>
      <c r="G1070" s="188"/>
      <c r="H1070" s="267"/>
      <c r="I1070" s="267"/>
    </row>
    <row r="1071" spans="1:9" ht="14.25">
      <c r="A1071" s="271"/>
      <c r="B1071" s="616" t="s">
        <v>1438</v>
      </c>
      <c r="C1071" s="207"/>
      <c r="D1071" s="970" t="s">
        <v>2322</v>
      </c>
      <c r="E1071" s="976"/>
      <c r="F1071" s="976"/>
      <c r="G1071" s="188"/>
      <c r="H1071" s="267"/>
      <c r="I1071" s="267"/>
    </row>
    <row r="1072" spans="1:9" ht="12.75">
      <c r="A1072" s="207"/>
      <c r="B1072" s="207"/>
      <c r="C1072" s="207"/>
      <c r="D1072" s="976"/>
      <c r="E1072" s="976"/>
      <c r="F1072" s="976"/>
      <c r="G1072" s="188"/>
      <c r="H1072" s="267"/>
      <c r="I1072" s="267"/>
    </row>
    <row r="1073" spans="1:9" ht="12.75">
      <c r="A1073" s="207"/>
      <c r="B1073" s="207"/>
      <c r="C1073" s="207"/>
      <c r="D1073" s="976"/>
      <c r="E1073" s="976"/>
      <c r="F1073" s="976"/>
      <c r="G1073" s="188"/>
      <c r="H1073" s="267"/>
      <c r="I1073" s="267"/>
    </row>
    <row r="1074" spans="1:9" ht="12.75">
      <c r="A1074" s="207"/>
      <c r="B1074" s="207"/>
      <c r="C1074" s="207"/>
      <c r="D1074" s="976"/>
      <c r="E1074" s="976"/>
      <c r="F1074" s="976"/>
      <c r="G1074" s="188"/>
      <c r="H1074" s="267"/>
      <c r="I1074" s="267"/>
    </row>
    <row r="1075" spans="1:9" ht="12.75">
      <c r="A1075" s="207"/>
      <c r="B1075" s="207"/>
      <c r="C1075" s="207"/>
      <c r="D1075" s="188"/>
      <c r="E1075" s="188"/>
      <c r="F1075" s="188"/>
      <c r="G1075" s="188"/>
    </row>
    <row r="1076" spans="1:9" ht="12.75">
      <c r="A1076" s="207"/>
      <c r="B1076" s="616" t="s">
        <v>132</v>
      </c>
      <c r="C1076" s="207"/>
      <c r="D1076" s="1030" t="s">
        <v>1725</v>
      </c>
      <c r="E1076" s="1030"/>
      <c r="F1076" s="1030"/>
      <c r="G1076" s="188"/>
    </row>
    <row r="1077" spans="1:9" ht="12.75">
      <c r="A1077" s="207"/>
      <c r="B1077" s="207"/>
      <c r="C1077" s="207"/>
      <c r="D1077" s="1030"/>
      <c r="E1077" s="1030"/>
      <c r="F1077" s="1030"/>
      <c r="G1077" s="188"/>
    </row>
    <row r="1078" spans="1:9" ht="12.75">
      <c r="A1078" s="207"/>
      <c r="B1078" s="207"/>
      <c r="C1078" s="207"/>
      <c r="D1078" s="1030"/>
      <c r="E1078" s="1030"/>
      <c r="F1078" s="1030"/>
      <c r="G1078" s="188"/>
    </row>
    <row r="1079" spans="1:9" ht="12.75">
      <c r="A1079" s="207"/>
      <c r="B1079" s="207"/>
      <c r="C1079" s="207"/>
      <c r="D1079" s="188"/>
      <c r="E1079" s="188"/>
      <c r="F1079" s="188"/>
      <c r="G1079" s="188"/>
    </row>
    <row r="1080" spans="1:9" ht="14.25">
      <c r="A1080" s="271"/>
      <c r="B1080" s="616" t="s">
        <v>132</v>
      </c>
      <c r="C1080" s="433"/>
      <c r="D1080" s="1031" t="s">
        <v>2270</v>
      </c>
      <c r="E1080" s="1031"/>
      <c r="F1080" s="1031"/>
      <c r="G1080" s="453"/>
    </row>
    <row r="1081" spans="1:9" ht="12.75">
      <c r="A1081" s="433"/>
      <c r="B1081" s="433"/>
      <c r="C1081" s="433"/>
      <c r="D1081" s="1031"/>
      <c r="E1081" s="1031"/>
      <c r="F1081" s="1031"/>
      <c r="G1081" s="453"/>
    </row>
    <row r="1082" spans="1:9" ht="12.75">
      <c r="A1082" s="433"/>
      <c r="B1082" s="433"/>
      <c r="C1082" s="433"/>
      <c r="D1082" s="1031"/>
      <c r="E1082" s="1031"/>
      <c r="F1082" s="1031"/>
      <c r="G1082" s="453"/>
    </row>
    <row r="1083" spans="1:9" ht="12.75">
      <c r="A1083" s="207"/>
      <c r="B1083" s="207"/>
      <c r="C1083" s="207"/>
      <c r="D1083" s="188"/>
      <c r="E1083" s="188"/>
      <c r="F1083" s="188"/>
      <c r="G1083" s="188"/>
    </row>
    <row r="1084" spans="1:9" ht="12.75">
      <c r="C1084" s="207"/>
      <c r="D1084" s="1002" t="s">
        <v>1549</v>
      </c>
      <c r="E1084" s="1002"/>
      <c r="F1084" s="1002"/>
      <c r="G1084" s="188"/>
    </row>
    <row r="1085" spans="1:9" ht="12.75">
      <c r="C1085" s="207"/>
      <c r="D1085" s="192"/>
      <c r="E1085" s="188"/>
      <c r="F1085" s="188"/>
      <c r="G1085" s="188"/>
    </row>
    <row r="1086" spans="1:9" ht="12.75">
      <c r="A1086" s="207"/>
      <c r="B1086" s="616" t="s">
        <v>132</v>
      </c>
      <c r="C1086" s="207"/>
      <c r="D1086" s="976" t="s">
        <v>1726</v>
      </c>
      <c r="E1086" s="976"/>
      <c r="F1086" s="976"/>
      <c r="G1086" s="188"/>
    </row>
    <row r="1087" spans="1:9" ht="12.75">
      <c r="A1087" s="207"/>
      <c r="B1087" s="207"/>
      <c r="C1087" s="207"/>
      <c r="D1087" s="976"/>
      <c r="E1087" s="976"/>
      <c r="F1087" s="976"/>
      <c r="G1087" s="188"/>
    </row>
    <row r="1088" spans="1:9" ht="12.75">
      <c r="A1088" s="207"/>
      <c r="B1088" s="207"/>
      <c r="C1088" s="207"/>
      <c r="D1088" s="976"/>
      <c r="E1088" s="976"/>
      <c r="F1088" s="976"/>
      <c r="G1088" s="188"/>
    </row>
    <row r="1089" spans="1:7" ht="12.75">
      <c r="A1089" s="207"/>
      <c r="B1089" s="207"/>
      <c r="C1089" s="207"/>
      <c r="D1089" s="188"/>
      <c r="E1089" s="188"/>
      <c r="F1089" s="188"/>
      <c r="G1089" s="188"/>
    </row>
    <row r="1090" spans="1:7" ht="14.25">
      <c r="A1090" s="271"/>
      <c r="B1090" s="616" t="s">
        <v>132</v>
      </c>
      <c r="C1090" s="207"/>
      <c r="D1090" s="976" t="s">
        <v>1727</v>
      </c>
      <c r="E1090" s="976"/>
      <c r="F1090" s="976"/>
      <c r="G1090" s="188"/>
    </row>
    <row r="1091" spans="1:7" ht="12.75">
      <c r="A1091" s="207"/>
      <c r="B1091" s="207"/>
      <c r="C1091" s="207"/>
      <c r="D1091" s="976"/>
      <c r="E1091" s="976"/>
      <c r="F1091" s="976"/>
      <c r="G1091" s="188"/>
    </row>
    <row r="1092" spans="1:7" ht="12.75">
      <c r="A1092" s="207"/>
      <c r="B1092" s="207"/>
      <c r="C1092" s="207"/>
      <c r="D1092" s="976"/>
      <c r="E1092" s="976"/>
      <c r="F1092" s="976"/>
      <c r="G1092" s="188"/>
    </row>
    <row r="1093" spans="1:7" ht="12.75">
      <c r="A1093" s="207"/>
      <c r="B1093" s="207"/>
      <c r="C1093" s="207"/>
      <c r="D1093" s="188"/>
      <c r="E1093" s="188"/>
      <c r="F1093" s="188"/>
      <c r="G1093" s="188"/>
    </row>
    <row r="1094" spans="1:7" ht="12.75">
      <c r="A1094" s="207"/>
      <c r="B1094" s="207"/>
      <c r="C1094" s="207"/>
      <c r="D1094" s="1002" t="s">
        <v>1163</v>
      </c>
      <c r="E1094" s="1002"/>
      <c r="F1094" s="1002"/>
      <c r="G1094" s="188"/>
    </row>
    <row r="1095" spans="1:7" ht="12.75">
      <c r="A1095" s="207"/>
      <c r="B1095" s="207"/>
      <c r="C1095" s="207"/>
      <c r="D1095" s="996" t="s">
        <v>1550</v>
      </c>
      <c r="E1095" s="996"/>
      <c r="F1095" s="996"/>
      <c r="G1095" s="188"/>
    </row>
    <row r="1096" spans="1:7" ht="12.75">
      <c r="A1096" s="207"/>
      <c r="B1096" s="207"/>
      <c r="C1096" s="207"/>
      <c r="D1096" s="423"/>
      <c r="E1096" s="188"/>
      <c r="F1096" s="188"/>
      <c r="G1096" s="188"/>
    </row>
    <row r="1097" spans="1:7" ht="14.25">
      <c r="A1097" s="271"/>
      <c r="B1097" s="616" t="s">
        <v>132</v>
      </c>
      <c r="C1097" s="207"/>
      <c r="D1097" s="976" t="s">
        <v>1728</v>
      </c>
      <c r="E1097" s="976"/>
      <c r="F1097" s="976"/>
      <c r="G1097" s="188"/>
    </row>
    <row r="1098" spans="1:7" ht="12.75">
      <c r="A1098" s="207"/>
      <c r="B1098" s="207"/>
      <c r="C1098" s="207"/>
      <c r="D1098" s="976"/>
      <c r="E1098" s="976"/>
      <c r="F1098" s="976"/>
      <c r="G1098" s="188"/>
    </row>
    <row r="1099" spans="1:7" ht="12.75">
      <c r="A1099" s="207"/>
      <c r="B1099" s="207"/>
      <c r="C1099" s="207"/>
      <c r="D1099" s="188"/>
      <c r="E1099" s="188"/>
      <c r="F1099" s="188"/>
      <c r="G1099" s="188"/>
    </row>
    <row r="1100" spans="1:7" ht="14.25">
      <c r="A1100" s="271"/>
      <c r="B1100" s="616" t="s">
        <v>132</v>
      </c>
      <c r="C1100" s="207"/>
      <c r="D1100" s="976" t="s">
        <v>1729</v>
      </c>
      <c r="E1100" s="976"/>
      <c r="F1100" s="976"/>
      <c r="G1100" s="188"/>
    </row>
    <row r="1101" spans="1:7" ht="12.75">
      <c r="A1101" s="207"/>
      <c r="B1101" s="207"/>
      <c r="C1101" s="207"/>
      <c r="D1101" s="976"/>
      <c r="E1101" s="976"/>
      <c r="F1101" s="976"/>
      <c r="G1101" s="188"/>
    </row>
    <row r="1102" spans="1:7" ht="12.75">
      <c r="A1102" s="207"/>
      <c r="B1102" s="207"/>
      <c r="C1102" s="207"/>
      <c r="E1102" s="188"/>
      <c r="F1102" s="188"/>
      <c r="G1102" s="188"/>
    </row>
    <row r="1103" spans="1:7" ht="12.75">
      <c r="A1103" s="207"/>
      <c r="B1103" s="207"/>
      <c r="C1103" s="207"/>
      <c r="D1103" s="1002" t="s">
        <v>1551</v>
      </c>
      <c r="E1103" s="1002"/>
      <c r="F1103" s="1002"/>
      <c r="G1103" s="188"/>
    </row>
    <row r="1104" spans="1:7" ht="12.75">
      <c r="A1104" s="207"/>
      <c r="B1104" s="207"/>
      <c r="C1104" s="207"/>
      <c r="D1104" s="192"/>
      <c r="E1104" s="188"/>
      <c r="F1104" s="188"/>
      <c r="G1104" s="188"/>
    </row>
    <row r="1105" spans="1:7" ht="14.25">
      <c r="A1105" s="271"/>
      <c r="B1105" s="616" t="s">
        <v>132</v>
      </c>
      <c r="C1105" s="207"/>
      <c r="D1105" s="976" t="s">
        <v>1730</v>
      </c>
      <c r="E1105" s="976"/>
      <c r="F1105" s="976"/>
      <c r="G1105" s="188"/>
    </row>
    <row r="1106" spans="1:7" ht="12.75">
      <c r="A1106" s="207"/>
      <c r="B1106" s="207"/>
      <c r="C1106" s="207"/>
      <c r="D1106" s="976"/>
      <c r="E1106" s="976"/>
      <c r="F1106" s="976"/>
      <c r="G1106" s="188"/>
    </row>
    <row r="1107" spans="1:7" ht="12.75">
      <c r="A1107" s="207"/>
      <c r="B1107" s="207"/>
      <c r="C1107" s="207"/>
      <c r="D1107" s="976"/>
      <c r="E1107" s="976"/>
      <c r="F1107" s="976"/>
      <c r="G1107" s="188"/>
    </row>
    <row r="1108" spans="1:7" ht="12.75">
      <c r="A1108" s="207"/>
      <c r="B1108" s="207"/>
      <c r="C1108" s="207"/>
      <c r="D1108" s="976"/>
      <c r="E1108" s="976"/>
      <c r="F1108" s="976"/>
      <c r="G1108" s="188"/>
    </row>
    <row r="1109" spans="1:7" ht="12.75">
      <c r="A1109" s="207"/>
      <c r="B1109" s="207"/>
      <c r="C1109" s="207"/>
      <c r="D1109" s="976"/>
      <c r="E1109" s="976"/>
      <c r="F1109" s="976"/>
      <c r="G1109" s="188"/>
    </row>
    <row r="1110" spans="1:7" ht="12.75">
      <c r="A1110" s="207"/>
      <c r="B1110" s="207"/>
      <c r="C1110" s="207"/>
      <c r="D1110" s="976"/>
      <c r="E1110" s="976"/>
      <c r="F1110" s="976"/>
      <c r="G1110" s="188"/>
    </row>
    <row r="1111" spans="1:7" ht="12.75">
      <c r="A1111" s="207"/>
      <c r="B1111" s="207"/>
      <c r="C1111" s="207"/>
      <c r="D1111" s="976"/>
      <c r="E1111" s="976"/>
      <c r="F1111" s="976"/>
      <c r="G1111" s="188"/>
    </row>
    <row r="1112" spans="1:7" ht="12.75">
      <c r="A1112" s="207"/>
      <c r="B1112" s="207"/>
      <c r="C1112" s="207"/>
      <c r="D1112" s="188"/>
      <c r="E1112" s="188"/>
      <c r="F1112" s="188"/>
      <c r="G1112" s="188"/>
    </row>
    <row r="1113" spans="1:7" ht="14.25">
      <c r="A1113" s="271"/>
      <c r="B1113" s="616" t="s">
        <v>132</v>
      </c>
      <c r="C1113" s="207"/>
      <c r="D1113" s="976" t="s">
        <v>1731</v>
      </c>
      <c r="E1113" s="976"/>
      <c r="F1113" s="976"/>
      <c r="G1113" s="188"/>
    </row>
    <row r="1114" spans="1:7" ht="12.75">
      <c r="A1114" s="207"/>
      <c r="B1114" s="207"/>
      <c r="C1114" s="207"/>
      <c r="D1114" s="976"/>
      <c r="E1114" s="976"/>
      <c r="F1114" s="976"/>
      <c r="G1114" s="188"/>
    </row>
    <row r="1115" spans="1:7" ht="12.75">
      <c r="A1115" s="207"/>
      <c r="B1115" s="207"/>
      <c r="C1115" s="207"/>
      <c r="D1115" s="976"/>
      <c r="E1115" s="976"/>
      <c r="F1115" s="976"/>
      <c r="G1115" s="188"/>
    </row>
    <row r="1116" spans="1:7" ht="12.75">
      <c r="A1116" s="207"/>
      <c r="B1116" s="207"/>
      <c r="C1116" s="207"/>
      <c r="D1116" s="976"/>
      <c r="E1116" s="976"/>
      <c r="F1116" s="976"/>
      <c r="G1116" s="188"/>
    </row>
    <row r="1117" spans="1:7" ht="12.75">
      <c r="A1117" s="207"/>
      <c r="B1117" s="207"/>
      <c r="C1117" s="207"/>
      <c r="D1117" s="976"/>
      <c r="E1117" s="976"/>
      <c r="F1117" s="976"/>
      <c r="G1117" s="188"/>
    </row>
    <row r="1118" spans="1:7" ht="12.75">
      <c r="A1118" s="207"/>
      <c r="B1118" s="207"/>
      <c r="C1118" s="207"/>
      <c r="D1118" s="976"/>
      <c r="E1118" s="976"/>
      <c r="F1118" s="976"/>
      <c r="G1118" s="188"/>
    </row>
    <row r="1119" spans="1:7" ht="12.75">
      <c r="A1119" s="207"/>
      <c r="B1119" s="207"/>
      <c r="C1119" s="207"/>
      <c r="D1119" s="976"/>
      <c r="E1119" s="976"/>
      <c r="F1119" s="976"/>
      <c r="G1119" s="188"/>
    </row>
    <row r="1120" spans="1:7" ht="12.75">
      <c r="A1120" s="207"/>
      <c r="B1120" s="207"/>
      <c r="C1120" s="207"/>
      <c r="D1120" s="24"/>
      <c r="E1120" s="24"/>
      <c r="F1120" s="24"/>
      <c r="G1120" s="188"/>
    </row>
    <row r="1121" spans="1:7" ht="12.6" customHeight="1">
      <c r="A1121" s="207"/>
      <c r="B1121" s="616" t="s">
        <v>132</v>
      </c>
      <c r="C1121" s="207"/>
      <c r="D1121" s="1032" t="s">
        <v>1844</v>
      </c>
      <c r="E1121" s="1030"/>
      <c r="F1121" s="1030"/>
      <c r="G1121" s="188"/>
    </row>
    <row r="1122" spans="1:7" ht="12.6" customHeight="1">
      <c r="A1122" s="207"/>
      <c r="B1122" s="207"/>
      <c r="C1122" s="207"/>
      <c r="D1122" s="1030"/>
      <c r="E1122" s="1030"/>
      <c r="F1122" s="1030"/>
      <c r="G1122" s="188"/>
    </row>
    <row r="1123" spans="1:7" ht="12.75">
      <c r="A1123" s="207"/>
      <c r="B1123" s="207"/>
      <c r="C1123" s="207"/>
      <c r="D1123" s="1030"/>
      <c r="E1123" s="1030"/>
      <c r="F1123" s="1030"/>
      <c r="G1123" s="188"/>
    </row>
    <row r="1124" spans="1:7" ht="12.75">
      <c r="A1124" s="207"/>
      <c r="B1124" s="207"/>
      <c r="C1124" s="207"/>
      <c r="D1124" s="660"/>
      <c r="E1124" s="660"/>
      <c r="F1124" s="660"/>
      <c r="G1124" s="188"/>
    </row>
    <row r="1125" spans="1:7" ht="12.75">
      <c r="D1125" s="1002" t="s">
        <v>1552</v>
      </c>
      <c r="E1125" s="1002"/>
      <c r="F1125" s="1002"/>
    </row>
    <row r="1126" spans="1:7" ht="12.75">
      <c r="D1126" s="192"/>
    </row>
    <row r="1127" spans="1:7" ht="14.25">
      <c r="A1127" s="271"/>
      <c r="B1127" s="616" t="s">
        <v>132</v>
      </c>
      <c r="D1127" s="976" t="s">
        <v>1732</v>
      </c>
      <c r="E1127" s="976"/>
      <c r="F1127" s="976"/>
    </row>
    <row r="1128" spans="1:7" ht="12.75">
      <c r="D1128" s="976"/>
      <c r="E1128" s="976"/>
      <c r="F1128" s="976"/>
    </row>
    <row r="1129" spans="1:7" ht="12.75"/>
    <row r="1130" spans="1:7" ht="14.25">
      <c r="A1130" s="271"/>
      <c r="B1130" s="616" t="s">
        <v>132</v>
      </c>
      <c r="D1130" s="976" t="s">
        <v>1733</v>
      </c>
      <c r="E1130" s="976"/>
      <c r="F1130" s="976"/>
    </row>
    <row r="1131" spans="1:7" ht="12.75">
      <c r="D1131" s="976"/>
      <c r="E1131" s="976"/>
      <c r="F1131" s="976"/>
    </row>
    <row r="1132" spans="1:7" ht="12.75"/>
    <row r="1133" spans="1:7" ht="12.75">
      <c r="D1133" s="1002" t="s">
        <v>1553</v>
      </c>
      <c r="E1133" s="1002"/>
      <c r="F1133" s="1002"/>
    </row>
    <row r="1134" spans="1:7" ht="12.75">
      <c r="D1134" s="192"/>
    </row>
    <row r="1135" spans="1:7" ht="14.25">
      <c r="A1135" s="271"/>
      <c r="B1135" s="616" t="s">
        <v>132</v>
      </c>
      <c r="D1135" s="996" t="s">
        <v>1734</v>
      </c>
      <c r="E1135" s="996"/>
      <c r="F1135" s="996"/>
    </row>
    <row r="1136" spans="1:7" ht="12.75"/>
    <row r="1137" spans="1:7" ht="14.25">
      <c r="A1137" s="271"/>
      <c r="B1137" s="616" t="s">
        <v>132</v>
      </c>
      <c r="D1137" s="976" t="s">
        <v>1735</v>
      </c>
      <c r="E1137" s="976"/>
      <c r="F1137" s="976"/>
    </row>
    <row r="1138" spans="1:7" ht="14.25">
      <c r="A1138" s="271"/>
      <c r="B1138" s="271"/>
      <c r="D1138" s="976"/>
      <c r="E1138" s="976"/>
      <c r="F1138" s="976"/>
    </row>
    <row r="1139" spans="1:7" ht="14.25">
      <c r="A1139" s="271"/>
      <c r="B1139" s="271"/>
      <c r="D1139" s="24"/>
      <c r="E1139" s="24"/>
      <c r="F1139" s="24"/>
      <c r="G1139"/>
    </row>
    <row r="1140" spans="1:7" ht="12.75">
      <c r="D1140" s="1002" t="s">
        <v>1745</v>
      </c>
      <c r="E1140" s="1002"/>
      <c r="F1140" s="1002"/>
      <c r="G1140"/>
    </row>
    <row r="1141" spans="1:7" ht="12.75">
      <c r="D1141" s="192"/>
      <c r="G1141"/>
    </row>
    <row r="1142" spans="1:7" ht="14.45" customHeight="1">
      <c r="A1142" s="271"/>
      <c r="B1142" s="616" t="s">
        <v>132</v>
      </c>
      <c r="D1142" s="970" t="s">
        <v>2323</v>
      </c>
      <c r="E1142" s="976"/>
      <c r="F1142" s="976"/>
      <c r="G1142"/>
    </row>
    <row r="1143" spans="1:7" ht="14.25">
      <c r="A1143" s="271"/>
      <c r="B1143" s="271"/>
      <c r="D1143" s="976"/>
      <c r="E1143" s="976"/>
      <c r="F1143" s="976"/>
      <c r="G1143"/>
    </row>
    <row r="1144" spans="1:7" ht="14.25">
      <c r="A1144" s="271"/>
      <c r="B1144" s="271"/>
      <c r="D1144" s="976"/>
      <c r="E1144" s="976"/>
      <c r="F1144" s="976"/>
      <c r="G1144"/>
    </row>
    <row r="1145" spans="1:7" ht="14.25">
      <c r="A1145" s="271"/>
      <c r="B1145" s="271"/>
      <c r="D1145" s="976"/>
      <c r="E1145" s="976"/>
      <c r="F1145" s="976"/>
      <c r="G1145"/>
    </row>
    <row r="1146" spans="1:7" ht="14.25">
      <c r="A1146" s="271"/>
      <c r="B1146" s="271"/>
      <c r="D1146" s="976"/>
      <c r="E1146" s="976"/>
      <c r="F1146" s="976"/>
      <c r="G1146"/>
    </row>
    <row r="1147" spans="1:7" ht="14.25">
      <c r="A1147" s="271"/>
      <c r="B1147" s="271"/>
      <c r="D1147" s="976"/>
      <c r="E1147" s="976"/>
      <c r="F1147" s="976"/>
      <c r="G1147"/>
    </row>
    <row r="1148" spans="1:7" ht="14.25">
      <c r="A1148" s="271"/>
      <c r="B1148" s="271"/>
      <c r="D1148" s="976"/>
      <c r="E1148" s="976"/>
      <c r="F1148" s="976"/>
      <c r="G1148"/>
    </row>
    <row r="1149" spans="1:7" ht="14.25">
      <c r="A1149" s="271"/>
      <c r="B1149" s="271"/>
      <c r="D1149" s="976"/>
      <c r="E1149" s="976"/>
      <c r="F1149" s="976"/>
      <c r="G1149"/>
    </row>
    <row r="1150" spans="1:7" ht="14.25">
      <c r="A1150" s="271"/>
      <c r="B1150" s="271"/>
      <c r="D1150" s="976"/>
      <c r="E1150" s="976"/>
      <c r="F1150" s="976"/>
      <c r="G1150"/>
    </row>
    <row r="1151" spans="1:7" ht="14.25">
      <c r="A1151" s="271"/>
      <c r="B1151" s="271"/>
      <c r="D1151" s="976"/>
      <c r="E1151" s="976"/>
      <c r="F1151" s="976"/>
      <c r="G1151"/>
    </row>
    <row r="1152" spans="1:7" ht="14.25">
      <c r="A1152" s="271"/>
      <c r="B1152" s="271"/>
      <c r="D1152" s="976"/>
      <c r="E1152" s="976"/>
      <c r="F1152" s="976"/>
      <c r="G1152"/>
    </row>
    <row r="1153" spans="1:7" ht="14.25">
      <c r="A1153" s="271"/>
      <c r="B1153" s="271"/>
      <c r="D1153" s="976"/>
      <c r="E1153" s="976"/>
      <c r="F1153" s="976"/>
      <c r="G1153"/>
    </row>
    <row r="1154" spans="1:7" ht="14.25">
      <c r="A1154" s="271"/>
      <c r="B1154" s="271"/>
      <c r="D1154" s="976"/>
      <c r="E1154" s="976"/>
      <c r="F1154" s="976"/>
      <c r="G1154"/>
    </row>
    <row r="1155" spans="1:7" ht="38.25" customHeight="1">
      <c r="A1155" s="271"/>
      <c r="B1155" s="271"/>
      <c r="D1155" s="976"/>
      <c r="E1155" s="976"/>
      <c r="F1155" s="976"/>
    </row>
    <row r="1156" spans="1:7" ht="12.75"/>
    <row r="1157" spans="1:7" ht="12.75">
      <c r="A1157" s="1001" t="s">
        <v>1466</v>
      </c>
      <c r="B1157" s="1001"/>
      <c r="C1157" s="1001"/>
      <c r="D1157" s="1001"/>
      <c r="E1157" s="1001"/>
      <c r="F1157" s="1001"/>
      <c r="G1157" s="1001"/>
    </row>
    <row r="1158" spans="1:7" ht="12.75">
      <c r="A1158" s="44"/>
      <c r="B1158" s="44"/>
    </row>
    <row r="1159" spans="1:7" ht="12.75">
      <c r="C1159" s="207"/>
      <c r="D1159" s="1002" t="s">
        <v>1736</v>
      </c>
      <c r="E1159" s="1002"/>
      <c r="F1159" s="1002"/>
    </row>
    <row r="1160" spans="1:7" ht="12.75">
      <c r="A1160" s="190"/>
      <c r="B1160" s="190"/>
      <c r="C1160" s="190"/>
      <c r="D1160" s="995" t="s">
        <v>1557</v>
      </c>
      <c r="E1160" s="996"/>
      <c r="F1160" s="996"/>
    </row>
    <row r="1161" spans="1:7" ht="12.75">
      <c r="A1161" s="190"/>
      <c r="B1161" s="190"/>
      <c r="C1161" s="190"/>
      <c r="F1161" s="188"/>
      <c r="G1161"/>
    </row>
    <row r="1162" spans="1:7" ht="13.7" customHeight="1">
      <c r="B1162" s="616" t="s">
        <v>1438</v>
      </c>
      <c r="D1162" s="993" t="s">
        <v>2188</v>
      </c>
      <c r="E1162" s="993"/>
      <c r="F1162" s="993"/>
      <c r="G1162"/>
    </row>
    <row r="1163" spans="1:7" ht="12.75">
      <c r="D1163" s="993"/>
      <c r="E1163" s="993"/>
      <c r="F1163" s="993"/>
      <c r="G1163"/>
    </row>
    <row r="1164" spans="1:7" ht="12.75">
      <c r="D1164" s="15"/>
      <c r="E1164" s="934" t="s">
        <v>2189</v>
      </c>
      <c r="F1164" s="15"/>
      <c r="G1164"/>
    </row>
    <row r="1165" spans="1:7" ht="12.75">
      <c r="D1165" s="15"/>
      <c r="E1165" s="15"/>
      <c r="F1165" s="15"/>
      <c r="G1165"/>
    </row>
    <row r="1166" spans="1:7" ht="12.75">
      <c r="D1166" s="990" t="s">
        <v>2187</v>
      </c>
      <c r="E1166" s="990"/>
      <c r="F1166" s="990"/>
      <c r="G1166"/>
    </row>
    <row r="1167" spans="1:7" ht="12.75">
      <c r="A1167" s="191"/>
      <c r="B1167" s="191"/>
      <c r="C1167" s="191"/>
      <c r="D1167" s="990"/>
      <c r="E1167" s="990"/>
      <c r="F1167" s="990"/>
      <c r="G1167"/>
    </row>
    <row r="1168" spans="1:7" ht="14.45" customHeight="1">
      <c r="A1168" s="191"/>
      <c r="B1168" s="191"/>
      <c r="C1168" s="191"/>
      <c r="D1168" s="990"/>
      <c r="E1168" s="990"/>
      <c r="F1168" s="990"/>
      <c r="G1168"/>
    </row>
    <row r="1169" spans="1:7" ht="12.75">
      <c r="A1169" s="191"/>
      <c r="B1169" s="191"/>
      <c r="C1169" s="191"/>
      <c r="D1169" s="106"/>
      <c r="E1169" s="106"/>
      <c r="F1169" s="106"/>
      <c r="G1169"/>
    </row>
    <row r="1170" spans="1:7" ht="12.75">
      <c r="A1170" s="191"/>
      <c r="B1170" s="616" t="s">
        <v>1438</v>
      </c>
      <c r="C1170" s="191"/>
      <c r="D1170" s="976" t="s">
        <v>1746</v>
      </c>
      <c r="E1170" s="976"/>
      <c r="F1170" s="976"/>
      <c r="G1170"/>
    </row>
    <row r="1171" spans="1:7" ht="12.75">
      <c r="A1171" s="191"/>
      <c r="B1171" s="191"/>
      <c r="C1171" s="191"/>
      <c r="D1171" s="976"/>
      <c r="E1171" s="976"/>
      <c r="F1171" s="976"/>
      <c r="G1171"/>
    </row>
    <row r="1172" spans="1:7" ht="12.75">
      <c r="A1172" s="191"/>
      <c r="B1172" s="191"/>
      <c r="C1172" s="191"/>
      <c r="D1172" s="976"/>
      <c r="E1172" s="976"/>
      <c r="F1172" s="976"/>
      <c r="G1172"/>
    </row>
    <row r="1173" spans="1:7" ht="12.75">
      <c r="A1173" s="191"/>
      <c r="B1173" s="191"/>
      <c r="C1173" s="191"/>
      <c r="D1173" s="976"/>
      <c r="E1173" s="976"/>
      <c r="F1173" s="976"/>
      <c r="G1173"/>
    </row>
    <row r="1174" spans="1:7" ht="12.75">
      <c r="A1174" s="191"/>
      <c r="B1174" s="191"/>
      <c r="C1174" s="191"/>
      <c r="D1174" s="24"/>
      <c r="E1174" s="24"/>
      <c r="F1174" s="24"/>
      <c r="G1174"/>
    </row>
    <row r="1175" spans="1:7" ht="12.75">
      <c r="A1175" s="191"/>
      <c r="B1175" s="616" t="s">
        <v>132</v>
      </c>
      <c r="C1175" s="191"/>
      <c r="D1175" s="970" t="s">
        <v>1827</v>
      </c>
      <c r="E1175" s="976"/>
      <c r="F1175" s="976"/>
      <c r="G1175"/>
    </row>
    <row r="1176" spans="1:7" ht="12.75">
      <c r="A1176" s="191"/>
      <c r="B1176" s="191"/>
      <c r="C1176" s="191"/>
      <c r="D1176" s="976"/>
      <c r="E1176" s="976"/>
      <c r="F1176" s="976"/>
      <c r="G1176"/>
    </row>
    <row r="1177" spans="1:7" ht="12.75">
      <c r="A1177" s="191"/>
      <c r="B1177" s="191"/>
      <c r="C1177" s="191"/>
      <c r="D1177" s="24"/>
      <c r="E1177" s="24"/>
      <c r="F1177" s="24"/>
      <c r="G1177"/>
    </row>
    <row r="1178" spans="1:7" ht="14.25">
      <c r="A1178" s="271"/>
      <c r="B1178" s="616" t="s">
        <v>1438</v>
      </c>
      <c r="D1178" s="996" t="s">
        <v>1737</v>
      </c>
      <c r="E1178" s="996"/>
      <c r="F1178" s="996"/>
      <c r="G1178"/>
    </row>
    <row r="1179" spans="1:7" ht="12.75">
      <c r="G1179"/>
    </row>
    <row r="1180" spans="1:7" ht="14.25">
      <c r="A1180" s="271"/>
      <c r="B1180" s="616" t="s">
        <v>132</v>
      </c>
      <c r="D1180" s="996" t="s">
        <v>1738</v>
      </c>
      <c r="E1180" s="996"/>
      <c r="F1180" s="996"/>
      <c r="G1180"/>
    </row>
    <row r="1181" spans="1:7" ht="12.75">
      <c r="D1181" s="44"/>
      <c r="G1181"/>
    </row>
    <row r="1182" spans="1:7" ht="14.25">
      <c r="A1182" s="271"/>
      <c r="B1182" s="616" t="s">
        <v>1438</v>
      </c>
      <c r="D1182" s="996" t="s">
        <v>1739</v>
      </c>
      <c r="E1182" s="996"/>
      <c r="F1182" s="996"/>
      <c r="G1182"/>
    </row>
    <row r="1183" spans="1:7" ht="12.75">
      <c r="D1183" s="44"/>
      <c r="G1183"/>
    </row>
    <row r="1184" spans="1:7" ht="14.25">
      <c r="A1184" s="271"/>
      <c r="B1184" s="616" t="s">
        <v>132</v>
      </c>
      <c r="D1184" s="976" t="s">
        <v>1740</v>
      </c>
      <c r="E1184" s="976"/>
      <c r="F1184" s="976"/>
      <c r="G1184"/>
    </row>
    <row r="1185" spans="1:7" ht="14.25">
      <c r="A1185" s="271"/>
      <c r="B1185" s="271"/>
      <c r="D1185" s="976"/>
      <c r="E1185" s="976"/>
      <c r="F1185" s="976"/>
      <c r="G1185"/>
    </row>
    <row r="1186" spans="1:7" ht="14.25">
      <c r="A1186" s="271"/>
      <c r="B1186" s="271"/>
      <c r="D1186" s="44"/>
    </row>
    <row r="1187" spans="1:7" s="452" customFormat="1" ht="14.25">
      <c r="A1187" s="289"/>
      <c r="B1187" s="616" t="s">
        <v>132</v>
      </c>
      <c r="C1187" s="290"/>
      <c r="D1187" s="1022" t="s">
        <v>1741</v>
      </c>
      <c r="E1187" s="1022"/>
      <c r="F1187" s="1022"/>
      <c r="G1187" s="292"/>
    </row>
    <row r="1188" spans="1:7" s="452" customFormat="1" ht="12.75">
      <c r="A1188" s="290"/>
      <c r="B1188" s="290"/>
      <c r="C1188" s="290"/>
      <c r="D1188" s="1022"/>
      <c r="E1188" s="1022"/>
      <c r="F1188" s="1022"/>
      <c r="G1188" s="292"/>
    </row>
    <row r="1189" spans="1:7" s="452" customFormat="1" ht="12.75">
      <c r="A1189" s="290"/>
      <c r="B1189" s="290"/>
      <c r="C1189" s="290"/>
      <c r="D1189" s="291"/>
      <c r="E1189" s="292"/>
      <c r="F1189" s="292"/>
      <c r="G1189" s="292"/>
    </row>
    <row r="1190" spans="1:7" s="452" customFormat="1" ht="14.25">
      <c r="A1190" s="289"/>
      <c r="B1190" s="616" t="s">
        <v>132</v>
      </c>
      <c r="C1190" s="290"/>
      <c r="D1190" s="1029" t="s">
        <v>1742</v>
      </c>
      <c r="E1190" s="1029"/>
      <c r="F1190" s="1029"/>
      <c r="G1190" s="292"/>
    </row>
    <row r="1191" spans="1:7" s="452" customFormat="1" ht="12.75">
      <c r="A1191" s="290"/>
      <c r="B1191" s="290"/>
      <c r="C1191" s="290"/>
      <c r="D1191" s="291"/>
      <c r="E1191" s="292"/>
      <c r="F1191" s="292"/>
      <c r="G1191" s="292"/>
    </row>
    <row r="1192" spans="1:7" ht="14.25">
      <c r="A1192" s="271"/>
      <c r="B1192" s="616" t="s">
        <v>132</v>
      </c>
      <c r="D1192" s="996" t="s">
        <v>1743</v>
      </c>
      <c r="E1192" s="996"/>
      <c r="F1192" s="996"/>
    </row>
    <row r="1193" spans="1:7" ht="14.25">
      <c r="A1193" s="271"/>
      <c r="B1193" s="271"/>
      <c r="D1193" s="44"/>
    </row>
    <row r="1194" spans="1:7" ht="14.25">
      <c r="A1194" s="271"/>
      <c r="B1194" s="616" t="s">
        <v>1438</v>
      </c>
      <c r="D1194" s="976" t="s">
        <v>1744</v>
      </c>
      <c r="E1194" s="976"/>
      <c r="F1194" s="976"/>
    </row>
    <row r="1195" spans="1:7" ht="14.25">
      <c r="A1195" s="271"/>
      <c r="B1195" s="271"/>
      <c r="D1195" s="976"/>
      <c r="E1195" s="976"/>
      <c r="F1195" s="976"/>
    </row>
    <row r="1196" spans="1:7" ht="12.75"/>
    <row r="1197" spans="1:7" ht="12.75">
      <c r="A1197" s="1001" t="s">
        <v>2105</v>
      </c>
      <c r="B1197" s="1001"/>
      <c r="C1197" s="1001"/>
      <c r="D1197" s="1001"/>
      <c r="E1197" s="1001"/>
      <c r="F1197" s="1001"/>
      <c r="G1197" s="1001"/>
    </row>
    <row r="1198" spans="1:7" ht="12.75"/>
    <row r="1199" spans="1:7" ht="12.75">
      <c r="A1199" s="1001" t="s">
        <v>1467</v>
      </c>
      <c r="B1199" s="1001"/>
      <c r="C1199" s="1001"/>
      <c r="D1199" s="1001"/>
      <c r="E1199" s="1001"/>
      <c r="F1199" s="1001"/>
      <c r="G1199" s="1001"/>
    </row>
    <row r="1200" spans="1:7" ht="12.75"/>
    <row r="1201" spans="1:7" ht="12.75">
      <c r="D1201" s="1027" t="s">
        <v>1577</v>
      </c>
      <c r="E1201" s="1027"/>
      <c r="F1201" s="1027"/>
    </row>
    <row r="1202" spans="1:7" ht="12.75">
      <c r="D1202" s="1028" t="s">
        <v>2006</v>
      </c>
      <c r="E1202" s="1028"/>
      <c r="F1202" s="1028"/>
    </row>
    <row r="1203" spans="1:7" ht="12.75">
      <c r="A1203" s="190"/>
      <c r="B1203" s="190"/>
      <c r="C1203" s="190"/>
    </row>
    <row r="1204" spans="1:7" ht="14.25">
      <c r="A1204" s="271"/>
      <c r="B1204" s="271"/>
      <c r="C1204" s="191"/>
      <c r="D1204" s="1027" t="s">
        <v>1578</v>
      </c>
      <c r="E1204" s="1027"/>
      <c r="F1204" s="1027"/>
    </row>
    <row r="1205" spans="1:7" ht="12.75">
      <c r="B1205" s="616" t="s">
        <v>1438</v>
      </c>
      <c r="D1205" s="1029" t="s">
        <v>1579</v>
      </c>
      <c r="E1205" s="1029"/>
      <c r="F1205" s="1029"/>
    </row>
    <row r="1206" spans="1:7" ht="12.75">
      <c r="D1206" s="1028" t="s">
        <v>2007</v>
      </c>
      <c r="E1206" s="1028"/>
      <c r="F1206" s="1028"/>
    </row>
    <row r="1207" spans="1:7" ht="12.75">
      <c r="G1207"/>
    </row>
    <row r="1208" spans="1:7" ht="12.75" customHeight="1">
      <c r="B1208" s="616" t="s">
        <v>1438</v>
      </c>
      <c r="D1208" s="1009" t="s">
        <v>1908</v>
      </c>
      <c r="E1208" s="1009"/>
      <c r="F1208" s="1009"/>
      <c r="G1208"/>
    </row>
    <row r="1209" spans="1:7" ht="12.75">
      <c r="D1209" s="1009"/>
      <c r="E1209" s="1009"/>
      <c r="F1209" s="1009"/>
      <c r="G1209"/>
    </row>
    <row r="1210" spans="1:7" ht="12.75">
      <c r="G1210"/>
    </row>
    <row r="1211" spans="1:7" ht="12.75" customHeight="1"/>
    <row r="1212" spans="1:7" ht="12.75">
      <c r="A1212" s="1001" t="s">
        <v>1469</v>
      </c>
      <c r="B1212" s="1001"/>
      <c r="C1212" s="1001"/>
      <c r="D1212" s="1001"/>
      <c r="E1212" s="1001"/>
      <c r="F1212" s="1001"/>
      <c r="G1212" s="1001"/>
    </row>
    <row r="1213" spans="1:7" ht="12.75">
      <c r="A1213" s="44"/>
      <c r="B1213" s="44"/>
    </row>
    <row r="1214" spans="1:7" ht="12.75" customHeight="1">
      <c r="A1214" s="44"/>
      <c r="B1214" s="44"/>
      <c r="D1214" s="1002" t="s">
        <v>1468</v>
      </c>
      <c r="E1214" s="1002"/>
      <c r="F1214" s="1002"/>
    </row>
    <row r="1215" spans="1:7" ht="12.75" customHeight="1">
      <c r="A1215" s="44"/>
      <c r="B1215" s="44"/>
      <c r="D1215" s="996" t="s">
        <v>1475</v>
      </c>
      <c r="E1215" s="996"/>
      <c r="F1215" s="996"/>
    </row>
    <row r="1216" spans="1:7" ht="12.75" customHeight="1">
      <c r="A1216" s="44"/>
      <c r="B1216" s="44"/>
    </row>
    <row r="1217" spans="1:7" ht="14.25">
      <c r="A1217" s="271"/>
      <c r="B1217" s="616" t="s">
        <v>132</v>
      </c>
      <c r="D1217" s="1000" t="s">
        <v>1057</v>
      </c>
      <c r="E1217" s="1000"/>
      <c r="F1217" s="1000"/>
    </row>
    <row r="1218" spans="1:7" ht="12.75">
      <c r="D1218" s="996" t="s">
        <v>1180</v>
      </c>
      <c r="E1218" s="996"/>
      <c r="F1218" s="996"/>
    </row>
    <row r="1219" spans="1:7" ht="12.75">
      <c r="E1219" s="1013" t="s">
        <v>2190</v>
      </c>
      <c r="F1219" s="1013"/>
    </row>
    <row r="1220" spans="1:7" ht="12.75">
      <c r="D1220" s="3"/>
    </row>
    <row r="1221" spans="1:7" ht="12.75">
      <c r="D1221" s="1026" t="s">
        <v>1324</v>
      </c>
      <c r="E1221" s="1026"/>
      <c r="F1221" s="1026"/>
    </row>
    <row r="1222" spans="1:7" ht="12.75">
      <c r="B1222" s="616" t="s">
        <v>132</v>
      </c>
      <c r="D1222" s="970" t="s">
        <v>2191</v>
      </c>
      <c r="E1222" s="976"/>
      <c r="F1222" s="976"/>
      <c r="G1222"/>
    </row>
    <row r="1223" spans="1:7" ht="12.75">
      <c r="D1223" s="976"/>
      <c r="E1223" s="976"/>
      <c r="F1223" s="976"/>
      <c r="G1223"/>
    </row>
    <row r="1224" spans="1:7" ht="12.75">
      <c r="D1224" s="508" t="s">
        <v>1327</v>
      </c>
      <c r="E1224"/>
      <c r="F1224"/>
      <c r="G1224"/>
    </row>
    <row r="1225" spans="1:7" ht="13.7" customHeight="1">
      <c r="D1225" s="970" t="s">
        <v>2192</v>
      </c>
      <c r="E1225" s="976"/>
      <c r="F1225" s="976"/>
      <c r="G1225"/>
    </row>
    <row r="1226" spans="1:7" ht="12.75">
      <c r="D1226" s="976"/>
      <c r="E1226" s="976"/>
      <c r="F1226" s="976"/>
      <c r="G1226"/>
    </row>
    <row r="1227" spans="1:7" ht="12.75">
      <c r="D1227" s="976"/>
      <c r="E1227" s="976"/>
      <c r="F1227" s="976"/>
      <c r="G1227"/>
    </row>
    <row r="1228" spans="1:7" ht="12.75">
      <c r="D1228" s="976"/>
      <c r="E1228" s="976"/>
      <c r="F1228" s="976"/>
      <c r="G1228"/>
    </row>
    <row r="1229" spans="1:7" ht="12.75">
      <c r="D1229" s="1013" t="s">
        <v>1060</v>
      </c>
      <c r="E1229" s="1013"/>
      <c r="F1229" s="1013"/>
      <c r="G1229"/>
    </row>
    <row r="1230" spans="1:7" ht="12.75">
      <c r="B1230" s="616" t="s">
        <v>132</v>
      </c>
      <c r="D1230" s="1000" t="s">
        <v>1325</v>
      </c>
      <c r="E1230" s="1000"/>
      <c r="F1230" s="1000"/>
      <c r="G1230"/>
    </row>
    <row r="1231" spans="1:7" ht="12.75">
      <c r="E1231"/>
      <c r="F1231"/>
      <c r="G1231"/>
    </row>
    <row r="1232" spans="1:7" ht="12.75">
      <c r="D1232" s="1008" t="s">
        <v>1326</v>
      </c>
      <c r="E1232" s="1008"/>
      <c r="F1232" s="1008"/>
      <c r="G1232"/>
    </row>
    <row r="1233" spans="1:7" ht="12.75">
      <c r="D1233" s="3" t="s">
        <v>1058</v>
      </c>
      <c r="E1233"/>
      <c r="F1233"/>
      <c r="G1233"/>
    </row>
    <row r="1234" spans="1:7" ht="14.45" customHeight="1">
      <c r="A1234" s="271"/>
      <c r="B1234" s="616" t="s">
        <v>132</v>
      </c>
      <c r="D1234" s="976" t="s">
        <v>1580</v>
      </c>
      <c r="E1234" s="976"/>
      <c r="F1234" s="976"/>
      <c r="G1234"/>
    </row>
    <row r="1235" spans="1:7" ht="14.25">
      <c r="A1235" s="271"/>
      <c r="B1235" s="271"/>
      <c r="D1235" s="976"/>
      <c r="E1235" s="976"/>
      <c r="F1235" s="976"/>
      <c r="G1235"/>
    </row>
    <row r="1236" spans="1:7" ht="14.25">
      <c r="A1236" s="271"/>
      <c r="B1236" s="271"/>
      <c r="D1236" s="976"/>
      <c r="E1236" s="976"/>
      <c r="F1236" s="976"/>
      <c r="G1236"/>
    </row>
    <row r="1237" spans="1:7" ht="14.25">
      <c r="A1237" s="271"/>
      <c r="B1237" s="271"/>
      <c r="E1237"/>
      <c r="F1237"/>
      <c r="G1237"/>
    </row>
    <row r="1238" spans="1:7" ht="14.25">
      <c r="A1238" s="271"/>
      <c r="B1238" s="271"/>
      <c r="D1238" s="423" t="s">
        <v>1178</v>
      </c>
      <c r="E1238" s="423"/>
      <c r="F1238" s="423"/>
    </row>
    <row r="1239" spans="1:7" ht="14.25">
      <c r="A1239" s="271"/>
      <c r="B1239" s="616" t="s">
        <v>132</v>
      </c>
      <c r="D1239" s="976" t="s">
        <v>1581</v>
      </c>
      <c r="E1239" s="976"/>
      <c r="F1239" s="976"/>
    </row>
    <row r="1240" spans="1:7" ht="14.25">
      <c r="A1240" s="271"/>
      <c r="B1240" s="271"/>
      <c r="D1240" s="976"/>
      <c r="E1240" s="976"/>
      <c r="F1240" s="976"/>
    </row>
    <row r="1241" spans="1:7" ht="14.25">
      <c r="A1241" s="271"/>
      <c r="B1241" s="271"/>
      <c r="D1241" s="976"/>
      <c r="E1241" s="976"/>
      <c r="F1241" s="976"/>
    </row>
    <row r="1242" spans="1:7" ht="14.25">
      <c r="A1242" s="271"/>
      <c r="B1242" s="271"/>
      <c r="D1242" s="976"/>
      <c r="E1242" s="976"/>
      <c r="F1242" s="976"/>
    </row>
    <row r="1243" spans="1:7" ht="14.25">
      <c r="A1243" s="271"/>
      <c r="B1243" s="271"/>
      <c r="D1243" s="976"/>
      <c r="E1243" s="976"/>
      <c r="F1243" s="976"/>
    </row>
    <row r="1244" spans="1:7" ht="12.75" customHeight="1">
      <c r="A1244" s="44"/>
      <c r="B1244" s="44"/>
    </row>
    <row r="1245" spans="1:7" ht="12.75">
      <c r="A1245" s="1001" t="s">
        <v>1503</v>
      </c>
      <c r="B1245" s="1001"/>
      <c r="C1245" s="1001"/>
      <c r="D1245" s="1001"/>
      <c r="E1245" s="1001"/>
      <c r="F1245" s="1001"/>
      <c r="G1245" s="1001"/>
    </row>
    <row r="1246" spans="1:7" ht="12.75">
      <c r="A1246" s="44"/>
      <c r="B1246" s="44"/>
    </row>
    <row r="1247" spans="1:7" ht="12.75">
      <c r="A1247" s="44"/>
      <c r="B1247" s="44"/>
      <c r="D1247" s="1010" t="s">
        <v>1504</v>
      </c>
      <c r="E1247" s="1010"/>
      <c r="F1247" s="1010"/>
    </row>
    <row r="1248" spans="1:7" ht="12.75">
      <c r="A1248" s="268"/>
      <c r="B1248" s="268"/>
      <c r="C1248" s="268"/>
      <c r="D1248" s="1000" t="s">
        <v>1517</v>
      </c>
      <c r="E1248" s="1000"/>
      <c r="F1248" s="1000"/>
      <c r="G1248" s="269"/>
    </row>
    <row r="1249" spans="1:7" ht="10.5" customHeight="1"/>
    <row r="1250" spans="1:7" ht="14.25">
      <c r="A1250" s="271"/>
      <c r="B1250" s="616" t="s">
        <v>132</v>
      </c>
      <c r="D1250" s="1000" t="s">
        <v>1181</v>
      </c>
      <c r="E1250" s="1000"/>
      <c r="F1250" s="1000"/>
    </row>
    <row r="1251" spans="1:7" ht="12.75">
      <c r="E1251" s="1013" t="s">
        <v>2193</v>
      </c>
      <c r="F1251" s="1013"/>
    </row>
    <row r="1252" spans="1:7" ht="12.75">
      <c r="D1252" s="104"/>
      <c r="E1252" s="104"/>
      <c r="F1252" s="104"/>
    </row>
    <row r="1253" spans="1:7" ht="13.7" customHeight="1"/>
    <row r="1254" spans="1:7" ht="13.7" customHeight="1"/>
    <row r="1255" spans="1:7" ht="13.7" customHeight="1"/>
    <row r="1256" spans="1:7" ht="13.7" customHeight="1"/>
    <row r="1257" spans="1:7" ht="13.7" customHeight="1"/>
    <row r="1258" spans="1:7" ht="13.7" customHeight="1"/>
    <row r="1259" spans="1:7" ht="13.7" customHeight="1"/>
    <row r="1260" spans="1:7" ht="13.7" customHeight="1">
      <c r="A1260"/>
      <c r="B1260"/>
      <c r="C1260"/>
      <c r="D1260"/>
      <c r="E1260"/>
      <c r="F1260"/>
      <c r="G1260"/>
    </row>
    <row r="1261" spans="1:7" ht="13.7" customHeight="1">
      <c r="A1261"/>
      <c r="B1261"/>
      <c r="C1261"/>
      <c r="D1261"/>
      <c r="E1261"/>
      <c r="F1261"/>
      <c r="G1261"/>
    </row>
    <row r="1262" spans="1:7" ht="13.7" customHeight="1">
      <c r="A1262"/>
      <c r="B1262"/>
      <c r="C1262"/>
      <c r="D1262"/>
      <c r="E1262"/>
      <c r="F1262"/>
      <c r="G1262"/>
    </row>
    <row r="1263" spans="1:7" ht="13.7" customHeight="1">
      <c r="A1263"/>
      <c r="B1263"/>
      <c r="C1263"/>
      <c r="D1263"/>
      <c r="E1263"/>
      <c r="F1263"/>
      <c r="G1263"/>
    </row>
    <row r="1264" spans="1:7" ht="13.7" customHeight="1">
      <c r="A1264"/>
      <c r="B1264"/>
      <c r="C1264"/>
      <c r="D1264"/>
      <c r="E1264"/>
      <c r="F1264"/>
      <c r="G1264"/>
    </row>
    <row r="1265" customFormat="1" ht="13.7" customHeight="1"/>
    <row r="1266" customFormat="1" ht="13.7" customHeight="1"/>
    <row r="1267" customFormat="1" ht="13.7" customHeight="1"/>
    <row r="1268" customFormat="1" ht="13.7" customHeight="1"/>
    <row r="1269" customFormat="1" ht="13.7" customHeight="1"/>
    <row r="1270" customFormat="1" ht="13.7" customHeight="1"/>
    <row r="1271" customFormat="1" ht="13.7" customHeight="1"/>
    <row r="1272" customFormat="1" ht="13.7" customHeight="1"/>
    <row r="1273" customFormat="1" ht="13.7" customHeight="1"/>
    <row r="1274" customFormat="1" ht="13.7" customHeight="1"/>
    <row r="1275" customFormat="1" ht="13.7" customHeight="1"/>
    <row r="1276" customFormat="1" ht="13.7" customHeight="1"/>
    <row r="1277" customFormat="1" ht="13.7" customHeight="1"/>
    <row r="1278" customFormat="1" ht="13.7" customHeight="1"/>
    <row r="1279" customFormat="1" ht="13.7" customHeight="1"/>
    <row r="1280" customFormat="1" ht="13.7" customHeight="1"/>
    <row r="1281" spans="1:7" ht="13.7" customHeight="1">
      <c r="A1281"/>
      <c r="B1281"/>
      <c r="C1281"/>
      <c r="D1281"/>
      <c r="E1281"/>
      <c r="F1281"/>
      <c r="G1281"/>
    </row>
    <row r="1282" spans="1:7" ht="13.7" customHeight="1">
      <c r="A1282"/>
      <c r="B1282"/>
      <c r="C1282"/>
      <c r="D1282"/>
      <c r="E1282"/>
      <c r="F1282"/>
      <c r="G1282"/>
    </row>
    <row r="1283" spans="1:7" ht="13.7" customHeight="1">
      <c r="A1283"/>
      <c r="B1283"/>
      <c r="C1283"/>
      <c r="D1283"/>
      <c r="E1283"/>
      <c r="F1283"/>
      <c r="G1283"/>
    </row>
    <row r="1284" spans="1:7" ht="13.7" customHeight="1">
      <c r="A1284"/>
      <c r="B1284"/>
      <c r="C1284"/>
      <c r="D1284"/>
      <c r="E1284"/>
      <c r="F1284"/>
      <c r="G1284"/>
    </row>
    <row r="1285" spans="1:7" ht="13.7" customHeight="1">
      <c r="A1285"/>
      <c r="B1285"/>
      <c r="C1285"/>
      <c r="D1285"/>
      <c r="E1285"/>
      <c r="F1285"/>
      <c r="G1285"/>
    </row>
    <row r="1286" spans="1:7" ht="13.7" customHeight="1">
      <c r="A1286"/>
      <c r="B1286"/>
      <c r="C1286"/>
      <c r="D1286"/>
      <c r="E1286"/>
      <c r="F1286"/>
      <c r="G1286"/>
    </row>
    <row r="1287" spans="1:7" ht="13.7" customHeight="1"/>
    <row r="1288" spans="1:7" ht="13.7" customHeight="1"/>
    <row r="1289" spans="1:7" ht="13.7" customHeight="1"/>
    <row r="1290" spans="1:7" ht="13.7" customHeight="1"/>
    <row r="1291" spans="1:7" ht="13.7" customHeight="1"/>
    <row r="1292" spans="1:7" ht="13.7" customHeight="1"/>
    <row r="1293" spans="1:7" ht="13.7" customHeight="1"/>
    <row r="1294" spans="1:7" ht="13.7" customHeight="1"/>
    <row r="1295" spans="1:7" ht="13.7" customHeight="1"/>
    <row r="1296" spans="1:7" ht="13.7" customHeight="1"/>
    <row r="1297" ht="13.7" customHeight="1"/>
    <row r="1298" ht="13.7" customHeight="1"/>
    <row r="1299" ht="13.7" customHeight="1"/>
    <row r="1300" ht="13.7" customHeight="1"/>
    <row r="1301" ht="13.7" customHeight="1"/>
    <row r="1302" ht="13.7" customHeight="1"/>
    <row r="1303" ht="13.7" customHeight="1"/>
    <row r="1304" ht="13.7" customHeight="1"/>
    <row r="1305" ht="13.7" customHeight="1"/>
    <row r="1306" ht="13.7" customHeight="1"/>
    <row r="1307" ht="13.7" customHeight="1"/>
    <row r="1308" ht="13.7" customHeight="1"/>
    <row r="1309" ht="13.7" customHeight="1"/>
    <row r="1310" ht="13.7" customHeight="1"/>
    <row r="1311" ht="13.7" customHeight="1"/>
    <row r="1312" ht="13.7" customHeight="1"/>
    <row r="1313" ht="13.7" customHeight="1"/>
    <row r="1314" ht="13.7" customHeight="1"/>
    <row r="1315" ht="13.7" customHeight="1"/>
    <row r="1316" ht="13.7" customHeight="1"/>
    <row r="1317" ht="13.7" customHeight="1"/>
    <row r="1318" ht="13.7" customHeight="1"/>
    <row r="1319" ht="13.7" customHeight="1"/>
    <row r="1320" ht="13.7" customHeight="1"/>
    <row r="1321" ht="13.7" customHeight="1"/>
    <row r="1322" ht="13.7" customHeight="1"/>
    <row r="1323" ht="13.7" customHeight="1"/>
    <row r="1324" ht="13.7" customHeight="1"/>
    <row r="1325" ht="13.7" customHeight="1"/>
    <row r="1326" ht="13.7" customHeight="1"/>
    <row r="1327" ht="13.7" customHeight="1"/>
    <row r="1328" ht="13.7" customHeight="1"/>
    <row r="1329" ht="13.7" customHeight="1"/>
    <row r="1330" ht="13.7" customHeight="1"/>
    <row r="1331" ht="13.7" customHeight="1"/>
    <row r="1332" ht="13.7" customHeight="1"/>
    <row r="1333" ht="13.7" customHeight="1"/>
    <row r="1334" ht="13.7" customHeight="1"/>
    <row r="1335" ht="13.7" customHeight="1"/>
    <row r="1336" ht="13.7" customHeight="1"/>
    <row r="1337" ht="13.7" customHeight="1"/>
    <row r="1338" ht="13.7" customHeight="1"/>
    <row r="1339" ht="13.7" customHeight="1"/>
    <row r="1340" ht="13.7" customHeight="1"/>
    <row r="1341" ht="13.7" customHeight="1"/>
    <row r="1342" ht="13.7" customHeight="1"/>
    <row r="1343" ht="13.7" customHeight="1"/>
    <row r="1344" ht="13.7" customHeight="1"/>
    <row r="1345" ht="13.7" customHeight="1"/>
    <row r="1346" ht="13.7" customHeight="1"/>
    <row r="1347" ht="13.7" customHeight="1"/>
    <row r="1348" ht="13.7" customHeight="1"/>
    <row r="1349" ht="13.7" customHeight="1"/>
    <row r="1350" ht="13.7" customHeight="1"/>
    <row r="1351" ht="13.7" customHeight="1"/>
    <row r="1352" ht="13.7" customHeight="1"/>
    <row r="1353" ht="13.7" customHeight="1"/>
    <row r="1354" ht="13.7" customHeight="1"/>
    <row r="1355" ht="13.7" customHeight="1"/>
    <row r="1356" ht="13.7" customHeight="1"/>
    <row r="1357" ht="13.7" customHeight="1"/>
    <row r="1358" ht="13.7" customHeight="1"/>
    <row r="1359" ht="13.7" customHeight="1"/>
    <row r="1360" ht="13.7" customHeight="1"/>
    <row r="1361" ht="13.7" customHeight="1"/>
    <row r="1362" ht="13.7" customHeight="1"/>
    <row r="1363" ht="13.7" customHeight="1"/>
    <row r="1364" ht="13.7" customHeight="1"/>
    <row r="1365" ht="13.7" customHeight="1"/>
    <row r="1366" ht="13.7" customHeight="1"/>
    <row r="1367" ht="13.7" customHeight="1"/>
    <row r="1368" ht="13.7" customHeight="1"/>
    <row r="1369" ht="13.7" customHeight="1"/>
    <row r="1370" ht="13.7" customHeight="1"/>
    <row r="1371" ht="13.7" customHeight="1"/>
    <row r="1372" ht="13.7" customHeight="1"/>
    <row r="1373" ht="13.7" customHeight="1"/>
    <row r="1374" ht="13.7" customHeight="1"/>
    <row r="1375" ht="13.7" customHeight="1"/>
    <row r="1376" ht="13.7" customHeight="1"/>
    <row r="1377" ht="13.7" customHeight="1"/>
    <row r="1378" ht="13.7" customHeight="1"/>
    <row r="1379" ht="13.7" customHeight="1"/>
    <row r="1380" ht="13.7" customHeight="1"/>
    <row r="1381" ht="13.7" customHeight="1"/>
    <row r="1382" ht="13.7" customHeight="1"/>
    <row r="1383" ht="13.7" customHeight="1"/>
    <row r="1384" ht="13.7" customHeight="1"/>
    <row r="1385" ht="13.7" customHeight="1"/>
    <row r="1386" ht="13.7" customHeight="1"/>
    <row r="1387" ht="13.7" customHeight="1"/>
    <row r="1388" ht="13.7" customHeight="1"/>
    <row r="1389" ht="13.7" customHeight="1"/>
    <row r="1390" ht="13.7" customHeight="1"/>
    <row r="1391" ht="13.7" customHeight="1"/>
    <row r="1392" ht="13.7" customHeight="1"/>
    <row r="1393" ht="13.7" customHeight="1"/>
    <row r="1394" ht="13.7" customHeight="1"/>
    <row r="1395" ht="13.7" customHeight="1"/>
    <row r="1396" ht="13.7" customHeight="1"/>
    <row r="1397" ht="13.7" customHeight="1"/>
    <row r="1398" ht="13.7" customHeight="1"/>
    <row r="1399" ht="13.7" customHeight="1"/>
    <row r="1400" ht="13.7" customHeight="1"/>
    <row r="1401" ht="13.7" customHeight="1"/>
    <row r="1402" ht="13.7" customHeight="1"/>
    <row r="1403" ht="13.7" customHeight="1"/>
    <row r="1404" ht="13.7" customHeight="1"/>
    <row r="1405" ht="13.7" customHeight="1"/>
    <row r="1406" ht="13.7" customHeight="1"/>
    <row r="1407" ht="13.7" customHeight="1"/>
    <row r="1408" ht="13.7" customHeight="1"/>
    <row r="1409" ht="13.7" customHeight="1"/>
    <row r="1410" ht="13.7" customHeight="1"/>
    <row r="1411" ht="13.7" customHeight="1"/>
    <row r="1412" ht="13.7" customHeight="1"/>
    <row r="1413" ht="13.7" customHeight="1"/>
    <row r="1414" ht="13.7" customHeight="1"/>
    <row r="1415" ht="13.7" customHeight="1"/>
    <row r="1416" ht="13.7" customHeight="1"/>
    <row r="1417" ht="13.7" customHeight="1"/>
    <row r="1418" ht="13.7" customHeight="1"/>
    <row r="1419" ht="13.7" customHeight="1"/>
    <row r="1420" ht="13.7" customHeight="1"/>
    <row r="1421" ht="13.7" customHeight="1"/>
    <row r="1422" ht="13.7" customHeight="1"/>
    <row r="1423" ht="13.7" customHeight="1"/>
    <row r="1424" ht="13.7" customHeight="1"/>
    <row r="1425" ht="13.7" customHeight="1"/>
    <row r="1426" ht="13.7" customHeight="1"/>
    <row r="1427" ht="13.7" customHeight="1"/>
    <row r="1428" ht="13.7" customHeight="1"/>
    <row r="1429" ht="13.7" customHeight="1"/>
    <row r="1430" ht="13.7" customHeight="1"/>
    <row r="1431" ht="13.7" customHeight="1"/>
    <row r="1432" ht="13.7" customHeight="1"/>
    <row r="1433" ht="13.7" customHeight="1"/>
    <row r="1434" ht="13.7" customHeight="1"/>
    <row r="1435" ht="13.7" customHeight="1"/>
    <row r="1436" ht="13.7" customHeight="1"/>
    <row r="1437" ht="13.7" customHeight="1"/>
    <row r="1438" ht="13.7" customHeight="1"/>
    <row r="1439" ht="13.7" customHeight="1"/>
    <row r="1440" ht="13.7" customHeight="1"/>
    <row r="1441" ht="13.7" customHeight="1"/>
    <row r="1442" ht="13.7" customHeight="1"/>
    <row r="1443" ht="13.7" customHeight="1"/>
    <row r="1444" ht="13.7" customHeight="1"/>
    <row r="1445" ht="13.7" customHeight="1"/>
    <row r="1446" ht="13.7" customHeight="1"/>
    <row r="1447" ht="13.7" customHeight="1"/>
    <row r="1448" ht="13.7" customHeight="1"/>
    <row r="1449" ht="13.7" customHeight="1"/>
    <row r="1450" ht="13.7" customHeight="1"/>
    <row r="1451" ht="13.7" customHeight="1"/>
    <row r="1452" ht="13.7" customHeight="1"/>
    <row r="1453" ht="13.7" customHeight="1"/>
    <row r="1454" ht="13.7" customHeight="1"/>
    <row r="1455" ht="13.7" customHeight="1"/>
    <row r="1456" ht="13.7" customHeight="1"/>
    <row r="1457" ht="13.7" customHeight="1"/>
    <row r="1458" ht="13.7" customHeight="1"/>
    <row r="1459" ht="13.7" customHeight="1"/>
    <row r="1460" ht="13.7" customHeight="1"/>
    <row r="1461" ht="13.7" customHeight="1"/>
  </sheetData>
  <sheetProtection algorithmName="SHA-512" hashValue="PoWvz4ur6Rb4yH+UZRzO3TFaOFOZEvWmSdISks/adj4JsqLuxVgRYgR1oUi3xS1Qg967Xz8ytJwU4wpZvTKqcg==" saltValue="8hpig38djiAHDdOtnNRNvg==" spinCount="100000" sheet="1" objects="1" scenarios="1"/>
  <mergeCells count="360">
    <mergeCell ref="D1184:F1185"/>
    <mergeCell ref="D1187:F1188"/>
    <mergeCell ref="D1190:F1190"/>
    <mergeCell ref="D1192:F1192"/>
    <mergeCell ref="D1113:F1119"/>
    <mergeCell ref="D1125:F1125"/>
    <mergeCell ref="D1127:F1128"/>
    <mergeCell ref="D1130:F1131"/>
    <mergeCell ref="D1133:F1133"/>
    <mergeCell ref="D1135:F1135"/>
    <mergeCell ref="D1137:F1138"/>
    <mergeCell ref="D1159:F1159"/>
    <mergeCell ref="D1160:F1160"/>
    <mergeCell ref="D1140:F1140"/>
    <mergeCell ref="D1142:F1155"/>
    <mergeCell ref="D1170:F1173"/>
    <mergeCell ref="D1175:F1176"/>
    <mergeCell ref="D1014:F1016"/>
    <mergeCell ref="D1018:F1020"/>
    <mergeCell ref="D1022:F1022"/>
    <mergeCell ref="D1028:F1030"/>
    <mergeCell ref="D1032:F1034"/>
    <mergeCell ref="D1036:F1038"/>
    <mergeCell ref="D1040:F1042"/>
    <mergeCell ref="D1064:F1064"/>
    <mergeCell ref="D994:F994"/>
    <mergeCell ref="D996:F996"/>
    <mergeCell ref="D998:F998"/>
    <mergeCell ref="D1000:F1004"/>
    <mergeCell ref="D1006:F1010"/>
    <mergeCell ref="D1012:F1012"/>
    <mergeCell ref="D960:F965"/>
    <mergeCell ref="D967:F971"/>
    <mergeCell ref="D958:F958"/>
    <mergeCell ref="D973:F977"/>
    <mergeCell ref="D979:F981"/>
    <mergeCell ref="D983:F984"/>
    <mergeCell ref="D986:F987"/>
    <mergeCell ref="D989:F992"/>
    <mergeCell ref="D905:F908"/>
    <mergeCell ref="D912:F912"/>
    <mergeCell ref="D913:F913"/>
    <mergeCell ref="D915:F919"/>
    <mergeCell ref="D921:F927"/>
    <mergeCell ref="D929:F937"/>
    <mergeCell ref="D939:F945"/>
    <mergeCell ref="D947:F950"/>
    <mergeCell ref="D952:F953"/>
    <mergeCell ref="D955:F956"/>
    <mergeCell ref="D892:F893"/>
    <mergeCell ref="D894:F899"/>
    <mergeCell ref="D901:F901"/>
    <mergeCell ref="D902:F902"/>
    <mergeCell ref="E903:F903"/>
    <mergeCell ref="A756:G756"/>
    <mergeCell ref="A784:G784"/>
    <mergeCell ref="D780:F782"/>
    <mergeCell ref="D859:F861"/>
    <mergeCell ref="D863:F864"/>
    <mergeCell ref="E887:F887"/>
    <mergeCell ref="D884:F884"/>
    <mergeCell ref="D786:F786"/>
    <mergeCell ref="D787:F787"/>
    <mergeCell ref="D844:F844"/>
    <mergeCell ref="D843:F843"/>
    <mergeCell ref="D846:F846"/>
    <mergeCell ref="E847:F847"/>
    <mergeCell ref="D838:F839"/>
    <mergeCell ref="D865:F870"/>
    <mergeCell ref="E874:F874"/>
    <mergeCell ref="D876:F879"/>
    <mergeCell ref="D883:F883"/>
    <mergeCell ref="D886:F886"/>
    <mergeCell ref="D648:F648"/>
    <mergeCell ref="D657:F658"/>
    <mergeCell ref="D663:F663"/>
    <mergeCell ref="D660:F661"/>
    <mergeCell ref="D667:F667"/>
    <mergeCell ref="D668:F668"/>
    <mergeCell ref="D670:F675"/>
    <mergeCell ref="D872:F872"/>
    <mergeCell ref="D677:F677"/>
    <mergeCell ref="D678:F682"/>
    <mergeCell ref="D683:F683"/>
    <mergeCell ref="D730:F732"/>
    <mergeCell ref="D714:F726"/>
    <mergeCell ref="D691:F691"/>
    <mergeCell ref="D692:F692"/>
    <mergeCell ref="D696:F698"/>
    <mergeCell ref="D711:F712"/>
    <mergeCell ref="D806:F808"/>
    <mergeCell ref="D602:F602"/>
    <mergeCell ref="D574:F582"/>
    <mergeCell ref="D584:F584"/>
    <mergeCell ref="D873:F873"/>
    <mergeCell ref="D738:F740"/>
    <mergeCell ref="D742:F745"/>
    <mergeCell ref="D747:F753"/>
    <mergeCell ref="D754:F754"/>
    <mergeCell ref="D700:F700"/>
    <mergeCell ref="D701:F701"/>
    <mergeCell ref="E702:F702"/>
    <mergeCell ref="D704:F710"/>
    <mergeCell ref="D734:F736"/>
    <mergeCell ref="D727:F728"/>
    <mergeCell ref="D793:F795"/>
    <mergeCell ref="D823:F826"/>
    <mergeCell ref="D810:F815"/>
    <mergeCell ref="D835:F836"/>
    <mergeCell ref="D828:F833"/>
    <mergeCell ref="D789:F791"/>
    <mergeCell ref="D849:F857"/>
    <mergeCell ref="D797:F799"/>
    <mergeCell ref="D801:F805"/>
    <mergeCell ref="D817:F821"/>
    <mergeCell ref="D101:F113"/>
    <mergeCell ref="D114:F121"/>
    <mergeCell ref="D122:F126"/>
    <mergeCell ref="D128:F139"/>
    <mergeCell ref="D141:F158"/>
    <mergeCell ref="D161:F163"/>
    <mergeCell ref="D165:F168"/>
    <mergeCell ref="D159:F159"/>
    <mergeCell ref="D644:F644"/>
    <mergeCell ref="D537:F537"/>
    <mergeCell ref="D539:F540"/>
    <mergeCell ref="D542:F543"/>
    <mergeCell ref="D547:F547"/>
    <mergeCell ref="D550:F550"/>
    <mergeCell ref="D548:F548"/>
    <mergeCell ref="D552:F553"/>
    <mergeCell ref="D555:F556"/>
    <mergeCell ref="D558:F559"/>
    <mergeCell ref="D608:F611"/>
    <mergeCell ref="D604:F606"/>
    <mergeCell ref="D636:F636"/>
    <mergeCell ref="D638:F639"/>
    <mergeCell ref="D623:F623"/>
    <mergeCell ref="D624:F624"/>
    <mergeCell ref="D170:F172"/>
    <mergeCell ref="D176:F176"/>
    <mergeCell ref="D177:F177"/>
    <mergeCell ref="D179:F179"/>
    <mergeCell ref="D181:F181"/>
    <mergeCell ref="D196:F199"/>
    <mergeCell ref="D202:F202"/>
    <mergeCell ref="D200:F200"/>
    <mergeCell ref="A174:G174"/>
    <mergeCell ref="D183:F183"/>
    <mergeCell ref="E184:F187"/>
    <mergeCell ref="E188:F194"/>
    <mergeCell ref="A1197:G1197"/>
    <mergeCell ref="A1199:G1199"/>
    <mergeCell ref="A1212:G1212"/>
    <mergeCell ref="D1048:F1050"/>
    <mergeCell ref="D1205:F1205"/>
    <mergeCell ref="D1066:F1069"/>
    <mergeCell ref="D1071:F1074"/>
    <mergeCell ref="D1076:F1078"/>
    <mergeCell ref="D1080:F1082"/>
    <mergeCell ref="D1084:F1084"/>
    <mergeCell ref="D1086:F1088"/>
    <mergeCell ref="D1090:F1092"/>
    <mergeCell ref="D1094:F1094"/>
    <mergeCell ref="D1095:F1095"/>
    <mergeCell ref="D1097:F1098"/>
    <mergeCell ref="D1100:F1101"/>
    <mergeCell ref="D1103:F1103"/>
    <mergeCell ref="D1105:F1111"/>
    <mergeCell ref="D1178:F1178"/>
    <mergeCell ref="D1180:F1180"/>
    <mergeCell ref="D1121:F1123"/>
    <mergeCell ref="D1208:F1209"/>
    <mergeCell ref="D1194:F1195"/>
    <mergeCell ref="D1182:F1182"/>
    <mergeCell ref="D1234:F1236"/>
    <mergeCell ref="D1239:F1243"/>
    <mergeCell ref="D521:F524"/>
    <mergeCell ref="D531:F533"/>
    <mergeCell ref="D1217:F1217"/>
    <mergeCell ref="D1218:F1218"/>
    <mergeCell ref="E1219:F1219"/>
    <mergeCell ref="D1221:F1221"/>
    <mergeCell ref="D1222:F1223"/>
    <mergeCell ref="D1225:F1228"/>
    <mergeCell ref="D1214:F1214"/>
    <mergeCell ref="D1215:F1215"/>
    <mergeCell ref="D1201:F1201"/>
    <mergeCell ref="D1202:F1202"/>
    <mergeCell ref="D1204:F1204"/>
    <mergeCell ref="D1206:F1206"/>
    <mergeCell ref="D616:F617"/>
    <mergeCell ref="D613:F614"/>
    <mergeCell ref="D619:F619"/>
    <mergeCell ref="D633:F633"/>
    <mergeCell ref="D635:F635"/>
    <mergeCell ref="D1229:F1229"/>
    <mergeCell ref="D1230:F1230"/>
    <mergeCell ref="D1232:F1232"/>
    <mergeCell ref="D90:F90"/>
    <mergeCell ref="D758:F758"/>
    <mergeCell ref="D759:F759"/>
    <mergeCell ref="D761:F766"/>
    <mergeCell ref="D768:F771"/>
    <mergeCell ref="A519:G519"/>
    <mergeCell ref="D687:F687"/>
    <mergeCell ref="D688:F688"/>
    <mergeCell ref="D689:F689"/>
    <mergeCell ref="A535:G535"/>
    <mergeCell ref="A597:G597"/>
    <mergeCell ref="D526:F527"/>
    <mergeCell ref="D568:F569"/>
    <mergeCell ref="D571:F571"/>
    <mergeCell ref="D572:F572"/>
    <mergeCell ref="D208:F208"/>
    <mergeCell ref="D210:F213"/>
    <mergeCell ref="D257:F257"/>
    <mergeCell ref="D228:F228"/>
    <mergeCell ref="A630:G630"/>
    <mergeCell ref="A646:G646"/>
    <mergeCell ref="A665:G665"/>
    <mergeCell ref="A685:G685"/>
    <mergeCell ref="D92:F100"/>
    <mergeCell ref="D1247:F1247"/>
    <mergeCell ref="D1248:F1248"/>
    <mergeCell ref="D1250:F1250"/>
    <mergeCell ref="E1251:F1251"/>
    <mergeCell ref="D25:F26"/>
    <mergeCell ref="D34:F35"/>
    <mergeCell ref="D37:F44"/>
    <mergeCell ref="D1044:F1046"/>
    <mergeCell ref="D1052:F1062"/>
    <mergeCell ref="A1245:G1245"/>
    <mergeCell ref="D1024:F1026"/>
    <mergeCell ref="A841:G841"/>
    <mergeCell ref="A621:G621"/>
    <mergeCell ref="A545:G545"/>
    <mergeCell ref="D773:F775"/>
    <mergeCell ref="A910:G910"/>
    <mergeCell ref="D777:F778"/>
    <mergeCell ref="D243:F243"/>
    <mergeCell ref="E244:F244"/>
    <mergeCell ref="D245:F245"/>
    <mergeCell ref="E229:F229"/>
    <mergeCell ref="D889:F890"/>
    <mergeCell ref="A204:G204"/>
    <mergeCell ref="D89:F89"/>
    <mergeCell ref="A2:G2"/>
    <mergeCell ref="A4:G4"/>
    <mergeCell ref="A5:G5"/>
    <mergeCell ref="A7:G7"/>
    <mergeCell ref="A8:G8"/>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E224:F224"/>
    <mergeCell ref="D561:F563"/>
    <mergeCell ref="D565:F566"/>
    <mergeCell ref="D261:F261"/>
    <mergeCell ref="D253:F255"/>
    <mergeCell ref="A326:G326"/>
    <mergeCell ref="D262:F262"/>
    <mergeCell ref="E234:F234"/>
    <mergeCell ref="D235:F239"/>
    <mergeCell ref="D296:F296"/>
    <mergeCell ref="D298:F298"/>
    <mergeCell ref="D287:F287"/>
    <mergeCell ref="D288:F288"/>
    <mergeCell ref="D291:F292"/>
    <mergeCell ref="D264:F264"/>
    <mergeCell ref="D316:F317"/>
    <mergeCell ref="D299:F301"/>
    <mergeCell ref="D310:F311"/>
    <mergeCell ref="D270:F274"/>
    <mergeCell ref="D276:F280"/>
    <mergeCell ref="D313:F313"/>
    <mergeCell ref="D247:F247"/>
    <mergeCell ref="D248:F248"/>
    <mergeCell ref="D514:F515"/>
    <mergeCell ref="D206:F206"/>
    <mergeCell ref="D240:F240"/>
    <mergeCell ref="D207:F207"/>
    <mergeCell ref="D371:F371"/>
    <mergeCell ref="D265:F268"/>
    <mergeCell ref="D368:F368"/>
    <mergeCell ref="D319:F321"/>
    <mergeCell ref="D323:F324"/>
    <mergeCell ref="D328:F328"/>
    <mergeCell ref="D329:F329"/>
    <mergeCell ref="D331:F331"/>
    <mergeCell ref="D314:F314"/>
    <mergeCell ref="D369:F369"/>
    <mergeCell ref="D225:F225"/>
    <mergeCell ref="D227:F227"/>
    <mergeCell ref="A259:G259"/>
    <mergeCell ref="A294:G294"/>
    <mergeCell ref="A308:G308"/>
    <mergeCell ref="D242:F242"/>
    <mergeCell ref="D230:F230"/>
    <mergeCell ref="D232:F232"/>
    <mergeCell ref="D215:F220"/>
    <mergeCell ref="D222:F222"/>
    <mergeCell ref="D223:F223"/>
    <mergeCell ref="D517:F517"/>
    <mergeCell ref="D491:F495"/>
    <mergeCell ref="D497:F497"/>
    <mergeCell ref="D501:F501"/>
    <mergeCell ref="D502:F502"/>
    <mergeCell ref="D504:F505"/>
    <mergeCell ref="D507:F510"/>
    <mergeCell ref="A499:G499"/>
    <mergeCell ref="E249:F249"/>
    <mergeCell ref="D250:F250"/>
    <mergeCell ref="D282:F284"/>
    <mergeCell ref="D303:F305"/>
    <mergeCell ref="D512:F512"/>
    <mergeCell ref="D384:F387"/>
    <mergeCell ref="D398:F415"/>
    <mergeCell ref="D469:F471"/>
    <mergeCell ref="D476:F490"/>
    <mergeCell ref="D389:F397"/>
    <mergeCell ref="D333:F333"/>
    <mergeCell ref="D373:F382"/>
    <mergeCell ref="D626:F627"/>
    <mergeCell ref="D650:F651"/>
    <mergeCell ref="D653:F655"/>
    <mergeCell ref="D1166:F1168"/>
    <mergeCell ref="D1162:F1163"/>
    <mergeCell ref="D335:F349"/>
    <mergeCell ref="D351:F359"/>
    <mergeCell ref="D417:F418"/>
    <mergeCell ref="D432:F462"/>
    <mergeCell ref="D464:F464"/>
    <mergeCell ref="D466:F467"/>
    <mergeCell ref="D473:F474"/>
    <mergeCell ref="D426:F429"/>
    <mergeCell ref="D430:F430"/>
    <mergeCell ref="D420:F425"/>
    <mergeCell ref="D361:F365"/>
    <mergeCell ref="D585:F587"/>
    <mergeCell ref="D589:F592"/>
    <mergeCell ref="D594:F594"/>
    <mergeCell ref="A1157:G1157"/>
    <mergeCell ref="D632:F632"/>
    <mergeCell ref="D641:F642"/>
    <mergeCell ref="D599:F599"/>
    <mergeCell ref="D600:F600"/>
  </mergeCells>
  <dataValidations count="2">
    <dataValidation type="list" allowBlank="1" showInputMessage="1" showErrorMessage="1" sqref="B84 B1250 B1239 B1234 B1230 B1222 B1217 B1208 B179 B181 B1205 B1194 B1192 B1190 B1187 B1184 B1182 B1180 B1178 B1162 B1137 B1135 B1130 B1127 B1113 B1105 B1100 B1097 B1090 B1086 B1080 B1076 B1071 B1066 B1052 B1048 B1044 B1040 B1036 B1032 B1028 B1024 B1018 B1014 B1006 B1000 B996 B994 B1175 B986 B983 B979 B973 B967 B960 B955 B947 B939 B929 B921 B905 B901 B892 B886 B876 B872 B863 B859 B846 B838 B489 B810 B828 B797 B835 B491 B823 B801 B793 B789 B777 B773 B768 B761 B747 B742 B738 B734 B252 B714 B704 B700 B696 B691 B670 B663 B660 B657 B650 B644 B641 B638 B636 B626 B619 B613 B46 B602 B594 B589 B584 B571 B568 B526 B565 B561 B558 B555 B552 B550 B542 B539 B529 B303 B521 B517 B514 B512 B817 B507 B504 B497 B114 B480 B476 B473 B469 B464 B432 B426 B417 B384 B373 B371 B361 B351 B335 B333 B331 B323 B319 B316 B299 B889 B291 B287 B247 B780 B242 B232 B16 B222 B202 B196 B183 B1121 B170 B165 B989 B141 B128 B122 B420 B92 B265 B25 B28 B34 B37 B52 B59 B64 B21 B73 B77 B80 B227 B677 B604 B608 B616 B257 B711 B101 B483 B487 B915 B1142 B1170 B849 B161 B282 B270 B68">
      <formula1>$I$2:$I$5</formula1>
    </dataValidation>
    <dataValidation type="list" allowBlank="1" showInputMessage="1" showErrorMessage="1" sqref="B727 B730">
      <formula1>$I$3:$I$6</formula1>
    </dataValidation>
  </dataValidations>
  <hyperlinks>
    <hyperlink ref="D1224" r:id="rId1"/>
    <hyperlink ref="D200" r:id="rId2" display="https://www.treasurer.ca.gov/CTCAC/2022/rural-status.pdf"/>
    <hyperlink ref="D683" r:id="rId3"/>
    <hyperlink ref="D159:F159" r:id="rId4" display="(https://www.treasurer.ca.gov/ctcac/cuac/index.asp) "/>
    <hyperlink ref="D754" r:id="rId5"/>
    <hyperlink ref="D430" r:id="rId6"/>
    <hyperlink ref="D200:F200" r:id="rId7" display="https://www.treasurer.ca.gov/ctcac/2023/rural-status.pdf"/>
  </hyperlinks>
  <printOptions horizontalCentered="1"/>
  <pageMargins left="0.7" right="0.5" top="1" bottom="1" header="0.5" footer="0.5"/>
  <pageSetup scale="97" fitToHeight="0" orientation="portrait" r:id="rId8"/>
  <headerFooter alignWithMargins="0"/>
  <rowBreaks count="33" manualBreakCount="33">
    <brk id="86" max="6" man="1"/>
    <brk id="127" max="6" man="1"/>
    <brk id="173" max="6" man="1"/>
    <brk id="203" max="6" man="1"/>
    <brk id="251" max="6" man="1"/>
    <brk id="258" max="6" man="1"/>
    <brk id="293" max="16383" man="1"/>
    <brk id="307" max="6" man="1"/>
    <brk id="325" max="16383" man="1"/>
    <brk id="367" max="6" man="1"/>
    <brk id="463" max="6" man="1"/>
    <brk id="498" max="6" man="1"/>
    <brk id="518" max="16383" man="1"/>
    <brk id="533" max="16383" man="1"/>
    <brk id="544" max="6" man="1"/>
    <brk id="620" max="16383" man="1"/>
    <brk id="629" max="16383" man="1"/>
    <brk id="645" max="16383" man="1"/>
    <brk id="664" max="16383" man="1"/>
    <brk id="684" max="16383" man="1"/>
    <brk id="733" max="6" man="1"/>
    <brk id="755" max="16383" man="1"/>
    <brk id="783" max="16383" man="1"/>
    <brk id="840" max="16383" man="1"/>
    <brk id="880" max="6" man="1"/>
    <brk id="909" max="6" man="1"/>
    <brk id="1005" max="6" man="1"/>
    <brk id="1051" max="6" man="1"/>
    <brk id="1156" max="16383" man="1"/>
    <brk id="1196" max="6" man="1"/>
    <brk id="1198" max="6" man="1"/>
    <brk id="1211" max="16383" man="1"/>
    <brk id="1244"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4"/>
  <dimension ref="A1:XFC1045"/>
  <sheetViews>
    <sheetView showGridLines="0" topLeftCell="A984" workbookViewId="0">
      <selection activeCell="AO897" sqref="AO897"/>
    </sheetView>
  </sheetViews>
  <sheetFormatPr defaultColWidth="0" defaultRowHeight="12.95" customHeight="1" zeroHeight="1"/>
  <cols>
    <col min="1" max="32" width="2.42578125" customWidth="1"/>
    <col min="33" max="33" width="3.140625" customWidth="1"/>
    <col min="34" max="34" width="2.42578125" customWidth="1"/>
    <col min="35" max="35" width="3" customWidth="1"/>
    <col min="36" max="38" width="2.42578125" customWidth="1"/>
    <col min="39" max="39" width="2.7109375" customWidth="1"/>
    <col min="40" max="40" width="3" customWidth="1"/>
    <col min="41" max="41" width="2.7109375" customWidth="1"/>
    <col min="42" max="45" width="2.42578125" customWidth="1"/>
    <col min="46" max="46" width="5.7109375" customWidth="1"/>
    <col min="47" max="16383" width="9.140625" hidden="1"/>
    <col min="16384" max="16384" width="5.7109375" hidden="1"/>
  </cols>
  <sheetData>
    <row r="1" spans="1:45" ht="12.95" customHeight="1">
      <c r="J1" s="183"/>
      <c r="AS1" s="926">
        <v>9</v>
      </c>
    </row>
    <row r="2" spans="1:45" ht="12.95" customHeight="1"/>
    <row r="3" spans="1:45" ht="12.95" customHeight="1"/>
    <row r="4" spans="1:45" ht="12.95" customHeight="1"/>
    <row r="5" spans="1:45" ht="12.95" customHeight="1"/>
    <row r="6" spans="1:45" ht="12.95" customHeight="1"/>
    <row r="7" spans="1:45" ht="12.95" customHeight="1"/>
    <row r="8" spans="1:45" ht="12.95" customHeight="1"/>
    <row r="9" spans="1:45" ht="12.95" customHeight="1">
      <c r="A9" s="1397" t="s">
        <v>829</v>
      </c>
      <c r="B9" s="1397"/>
      <c r="C9" s="1397"/>
      <c r="D9" s="1397"/>
      <c r="E9" s="1397"/>
      <c r="F9" s="1397"/>
      <c r="G9" s="1397"/>
      <c r="H9" s="1397"/>
      <c r="I9" s="1397"/>
      <c r="J9" s="1397"/>
      <c r="K9" s="1397"/>
      <c r="L9" s="1397"/>
      <c r="M9" s="1397"/>
      <c r="N9" s="1397"/>
      <c r="O9" s="1397"/>
      <c r="P9" s="1397"/>
      <c r="Q9" s="1397"/>
      <c r="R9" s="1397"/>
      <c r="S9" s="1397"/>
      <c r="T9" s="1397"/>
      <c r="U9" s="1397"/>
      <c r="V9" s="1397"/>
      <c r="W9" s="1397"/>
      <c r="X9" s="1397"/>
      <c r="Y9" s="1397"/>
      <c r="Z9" s="1397"/>
      <c r="AA9" s="1397"/>
      <c r="AB9" s="1397"/>
      <c r="AC9" s="1397"/>
      <c r="AD9" s="1397"/>
      <c r="AE9" s="1397"/>
      <c r="AF9" s="1397"/>
      <c r="AG9" s="1397"/>
      <c r="AH9" s="1397"/>
      <c r="AI9" s="1397"/>
      <c r="AJ9" s="1397"/>
      <c r="AK9" s="1397"/>
      <c r="AL9" s="1397"/>
    </row>
    <row r="10" spans="1:45" ht="12.95" customHeight="1">
      <c r="A10" s="1399" t="s">
        <v>2340</v>
      </c>
      <c r="B10" s="1399"/>
      <c r="C10" s="1399"/>
      <c r="D10" s="1399"/>
      <c r="E10" s="1399"/>
      <c r="F10" s="1399"/>
      <c r="G10" s="1399"/>
      <c r="H10" s="1399"/>
      <c r="I10" s="1399"/>
      <c r="J10" s="1399"/>
      <c r="K10" s="1399"/>
      <c r="L10" s="1399"/>
      <c r="M10" s="1399"/>
      <c r="N10" s="1399"/>
      <c r="O10" s="1399"/>
      <c r="P10" s="1399"/>
      <c r="Q10" s="1399"/>
      <c r="R10" s="1399"/>
      <c r="S10" s="1399"/>
      <c r="T10" s="1399"/>
      <c r="U10" s="1399"/>
      <c r="V10" s="1399"/>
      <c r="W10" s="1399"/>
      <c r="X10" s="1399"/>
      <c r="Y10" s="1399"/>
      <c r="Z10" s="1399"/>
      <c r="AA10" s="1399"/>
      <c r="AB10" s="1399"/>
      <c r="AC10" s="1399"/>
      <c r="AD10" s="1399"/>
      <c r="AE10" s="1399"/>
      <c r="AF10" s="1399"/>
      <c r="AG10" s="1399"/>
      <c r="AH10" s="1399"/>
      <c r="AI10" s="1399"/>
      <c r="AJ10" s="1399"/>
      <c r="AK10" s="1399"/>
      <c r="AL10" s="1399"/>
    </row>
    <row r="11" spans="1:45" s="267" customFormat="1" ht="12.95" customHeight="1">
      <c r="A11" s="1400" t="s">
        <v>2357</v>
      </c>
      <c r="B11" s="1401"/>
      <c r="C11" s="1401"/>
      <c r="D11" s="1401"/>
      <c r="E11" s="1401"/>
      <c r="F11" s="1401"/>
      <c r="G11" s="1401"/>
      <c r="H11" s="1401"/>
      <c r="I11" s="1401"/>
      <c r="J11" s="1401"/>
      <c r="K11" s="1401"/>
      <c r="L11" s="1401"/>
      <c r="M11" s="1401"/>
      <c r="N11" s="1401"/>
      <c r="O11" s="1401"/>
      <c r="P11" s="1401"/>
      <c r="Q11" s="1401"/>
      <c r="R11" s="1401"/>
      <c r="S11" s="1401"/>
      <c r="T11" s="1401"/>
      <c r="U11" s="1401"/>
      <c r="V11" s="1401"/>
      <c r="W11" s="1401"/>
      <c r="X11" s="1401"/>
      <c r="Y11" s="1401"/>
      <c r="Z11" s="1401"/>
      <c r="AA11" s="1401"/>
      <c r="AB11" s="1401"/>
      <c r="AC11" s="1401"/>
      <c r="AD11" s="1401"/>
      <c r="AE11" s="1401"/>
      <c r="AF11" s="1401"/>
      <c r="AG11" s="1401"/>
      <c r="AH11" s="1401"/>
      <c r="AI11" s="1401"/>
      <c r="AJ11" s="1401"/>
      <c r="AK11" s="1401"/>
      <c r="AL11" s="1401"/>
    </row>
    <row r="12" spans="1:45" ht="12.95" customHeight="1">
      <c r="A12" s="966" t="s">
        <v>1959</v>
      </c>
      <c r="B12" s="966"/>
      <c r="C12" s="966"/>
      <c r="D12" s="966"/>
      <c r="E12" s="966"/>
      <c r="F12" s="966"/>
      <c r="G12" s="966"/>
      <c r="H12" s="966"/>
      <c r="I12" s="966"/>
      <c r="J12" s="966"/>
      <c r="K12" s="966"/>
      <c r="L12" s="966"/>
      <c r="M12" s="966"/>
      <c r="N12" s="966"/>
      <c r="O12" s="966"/>
      <c r="P12" s="966"/>
      <c r="Q12" s="966"/>
      <c r="R12" s="966"/>
      <c r="S12" s="966"/>
      <c r="T12" s="966"/>
      <c r="U12" s="966"/>
      <c r="V12" s="966"/>
      <c r="W12" s="966"/>
      <c r="X12" s="966"/>
      <c r="Y12" s="966"/>
      <c r="Z12" s="966"/>
      <c r="AA12" s="966"/>
      <c r="AB12" s="966"/>
      <c r="AC12" s="966"/>
      <c r="AD12" s="966"/>
      <c r="AE12" s="966"/>
      <c r="AF12" s="966"/>
      <c r="AG12" s="966"/>
      <c r="AH12" s="966"/>
      <c r="AI12" s="966"/>
      <c r="AJ12" s="966"/>
      <c r="AK12" s="966"/>
      <c r="AL12" s="966"/>
    </row>
    <row r="13" spans="1:45" ht="12.95" customHeight="1" thickBot="1">
      <c r="A13" s="968"/>
      <c r="B13" s="968"/>
      <c r="C13" s="968"/>
      <c r="D13" s="968"/>
      <c r="E13" s="968"/>
      <c r="F13" s="968"/>
      <c r="G13" s="968"/>
      <c r="H13" s="968"/>
      <c r="I13" s="968"/>
      <c r="J13" s="968"/>
      <c r="K13" s="968"/>
      <c r="L13" s="968"/>
      <c r="M13" s="968"/>
      <c r="N13" s="968"/>
      <c r="O13" s="968"/>
      <c r="P13" s="968"/>
      <c r="Q13" s="968"/>
      <c r="R13" s="968"/>
      <c r="S13" s="968"/>
      <c r="T13" s="968"/>
      <c r="U13" s="968"/>
      <c r="V13" s="968"/>
      <c r="W13" s="968"/>
      <c r="X13" s="968"/>
      <c r="Y13" s="968"/>
      <c r="Z13" s="968"/>
      <c r="AA13" s="968"/>
      <c r="AB13" s="968"/>
      <c r="AC13" s="968"/>
      <c r="AD13" s="968"/>
      <c r="AE13" s="968"/>
      <c r="AF13" s="968"/>
      <c r="AG13" s="968"/>
      <c r="AH13" s="968"/>
      <c r="AI13" s="968"/>
      <c r="AJ13" s="968"/>
      <c r="AK13" s="968"/>
      <c r="AL13" s="968"/>
    </row>
    <row r="14" spans="1:45" ht="12.95" customHeight="1" thickTop="1">
      <c r="A14" s="104"/>
      <c r="B14" s="104"/>
      <c r="C14" s="104"/>
      <c r="D14" s="104"/>
      <c r="E14" s="104"/>
      <c r="F14" s="104"/>
      <c r="G14" s="104"/>
      <c r="AC14" s="104"/>
      <c r="AD14" s="104"/>
      <c r="AE14" s="104"/>
      <c r="AF14" s="104"/>
      <c r="AG14" s="104"/>
      <c r="AH14" s="104"/>
      <c r="AI14" s="104"/>
      <c r="AJ14" s="104"/>
      <c r="AK14" s="104"/>
      <c r="AL14" s="104"/>
    </row>
    <row r="15" spans="1:45" ht="12.95" customHeight="1">
      <c r="A15" s="63" t="s">
        <v>586</v>
      </c>
      <c r="C15" s="5"/>
      <c r="D15" s="5"/>
      <c r="E15" s="5"/>
      <c r="F15" s="5"/>
      <c r="G15" s="5"/>
      <c r="H15" s="1280" t="s">
        <v>2434</v>
      </c>
      <c r="I15" s="1280"/>
      <c r="J15" s="1280"/>
      <c r="K15" s="1280"/>
      <c r="L15" s="1280"/>
      <c r="M15" s="1280"/>
      <c r="N15" s="1280"/>
      <c r="O15" s="1280"/>
      <c r="P15" s="1280"/>
      <c r="Q15" s="1280"/>
      <c r="R15" s="1280"/>
      <c r="S15" s="1280"/>
      <c r="T15" s="1280"/>
      <c r="U15" s="1280"/>
      <c r="V15" s="1280"/>
      <c r="W15" s="1280"/>
      <c r="X15" s="1280"/>
      <c r="Y15" s="1280"/>
      <c r="Z15" s="1280"/>
      <c r="AA15" s="1280"/>
      <c r="AB15" s="1280"/>
      <c r="AC15" s="1280"/>
      <c r="AD15" s="1280"/>
      <c r="AE15" s="1280"/>
      <c r="AF15" s="1280"/>
      <c r="AG15" s="1280"/>
      <c r="AH15" s="1280"/>
      <c r="AI15" s="1280"/>
      <c r="AJ15" s="1280"/>
    </row>
    <row r="16" spans="1:45" ht="12.95" customHeight="1"/>
    <row r="17" spans="1:40" ht="12.95" customHeight="1">
      <c r="A17" s="63" t="s">
        <v>830</v>
      </c>
      <c r="C17" s="5"/>
      <c r="D17" s="5"/>
      <c r="E17" s="5"/>
      <c r="F17" s="5"/>
      <c r="G17" s="5"/>
      <c r="H17" s="1086" t="s">
        <v>2359</v>
      </c>
      <c r="I17" s="1114"/>
      <c r="J17" s="1114"/>
      <c r="K17" s="1114"/>
      <c r="L17" s="1114"/>
      <c r="M17" s="1114"/>
      <c r="N17" s="1114"/>
      <c r="O17" s="1114"/>
      <c r="P17" s="1114"/>
      <c r="Q17" s="1114"/>
      <c r="R17" s="1114"/>
      <c r="S17" s="1114"/>
      <c r="T17" s="1114"/>
      <c r="U17" s="1114"/>
      <c r="V17" s="1114"/>
      <c r="W17" s="1114"/>
      <c r="X17" s="1114"/>
      <c r="Y17" s="1114"/>
      <c r="Z17" s="1114"/>
      <c r="AA17" s="1114"/>
      <c r="AB17" s="1114"/>
      <c r="AC17" s="1114"/>
      <c r="AD17" s="1114"/>
      <c r="AE17" s="1114"/>
      <c r="AF17" s="1114"/>
      <c r="AG17" s="1114"/>
      <c r="AH17" s="1114"/>
      <c r="AI17" s="1114"/>
      <c r="AJ17" s="1114"/>
    </row>
    <row r="18" spans="1:40" ht="12.95" customHeight="1"/>
    <row r="19" spans="1:40" ht="12.95" customHeight="1">
      <c r="A19" s="985" t="s">
        <v>1147</v>
      </c>
      <c r="B19" s="985"/>
      <c r="C19" s="985"/>
      <c r="D19" s="985"/>
      <c r="E19" s="985"/>
      <c r="F19" s="985"/>
      <c r="G19" s="985"/>
      <c r="H19" s="985"/>
      <c r="I19" s="985"/>
      <c r="J19" s="985"/>
      <c r="K19" s="985"/>
      <c r="L19" s="985"/>
      <c r="M19" s="985"/>
      <c r="N19" s="985"/>
      <c r="O19" s="985"/>
      <c r="P19" s="985"/>
      <c r="Q19" s="985"/>
      <c r="R19" s="985"/>
      <c r="S19" s="985"/>
      <c r="T19" s="985"/>
      <c r="U19" s="985"/>
      <c r="V19" s="985"/>
      <c r="W19" s="985"/>
      <c r="X19" s="985"/>
      <c r="Y19" s="985"/>
      <c r="Z19" s="985"/>
      <c r="AA19" s="985"/>
      <c r="AB19" s="985"/>
      <c r="AC19" s="985"/>
      <c r="AD19" s="985"/>
      <c r="AE19" s="985"/>
      <c r="AF19" s="985"/>
      <c r="AG19" s="985"/>
      <c r="AH19" s="985"/>
      <c r="AI19" s="985"/>
      <c r="AJ19" s="985"/>
      <c r="AK19" s="985"/>
      <c r="AL19" s="985"/>
    </row>
    <row r="20" spans="1:40" ht="12.95" customHeight="1">
      <c r="A20" s="1402" t="s">
        <v>1403</v>
      </c>
      <c r="B20" s="1402"/>
      <c r="C20" s="1402"/>
      <c r="D20" s="1402"/>
      <c r="E20" s="1402"/>
      <c r="F20" s="1402"/>
      <c r="G20" s="1402"/>
      <c r="H20" s="1402"/>
      <c r="I20" s="1402"/>
      <c r="J20" s="1402"/>
      <c r="K20" s="1402"/>
      <c r="L20" s="1402"/>
      <c r="M20" s="1402"/>
      <c r="N20" s="1402"/>
      <c r="O20" s="1402"/>
      <c r="P20" s="1402"/>
      <c r="Q20" s="1402"/>
      <c r="R20" s="1402"/>
      <c r="S20" s="1402"/>
      <c r="T20" s="1402"/>
      <c r="U20" s="1402"/>
      <c r="V20" s="1402"/>
      <c r="W20" s="1402"/>
      <c r="X20" s="1402"/>
      <c r="Y20" s="1402"/>
      <c r="Z20" s="1402"/>
      <c r="AA20" s="1402"/>
      <c r="AB20" s="1402"/>
      <c r="AC20" s="1402"/>
      <c r="AD20" s="1402"/>
      <c r="AE20" s="1402"/>
      <c r="AF20" s="1402"/>
      <c r="AG20" s="1402"/>
      <c r="AH20" s="1402"/>
      <c r="AI20" s="1402"/>
      <c r="AJ20" s="1402"/>
      <c r="AK20" s="1402"/>
      <c r="AL20" s="1402"/>
    </row>
    <row r="21" spans="1:40" ht="12.95" customHeight="1">
      <c r="A21" s="2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40" ht="12.95" customHeight="1">
      <c r="A22" s="208" t="s">
        <v>2202</v>
      </c>
      <c r="C22" s="209"/>
      <c r="D22" s="209"/>
      <c r="E22" s="209"/>
      <c r="F22" s="209"/>
      <c r="G22" s="209"/>
      <c r="H22" s="209"/>
      <c r="I22" s="209"/>
      <c r="J22" s="209"/>
      <c r="K22" s="209"/>
      <c r="L22" s="209"/>
      <c r="M22" s="209"/>
      <c r="N22" s="209"/>
      <c r="O22" s="209"/>
      <c r="P22" s="209"/>
      <c r="Q22" s="209"/>
      <c r="R22" s="209"/>
      <c r="S22" s="209"/>
      <c r="T22" s="209"/>
      <c r="U22" s="209"/>
      <c r="V22" s="209"/>
      <c r="W22" s="209"/>
      <c r="X22" s="209"/>
      <c r="Y22" s="209"/>
      <c r="Z22" s="209"/>
      <c r="AA22" s="27"/>
      <c r="AB22" s="27"/>
      <c r="AC22" s="27"/>
      <c r="AD22" s="27"/>
      <c r="AE22" s="27"/>
      <c r="AF22" s="27"/>
      <c r="AG22" s="27"/>
      <c r="AH22" s="27"/>
      <c r="AI22" s="27"/>
      <c r="AJ22" s="27"/>
      <c r="AK22" s="27"/>
      <c r="AL22" s="27"/>
      <c r="AM22" s="27"/>
    </row>
    <row r="23" spans="1:40" ht="12.95" customHeight="1">
      <c r="A23" s="208" t="s">
        <v>409</v>
      </c>
      <c r="C23" s="209"/>
      <c r="D23" s="209"/>
      <c r="E23" s="209"/>
      <c r="F23" s="209"/>
      <c r="G23" s="209"/>
      <c r="H23" s="209"/>
      <c r="I23" s="209"/>
      <c r="J23" s="209"/>
      <c r="K23" s="209"/>
      <c r="L23" s="209"/>
      <c r="M23" s="209"/>
      <c r="N23" s="209"/>
      <c r="O23" s="209"/>
      <c r="P23" s="209"/>
      <c r="Q23" s="209"/>
      <c r="R23" s="209"/>
      <c r="S23" s="209"/>
      <c r="T23" s="209"/>
      <c r="U23" s="209"/>
      <c r="V23" s="209"/>
      <c r="W23" s="209"/>
      <c r="X23" s="209"/>
      <c r="Y23" s="209"/>
      <c r="Z23" s="209"/>
      <c r="AA23" s="27"/>
      <c r="AB23" s="27"/>
      <c r="AC23" s="27"/>
      <c r="AD23" s="27"/>
      <c r="AE23" s="27"/>
      <c r="AF23" s="27"/>
      <c r="AG23" s="27"/>
      <c r="AH23" s="27"/>
      <c r="AI23" s="27"/>
      <c r="AJ23" s="27"/>
      <c r="AK23" s="27"/>
      <c r="AL23" s="27"/>
      <c r="AM23" s="27"/>
    </row>
    <row r="24" spans="1:40" ht="12.95" customHeight="1">
      <c r="A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5"/>
    </row>
    <row r="25" spans="1:40" ht="12.95" customHeight="1">
      <c r="A25" s="5"/>
      <c r="C25" s="5"/>
      <c r="D25" s="5"/>
      <c r="E25" s="5"/>
      <c r="F25" s="5"/>
      <c r="G25" s="5"/>
      <c r="H25" s="5"/>
      <c r="I25" s="5"/>
      <c r="J25" s="5"/>
      <c r="K25" s="5"/>
      <c r="L25" s="5"/>
      <c r="M25" s="1377">
        <f>ROUND('Basis &amp; Credits'!AB55,0)</f>
        <v>2283015</v>
      </c>
      <c r="N25" s="1377"/>
      <c r="O25" s="1377"/>
      <c r="P25" s="1377"/>
      <c r="Q25" s="1377"/>
      <c r="R25" s="5" t="s">
        <v>884</v>
      </c>
      <c r="S25" s="5"/>
      <c r="T25" s="5"/>
      <c r="U25" s="5"/>
      <c r="V25" s="5"/>
      <c r="W25" s="5"/>
      <c r="X25" s="5"/>
      <c r="Y25" s="5"/>
      <c r="Z25" s="5"/>
      <c r="AF25" s="5"/>
      <c r="AG25" s="5"/>
      <c r="AH25" s="5"/>
      <c r="AI25" s="5"/>
      <c r="AJ25" s="5"/>
      <c r="AK25" s="5"/>
    </row>
    <row r="26" spans="1:40" ht="12.95" customHeight="1">
      <c r="A26" s="5"/>
      <c r="C26" s="5"/>
      <c r="D26" s="5"/>
      <c r="E26" s="5"/>
      <c r="F26" s="5"/>
      <c r="G26" s="5"/>
      <c r="H26" s="5"/>
      <c r="I26" s="5"/>
      <c r="J26" s="5"/>
      <c r="K26" s="5"/>
      <c r="L26" s="5"/>
      <c r="M26" s="5"/>
      <c r="N26" s="5"/>
      <c r="O26" s="5"/>
      <c r="P26" s="5"/>
      <c r="Q26" s="5"/>
      <c r="R26" s="5"/>
      <c r="S26" s="5"/>
      <c r="T26" s="5"/>
      <c r="U26" s="5"/>
      <c r="V26" s="5"/>
      <c r="W26" s="5"/>
      <c r="X26" s="5"/>
      <c r="Y26" s="5"/>
      <c r="Z26" s="5"/>
      <c r="AF26" s="5"/>
      <c r="AG26" s="5"/>
      <c r="AH26" s="5"/>
      <c r="AI26" s="5"/>
      <c r="AJ26" s="5"/>
      <c r="AK26" s="5"/>
    </row>
    <row r="27" spans="1:40" ht="12.95" customHeight="1">
      <c r="A27" s="5"/>
      <c r="C27" s="5"/>
      <c r="D27" s="5"/>
      <c r="E27" s="5"/>
      <c r="F27" s="5"/>
      <c r="G27" s="5"/>
      <c r="H27" s="5"/>
      <c r="I27" s="5"/>
      <c r="J27" s="5"/>
      <c r="K27" s="5"/>
      <c r="L27" s="5"/>
      <c r="M27" s="1377">
        <f>'Basis &amp; Credits'!AB76</f>
        <v>5387233</v>
      </c>
      <c r="N27" s="1377"/>
      <c r="O27" s="1377"/>
      <c r="P27" s="1377"/>
      <c r="Q27" s="1377"/>
      <c r="R27" s="5" t="s">
        <v>1402</v>
      </c>
      <c r="S27" s="5"/>
      <c r="T27" s="5"/>
      <c r="U27" s="5"/>
      <c r="V27" s="5"/>
      <c r="W27" s="5"/>
      <c r="X27" s="5"/>
      <c r="Y27" s="5"/>
      <c r="Z27" s="5"/>
      <c r="AF27" s="5"/>
      <c r="AG27" s="5"/>
      <c r="AH27" s="5"/>
      <c r="AI27" s="5"/>
      <c r="AJ27" s="5"/>
      <c r="AK27" s="5"/>
    </row>
    <row r="28" spans="1:40" ht="12.95" customHeight="1">
      <c r="A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0" ht="12.95" customHeight="1">
      <c r="A29" s="102" t="s">
        <v>216</v>
      </c>
      <c r="C29" s="102"/>
      <c r="D29" s="102"/>
      <c r="E29" s="102"/>
      <c r="F29" s="102"/>
      <c r="G29" s="102"/>
      <c r="H29" s="102"/>
      <c r="I29" s="102"/>
      <c r="J29" s="102"/>
      <c r="K29" s="102"/>
      <c r="L29" s="102"/>
      <c r="M29" s="102"/>
      <c r="N29" s="102"/>
      <c r="O29" s="102"/>
      <c r="P29" s="102"/>
      <c r="Q29" s="102"/>
      <c r="R29" s="102"/>
      <c r="S29" s="102"/>
      <c r="T29" s="102"/>
      <c r="U29" s="102"/>
      <c r="V29" s="102"/>
      <c r="W29" s="102"/>
      <c r="X29" s="102"/>
      <c r="Y29" s="102"/>
      <c r="Z29" s="102"/>
      <c r="AA29" s="19"/>
      <c r="AB29" s="19"/>
      <c r="AC29" s="19"/>
      <c r="AD29" s="19"/>
      <c r="AE29" s="19"/>
      <c r="AF29" s="19"/>
      <c r="AG29" s="19"/>
      <c r="AH29" s="19"/>
      <c r="AI29" s="19"/>
      <c r="AJ29" s="19"/>
      <c r="AK29" s="19"/>
      <c r="AL29" s="19"/>
      <c r="AM29" s="19"/>
      <c r="AN29" s="5"/>
    </row>
    <row r="30" spans="1:40" ht="12.95" customHeight="1">
      <c r="A30" s="102" t="s">
        <v>782</v>
      </c>
      <c r="C30" s="102"/>
      <c r="D30" s="102"/>
      <c r="E30" s="102"/>
      <c r="F30" s="102"/>
      <c r="G30" s="102"/>
      <c r="H30" s="102"/>
      <c r="I30" s="102"/>
      <c r="J30" s="102"/>
      <c r="K30" s="102"/>
      <c r="L30" s="102"/>
      <c r="M30" s="102"/>
      <c r="N30" s="102"/>
      <c r="O30" s="102"/>
      <c r="P30" s="102"/>
      <c r="Q30" s="102"/>
      <c r="R30" s="102"/>
      <c r="S30" s="102"/>
      <c r="T30" s="102"/>
      <c r="U30" s="102"/>
      <c r="V30" s="102"/>
      <c r="W30" s="102"/>
      <c r="X30" s="102"/>
      <c r="Y30" s="102"/>
      <c r="Z30" s="102"/>
      <c r="AA30" s="19"/>
      <c r="AB30" s="19"/>
      <c r="AC30" s="19"/>
      <c r="AD30" s="19"/>
      <c r="AE30" s="19"/>
      <c r="AF30" s="19"/>
      <c r="AG30" s="19"/>
      <c r="AH30" s="19"/>
      <c r="AI30" s="19"/>
      <c r="AJ30" s="19"/>
      <c r="AK30" s="19"/>
      <c r="AL30" s="19"/>
      <c r="AM30" s="19"/>
      <c r="AN30" s="5"/>
    </row>
    <row r="31" spans="1:40" ht="12.95" customHeight="1">
      <c r="A31" s="102" t="s">
        <v>2203</v>
      </c>
      <c r="C31" s="102"/>
      <c r="D31" s="102"/>
      <c r="E31" s="102"/>
      <c r="F31" s="102"/>
      <c r="G31" s="102"/>
      <c r="H31" s="102"/>
      <c r="I31" s="102"/>
      <c r="J31" s="102"/>
      <c r="K31" s="102"/>
      <c r="L31" s="102"/>
      <c r="M31" s="102"/>
      <c r="N31" s="102"/>
      <c r="O31" s="102"/>
      <c r="P31" s="102"/>
      <c r="Q31" s="102"/>
      <c r="R31" s="102"/>
      <c r="S31" s="102"/>
      <c r="T31" s="102"/>
      <c r="U31" s="102"/>
      <c r="V31" s="102"/>
      <c r="W31" s="102"/>
      <c r="X31" s="102"/>
      <c r="Y31" s="102"/>
      <c r="Z31" s="102"/>
      <c r="AA31" s="19"/>
      <c r="AB31" s="19"/>
      <c r="AC31" s="19"/>
      <c r="AD31" s="19"/>
      <c r="AE31" s="19"/>
      <c r="AF31" s="19"/>
      <c r="AG31" s="19"/>
      <c r="AH31" s="19"/>
      <c r="AI31" s="19"/>
      <c r="AJ31" s="19"/>
      <c r="AK31" s="19"/>
      <c r="AL31" s="19"/>
      <c r="AM31" s="19"/>
      <c r="AN31" s="5"/>
    </row>
    <row r="32" spans="1:40" ht="12.95" customHeight="1">
      <c r="A32" s="102"/>
      <c r="C32" s="102"/>
      <c r="D32" s="102"/>
      <c r="E32" s="102"/>
      <c r="F32" s="102"/>
      <c r="G32" s="102"/>
      <c r="H32" s="102"/>
      <c r="I32" s="102"/>
      <c r="J32" s="102"/>
      <c r="K32" s="102"/>
      <c r="L32" s="102"/>
      <c r="M32" s="102"/>
      <c r="N32" s="102"/>
      <c r="O32" s="102"/>
      <c r="P32" s="102"/>
      <c r="Q32" s="102"/>
      <c r="R32" s="102"/>
      <c r="S32" s="102"/>
      <c r="T32" s="102"/>
      <c r="U32" s="102"/>
      <c r="V32" s="102"/>
      <c r="W32" s="102"/>
      <c r="X32" s="102"/>
      <c r="Y32" s="102"/>
      <c r="Z32" s="102"/>
      <c r="AA32" s="19"/>
      <c r="AB32" s="19"/>
      <c r="AC32" s="19"/>
      <c r="AD32" s="19"/>
      <c r="AE32" s="19"/>
      <c r="AF32" s="19"/>
      <c r="AG32" s="19"/>
      <c r="AH32" s="19"/>
      <c r="AI32" s="19"/>
      <c r="AJ32" s="19"/>
      <c r="AK32" s="5"/>
    </row>
    <row r="33" spans="1:39" ht="12.95" customHeight="1">
      <c r="A33" s="102" t="s">
        <v>1411</v>
      </c>
      <c r="C33" s="102"/>
      <c r="D33" s="102"/>
      <c r="E33" s="102"/>
      <c r="F33" s="102"/>
      <c r="G33" s="102"/>
      <c r="H33" s="102"/>
      <c r="I33" s="102"/>
      <c r="J33" s="102"/>
      <c r="K33" s="102"/>
      <c r="L33" s="102"/>
      <c r="M33" s="102"/>
      <c r="N33" s="102"/>
      <c r="O33" s="1113" t="s">
        <v>116</v>
      </c>
      <c r="P33" s="1113"/>
      <c r="Q33" s="102" t="s">
        <v>1412</v>
      </c>
      <c r="S33" s="102"/>
      <c r="T33" s="102"/>
      <c r="U33" s="102"/>
      <c r="V33" s="102"/>
      <c r="W33" s="102"/>
      <c r="X33" s="102"/>
      <c r="Y33" s="102"/>
      <c r="Z33" s="102"/>
      <c r="AA33" s="19"/>
      <c r="AB33" s="19"/>
      <c r="AC33" s="19"/>
      <c r="AD33" s="19"/>
      <c r="AE33" s="19"/>
      <c r="AF33" s="19"/>
      <c r="AG33" s="19"/>
      <c r="AH33" s="19"/>
      <c r="AI33" s="19"/>
      <c r="AJ33" s="19"/>
      <c r="AK33" s="19"/>
      <c r="AL33" s="19"/>
      <c r="AM33" s="19"/>
    </row>
    <row r="34" spans="1:39" ht="12.95" customHeight="1">
      <c r="A34" s="41" t="s">
        <v>1971</v>
      </c>
      <c r="C34" s="102"/>
      <c r="D34" s="102"/>
      <c r="E34" s="102"/>
      <c r="F34" s="102"/>
      <c r="G34" s="102"/>
      <c r="H34" s="102"/>
      <c r="I34" s="102"/>
      <c r="J34" s="102"/>
      <c r="K34" s="102"/>
      <c r="L34" s="102"/>
      <c r="M34" s="102"/>
      <c r="N34" s="102"/>
      <c r="O34" s="102"/>
      <c r="P34" s="102"/>
      <c r="Q34" s="102"/>
      <c r="R34" s="102"/>
      <c r="S34" s="102"/>
      <c r="T34" s="102"/>
      <c r="U34" s="102"/>
      <c r="V34" s="102"/>
      <c r="W34" s="102"/>
      <c r="X34" s="102"/>
      <c r="Y34" s="102"/>
      <c r="Z34" s="102"/>
      <c r="AA34" s="19"/>
      <c r="AB34" s="19"/>
      <c r="AC34" s="19"/>
      <c r="AD34" s="19"/>
      <c r="AE34" s="19"/>
      <c r="AF34" s="19"/>
      <c r="AG34" s="19"/>
      <c r="AH34" s="19"/>
      <c r="AI34" s="19"/>
      <c r="AJ34" s="19"/>
      <c r="AK34" s="19"/>
      <c r="AL34" s="19"/>
      <c r="AM34" s="19"/>
    </row>
    <row r="35" spans="1:39" ht="12.95" customHeight="1">
      <c r="A35" s="5" t="s">
        <v>1413</v>
      </c>
      <c r="C35" s="102"/>
      <c r="D35" s="102"/>
      <c r="E35" s="102"/>
      <c r="F35" s="102"/>
      <c r="G35" s="102"/>
      <c r="H35" s="102"/>
      <c r="I35" s="102"/>
      <c r="J35" s="102"/>
      <c r="K35" s="102"/>
      <c r="L35" s="102"/>
      <c r="M35" s="102"/>
      <c r="N35" s="102"/>
      <c r="O35" s="102"/>
      <c r="P35" s="102"/>
      <c r="Q35" s="102"/>
      <c r="R35" s="102"/>
      <c r="S35" s="102"/>
      <c r="T35" s="102"/>
      <c r="U35" s="102"/>
      <c r="V35" s="102"/>
      <c r="W35" s="102"/>
      <c r="X35" s="102"/>
      <c r="Y35" s="102"/>
      <c r="Z35" s="102"/>
      <c r="AA35" s="19"/>
      <c r="AB35" s="19"/>
      <c r="AC35" s="19"/>
      <c r="AD35" s="19"/>
      <c r="AE35" s="19"/>
      <c r="AF35" s="19"/>
      <c r="AG35" s="19"/>
      <c r="AH35" s="19"/>
      <c r="AI35" s="19"/>
      <c r="AJ35" s="19"/>
      <c r="AK35" s="19"/>
      <c r="AL35" s="19"/>
      <c r="AM35" s="19"/>
    </row>
    <row r="36" spans="1:39" ht="12.95" customHeight="1">
      <c r="A36" s="41" t="s">
        <v>1974</v>
      </c>
      <c r="C36" s="102"/>
      <c r="D36" s="102"/>
      <c r="E36" s="102"/>
      <c r="F36" s="102"/>
      <c r="G36" s="102"/>
      <c r="H36" s="102"/>
      <c r="I36" s="102"/>
      <c r="J36" s="102"/>
      <c r="K36" s="102"/>
      <c r="L36" s="102"/>
      <c r="M36" s="102"/>
      <c r="N36" s="102"/>
      <c r="O36" s="102"/>
      <c r="P36" s="102"/>
      <c r="Q36" s="102"/>
      <c r="R36" s="102"/>
      <c r="S36" s="102"/>
      <c r="T36" s="102"/>
      <c r="U36" s="102"/>
      <c r="V36" s="102"/>
      <c r="W36" s="102"/>
      <c r="X36" s="102"/>
      <c r="Y36" s="102"/>
      <c r="Z36" s="102"/>
      <c r="AA36" s="19"/>
      <c r="AB36" s="19"/>
      <c r="AC36" s="19"/>
      <c r="AD36" s="19"/>
      <c r="AE36" s="19"/>
      <c r="AF36" s="19"/>
      <c r="AG36" s="19"/>
      <c r="AH36" s="19"/>
      <c r="AI36" s="19"/>
      <c r="AJ36" s="19"/>
      <c r="AK36" s="19"/>
      <c r="AL36" s="19"/>
      <c r="AM36" s="19"/>
    </row>
    <row r="37" spans="1:39" ht="12.95" customHeight="1">
      <c r="A37" t="s">
        <v>1972</v>
      </c>
      <c r="C37" s="102"/>
      <c r="D37" s="102"/>
      <c r="E37" s="102"/>
      <c r="F37" s="102"/>
      <c r="G37" s="102"/>
      <c r="H37" s="102"/>
      <c r="I37" s="102"/>
      <c r="J37" s="102"/>
      <c r="K37" s="102"/>
      <c r="L37" s="102"/>
      <c r="M37" s="102"/>
      <c r="N37" s="102"/>
      <c r="O37" s="102"/>
      <c r="P37" s="102"/>
      <c r="Q37" s="102"/>
      <c r="R37" s="102"/>
      <c r="S37" s="102"/>
      <c r="T37" s="102"/>
      <c r="U37" s="102"/>
      <c r="V37" s="102"/>
      <c r="W37" s="102"/>
      <c r="X37" s="102"/>
      <c r="Y37" s="102"/>
      <c r="Z37" s="102"/>
      <c r="AA37" s="19"/>
      <c r="AB37" s="19"/>
      <c r="AC37" s="19"/>
      <c r="AD37" s="19"/>
      <c r="AE37" s="19"/>
      <c r="AF37" s="19"/>
      <c r="AG37" s="19"/>
      <c r="AH37" s="19"/>
      <c r="AI37" s="19"/>
      <c r="AJ37" s="19"/>
      <c r="AK37" s="19"/>
      <c r="AL37" s="19"/>
      <c r="AM37" s="19"/>
    </row>
    <row r="38" spans="1:39" ht="12.95" customHeight="1">
      <c r="A38" t="s">
        <v>1973</v>
      </c>
      <c r="AM38" s="19"/>
    </row>
    <row r="39" spans="1:39" ht="12.95" customHeight="1">
      <c r="AM39" s="19"/>
    </row>
    <row r="40" spans="1:39" ht="12.95" customHeight="1">
      <c r="A40" s="102" t="s">
        <v>2204</v>
      </c>
      <c r="C40" s="102"/>
      <c r="D40" s="102"/>
      <c r="E40" s="102"/>
      <c r="F40" s="102"/>
      <c r="G40" s="102"/>
      <c r="H40" s="102"/>
      <c r="I40" s="102"/>
      <c r="J40" s="102"/>
      <c r="K40" s="102"/>
      <c r="L40" s="102"/>
      <c r="M40" s="102"/>
      <c r="N40" s="102"/>
      <c r="O40" s="102"/>
      <c r="P40" s="102"/>
      <c r="Q40" s="102"/>
      <c r="R40" s="102"/>
      <c r="S40" s="102"/>
      <c r="T40" s="102"/>
      <c r="U40" s="102"/>
      <c r="V40" s="102"/>
      <c r="W40" s="102"/>
      <c r="X40" s="102"/>
      <c r="Y40" s="102"/>
      <c r="Z40" s="102"/>
      <c r="AA40" s="19"/>
      <c r="AB40" s="19"/>
      <c r="AC40" s="19"/>
      <c r="AD40" s="19"/>
      <c r="AE40" s="19"/>
      <c r="AF40" s="19"/>
      <c r="AG40" s="19"/>
      <c r="AH40" s="19"/>
      <c r="AI40" s="19"/>
      <c r="AJ40" s="19"/>
      <c r="AK40" s="19"/>
      <c r="AL40" s="19"/>
      <c r="AM40" s="19"/>
    </row>
    <row r="41" spans="1:39" ht="12.95" customHeight="1">
      <c r="A41" s="102" t="s">
        <v>838</v>
      </c>
      <c r="C41" s="102"/>
      <c r="D41" s="102"/>
      <c r="E41" s="102"/>
      <c r="F41" s="102"/>
      <c r="G41" s="102"/>
      <c r="H41" s="102"/>
      <c r="I41" s="102"/>
      <c r="J41" s="102"/>
      <c r="K41" s="102"/>
      <c r="L41" s="102"/>
      <c r="M41" s="102"/>
      <c r="N41" s="102"/>
      <c r="O41" s="102"/>
      <c r="P41" s="102"/>
      <c r="Q41" s="102"/>
      <c r="R41" s="102"/>
      <c r="S41" s="102"/>
      <c r="T41" s="102"/>
      <c r="U41" s="102"/>
      <c r="V41" s="102"/>
      <c r="W41" s="102"/>
      <c r="X41" s="102"/>
      <c r="Y41" s="102"/>
      <c r="Z41" s="102"/>
      <c r="AA41" s="19"/>
      <c r="AB41" s="19"/>
      <c r="AC41" s="19"/>
      <c r="AD41" s="19"/>
      <c r="AE41" s="19"/>
      <c r="AF41" s="19"/>
      <c r="AG41" s="19"/>
      <c r="AH41" s="19"/>
      <c r="AI41" s="19"/>
      <c r="AJ41" s="19"/>
      <c r="AK41" s="19"/>
      <c r="AL41" s="19"/>
      <c r="AM41" s="19"/>
    </row>
    <row r="42" spans="1:39" ht="12.95" customHeight="1">
      <c r="A42" s="102" t="s">
        <v>839</v>
      </c>
      <c r="C42" s="102"/>
      <c r="D42" s="102"/>
      <c r="E42" s="102"/>
      <c r="F42" s="102"/>
      <c r="G42" s="102"/>
      <c r="H42" s="102"/>
      <c r="I42" s="102"/>
      <c r="J42" s="102"/>
      <c r="K42" s="102"/>
      <c r="L42" s="102"/>
      <c r="M42" s="102"/>
      <c r="N42" s="102"/>
      <c r="O42" s="102"/>
      <c r="P42" s="102"/>
      <c r="Q42" s="102"/>
      <c r="R42" s="102"/>
      <c r="S42" s="102"/>
      <c r="T42" s="102"/>
      <c r="U42" s="102"/>
      <c r="V42" s="102"/>
      <c r="W42" s="102"/>
      <c r="X42" s="102"/>
      <c r="Y42" s="102"/>
      <c r="Z42" s="102"/>
      <c r="AA42" s="19"/>
      <c r="AB42" s="19"/>
      <c r="AC42" s="19"/>
      <c r="AD42" s="19"/>
      <c r="AE42" s="19"/>
      <c r="AF42" s="19"/>
      <c r="AG42" s="19"/>
      <c r="AH42" s="19"/>
      <c r="AI42" s="19"/>
      <c r="AJ42" s="19"/>
      <c r="AK42" s="19"/>
      <c r="AL42" s="19"/>
      <c r="AM42" s="19"/>
    </row>
    <row r="43" spans="1:39" ht="12.95" customHeight="1">
      <c r="A43" s="102" t="s">
        <v>138</v>
      </c>
      <c r="C43" s="102"/>
      <c r="D43" s="102"/>
      <c r="E43" s="102"/>
      <c r="F43" s="102"/>
      <c r="G43" s="102"/>
      <c r="H43" s="102"/>
      <c r="I43" s="102"/>
      <c r="J43" s="102"/>
      <c r="K43" s="102"/>
      <c r="L43" s="102"/>
      <c r="M43" s="102"/>
      <c r="N43" s="102"/>
      <c r="O43" s="102"/>
      <c r="P43" s="102"/>
      <c r="Q43" s="102"/>
      <c r="R43" s="102"/>
      <c r="S43" s="102"/>
      <c r="T43" s="102"/>
      <c r="U43" s="102"/>
      <c r="V43" s="102"/>
      <c r="W43" s="102"/>
      <c r="X43" s="102"/>
      <c r="Y43" s="102"/>
      <c r="Z43" s="102"/>
      <c r="AA43" s="19"/>
      <c r="AB43" s="19"/>
      <c r="AC43" s="19"/>
      <c r="AD43" s="19"/>
      <c r="AE43" s="19"/>
      <c r="AF43" s="19"/>
      <c r="AG43" s="19"/>
      <c r="AH43" s="19"/>
      <c r="AI43" s="19"/>
      <c r="AJ43" s="19"/>
      <c r="AK43" s="19"/>
      <c r="AL43" s="19"/>
      <c r="AM43" s="19"/>
    </row>
    <row r="44" spans="1:39" ht="12.95" customHeight="1">
      <c r="A44" s="102" t="s">
        <v>2205</v>
      </c>
      <c r="C44" s="102"/>
      <c r="D44" s="102"/>
      <c r="E44" s="102"/>
      <c r="F44" s="102"/>
      <c r="G44" s="102"/>
      <c r="H44" s="102"/>
      <c r="I44" s="102"/>
      <c r="J44" s="102"/>
      <c r="K44" s="102"/>
      <c r="L44" s="102"/>
      <c r="M44" s="102"/>
      <c r="N44" s="102"/>
      <c r="O44" s="102"/>
      <c r="P44" s="102"/>
      <c r="Q44" s="102"/>
      <c r="R44" s="102"/>
      <c r="S44" s="102"/>
      <c r="T44" s="102"/>
      <c r="U44" s="102"/>
      <c r="V44" s="102"/>
      <c r="W44" s="102"/>
      <c r="X44" s="102"/>
      <c r="Y44" s="102"/>
      <c r="Z44" s="102"/>
      <c r="AA44" s="19"/>
      <c r="AB44" s="19"/>
      <c r="AC44" s="19"/>
      <c r="AD44" s="19"/>
      <c r="AE44" s="19"/>
      <c r="AF44" s="19"/>
      <c r="AG44" s="19"/>
      <c r="AH44" s="19"/>
      <c r="AI44" s="19"/>
      <c r="AJ44" s="19"/>
      <c r="AK44" s="19"/>
      <c r="AL44" s="19"/>
    </row>
    <row r="45" spans="1:39" ht="12.95" customHeight="1">
      <c r="A45" s="102" t="s">
        <v>139</v>
      </c>
      <c r="C45" s="102"/>
      <c r="D45" s="102"/>
      <c r="E45" s="102"/>
      <c r="F45" s="102"/>
      <c r="G45" s="102"/>
      <c r="H45" s="102"/>
      <c r="I45" s="102"/>
      <c r="J45" s="102"/>
      <c r="K45" s="102"/>
      <c r="L45" s="102"/>
      <c r="M45" s="102"/>
      <c r="N45" s="102"/>
      <c r="O45" s="102"/>
      <c r="P45" s="102"/>
      <c r="Q45" s="102"/>
      <c r="R45" s="102"/>
      <c r="S45" s="102"/>
      <c r="T45" s="102"/>
      <c r="U45" s="102"/>
      <c r="V45" s="102"/>
      <c r="W45" s="102"/>
      <c r="X45" s="102"/>
      <c r="Y45" s="102"/>
      <c r="Z45" s="102"/>
      <c r="AA45" s="19"/>
      <c r="AB45" s="19"/>
      <c r="AC45" s="19"/>
      <c r="AD45" s="19"/>
      <c r="AE45" s="19"/>
      <c r="AF45" s="19"/>
      <c r="AG45" s="19"/>
      <c r="AH45" s="19"/>
      <c r="AI45" s="19"/>
      <c r="AJ45" s="19"/>
      <c r="AK45" s="19"/>
      <c r="AL45" s="19"/>
      <c r="AM45" s="19"/>
    </row>
    <row r="46" spans="1:39" ht="12.95" customHeight="1">
      <c r="A46" s="102" t="s">
        <v>2206</v>
      </c>
      <c r="C46" s="102"/>
      <c r="D46" s="102"/>
      <c r="E46" s="102"/>
      <c r="F46" s="102"/>
      <c r="G46" s="102"/>
      <c r="H46" s="102"/>
      <c r="I46" s="102"/>
      <c r="J46" s="102"/>
      <c r="K46" s="102"/>
      <c r="L46" s="102"/>
      <c r="M46" s="102"/>
      <c r="N46" s="102"/>
      <c r="O46" s="102"/>
      <c r="P46" s="102"/>
      <c r="Q46" s="102"/>
      <c r="R46" s="102"/>
      <c r="S46" s="102"/>
      <c r="T46" s="102"/>
      <c r="U46" s="102"/>
      <c r="V46" s="102"/>
      <c r="W46" s="102"/>
      <c r="X46" s="102"/>
      <c r="Y46" s="102"/>
      <c r="Z46" s="102"/>
      <c r="AA46" s="19"/>
      <c r="AB46" s="19"/>
      <c r="AC46" s="19"/>
      <c r="AD46" s="19"/>
      <c r="AE46" s="19"/>
      <c r="AF46" s="19"/>
      <c r="AG46" s="19"/>
      <c r="AH46" s="19"/>
      <c r="AI46" s="19"/>
      <c r="AJ46" s="19"/>
      <c r="AK46" s="19"/>
      <c r="AL46" s="19"/>
      <c r="AM46" s="19"/>
    </row>
    <row r="47" spans="1:39" ht="12.95" customHeight="1">
      <c r="A47" s="102" t="s">
        <v>209</v>
      </c>
      <c r="C47" s="102"/>
      <c r="D47" s="102"/>
      <c r="E47" s="102"/>
      <c r="F47" s="102"/>
      <c r="G47" s="102"/>
      <c r="H47" s="102"/>
      <c r="I47" s="102"/>
      <c r="J47" s="102"/>
      <c r="K47" s="102"/>
      <c r="L47" s="102"/>
      <c r="M47" s="102"/>
      <c r="N47" s="102"/>
      <c r="O47" s="102"/>
      <c r="P47" s="102"/>
      <c r="Q47" s="102"/>
      <c r="R47" s="102"/>
      <c r="S47" s="102"/>
      <c r="T47" s="102"/>
      <c r="U47" s="102"/>
      <c r="V47" s="102"/>
      <c r="W47" s="102"/>
      <c r="X47" s="102"/>
      <c r="Y47" s="102"/>
      <c r="Z47" s="102"/>
      <c r="AA47" s="19"/>
      <c r="AB47" s="19"/>
      <c r="AC47" s="19"/>
      <c r="AD47" s="19"/>
      <c r="AE47" s="19"/>
      <c r="AF47" s="19"/>
      <c r="AG47" s="19"/>
      <c r="AH47" s="19"/>
      <c r="AI47" s="19"/>
      <c r="AJ47" s="19"/>
      <c r="AK47" s="19"/>
      <c r="AL47" s="19"/>
      <c r="AM47" s="19"/>
    </row>
    <row r="48" spans="1:39" ht="12.95" customHeight="1">
      <c r="A48" s="102" t="s">
        <v>2207</v>
      </c>
      <c r="C48" s="102"/>
      <c r="D48" s="102"/>
      <c r="E48" s="102"/>
      <c r="F48" s="102"/>
      <c r="G48" s="102"/>
      <c r="H48" s="102"/>
      <c r="I48" s="102"/>
      <c r="J48" s="102"/>
      <c r="K48" s="102"/>
      <c r="L48" s="102"/>
      <c r="M48" s="102"/>
      <c r="N48" s="102"/>
      <c r="O48" s="102"/>
      <c r="P48" s="102"/>
      <c r="Q48" s="102"/>
      <c r="R48" s="102"/>
      <c r="S48" s="102"/>
      <c r="T48" s="102"/>
      <c r="U48" s="102"/>
      <c r="V48" s="102"/>
      <c r="W48" s="102"/>
      <c r="X48" s="102"/>
      <c r="Y48" s="102"/>
      <c r="Z48" s="102"/>
      <c r="AA48" s="19"/>
      <c r="AB48" s="19"/>
      <c r="AC48" s="19"/>
      <c r="AD48" s="19"/>
      <c r="AE48" s="19"/>
      <c r="AF48" s="19"/>
      <c r="AG48" s="19"/>
      <c r="AH48" s="19"/>
      <c r="AI48" s="19"/>
      <c r="AJ48" s="19"/>
      <c r="AK48" s="5"/>
      <c r="AM48" s="19"/>
    </row>
    <row r="49" spans="1:39" ht="12.95" customHeight="1">
      <c r="A49" s="102" t="s">
        <v>2208</v>
      </c>
      <c r="C49" s="102"/>
      <c r="D49" s="102"/>
      <c r="E49" s="102"/>
      <c r="F49" s="102"/>
      <c r="G49" s="102"/>
      <c r="H49" s="102"/>
      <c r="I49" s="102"/>
      <c r="J49" s="102"/>
      <c r="K49" s="102"/>
      <c r="L49" s="102"/>
      <c r="M49" s="102"/>
      <c r="N49" s="102"/>
      <c r="O49" s="102"/>
      <c r="P49" s="102"/>
      <c r="Q49" s="102"/>
      <c r="R49" s="102"/>
      <c r="S49" s="102"/>
      <c r="T49" s="102"/>
      <c r="U49" s="102"/>
      <c r="V49" s="102"/>
      <c r="W49" s="102"/>
      <c r="X49" s="102"/>
      <c r="Y49" s="102"/>
      <c r="Z49" s="102"/>
      <c r="AA49" s="19"/>
      <c r="AB49" s="19"/>
      <c r="AC49" s="19"/>
      <c r="AD49" s="19"/>
      <c r="AE49" s="19"/>
      <c r="AF49" s="19"/>
      <c r="AG49" s="19"/>
      <c r="AH49" s="19"/>
      <c r="AI49" s="19"/>
      <c r="AJ49" s="19"/>
      <c r="AK49" s="5"/>
      <c r="AM49" s="19"/>
    </row>
    <row r="50" spans="1:39" ht="12.95" customHeight="1">
      <c r="C50" s="102"/>
      <c r="D50" s="102"/>
      <c r="E50" s="102"/>
      <c r="F50" s="102"/>
      <c r="G50" s="102"/>
      <c r="H50" s="102"/>
      <c r="I50" s="102"/>
      <c r="J50" s="102"/>
      <c r="K50" s="102"/>
      <c r="L50" s="102"/>
      <c r="M50" s="102"/>
      <c r="N50" s="102"/>
      <c r="O50" s="102"/>
      <c r="P50" s="102"/>
      <c r="Q50" s="102"/>
      <c r="R50" s="102"/>
      <c r="S50" s="102"/>
      <c r="T50" s="102"/>
      <c r="U50" s="102"/>
      <c r="V50" s="102"/>
      <c r="W50" s="102"/>
      <c r="X50" s="102"/>
      <c r="Y50" s="102"/>
      <c r="Z50" s="102"/>
      <c r="AA50" s="19"/>
      <c r="AB50" s="19"/>
      <c r="AC50" s="19"/>
      <c r="AD50" s="19"/>
      <c r="AE50" s="19"/>
      <c r="AF50" s="19"/>
      <c r="AG50" s="19"/>
      <c r="AH50" s="19"/>
      <c r="AI50" s="19"/>
      <c r="AJ50" s="19"/>
      <c r="AK50" s="19"/>
      <c r="AL50" s="19"/>
      <c r="AM50" s="19"/>
    </row>
    <row r="51" spans="1:39" ht="12.95" customHeight="1">
      <c r="A51" s="102" t="s">
        <v>217</v>
      </c>
      <c r="C51" s="102"/>
      <c r="D51" s="102"/>
      <c r="E51" s="102"/>
      <c r="F51" s="102"/>
      <c r="G51" s="102"/>
      <c r="H51" s="102"/>
      <c r="I51" s="102"/>
      <c r="J51" s="102"/>
      <c r="K51" s="102"/>
      <c r="L51" s="102"/>
      <c r="M51" s="102"/>
      <c r="N51" s="102"/>
      <c r="O51" s="102"/>
      <c r="P51" s="102"/>
      <c r="Q51" s="102"/>
      <c r="R51" s="102"/>
      <c r="S51" s="102"/>
      <c r="T51" s="102"/>
      <c r="U51" s="102"/>
      <c r="V51" s="102"/>
      <c r="W51" s="102"/>
      <c r="X51" s="102"/>
      <c r="Y51" s="102"/>
      <c r="Z51" s="102"/>
      <c r="AA51" s="19"/>
      <c r="AB51" s="19"/>
      <c r="AC51" s="19"/>
      <c r="AD51" s="19"/>
      <c r="AE51" s="19"/>
      <c r="AF51" s="19"/>
      <c r="AG51" s="19"/>
      <c r="AH51" s="19"/>
      <c r="AI51" s="19"/>
      <c r="AJ51" s="19"/>
      <c r="AK51" s="19"/>
      <c r="AL51" s="19"/>
      <c r="AM51" s="29"/>
    </row>
    <row r="52" spans="1:39" ht="12.95" customHeight="1">
      <c r="A52" s="102" t="s">
        <v>1404</v>
      </c>
      <c r="C52" s="102"/>
      <c r="D52" s="102"/>
      <c r="E52" s="102"/>
      <c r="F52" s="102"/>
      <c r="G52" s="102"/>
      <c r="H52" s="102"/>
      <c r="I52" s="102"/>
      <c r="J52" s="102"/>
      <c r="K52" s="102"/>
      <c r="L52" s="102"/>
      <c r="M52" s="102"/>
      <c r="N52" s="102"/>
      <c r="O52" s="102"/>
      <c r="P52" s="102"/>
      <c r="Q52" s="102"/>
      <c r="R52" s="102"/>
      <c r="S52" s="102"/>
      <c r="T52" s="102"/>
      <c r="U52" s="102"/>
      <c r="V52" s="102"/>
      <c r="W52" s="102"/>
      <c r="X52" s="102"/>
      <c r="Y52" s="102"/>
      <c r="Z52" s="102"/>
      <c r="AA52" s="19"/>
      <c r="AB52" s="19"/>
      <c r="AC52" s="19"/>
      <c r="AD52" s="19"/>
      <c r="AE52" s="19"/>
      <c r="AF52" s="19"/>
      <c r="AG52" s="19"/>
      <c r="AH52" s="19"/>
      <c r="AI52" s="19"/>
      <c r="AJ52" s="19"/>
      <c r="AK52" s="19"/>
      <c r="AL52" s="19"/>
      <c r="AM52" s="29"/>
    </row>
    <row r="53" spans="1:39" ht="12.95" customHeight="1">
      <c r="A53" s="102" t="s">
        <v>1224</v>
      </c>
      <c r="C53" s="102"/>
      <c r="D53" s="102"/>
      <c r="E53" s="102"/>
      <c r="F53" s="102"/>
      <c r="G53" s="102"/>
      <c r="H53" s="102"/>
      <c r="I53" s="102"/>
      <c r="J53" s="102"/>
      <c r="K53" s="102"/>
      <c r="L53" s="102"/>
      <c r="M53" s="102"/>
      <c r="N53" s="102"/>
      <c r="O53" s="102"/>
      <c r="P53" s="102"/>
      <c r="Q53" s="102"/>
      <c r="R53" s="102"/>
      <c r="S53" s="102"/>
      <c r="T53" s="102"/>
      <c r="U53" s="102"/>
      <c r="V53" s="102"/>
      <c r="W53" s="102"/>
      <c r="X53" s="102"/>
      <c r="Y53" s="102"/>
      <c r="Z53" s="102"/>
      <c r="AA53" s="19"/>
      <c r="AB53" s="19"/>
      <c r="AC53" s="19"/>
      <c r="AD53" s="19"/>
      <c r="AE53" s="19"/>
      <c r="AF53" s="19"/>
      <c r="AG53" s="19"/>
      <c r="AH53" s="19"/>
      <c r="AI53" s="19"/>
      <c r="AJ53" s="19"/>
      <c r="AK53" s="19"/>
      <c r="AL53" s="19"/>
    </row>
    <row r="54" spans="1:39" ht="12.95" customHeight="1">
      <c r="C54" s="102"/>
      <c r="D54" s="102"/>
      <c r="E54" s="102"/>
      <c r="F54" s="102"/>
      <c r="G54" s="102"/>
      <c r="H54" s="102"/>
      <c r="I54" s="102"/>
      <c r="J54" s="102"/>
      <c r="K54" s="102"/>
      <c r="L54" s="102"/>
      <c r="M54" s="102"/>
      <c r="N54" s="102"/>
      <c r="O54" s="102"/>
      <c r="P54" s="102"/>
      <c r="Q54" s="102"/>
      <c r="R54" s="102"/>
      <c r="S54" s="102"/>
      <c r="T54" s="102"/>
      <c r="U54" s="102"/>
      <c r="V54" s="102"/>
      <c r="W54" s="102"/>
      <c r="X54" s="102"/>
      <c r="Y54" s="102"/>
      <c r="Z54" s="102"/>
      <c r="AA54" s="19"/>
      <c r="AB54" s="19"/>
      <c r="AC54" s="19"/>
      <c r="AD54" s="19"/>
      <c r="AE54" s="19"/>
      <c r="AF54" s="19"/>
      <c r="AG54" s="19"/>
      <c r="AH54" s="19"/>
      <c r="AI54" s="19"/>
      <c r="AJ54" s="19"/>
      <c r="AK54" s="19"/>
      <c r="AL54" s="19"/>
    </row>
    <row r="55" spans="1:39" ht="12.95" customHeight="1">
      <c r="A55" s="102" t="s">
        <v>928</v>
      </c>
      <c r="C55" s="102"/>
      <c r="D55" s="102"/>
      <c r="E55" s="102"/>
      <c r="F55" s="102"/>
      <c r="G55" s="102"/>
      <c r="H55" s="102"/>
      <c r="I55" s="102"/>
      <c r="J55" s="102"/>
      <c r="K55" s="102"/>
      <c r="L55" s="102"/>
      <c r="M55" s="102"/>
      <c r="N55" s="102"/>
      <c r="O55" s="102"/>
      <c r="P55" s="102"/>
      <c r="Q55" s="102"/>
      <c r="R55" s="102"/>
      <c r="S55" s="102"/>
      <c r="T55" s="102"/>
      <c r="U55" s="102"/>
      <c r="V55" s="102"/>
      <c r="W55" s="102"/>
      <c r="X55" s="102"/>
      <c r="Y55" s="102"/>
      <c r="Z55" s="102"/>
      <c r="AA55" s="19"/>
      <c r="AB55" s="19"/>
      <c r="AC55" s="19"/>
      <c r="AD55" s="19"/>
      <c r="AE55" s="19"/>
      <c r="AF55" s="19"/>
      <c r="AG55" s="19"/>
      <c r="AH55" s="19"/>
      <c r="AI55" s="19"/>
      <c r="AJ55" s="19"/>
      <c r="AK55" s="19"/>
      <c r="AL55" s="19"/>
    </row>
    <row r="56" spans="1:39" ht="12.95" customHeight="1">
      <c r="A56" s="102" t="s">
        <v>306</v>
      </c>
      <c r="C56" s="102"/>
      <c r="D56" s="102"/>
      <c r="E56" s="102"/>
      <c r="F56" s="102"/>
      <c r="G56" s="102"/>
      <c r="H56" s="102"/>
      <c r="I56" s="102"/>
      <c r="J56" s="102"/>
      <c r="K56" s="102"/>
      <c r="L56" s="102"/>
      <c r="M56" s="102"/>
      <c r="N56" s="102"/>
      <c r="O56" s="102"/>
      <c r="P56" s="102"/>
      <c r="Q56" s="102"/>
      <c r="R56" s="102"/>
      <c r="S56" s="102"/>
      <c r="T56" s="102"/>
      <c r="U56" s="102"/>
      <c r="V56" s="102"/>
      <c r="W56" s="102"/>
      <c r="X56" s="102"/>
      <c r="Y56" s="102"/>
      <c r="Z56" s="102"/>
      <c r="AA56" s="19"/>
      <c r="AB56" s="19"/>
      <c r="AC56" s="19"/>
      <c r="AD56" s="19"/>
      <c r="AE56" s="19"/>
      <c r="AF56" s="19"/>
      <c r="AG56" s="19"/>
      <c r="AH56" s="19"/>
      <c r="AI56" s="19"/>
      <c r="AJ56" s="19"/>
      <c r="AK56" s="19"/>
      <c r="AL56" s="19"/>
      <c r="AM56" s="19"/>
    </row>
    <row r="57" spans="1:39" ht="12.95" customHeight="1">
      <c r="A57" s="102" t="s">
        <v>86</v>
      </c>
      <c r="C57" s="44"/>
      <c r="D57" s="44"/>
      <c r="E57" s="44"/>
      <c r="F57" s="44"/>
      <c r="G57" s="44"/>
      <c r="H57" s="44"/>
      <c r="I57" s="44"/>
      <c r="J57" s="44"/>
      <c r="K57" s="44"/>
      <c r="L57" s="44"/>
      <c r="M57" s="44"/>
      <c r="N57" s="44"/>
      <c r="O57" s="44"/>
      <c r="P57" s="44"/>
      <c r="Q57" s="44"/>
      <c r="R57" s="44"/>
      <c r="S57" s="44"/>
      <c r="T57" s="44"/>
      <c r="U57" s="44"/>
      <c r="V57" s="44"/>
      <c r="W57" s="44"/>
      <c r="X57" s="44"/>
      <c r="Y57" s="44"/>
      <c r="Z57" s="44"/>
      <c r="AA57" s="29"/>
      <c r="AB57" s="29"/>
      <c r="AC57" s="29"/>
      <c r="AD57" s="29"/>
      <c r="AE57" s="29"/>
      <c r="AF57" s="29"/>
      <c r="AG57" s="29"/>
      <c r="AH57" s="29"/>
      <c r="AI57" s="29"/>
      <c r="AJ57" s="29"/>
      <c r="AK57" s="29"/>
      <c r="AL57" s="29"/>
      <c r="AM57" s="19"/>
    </row>
    <row r="58" spans="1:39" ht="12.95" customHeight="1">
      <c r="A58" s="102" t="s">
        <v>87</v>
      </c>
      <c r="C58" s="44"/>
      <c r="D58" s="44"/>
      <c r="E58" s="44"/>
      <c r="F58" s="44"/>
      <c r="G58" s="44"/>
      <c r="H58" s="44"/>
      <c r="I58" s="44"/>
      <c r="J58" s="44"/>
      <c r="K58" s="44"/>
      <c r="L58" s="44"/>
      <c r="M58" s="44"/>
      <c r="N58" s="44"/>
      <c r="O58" s="44"/>
      <c r="P58" s="44"/>
      <c r="Q58" s="44"/>
      <c r="R58" s="44"/>
      <c r="S58" s="44"/>
      <c r="T58" s="44"/>
      <c r="U58" s="44"/>
      <c r="V58" s="44"/>
      <c r="W58" s="44"/>
      <c r="X58" s="44"/>
      <c r="Y58" s="44"/>
      <c r="Z58" s="44"/>
      <c r="AA58" s="29"/>
      <c r="AB58" s="29"/>
      <c r="AC58" s="29"/>
      <c r="AD58" s="29"/>
      <c r="AE58" s="29"/>
      <c r="AF58" s="29"/>
      <c r="AG58" s="29"/>
      <c r="AH58" s="29"/>
      <c r="AI58" s="29"/>
      <c r="AJ58" s="29"/>
      <c r="AK58" s="29"/>
      <c r="AL58" s="29"/>
      <c r="AM58" s="19"/>
    </row>
    <row r="59" spans="1:39" ht="12.95" customHeight="1">
      <c r="A59" s="102" t="s">
        <v>2209</v>
      </c>
      <c r="C59" s="5"/>
      <c r="D59" s="5"/>
      <c r="E59" s="5"/>
      <c r="F59" s="5"/>
      <c r="G59" s="5"/>
      <c r="H59" s="5"/>
      <c r="I59" s="5"/>
      <c r="J59" s="5"/>
      <c r="K59" s="5"/>
      <c r="L59" s="5"/>
      <c r="M59" s="5"/>
      <c r="N59" s="5"/>
      <c r="O59" s="5"/>
      <c r="P59" s="5"/>
      <c r="Q59" s="5"/>
      <c r="R59" s="5"/>
      <c r="S59" s="5"/>
      <c r="T59" s="5"/>
      <c r="U59" s="5"/>
      <c r="V59" s="5"/>
      <c r="W59" s="5"/>
      <c r="X59" s="5"/>
      <c r="Y59" s="5"/>
      <c r="Z59" s="5"/>
      <c r="AM59" s="19"/>
    </row>
    <row r="60" spans="1:39" ht="12.95" customHeight="1">
      <c r="A60" s="102" t="s">
        <v>88</v>
      </c>
      <c r="C60" s="5"/>
      <c r="D60" s="5"/>
      <c r="E60" s="5"/>
      <c r="F60" s="5"/>
      <c r="G60" s="5"/>
      <c r="H60" s="5"/>
      <c r="I60" s="5"/>
      <c r="J60" s="5"/>
      <c r="K60" s="5"/>
      <c r="L60" s="5"/>
      <c r="M60" s="5"/>
      <c r="N60" s="5"/>
      <c r="O60" s="5"/>
      <c r="P60" s="5"/>
      <c r="Q60" s="5"/>
      <c r="R60" s="5"/>
      <c r="S60" s="5"/>
      <c r="T60" s="5"/>
      <c r="U60" s="5"/>
      <c r="V60" s="5"/>
      <c r="W60" s="5"/>
      <c r="X60" s="5"/>
      <c r="Y60" s="5"/>
      <c r="Z60" s="5"/>
      <c r="AM60" s="19"/>
    </row>
    <row r="61" spans="1:39" ht="12.95" customHeight="1">
      <c r="C61" s="5"/>
      <c r="D61" s="5"/>
      <c r="E61" s="5"/>
      <c r="F61" s="5"/>
      <c r="G61" s="5"/>
      <c r="H61" s="5"/>
      <c r="I61" s="5"/>
      <c r="J61" s="5"/>
      <c r="K61" s="5"/>
      <c r="L61" s="5"/>
      <c r="M61" s="5"/>
      <c r="N61" s="5"/>
      <c r="O61" s="5"/>
      <c r="P61" s="5"/>
      <c r="Q61" s="5"/>
      <c r="R61" s="5"/>
      <c r="S61" s="5"/>
      <c r="T61" s="5"/>
      <c r="U61" s="5"/>
      <c r="V61" s="5"/>
      <c r="W61" s="5"/>
      <c r="X61" s="5"/>
      <c r="Y61" s="5"/>
      <c r="Z61" s="5"/>
      <c r="AM61" s="19"/>
    </row>
    <row r="62" spans="1:39" ht="12.95" customHeight="1">
      <c r="A62" s="44" t="s">
        <v>321</v>
      </c>
      <c r="C62" s="102"/>
      <c r="D62" s="102"/>
      <c r="E62" s="102"/>
      <c r="F62" s="102"/>
      <c r="G62" s="102"/>
      <c r="H62" s="102"/>
      <c r="I62" s="102"/>
      <c r="J62" s="102"/>
      <c r="K62" s="102"/>
      <c r="L62" s="102"/>
      <c r="M62" s="102"/>
      <c r="N62" s="102"/>
      <c r="O62" s="102"/>
      <c r="P62" s="102"/>
      <c r="Q62" s="102"/>
      <c r="R62" s="102"/>
      <c r="S62" s="102"/>
      <c r="T62" s="102"/>
      <c r="U62" s="102"/>
      <c r="V62" s="102"/>
      <c r="W62" s="102"/>
      <c r="X62" s="102"/>
      <c r="Y62" s="102"/>
      <c r="Z62" s="102"/>
      <c r="AA62" s="19"/>
      <c r="AB62" s="19"/>
      <c r="AC62" s="19"/>
      <c r="AD62" s="19"/>
      <c r="AE62" s="19"/>
      <c r="AF62" s="19"/>
      <c r="AG62" s="19"/>
      <c r="AH62" s="19"/>
      <c r="AI62" s="19"/>
      <c r="AJ62" s="19"/>
      <c r="AK62" s="19"/>
      <c r="AL62" s="19"/>
      <c r="AM62" s="19"/>
    </row>
    <row r="63" spans="1:39" ht="12.95" customHeight="1">
      <c r="A63" s="44" t="s">
        <v>322</v>
      </c>
      <c r="C63" s="102"/>
      <c r="D63" s="102"/>
      <c r="E63" s="102"/>
      <c r="F63" s="102"/>
      <c r="G63" s="102"/>
      <c r="H63" s="102"/>
      <c r="I63" s="102"/>
      <c r="J63" s="102"/>
      <c r="K63" s="102"/>
      <c r="L63" s="102"/>
      <c r="M63" s="102"/>
      <c r="N63" s="102"/>
      <c r="O63" s="102"/>
      <c r="P63" s="102"/>
      <c r="Q63" s="102"/>
      <c r="R63" s="102"/>
      <c r="S63" s="102"/>
      <c r="T63" s="102"/>
      <c r="U63" s="102"/>
      <c r="V63" s="102"/>
      <c r="W63" s="102"/>
      <c r="X63" s="102"/>
      <c r="Y63" s="102"/>
      <c r="Z63" s="102"/>
      <c r="AA63" s="19"/>
      <c r="AB63" s="19"/>
      <c r="AC63" s="19"/>
      <c r="AD63" s="19"/>
      <c r="AE63" s="19"/>
      <c r="AF63" s="19"/>
      <c r="AG63" s="19"/>
      <c r="AH63" s="19"/>
      <c r="AI63" s="19"/>
      <c r="AJ63" s="19"/>
      <c r="AK63" s="19"/>
      <c r="AL63" s="19"/>
      <c r="AM63" s="19"/>
    </row>
    <row r="64" spans="1:39" ht="12.95" customHeight="1">
      <c r="C64" s="102"/>
      <c r="D64" s="102"/>
      <c r="E64" s="102"/>
      <c r="F64" s="102"/>
      <c r="G64" s="102"/>
      <c r="H64" s="102"/>
      <c r="I64" s="102"/>
      <c r="J64" s="102"/>
      <c r="K64" s="102"/>
      <c r="L64" s="102"/>
      <c r="M64" s="102"/>
      <c r="N64" s="102"/>
      <c r="O64" s="102"/>
      <c r="P64" s="102"/>
      <c r="Q64" s="102"/>
      <c r="R64" s="102"/>
      <c r="S64" s="102"/>
      <c r="T64" s="102"/>
      <c r="U64" s="102"/>
      <c r="V64" s="102"/>
      <c r="W64" s="102"/>
      <c r="X64" s="102"/>
      <c r="Y64" s="102"/>
      <c r="Z64" s="102"/>
      <c r="AA64" s="19"/>
      <c r="AB64" s="19"/>
      <c r="AC64" s="19"/>
      <c r="AD64" s="19"/>
      <c r="AE64" s="19"/>
      <c r="AF64" s="19"/>
      <c r="AG64" s="19"/>
      <c r="AH64" s="19"/>
      <c r="AI64" s="19"/>
      <c r="AJ64" s="19"/>
      <c r="AK64" s="19"/>
      <c r="AL64" s="19"/>
      <c r="AM64" s="19"/>
    </row>
    <row r="65" spans="1:39" ht="12.95" customHeight="1">
      <c r="A65" s="102" t="s">
        <v>1257</v>
      </c>
      <c r="C65" s="102"/>
      <c r="D65" s="102"/>
      <c r="E65" s="102"/>
      <c r="F65" s="102"/>
      <c r="G65" s="102"/>
      <c r="H65" s="102"/>
      <c r="I65" s="102"/>
      <c r="J65" s="102"/>
      <c r="K65" s="102"/>
      <c r="L65" s="102"/>
      <c r="M65" s="102"/>
      <c r="N65" s="102"/>
      <c r="O65" s="102"/>
      <c r="P65" s="102"/>
      <c r="Q65" s="102"/>
      <c r="R65" s="102"/>
      <c r="S65" s="102"/>
      <c r="T65" s="102"/>
      <c r="U65" s="102"/>
      <c r="V65" s="102"/>
      <c r="W65" s="102"/>
      <c r="X65" s="102"/>
      <c r="Y65" s="102"/>
      <c r="Z65" s="102"/>
      <c r="AA65" s="19"/>
      <c r="AB65" s="19"/>
      <c r="AC65" s="19"/>
      <c r="AD65" s="19"/>
      <c r="AE65" s="19"/>
      <c r="AF65" s="19"/>
      <c r="AG65" s="19"/>
      <c r="AH65" s="19"/>
      <c r="AI65" s="19"/>
      <c r="AJ65" s="19"/>
      <c r="AK65" s="19"/>
      <c r="AL65" s="19"/>
      <c r="AM65" s="19"/>
    </row>
    <row r="66" spans="1:39" ht="12.95" customHeight="1">
      <c r="A66" s="102" t="s">
        <v>1281</v>
      </c>
      <c r="C66" s="102"/>
      <c r="D66" s="102"/>
      <c r="E66" s="102"/>
      <c r="F66" s="102"/>
      <c r="G66" s="102"/>
      <c r="H66" s="102"/>
      <c r="I66" s="102"/>
      <c r="J66" s="102"/>
      <c r="K66" s="102"/>
      <c r="L66" s="102"/>
      <c r="M66" s="102"/>
      <c r="N66" s="102"/>
      <c r="O66" s="102"/>
      <c r="P66" s="102"/>
      <c r="Q66" s="102"/>
      <c r="R66" s="102"/>
      <c r="S66" s="102"/>
      <c r="T66" s="102"/>
      <c r="U66" s="102"/>
      <c r="V66" s="102"/>
      <c r="W66" s="102"/>
      <c r="X66" s="102"/>
      <c r="Y66" s="102"/>
      <c r="Z66" s="102"/>
      <c r="AA66" s="19"/>
      <c r="AB66" s="19"/>
      <c r="AC66" s="19"/>
      <c r="AD66" s="19"/>
      <c r="AE66" s="19"/>
      <c r="AF66" s="19"/>
      <c r="AG66" s="19"/>
      <c r="AH66" s="19"/>
      <c r="AI66" s="19"/>
      <c r="AJ66" s="19"/>
      <c r="AK66" s="19"/>
      <c r="AL66" s="19"/>
      <c r="AM66" s="19"/>
    </row>
    <row r="67" spans="1:39" ht="12.95" customHeight="1">
      <c r="A67" s="313" t="s">
        <v>2342</v>
      </c>
      <c r="C67" s="102"/>
      <c r="D67" s="102"/>
      <c r="E67" s="102"/>
      <c r="F67" s="102"/>
      <c r="G67" s="102"/>
      <c r="H67" s="102"/>
      <c r="I67" s="102"/>
      <c r="J67" s="102"/>
      <c r="K67" s="102"/>
      <c r="L67" s="102"/>
      <c r="M67" s="102"/>
      <c r="N67" s="102"/>
      <c r="O67" s="102"/>
      <c r="P67" s="102"/>
      <c r="Q67" s="102"/>
      <c r="R67" s="102"/>
      <c r="S67" s="102"/>
      <c r="T67" s="102"/>
      <c r="U67" s="102"/>
      <c r="V67" s="102"/>
      <c r="W67" s="102"/>
      <c r="X67" s="102"/>
      <c r="Y67" s="102"/>
      <c r="Z67" s="102"/>
      <c r="AA67" s="19"/>
      <c r="AB67" s="19"/>
      <c r="AC67" s="19"/>
      <c r="AD67" s="19"/>
      <c r="AE67" s="19"/>
      <c r="AF67" s="19"/>
      <c r="AG67" s="19"/>
      <c r="AH67" s="19"/>
      <c r="AI67" s="19"/>
      <c r="AJ67" s="19"/>
      <c r="AK67" s="19"/>
      <c r="AL67" s="19"/>
      <c r="AM67" s="19"/>
    </row>
    <row r="68" spans="1:39" ht="12.95" customHeight="1">
      <c r="A68" s="102" t="s">
        <v>1226</v>
      </c>
      <c r="C68" s="102"/>
      <c r="D68" s="102"/>
      <c r="E68" s="102"/>
      <c r="F68" s="102"/>
      <c r="G68" s="102"/>
      <c r="H68" s="102"/>
      <c r="I68" s="102"/>
      <c r="J68" s="102"/>
      <c r="K68" s="102"/>
      <c r="L68" s="102"/>
      <c r="M68" s="102"/>
      <c r="N68" s="102"/>
      <c r="O68" s="102"/>
      <c r="P68" s="102"/>
      <c r="Q68" s="102"/>
      <c r="R68" s="102"/>
      <c r="S68" s="102"/>
      <c r="T68" s="102"/>
      <c r="U68" s="102"/>
      <c r="V68" s="102"/>
      <c r="W68" s="102"/>
      <c r="X68" s="102"/>
      <c r="Y68" s="102"/>
      <c r="Z68" s="102"/>
      <c r="AA68" s="19"/>
      <c r="AB68" s="19"/>
      <c r="AC68" s="19"/>
      <c r="AD68" s="19"/>
      <c r="AE68" s="19"/>
      <c r="AF68" s="19"/>
      <c r="AG68" s="19"/>
      <c r="AH68" s="19"/>
      <c r="AI68" s="19"/>
      <c r="AJ68" s="19"/>
      <c r="AK68" s="19"/>
      <c r="AL68" s="19"/>
      <c r="AM68" s="19"/>
    </row>
    <row r="69" spans="1:39" ht="12.95" customHeight="1">
      <c r="A69" s="102" t="s">
        <v>1225</v>
      </c>
      <c r="C69" s="102"/>
      <c r="D69" s="102"/>
      <c r="E69" s="102"/>
      <c r="F69" s="102"/>
      <c r="G69" s="102"/>
      <c r="H69" s="102"/>
      <c r="I69" s="102"/>
      <c r="J69" s="102"/>
      <c r="K69" s="102"/>
      <c r="L69" s="102"/>
      <c r="M69" s="102"/>
      <c r="N69" s="102"/>
      <c r="O69" s="102"/>
      <c r="P69" s="102"/>
      <c r="Q69" s="102"/>
      <c r="R69" s="102"/>
      <c r="S69" s="102"/>
      <c r="T69" s="102"/>
      <c r="U69" s="102"/>
      <c r="V69" s="102"/>
      <c r="W69" s="102"/>
      <c r="X69" s="102"/>
      <c r="Y69" s="102"/>
      <c r="Z69" s="102"/>
      <c r="AA69" s="19"/>
      <c r="AB69" s="19"/>
      <c r="AC69" s="19"/>
      <c r="AD69" s="19"/>
      <c r="AE69" s="19"/>
      <c r="AF69" s="19"/>
      <c r="AG69" s="19"/>
      <c r="AH69" s="19"/>
      <c r="AI69" s="19"/>
      <c r="AJ69" s="19"/>
      <c r="AK69" s="19"/>
      <c r="AL69" s="19"/>
      <c r="AM69" s="19"/>
    </row>
    <row r="70" spans="1:39" ht="12.95" customHeight="1">
      <c r="A70" s="102" t="s">
        <v>33</v>
      </c>
      <c r="C70" s="102"/>
      <c r="D70" s="102"/>
      <c r="E70" s="102"/>
      <c r="F70" s="102"/>
      <c r="G70" s="102"/>
      <c r="H70" s="102"/>
      <c r="I70" s="102"/>
      <c r="J70" s="102"/>
      <c r="K70" s="102"/>
      <c r="L70" s="102"/>
      <c r="M70" s="102"/>
      <c r="N70" s="102"/>
      <c r="O70" s="102"/>
      <c r="P70" s="102"/>
      <c r="Q70" s="102"/>
      <c r="R70" s="102"/>
      <c r="S70" s="102"/>
      <c r="T70" s="102"/>
      <c r="U70" s="102"/>
      <c r="V70" s="102"/>
      <c r="W70" s="102"/>
      <c r="X70" s="102"/>
      <c r="Y70" s="102"/>
      <c r="Z70" s="102"/>
      <c r="AA70" s="19"/>
      <c r="AB70" s="19"/>
      <c r="AC70" s="19"/>
      <c r="AD70" s="19"/>
      <c r="AE70" s="19"/>
      <c r="AF70" s="19"/>
      <c r="AG70" s="19"/>
      <c r="AH70" s="19"/>
      <c r="AI70" s="19"/>
      <c r="AJ70" s="19"/>
      <c r="AK70" s="19"/>
      <c r="AL70" s="19"/>
      <c r="AM70" s="19"/>
    </row>
    <row r="71" spans="1:39" ht="12.95" customHeight="1">
      <c r="A71" s="102" t="s">
        <v>1080</v>
      </c>
      <c r="C71" s="102"/>
      <c r="D71" s="102"/>
      <c r="E71" s="102"/>
      <c r="F71" s="102"/>
      <c r="G71" s="102"/>
      <c r="H71" s="102"/>
      <c r="I71" s="102"/>
      <c r="J71" s="102"/>
      <c r="K71" s="102"/>
      <c r="L71" s="102"/>
      <c r="M71" s="102"/>
      <c r="N71" s="102"/>
      <c r="O71" s="102"/>
      <c r="P71" s="102"/>
      <c r="Q71" s="102"/>
      <c r="R71" s="102"/>
      <c r="S71" s="102"/>
      <c r="T71" s="102"/>
      <c r="U71" s="102"/>
      <c r="V71" s="102"/>
      <c r="W71" s="102"/>
      <c r="X71" s="102"/>
      <c r="Y71" s="102"/>
      <c r="Z71" s="102"/>
      <c r="AA71" s="19"/>
      <c r="AB71" s="19"/>
      <c r="AC71" s="19"/>
      <c r="AD71" s="19"/>
      <c r="AE71" s="19"/>
      <c r="AF71" s="19"/>
      <c r="AG71" s="19"/>
      <c r="AH71" s="19"/>
      <c r="AI71" s="19"/>
      <c r="AJ71" s="19"/>
      <c r="AK71" s="19"/>
      <c r="AL71" s="19"/>
      <c r="AM71" s="19"/>
    </row>
    <row r="72" spans="1:39" ht="12.95" customHeight="1">
      <c r="C72" s="102"/>
      <c r="D72" s="102"/>
      <c r="E72" s="102"/>
      <c r="F72" s="102"/>
      <c r="G72" s="102"/>
      <c r="H72" s="102"/>
      <c r="I72" s="102"/>
      <c r="J72" s="102"/>
      <c r="K72" s="102"/>
      <c r="L72" s="102"/>
      <c r="M72" s="102"/>
      <c r="N72" s="102"/>
      <c r="O72" s="102"/>
      <c r="P72" s="102"/>
      <c r="Q72" s="102"/>
      <c r="R72" s="102"/>
      <c r="S72" s="102"/>
      <c r="T72" s="102"/>
      <c r="U72" s="102"/>
      <c r="V72" s="102"/>
      <c r="W72" s="102"/>
      <c r="X72" s="102"/>
      <c r="Y72" s="102"/>
      <c r="Z72" s="102"/>
      <c r="AA72" s="19"/>
      <c r="AB72" s="19"/>
      <c r="AC72" s="19"/>
      <c r="AD72" s="19"/>
      <c r="AE72" s="19"/>
      <c r="AF72" s="19"/>
      <c r="AG72" s="19"/>
      <c r="AH72" s="19"/>
      <c r="AI72" s="19"/>
      <c r="AJ72" s="19"/>
      <c r="AK72" s="19"/>
      <c r="AL72" s="19"/>
      <c r="AM72" s="19"/>
    </row>
    <row r="73" spans="1:39" ht="12.95" customHeight="1">
      <c r="A73" s="102" t="s">
        <v>2210</v>
      </c>
      <c r="C73" s="102"/>
      <c r="D73" s="102"/>
      <c r="E73" s="102"/>
      <c r="F73" s="102"/>
      <c r="G73" s="102"/>
      <c r="H73" s="102"/>
      <c r="I73" s="102"/>
      <c r="J73" s="102"/>
      <c r="K73" s="102"/>
      <c r="L73" s="102"/>
      <c r="M73" s="102"/>
      <c r="N73" s="102"/>
      <c r="O73" s="102"/>
      <c r="P73" s="102"/>
      <c r="Q73" s="102"/>
      <c r="R73" s="102"/>
      <c r="S73" s="102"/>
      <c r="T73" s="102"/>
      <c r="U73" s="102"/>
      <c r="V73" s="102"/>
      <c r="W73" s="102"/>
      <c r="X73" s="102"/>
      <c r="Y73" s="102"/>
      <c r="Z73" s="102"/>
      <c r="AA73" s="19"/>
      <c r="AB73" s="19"/>
      <c r="AC73" s="19"/>
      <c r="AD73" s="19"/>
      <c r="AE73" s="19"/>
      <c r="AF73" s="19"/>
      <c r="AG73" s="19"/>
      <c r="AH73" s="19"/>
      <c r="AI73" s="19"/>
      <c r="AJ73" s="19"/>
      <c r="AK73" s="19"/>
      <c r="AL73" s="19"/>
      <c r="AM73" s="26"/>
    </row>
    <row r="74" spans="1:39" ht="12.95" customHeight="1">
      <c r="A74" s="102" t="s">
        <v>24</v>
      </c>
      <c r="C74" s="102"/>
      <c r="D74" s="102"/>
      <c r="E74" s="102"/>
      <c r="F74" s="102"/>
      <c r="G74" s="102"/>
      <c r="H74" s="102"/>
      <c r="I74" s="102"/>
      <c r="J74" s="102"/>
      <c r="K74" s="102"/>
      <c r="L74" s="102"/>
      <c r="M74" s="102"/>
      <c r="N74" s="102"/>
      <c r="O74" s="102"/>
      <c r="P74" s="102"/>
      <c r="Q74" s="102"/>
      <c r="R74" s="102"/>
      <c r="S74" s="102"/>
      <c r="T74" s="102"/>
      <c r="U74" s="102"/>
      <c r="V74" s="102"/>
      <c r="W74" s="102"/>
      <c r="X74" s="102"/>
      <c r="Y74" s="102"/>
      <c r="Z74" s="102"/>
      <c r="AA74" s="19"/>
      <c r="AB74" s="19"/>
      <c r="AC74" s="19"/>
      <c r="AD74" s="19"/>
      <c r="AE74" s="19"/>
      <c r="AF74" s="19"/>
      <c r="AG74" s="19"/>
      <c r="AH74" s="19"/>
      <c r="AI74" s="19"/>
      <c r="AJ74" s="19"/>
      <c r="AK74" s="19"/>
      <c r="AL74" s="19"/>
      <c r="AM74" s="26"/>
    </row>
    <row r="75" spans="1:39" ht="12.95" customHeight="1">
      <c r="C75" s="102"/>
      <c r="D75" s="102"/>
      <c r="E75" s="102"/>
      <c r="F75" s="102"/>
      <c r="G75" s="102"/>
      <c r="H75" s="102"/>
      <c r="I75" s="102"/>
      <c r="J75" s="102"/>
      <c r="K75" s="102"/>
      <c r="L75" s="102"/>
      <c r="M75" s="102"/>
      <c r="N75" s="102"/>
      <c r="O75" s="102"/>
      <c r="P75" s="102"/>
      <c r="Q75" s="102"/>
      <c r="R75" s="102"/>
      <c r="S75" s="102"/>
      <c r="T75" s="102"/>
      <c r="U75" s="102"/>
      <c r="V75" s="102"/>
      <c r="W75" s="102"/>
      <c r="X75" s="102"/>
      <c r="Y75" s="102"/>
      <c r="Z75" s="102"/>
      <c r="AA75" s="19"/>
      <c r="AB75" s="19"/>
      <c r="AC75" s="19"/>
      <c r="AD75" s="19"/>
      <c r="AE75" s="19"/>
      <c r="AF75" s="19"/>
      <c r="AG75" s="19"/>
      <c r="AH75" s="19"/>
      <c r="AI75" s="19"/>
      <c r="AJ75" s="19"/>
      <c r="AK75" s="19"/>
      <c r="AL75" s="19"/>
      <c r="AM75" s="26"/>
    </row>
    <row r="76" spans="1:39" ht="12.95" customHeight="1">
      <c r="A76" s="102" t="s">
        <v>2211</v>
      </c>
      <c r="C76" s="102"/>
      <c r="D76" s="102"/>
      <c r="E76" s="102"/>
      <c r="F76" s="102"/>
      <c r="G76" s="102"/>
      <c r="H76" s="102"/>
      <c r="I76" s="102"/>
      <c r="J76" s="102"/>
      <c r="K76" s="102"/>
      <c r="L76" s="102"/>
      <c r="M76" s="102"/>
      <c r="N76" s="102"/>
      <c r="O76" s="102"/>
      <c r="P76" s="102"/>
      <c r="Q76" s="102"/>
      <c r="R76" s="102"/>
      <c r="S76" s="102"/>
      <c r="T76" s="102"/>
      <c r="U76" s="102"/>
      <c r="V76" s="102"/>
      <c r="W76" s="102"/>
      <c r="X76" s="102"/>
      <c r="Y76" s="102"/>
      <c r="Z76" s="102"/>
      <c r="AA76" s="19"/>
      <c r="AB76" s="19"/>
      <c r="AC76" s="19"/>
      <c r="AD76" s="19"/>
      <c r="AE76" s="19"/>
      <c r="AF76" s="19"/>
      <c r="AG76" s="19"/>
      <c r="AH76" s="19"/>
      <c r="AI76" s="19"/>
      <c r="AJ76" s="19"/>
      <c r="AK76" s="19"/>
      <c r="AL76" s="19"/>
      <c r="AM76" s="19"/>
    </row>
    <row r="77" spans="1:39" ht="12.95" customHeight="1">
      <c r="A77" s="102" t="s">
        <v>2212</v>
      </c>
      <c r="C77" s="102"/>
      <c r="D77" s="102"/>
      <c r="E77" s="102"/>
      <c r="F77" s="102"/>
      <c r="G77" s="102"/>
      <c r="H77" s="102"/>
      <c r="I77" s="102"/>
      <c r="J77" s="102"/>
      <c r="K77" s="102"/>
      <c r="L77" s="102"/>
      <c r="M77" s="102"/>
      <c r="N77" s="102"/>
      <c r="O77" s="102"/>
      <c r="P77" s="102"/>
      <c r="Q77" s="102"/>
      <c r="R77" s="102"/>
      <c r="S77" s="102"/>
      <c r="T77" s="102"/>
      <c r="U77" s="102"/>
      <c r="V77" s="102"/>
      <c r="W77" s="102"/>
      <c r="X77" s="102"/>
      <c r="Y77" s="102"/>
      <c r="Z77" s="102"/>
      <c r="AA77" s="19"/>
      <c r="AB77" s="19"/>
      <c r="AC77" s="19"/>
      <c r="AD77" s="19"/>
      <c r="AE77" s="19"/>
      <c r="AF77" s="19"/>
      <c r="AG77" s="19"/>
      <c r="AH77" s="19"/>
      <c r="AI77" s="19"/>
      <c r="AJ77" s="19"/>
      <c r="AK77" s="19"/>
      <c r="AL77" s="19"/>
      <c r="AM77" s="19"/>
    </row>
    <row r="78" spans="1:39" ht="12.95" customHeight="1">
      <c r="A78" s="102" t="s">
        <v>820</v>
      </c>
      <c r="C78" s="102"/>
      <c r="D78" s="102"/>
      <c r="E78" s="102"/>
      <c r="F78" s="102"/>
      <c r="G78" s="102"/>
      <c r="H78" s="102"/>
      <c r="I78" s="102"/>
      <c r="J78" s="102"/>
      <c r="K78" s="102"/>
      <c r="L78" s="102"/>
      <c r="M78" s="102"/>
      <c r="N78" s="102"/>
      <c r="O78" s="102"/>
      <c r="P78" s="102"/>
      <c r="Q78" s="102"/>
      <c r="R78" s="102"/>
      <c r="S78" s="102"/>
      <c r="T78" s="102"/>
      <c r="U78" s="102"/>
      <c r="V78" s="102"/>
      <c r="W78" s="102"/>
      <c r="X78" s="102"/>
      <c r="Y78" s="102"/>
      <c r="Z78" s="102"/>
      <c r="AA78" s="19"/>
      <c r="AB78" s="19"/>
      <c r="AC78" s="19"/>
      <c r="AD78" s="19"/>
      <c r="AE78" s="19"/>
      <c r="AF78" s="19"/>
      <c r="AG78" s="19"/>
      <c r="AH78" s="19"/>
      <c r="AI78" s="19"/>
      <c r="AJ78" s="19"/>
      <c r="AK78" s="19"/>
      <c r="AL78" s="19"/>
      <c r="AM78" s="19"/>
    </row>
    <row r="79" spans="1:39" ht="12.95" customHeight="1">
      <c r="A79" s="102" t="s">
        <v>374</v>
      </c>
      <c r="C79" s="208"/>
      <c r="D79" s="208"/>
      <c r="E79" s="208"/>
      <c r="F79" s="208"/>
      <c r="G79" s="208"/>
      <c r="H79" s="208"/>
      <c r="I79" s="208"/>
      <c r="J79" s="208"/>
      <c r="K79" s="208"/>
      <c r="L79" s="208"/>
      <c r="M79" s="208"/>
      <c r="N79" s="208"/>
      <c r="O79" s="208"/>
      <c r="P79" s="208"/>
      <c r="Q79" s="208"/>
      <c r="R79" s="208"/>
      <c r="S79" s="208"/>
      <c r="T79" s="208"/>
      <c r="U79" s="208"/>
      <c r="V79" s="208"/>
      <c r="W79" s="208"/>
      <c r="X79" s="208"/>
      <c r="Y79" s="208"/>
      <c r="Z79" s="208"/>
      <c r="AA79" s="26"/>
      <c r="AB79" s="26"/>
      <c r="AC79" s="26"/>
      <c r="AD79" s="26"/>
      <c r="AE79" s="26"/>
      <c r="AF79" s="26"/>
      <c r="AG79" s="26"/>
      <c r="AH79" s="26"/>
      <c r="AI79" s="26"/>
      <c r="AJ79" s="26"/>
      <c r="AK79" s="26"/>
      <c r="AL79" s="26"/>
      <c r="AM79" s="19"/>
    </row>
    <row r="80" spans="1:39" ht="12.95" customHeight="1">
      <c r="C80" s="208"/>
      <c r="D80" s="208"/>
      <c r="E80" s="208"/>
      <c r="F80" s="208"/>
      <c r="G80" s="208"/>
      <c r="H80" s="208"/>
      <c r="I80" s="208"/>
      <c r="J80" s="208"/>
      <c r="K80" s="208"/>
      <c r="L80" s="208"/>
      <c r="M80" s="208"/>
      <c r="N80" s="208"/>
      <c r="O80" s="208"/>
      <c r="P80" s="208"/>
      <c r="Q80" s="208"/>
      <c r="R80" s="208"/>
      <c r="S80" s="208"/>
      <c r="T80" s="208"/>
      <c r="U80" s="208"/>
      <c r="V80" s="208"/>
      <c r="W80" s="208"/>
      <c r="X80" s="208"/>
      <c r="Y80" s="208"/>
      <c r="Z80" s="208"/>
      <c r="AA80" s="26"/>
      <c r="AB80" s="26"/>
      <c r="AC80" s="26"/>
      <c r="AD80" s="26"/>
      <c r="AE80" s="26"/>
      <c r="AF80" s="26"/>
      <c r="AG80" s="26"/>
      <c r="AH80" s="26"/>
      <c r="AI80" s="26"/>
      <c r="AJ80" s="26"/>
      <c r="AK80" s="26"/>
      <c r="AL80" s="26"/>
      <c r="AM80" s="19"/>
    </row>
    <row r="81" spans="1:39" ht="12.95" customHeight="1">
      <c r="A81" s="102" t="s">
        <v>1410</v>
      </c>
      <c r="C81" s="208"/>
      <c r="D81" s="208"/>
      <c r="E81" s="208"/>
      <c r="F81" s="208"/>
      <c r="G81" s="208"/>
      <c r="H81" s="208"/>
      <c r="I81" s="208"/>
      <c r="J81" s="208"/>
      <c r="K81" s="208"/>
      <c r="L81" s="208"/>
      <c r="M81" s="208"/>
      <c r="N81" s="208"/>
      <c r="O81" s="208"/>
      <c r="P81" s="208"/>
      <c r="Q81" s="208"/>
      <c r="R81" s="208"/>
      <c r="S81" s="208"/>
      <c r="T81" s="208"/>
      <c r="U81" s="208"/>
      <c r="V81" s="208"/>
      <c r="W81" s="208"/>
      <c r="X81" s="208"/>
      <c r="Y81" s="208"/>
      <c r="Z81" s="208"/>
      <c r="AA81" s="26"/>
      <c r="AB81" s="26"/>
      <c r="AC81" s="26"/>
      <c r="AD81" s="26"/>
      <c r="AE81" s="26"/>
      <c r="AF81" s="26"/>
      <c r="AG81" s="26"/>
      <c r="AH81" s="26"/>
      <c r="AI81" s="26"/>
      <c r="AJ81" s="26"/>
      <c r="AK81" s="26"/>
      <c r="AL81" s="26"/>
      <c r="AM81" s="19"/>
    </row>
    <row r="82" spans="1:39" ht="12.95" customHeight="1">
      <c r="A82" s="102" t="s">
        <v>1409</v>
      </c>
      <c r="C82" s="102"/>
      <c r="D82" s="102"/>
      <c r="E82" s="102"/>
      <c r="F82" s="102"/>
      <c r="G82" s="102"/>
      <c r="H82" s="102"/>
      <c r="I82" s="102"/>
      <c r="J82" s="102"/>
      <c r="K82" s="102"/>
      <c r="L82" s="102"/>
      <c r="M82" s="102"/>
      <c r="N82" s="102"/>
      <c r="O82" s="102"/>
      <c r="P82" s="102"/>
      <c r="Q82" s="102"/>
      <c r="R82" s="102"/>
      <c r="S82" s="102"/>
      <c r="T82" s="102"/>
      <c r="U82" s="102"/>
      <c r="V82" s="102"/>
      <c r="W82" s="102"/>
      <c r="X82" s="102"/>
      <c r="Y82" s="102"/>
      <c r="Z82" s="102"/>
      <c r="AA82" s="19"/>
      <c r="AB82" s="19"/>
      <c r="AC82" s="19"/>
      <c r="AD82" s="19"/>
      <c r="AE82" s="19"/>
      <c r="AF82" s="19"/>
      <c r="AG82" s="19"/>
      <c r="AH82" s="19"/>
      <c r="AI82" s="19"/>
      <c r="AJ82" s="19"/>
      <c r="AK82" s="19"/>
      <c r="AL82" s="19"/>
      <c r="AM82" s="19"/>
    </row>
    <row r="83" spans="1:39" ht="12.95" customHeight="1">
      <c r="C83" s="102"/>
      <c r="D83" s="102"/>
      <c r="E83" s="102"/>
      <c r="F83" s="102"/>
      <c r="G83" s="102"/>
      <c r="H83" s="102"/>
      <c r="I83" s="102"/>
      <c r="J83" s="102"/>
      <c r="K83" s="102"/>
      <c r="L83" s="102"/>
      <c r="M83" s="102"/>
      <c r="N83" s="102"/>
      <c r="O83" s="102"/>
      <c r="P83" s="102"/>
      <c r="Q83" s="102"/>
      <c r="R83" s="102"/>
      <c r="S83" s="102"/>
      <c r="T83" s="102"/>
      <c r="U83" s="102"/>
      <c r="V83" s="102"/>
      <c r="W83" s="102"/>
      <c r="X83" s="102"/>
      <c r="Y83" s="102"/>
      <c r="Z83" s="102"/>
      <c r="AA83" s="19"/>
      <c r="AB83" s="19"/>
      <c r="AC83" s="19"/>
      <c r="AD83" s="19"/>
      <c r="AE83" s="19"/>
      <c r="AF83" s="19"/>
      <c r="AG83" s="19"/>
      <c r="AH83" s="19"/>
      <c r="AI83" s="19"/>
      <c r="AJ83" s="19"/>
      <c r="AK83" s="19"/>
      <c r="AL83" s="19"/>
      <c r="AM83" s="19"/>
    </row>
    <row r="84" spans="1:39" ht="12.95" customHeight="1">
      <c r="A84" s="208" t="s">
        <v>375</v>
      </c>
      <c r="C84" s="102"/>
      <c r="D84" s="102"/>
      <c r="E84" s="102"/>
      <c r="F84" s="102"/>
      <c r="G84" s="102"/>
      <c r="H84" s="102"/>
      <c r="I84" s="102"/>
      <c r="J84" s="102"/>
      <c r="K84" s="102"/>
      <c r="L84" s="102"/>
      <c r="M84" s="102"/>
      <c r="N84" s="102"/>
      <c r="O84" s="102"/>
      <c r="P84" s="102"/>
      <c r="Q84" s="102"/>
      <c r="R84" s="102"/>
      <c r="S84" s="102"/>
      <c r="T84" s="102"/>
      <c r="U84" s="102"/>
      <c r="V84" s="102"/>
      <c r="W84" s="102"/>
      <c r="X84" s="102"/>
      <c r="Y84" s="102"/>
      <c r="Z84" s="102"/>
      <c r="AA84" s="19"/>
      <c r="AB84" s="19"/>
      <c r="AC84" s="19"/>
      <c r="AD84" s="19"/>
      <c r="AE84" s="19"/>
      <c r="AF84" s="19"/>
      <c r="AG84" s="19"/>
      <c r="AH84" s="19"/>
      <c r="AI84" s="19"/>
      <c r="AJ84" s="19"/>
      <c r="AK84" s="19"/>
      <c r="AL84" s="19"/>
    </row>
    <row r="85" spans="1:39" ht="12.95" customHeight="1">
      <c r="A85" s="208" t="s">
        <v>376</v>
      </c>
      <c r="C85" s="102"/>
      <c r="D85" s="102"/>
      <c r="E85" s="102"/>
      <c r="F85" s="102"/>
      <c r="G85" s="102"/>
      <c r="H85" s="102"/>
      <c r="I85" s="102"/>
      <c r="J85" s="102"/>
      <c r="K85" s="102"/>
      <c r="L85" s="102"/>
      <c r="M85" s="102"/>
      <c r="N85" s="102"/>
      <c r="O85" s="102"/>
      <c r="P85" s="102"/>
      <c r="Q85" s="102"/>
      <c r="R85" s="102"/>
      <c r="S85" s="102"/>
      <c r="T85" s="102"/>
      <c r="U85" s="102"/>
      <c r="V85" s="102"/>
      <c r="W85" s="102"/>
      <c r="X85" s="102"/>
      <c r="Y85" s="102"/>
      <c r="Z85" s="102"/>
      <c r="AA85" s="19"/>
      <c r="AB85" s="19"/>
      <c r="AC85" s="19"/>
      <c r="AD85" s="19"/>
      <c r="AE85" s="19"/>
      <c r="AF85" s="19"/>
      <c r="AG85" s="19"/>
      <c r="AH85" s="19"/>
      <c r="AI85" s="19"/>
      <c r="AJ85" s="19"/>
      <c r="AK85" s="19"/>
      <c r="AL85" s="19"/>
    </row>
    <row r="86" spans="1:39" ht="12.95" customHeight="1"/>
    <row r="87" spans="1:39" ht="12.95" customHeight="1">
      <c r="A87" s="102" t="s">
        <v>313</v>
      </c>
      <c r="AM87" s="19"/>
    </row>
    <row r="88" spans="1:39" ht="12.95" customHeight="1">
      <c r="A88" s="102" t="s">
        <v>314</v>
      </c>
      <c r="AM88" s="19"/>
    </row>
    <row r="89" spans="1:39" ht="12.95" customHeight="1">
      <c r="A89" s="102" t="s">
        <v>2213</v>
      </c>
      <c r="C89" s="102"/>
      <c r="D89" s="102"/>
      <c r="E89" s="102"/>
      <c r="F89" s="102"/>
      <c r="G89" s="102"/>
      <c r="H89" s="102"/>
      <c r="I89" s="102"/>
      <c r="J89" s="102"/>
      <c r="K89" s="102"/>
      <c r="L89" s="102"/>
      <c r="M89" s="102"/>
      <c r="N89" s="102"/>
      <c r="O89" s="102"/>
      <c r="P89" s="102"/>
      <c r="Q89" s="102"/>
      <c r="R89" s="102"/>
      <c r="S89" s="102"/>
      <c r="T89" s="102"/>
      <c r="U89" s="102"/>
      <c r="V89" s="102"/>
      <c r="W89" s="102"/>
      <c r="X89" s="102"/>
      <c r="Y89" s="102"/>
      <c r="Z89" s="102"/>
      <c r="AA89" s="19"/>
      <c r="AB89" s="19"/>
      <c r="AC89" s="19"/>
      <c r="AD89" s="19"/>
      <c r="AE89" s="19"/>
      <c r="AF89" s="19"/>
      <c r="AG89" s="19"/>
      <c r="AH89" s="19"/>
      <c r="AI89" s="19"/>
      <c r="AJ89" s="19"/>
      <c r="AK89" s="19"/>
      <c r="AL89" s="19"/>
      <c r="AM89" s="19"/>
    </row>
    <row r="90" spans="1:39" ht="12.95" customHeight="1">
      <c r="C90" s="102"/>
      <c r="D90" s="102"/>
      <c r="E90" s="102"/>
      <c r="F90" s="102"/>
      <c r="G90" s="102"/>
      <c r="H90" s="102"/>
      <c r="I90" s="102"/>
      <c r="J90" s="102"/>
      <c r="K90" s="102"/>
      <c r="L90" s="102"/>
      <c r="M90" s="102"/>
      <c r="N90" s="102"/>
      <c r="O90" s="102"/>
      <c r="P90" s="102"/>
      <c r="Q90" s="102"/>
      <c r="R90" s="102"/>
      <c r="S90" s="102"/>
      <c r="T90" s="102"/>
      <c r="U90" s="102"/>
      <c r="V90" s="102"/>
      <c r="W90" s="102"/>
      <c r="X90" s="102"/>
      <c r="Y90" s="102"/>
      <c r="Z90" s="102"/>
      <c r="AA90" s="19"/>
      <c r="AB90" s="19"/>
      <c r="AC90" s="19"/>
      <c r="AD90" s="19"/>
      <c r="AE90" s="19"/>
      <c r="AF90" s="19"/>
      <c r="AG90" s="19"/>
      <c r="AH90" s="19"/>
      <c r="AI90" s="19"/>
      <c r="AJ90" s="19"/>
      <c r="AK90" s="19"/>
      <c r="AL90" s="19"/>
      <c r="AM90" s="19"/>
    </row>
    <row r="91" spans="1:39" ht="12.95" customHeight="1">
      <c r="A91" s="102" t="s">
        <v>833</v>
      </c>
      <c r="C91" s="102"/>
      <c r="D91" s="102"/>
      <c r="E91" s="102"/>
      <c r="F91" s="102"/>
      <c r="G91" s="102"/>
      <c r="H91" s="102"/>
      <c r="I91" s="102"/>
      <c r="J91" s="102"/>
      <c r="K91" s="102"/>
      <c r="L91" s="102"/>
      <c r="M91" s="102"/>
      <c r="N91" s="102"/>
      <c r="O91" s="102"/>
      <c r="P91" s="102"/>
      <c r="Q91" s="102"/>
      <c r="R91" s="102"/>
      <c r="S91" s="102"/>
      <c r="T91" s="102"/>
      <c r="U91" s="102"/>
      <c r="V91" s="102"/>
      <c r="W91" s="102"/>
      <c r="X91" s="102"/>
      <c r="Y91" s="102"/>
      <c r="Z91" s="102"/>
      <c r="AA91" s="19"/>
      <c r="AB91" s="19"/>
      <c r="AC91" s="19"/>
      <c r="AD91" s="19"/>
      <c r="AE91" s="19"/>
      <c r="AF91" s="19"/>
      <c r="AG91" s="19"/>
      <c r="AH91" s="19"/>
      <c r="AI91" s="19"/>
      <c r="AJ91" s="19"/>
      <c r="AK91" s="19"/>
      <c r="AL91" s="19"/>
      <c r="AM91" s="19"/>
    </row>
    <row r="92" spans="1:39" ht="12.95" customHeight="1">
      <c r="A92" s="102" t="s">
        <v>23</v>
      </c>
      <c r="C92" s="102"/>
      <c r="D92" s="102"/>
      <c r="E92" s="102"/>
      <c r="F92" s="102"/>
      <c r="G92" s="102"/>
      <c r="H92" s="102"/>
      <c r="I92" s="102"/>
      <c r="J92" s="102"/>
      <c r="K92" s="102"/>
      <c r="L92" s="102"/>
      <c r="M92" s="102"/>
      <c r="N92" s="102"/>
      <c r="O92" s="102"/>
      <c r="P92" s="102"/>
      <c r="Q92" s="102"/>
      <c r="R92" s="102"/>
      <c r="S92" s="102"/>
      <c r="T92" s="102"/>
      <c r="U92" s="102"/>
      <c r="V92" s="102"/>
      <c r="W92" s="102"/>
      <c r="X92" s="102"/>
      <c r="Y92" s="102"/>
      <c r="Z92" s="102"/>
      <c r="AA92" s="19"/>
      <c r="AB92" s="19"/>
      <c r="AC92" s="19"/>
      <c r="AD92" s="19"/>
      <c r="AE92" s="19"/>
      <c r="AF92" s="19"/>
      <c r="AG92" s="19"/>
      <c r="AH92" s="19"/>
      <c r="AI92" s="19"/>
      <c r="AJ92" s="19"/>
      <c r="AK92" s="19"/>
      <c r="AL92" s="19"/>
      <c r="AM92" s="19"/>
    </row>
    <row r="93" spans="1:39" ht="12.95" customHeight="1">
      <c r="A93" s="102" t="s">
        <v>27</v>
      </c>
      <c r="C93" s="102"/>
      <c r="D93" s="102"/>
      <c r="E93" s="102"/>
      <c r="F93" s="102"/>
      <c r="G93" s="102"/>
      <c r="H93" s="102"/>
      <c r="I93" s="102"/>
      <c r="J93" s="102"/>
      <c r="K93" s="102"/>
      <c r="L93" s="102"/>
      <c r="M93" s="102"/>
      <c r="N93" s="102"/>
      <c r="O93" s="102"/>
      <c r="P93" s="102"/>
      <c r="Q93" s="102"/>
      <c r="R93" s="102"/>
      <c r="S93" s="102"/>
      <c r="T93" s="102"/>
      <c r="U93" s="102"/>
      <c r="V93" s="102"/>
      <c r="W93" s="102"/>
      <c r="X93" s="102"/>
      <c r="Y93" s="102"/>
      <c r="Z93" s="102"/>
      <c r="AA93" s="19"/>
      <c r="AB93" s="19"/>
      <c r="AC93" s="19"/>
      <c r="AD93" s="19"/>
      <c r="AE93" s="19"/>
      <c r="AF93" s="19"/>
      <c r="AG93" s="19"/>
      <c r="AH93" s="19"/>
      <c r="AI93" s="19"/>
      <c r="AJ93" s="19"/>
      <c r="AK93" s="19"/>
      <c r="AL93" s="19"/>
      <c r="AM93" s="19"/>
    </row>
    <row r="94" spans="1:39" ht="12.95" customHeight="1">
      <c r="C94" s="102"/>
      <c r="D94" s="102"/>
      <c r="E94" s="102"/>
      <c r="F94" s="102"/>
      <c r="G94" s="102"/>
      <c r="H94" s="102"/>
      <c r="I94" s="102"/>
      <c r="J94" s="102"/>
      <c r="K94" s="102"/>
      <c r="L94" s="102"/>
      <c r="M94" s="102"/>
      <c r="N94" s="102"/>
      <c r="O94" s="102"/>
      <c r="P94" s="102"/>
      <c r="Q94" s="102"/>
      <c r="R94" s="102"/>
      <c r="S94" s="102"/>
      <c r="T94" s="102"/>
      <c r="U94" s="102"/>
      <c r="V94" s="102"/>
      <c r="W94" s="102"/>
      <c r="X94" s="102"/>
      <c r="Y94" s="102"/>
      <c r="Z94" s="102"/>
      <c r="AA94" s="19"/>
      <c r="AB94" s="19"/>
      <c r="AC94" s="19"/>
      <c r="AD94" s="19"/>
      <c r="AE94" s="19"/>
      <c r="AF94" s="19"/>
      <c r="AG94" s="19"/>
      <c r="AH94" s="19"/>
      <c r="AI94" s="19"/>
      <c r="AJ94" s="19"/>
      <c r="AK94" s="19"/>
      <c r="AL94" s="19"/>
      <c r="AM94" s="19"/>
    </row>
    <row r="95" spans="1:39" ht="12.95" customHeight="1">
      <c r="A95" s="102" t="s">
        <v>2214</v>
      </c>
      <c r="C95" s="102"/>
      <c r="D95" s="102"/>
      <c r="E95" s="102"/>
      <c r="F95" s="102"/>
      <c r="G95" s="102"/>
      <c r="H95" s="102"/>
      <c r="I95" s="102"/>
      <c r="J95" s="102"/>
      <c r="K95" s="102"/>
      <c r="L95" s="102"/>
      <c r="M95" s="102"/>
      <c r="N95" s="102"/>
      <c r="O95" s="102"/>
      <c r="P95" s="102"/>
      <c r="Q95" s="102"/>
      <c r="R95" s="102"/>
      <c r="S95" s="102"/>
      <c r="T95" s="102"/>
      <c r="U95" s="102"/>
      <c r="V95" s="102"/>
      <c r="W95" s="102"/>
      <c r="X95" s="102"/>
      <c r="Y95" s="102"/>
      <c r="Z95" s="102"/>
      <c r="AA95" s="19"/>
      <c r="AB95" s="19"/>
      <c r="AC95" s="19"/>
      <c r="AD95" s="19"/>
      <c r="AE95" s="19"/>
      <c r="AF95" s="19"/>
      <c r="AG95" s="19"/>
      <c r="AH95" s="19"/>
      <c r="AI95" s="19"/>
      <c r="AJ95" s="19"/>
      <c r="AK95" s="19"/>
      <c r="AL95" s="19"/>
      <c r="AM95" s="19"/>
    </row>
    <row r="96" spans="1:39" ht="12.95" customHeight="1">
      <c r="A96" s="102" t="s">
        <v>2215</v>
      </c>
      <c r="C96" s="102"/>
      <c r="D96" s="102"/>
      <c r="E96" s="102"/>
      <c r="F96" s="102"/>
      <c r="G96" s="102"/>
      <c r="H96" s="102"/>
      <c r="I96" s="102"/>
      <c r="J96" s="102"/>
      <c r="K96" s="102"/>
      <c r="L96" s="102"/>
      <c r="M96" s="102"/>
      <c r="N96" s="102"/>
      <c r="O96" s="102"/>
      <c r="P96" s="102"/>
      <c r="Q96" s="102"/>
      <c r="R96" s="102"/>
      <c r="S96" s="102"/>
      <c r="T96" s="102"/>
      <c r="U96" s="102"/>
      <c r="V96" s="102"/>
      <c r="W96" s="102"/>
      <c r="X96" s="102"/>
      <c r="Y96" s="102"/>
      <c r="Z96" s="102"/>
      <c r="AA96" s="19"/>
      <c r="AB96" s="19"/>
      <c r="AC96" s="19"/>
      <c r="AD96" s="19"/>
      <c r="AE96" s="19"/>
      <c r="AF96" s="19"/>
      <c r="AG96" s="19"/>
      <c r="AH96" s="19"/>
      <c r="AI96" s="19"/>
      <c r="AJ96" s="19"/>
      <c r="AK96" s="19"/>
      <c r="AL96" s="19"/>
      <c r="AM96" s="19"/>
    </row>
    <row r="97" spans="1:39" ht="12.95" customHeight="1">
      <c r="C97" s="102"/>
      <c r="D97" s="102"/>
      <c r="E97" s="102"/>
      <c r="F97" s="102"/>
      <c r="G97" s="102"/>
      <c r="H97" s="102"/>
      <c r="I97" s="102"/>
      <c r="J97" s="102"/>
      <c r="K97" s="102"/>
      <c r="L97" s="102"/>
      <c r="M97" s="102"/>
      <c r="N97" s="102"/>
      <c r="O97" s="102"/>
      <c r="P97" s="102"/>
      <c r="Q97" s="102"/>
      <c r="R97" s="102"/>
      <c r="S97" s="102"/>
      <c r="T97" s="102"/>
      <c r="U97" s="102"/>
      <c r="V97" s="102"/>
      <c r="W97" s="102"/>
      <c r="X97" s="102"/>
      <c r="Y97" s="102"/>
      <c r="Z97" s="102"/>
      <c r="AA97" s="19"/>
      <c r="AB97" s="19"/>
      <c r="AC97" s="19"/>
      <c r="AD97" s="19"/>
      <c r="AE97" s="19"/>
      <c r="AF97" s="19"/>
      <c r="AG97" s="19"/>
      <c r="AH97" s="19"/>
      <c r="AI97" s="19"/>
      <c r="AJ97" s="19"/>
      <c r="AK97" s="19"/>
      <c r="AL97" s="19"/>
      <c r="AM97" s="19"/>
    </row>
    <row r="98" spans="1:39" ht="12.95" customHeight="1">
      <c r="A98" s="102" t="s">
        <v>362</v>
      </c>
      <c r="C98" s="102"/>
      <c r="D98" s="102"/>
      <c r="E98" s="102"/>
      <c r="F98" s="102"/>
      <c r="G98" s="102"/>
      <c r="H98" s="102"/>
      <c r="I98" s="102"/>
      <c r="J98" s="102"/>
      <c r="K98" s="102"/>
      <c r="L98" s="102"/>
      <c r="M98" s="102"/>
      <c r="N98" s="102"/>
      <c r="O98" s="102"/>
      <c r="P98" s="102"/>
      <c r="Q98" s="102"/>
      <c r="R98" s="102"/>
      <c r="S98" s="102"/>
      <c r="T98" s="102"/>
      <c r="U98" s="102"/>
      <c r="V98" s="102"/>
      <c r="W98" s="102"/>
      <c r="X98" s="102"/>
      <c r="Y98" s="102"/>
      <c r="Z98" s="102"/>
      <c r="AA98" s="19"/>
      <c r="AB98" s="19"/>
      <c r="AC98" s="19"/>
      <c r="AD98" s="19"/>
      <c r="AE98" s="19"/>
      <c r="AF98" s="19"/>
      <c r="AG98" s="19"/>
      <c r="AH98" s="19"/>
      <c r="AI98" s="19"/>
      <c r="AJ98" s="19"/>
      <c r="AK98" s="19"/>
      <c r="AL98" s="19"/>
      <c r="AM98" s="19"/>
    </row>
    <row r="99" spans="1:39" ht="12.95" customHeight="1">
      <c r="A99" s="102" t="s">
        <v>404</v>
      </c>
      <c r="C99" s="102"/>
      <c r="D99" s="102"/>
      <c r="E99" s="102"/>
      <c r="F99" s="102"/>
      <c r="G99" s="102"/>
      <c r="H99" s="102"/>
      <c r="I99" s="102"/>
      <c r="J99" s="102"/>
      <c r="K99" s="102"/>
      <c r="L99" s="102"/>
      <c r="M99" s="102"/>
      <c r="N99" s="102"/>
      <c r="O99" s="102"/>
      <c r="P99" s="102"/>
      <c r="Q99" s="102"/>
      <c r="R99" s="102"/>
      <c r="S99" s="102"/>
      <c r="T99" s="102"/>
      <c r="U99" s="102"/>
      <c r="V99" s="102"/>
      <c r="W99" s="102"/>
      <c r="X99" s="102"/>
      <c r="Y99" s="102"/>
      <c r="Z99" s="102"/>
      <c r="AA99" s="19"/>
      <c r="AB99" s="19"/>
      <c r="AC99" s="19"/>
      <c r="AD99" s="19"/>
      <c r="AE99" s="19"/>
      <c r="AF99" s="19"/>
      <c r="AG99" s="19"/>
      <c r="AH99" s="19"/>
      <c r="AI99" s="19"/>
      <c r="AJ99" s="19"/>
      <c r="AK99" s="19"/>
      <c r="AL99" s="19"/>
      <c r="AM99" s="19"/>
    </row>
    <row r="100" spans="1:39" ht="12.95" customHeight="1">
      <c r="A100" s="102" t="s">
        <v>405</v>
      </c>
      <c r="C100" s="102"/>
      <c r="D100" s="102"/>
      <c r="E100" s="102"/>
      <c r="F100" s="102"/>
      <c r="G100" s="102"/>
      <c r="H100" s="102"/>
      <c r="I100" s="102"/>
      <c r="J100" s="102"/>
      <c r="K100" s="102"/>
      <c r="L100" s="102"/>
      <c r="M100" s="102"/>
      <c r="N100" s="102"/>
      <c r="O100" s="102"/>
      <c r="P100" s="102"/>
      <c r="Q100" s="102"/>
      <c r="R100" s="102"/>
      <c r="S100" s="102"/>
      <c r="T100" s="102"/>
      <c r="U100" s="102"/>
      <c r="V100" s="102"/>
      <c r="W100" s="102"/>
      <c r="X100" s="102"/>
      <c r="Y100" s="102"/>
      <c r="Z100" s="102"/>
      <c r="AA100" s="19"/>
      <c r="AB100" s="19"/>
      <c r="AC100" s="19"/>
      <c r="AD100" s="19"/>
      <c r="AE100" s="19"/>
      <c r="AF100" s="19"/>
      <c r="AG100" s="19"/>
      <c r="AH100" s="19"/>
      <c r="AI100" s="19"/>
      <c r="AJ100" s="19"/>
      <c r="AK100" s="19"/>
      <c r="AL100" s="19"/>
      <c r="AM100" s="19"/>
    </row>
    <row r="101" spans="1:39" ht="12.95" customHeight="1">
      <c r="C101" s="102"/>
      <c r="D101" s="102"/>
      <c r="E101" s="102"/>
      <c r="F101" s="102"/>
      <c r="G101" s="102"/>
      <c r="H101" s="102"/>
      <c r="I101" s="102"/>
      <c r="J101" s="102"/>
      <c r="K101" s="102"/>
      <c r="L101" s="102"/>
      <c r="M101" s="102"/>
      <c r="N101" s="102"/>
      <c r="O101" s="102"/>
      <c r="P101" s="102"/>
      <c r="Q101" s="102"/>
      <c r="R101" s="102"/>
      <c r="S101" s="102"/>
      <c r="T101" s="102"/>
      <c r="U101" s="102"/>
      <c r="V101" s="102"/>
      <c r="W101" s="102"/>
      <c r="X101" s="102"/>
      <c r="Y101" s="102"/>
      <c r="Z101" s="102"/>
      <c r="AA101" s="19"/>
      <c r="AB101" s="19"/>
      <c r="AC101" s="19"/>
      <c r="AD101" s="19"/>
      <c r="AE101" s="19"/>
      <c r="AF101" s="19"/>
      <c r="AG101" s="19"/>
      <c r="AH101" s="19"/>
      <c r="AI101" s="19"/>
      <c r="AJ101" s="19"/>
      <c r="AK101" s="19"/>
      <c r="AL101" s="19"/>
      <c r="AM101" s="19"/>
    </row>
    <row r="102" spans="1:39" ht="12.95" customHeight="1">
      <c r="A102" s="102" t="s">
        <v>406</v>
      </c>
      <c r="C102" s="102"/>
      <c r="D102" s="102"/>
      <c r="E102" s="102"/>
      <c r="F102" s="102"/>
      <c r="G102" s="102"/>
      <c r="H102" s="102"/>
      <c r="I102" s="102"/>
      <c r="J102" s="102"/>
      <c r="K102" s="102"/>
      <c r="L102" s="102"/>
      <c r="M102" s="102"/>
      <c r="N102" s="102"/>
      <c r="O102" s="102"/>
      <c r="P102" s="102"/>
      <c r="Q102" s="102"/>
      <c r="R102" s="102"/>
      <c r="S102" s="102"/>
      <c r="T102" s="102"/>
      <c r="U102" s="102"/>
      <c r="V102" s="102"/>
      <c r="W102" s="102"/>
      <c r="X102" s="102"/>
      <c r="Y102" s="102"/>
      <c r="Z102" s="102"/>
      <c r="AA102" s="19"/>
      <c r="AB102" s="19"/>
      <c r="AC102" s="19"/>
      <c r="AD102" s="19"/>
      <c r="AE102" s="19"/>
      <c r="AF102" s="19"/>
      <c r="AG102" s="19"/>
      <c r="AH102" s="19"/>
      <c r="AI102" s="19"/>
      <c r="AJ102" s="19"/>
      <c r="AK102" s="19"/>
      <c r="AL102" s="19"/>
      <c r="AM102" s="19"/>
    </row>
    <row r="103" spans="1:39" ht="12.95" customHeight="1">
      <c r="A103" s="102" t="s">
        <v>1179</v>
      </c>
      <c r="C103" s="102"/>
      <c r="D103" s="102"/>
      <c r="E103" s="102"/>
      <c r="F103" s="102"/>
      <c r="G103" s="102"/>
      <c r="H103" s="102"/>
      <c r="I103" s="102"/>
      <c r="J103" s="102"/>
      <c r="K103" s="102"/>
      <c r="L103" s="102"/>
      <c r="M103" s="102"/>
      <c r="N103" s="102"/>
      <c r="O103" s="102"/>
      <c r="P103" s="102"/>
      <c r="Q103" s="102"/>
      <c r="R103" s="102"/>
      <c r="S103" s="102"/>
      <c r="T103" s="102"/>
      <c r="U103" s="102"/>
      <c r="V103" s="102"/>
      <c r="W103" s="102"/>
      <c r="X103" s="102"/>
      <c r="Y103" s="102"/>
      <c r="Z103" s="102"/>
      <c r="AA103" s="19"/>
      <c r="AB103" s="19"/>
      <c r="AC103" s="19"/>
      <c r="AD103" s="19"/>
      <c r="AE103" s="19"/>
      <c r="AF103" s="19"/>
      <c r="AG103" s="19"/>
      <c r="AH103" s="19"/>
      <c r="AI103" s="19"/>
      <c r="AJ103" s="19"/>
      <c r="AK103" s="19"/>
      <c r="AL103" s="19"/>
      <c r="AM103" s="19"/>
    </row>
    <row r="104" spans="1:39" ht="12.95" customHeight="1">
      <c r="A104" s="313" t="s">
        <v>2216</v>
      </c>
      <c r="C104" s="102"/>
      <c r="D104" s="102"/>
      <c r="E104" s="102"/>
      <c r="F104" s="102"/>
      <c r="G104" s="102"/>
      <c r="H104" s="102"/>
      <c r="I104" s="102"/>
      <c r="J104" s="102"/>
      <c r="K104" s="102"/>
      <c r="L104" s="102"/>
      <c r="M104" s="102"/>
      <c r="N104" s="102"/>
      <c r="O104" s="102"/>
      <c r="P104" s="102"/>
      <c r="Q104" s="102"/>
      <c r="R104" s="102"/>
      <c r="S104" s="102"/>
      <c r="T104" s="102"/>
      <c r="U104" s="102"/>
      <c r="V104" s="102"/>
      <c r="W104" s="102"/>
      <c r="X104" s="102"/>
      <c r="Y104" s="102"/>
      <c r="Z104" s="102"/>
      <c r="AA104" s="19"/>
      <c r="AB104" s="19"/>
      <c r="AC104" s="19"/>
      <c r="AD104" s="19"/>
      <c r="AE104" s="19"/>
      <c r="AF104" s="19"/>
      <c r="AG104" s="19"/>
      <c r="AH104" s="19"/>
      <c r="AI104" s="19"/>
      <c r="AJ104" s="19"/>
      <c r="AK104" s="19"/>
      <c r="AL104" s="19"/>
      <c r="AM104" s="19"/>
    </row>
    <row r="105" spans="1:39" ht="12.95" customHeight="1">
      <c r="A105" s="313" t="s">
        <v>2217</v>
      </c>
      <c r="C105" s="102"/>
      <c r="D105" s="102"/>
      <c r="E105" s="102"/>
      <c r="F105" s="102"/>
      <c r="G105" s="102"/>
      <c r="H105" s="102"/>
      <c r="I105" s="102"/>
      <c r="J105" s="102"/>
      <c r="K105" s="102"/>
      <c r="L105" s="102"/>
      <c r="M105" s="102"/>
      <c r="N105" s="102"/>
      <c r="O105" s="102"/>
      <c r="P105" s="102"/>
      <c r="Q105" s="102"/>
      <c r="R105" s="102"/>
      <c r="S105" s="102"/>
      <c r="T105" s="102"/>
      <c r="U105" s="102"/>
      <c r="V105" s="102"/>
      <c r="W105" s="102"/>
      <c r="X105" s="102"/>
      <c r="Y105" s="102"/>
      <c r="Z105" s="102"/>
      <c r="AA105" s="19"/>
      <c r="AB105" s="19"/>
      <c r="AC105" s="19"/>
      <c r="AD105" s="19"/>
      <c r="AE105" s="19"/>
      <c r="AF105" s="19"/>
      <c r="AG105" s="19"/>
      <c r="AH105" s="19"/>
      <c r="AI105" s="19"/>
      <c r="AJ105" s="19"/>
      <c r="AK105" s="19"/>
      <c r="AL105" s="19"/>
      <c r="AM105" s="19"/>
    </row>
    <row r="106" spans="1:39" ht="12.95" customHeight="1">
      <c r="A106" t="s">
        <v>1936</v>
      </c>
      <c r="C106" s="102"/>
      <c r="D106" s="102"/>
      <c r="E106" s="102"/>
      <c r="F106" s="102"/>
      <c r="G106" s="102"/>
      <c r="H106" s="102"/>
      <c r="I106" s="102"/>
      <c r="J106" s="102"/>
      <c r="K106" s="102"/>
      <c r="L106" s="102"/>
      <c r="M106" s="102"/>
      <c r="N106" s="102"/>
      <c r="O106" s="102"/>
      <c r="P106" s="102"/>
      <c r="Q106" s="102"/>
      <c r="R106" s="102"/>
      <c r="S106" s="102"/>
      <c r="T106" s="102"/>
      <c r="U106" s="102"/>
      <c r="V106" s="102"/>
      <c r="W106" s="102"/>
      <c r="X106" s="102"/>
      <c r="Y106" s="102"/>
      <c r="Z106" s="102"/>
      <c r="AA106" s="19"/>
      <c r="AB106" s="19"/>
      <c r="AC106" s="19"/>
      <c r="AD106" s="19"/>
      <c r="AE106" s="19"/>
      <c r="AF106" s="19"/>
      <c r="AG106" s="19"/>
      <c r="AH106" s="19"/>
      <c r="AI106" s="19"/>
      <c r="AJ106" s="19"/>
      <c r="AK106" s="19"/>
      <c r="AL106" s="19"/>
      <c r="AM106" s="19"/>
    </row>
    <row r="107" spans="1:39" ht="12.95" customHeight="1">
      <c r="A107" t="s">
        <v>1937</v>
      </c>
      <c r="C107" s="102"/>
      <c r="D107" s="102"/>
      <c r="E107" s="102"/>
      <c r="F107" s="102"/>
      <c r="G107" s="102"/>
      <c r="H107" s="102"/>
      <c r="I107" s="102"/>
      <c r="J107" s="102"/>
      <c r="K107" s="102"/>
      <c r="L107" s="102"/>
      <c r="M107" s="102"/>
      <c r="N107" s="102"/>
      <c r="O107" s="102"/>
      <c r="P107" s="102"/>
      <c r="Q107" s="102"/>
      <c r="R107" s="102"/>
      <c r="S107" s="102"/>
      <c r="T107" s="102"/>
      <c r="U107" s="102"/>
      <c r="V107" s="102"/>
      <c r="W107" s="102"/>
      <c r="X107" s="102"/>
      <c r="Y107" s="102"/>
      <c r="Z107" s="102"/>
      <c r="AA107" s="19"/>
      <c r="AB107" s="19"/>
      <c r="AC107" s="19"/>
      <c r="AD107" s="19"/>
      <c r="AE107" s="19"/>
      <c r="AF107" s="19"/>
      <c r="AG107" s="19"/>
      <c r="AH107" s="19"/>
      <c r="AI107" s="19"/>
      <c r="AJ107" s="19"/>
      <c r="AK107" s="19"/>
      <c r="AL107" s="19"/>
      <c r="AM107" s="19"/>
    </row>
    <row r="108" spans="1:39" ht="12.95" customHeight="1">
      <c r="A108" s="313" t="s">
        <v>1938</v>
      </c>
      <c r="C108" s="102"/>
      <c r="D108" s="102"/>
      <c r="E108" s="102"/>
      <c r="F108" s="102"/>
      <c r="G108" s="102"/>
      <c r="H108" s="102"/>
      <c r="I108" s="102"/>
      <c r="J108" s="102"/>
      <c r="K108" s="102"/>
      <c r="L108" s="102"/>
      <c r="M108" s="102"/>
      <c r="N108" s="102"/>
      <c r="O108" s="102"/>
      <c r="P108" s="102"/>
      <c r="Q108" s="102"/>
      <c r="R108" s="102"/>
      <c r="S108" s="102"/>
      <c r="T108" s="102"/>
      <c r="U108" s="102"/>
      <c r="V108" s="102"/>
      <c r="W108" s="102"/>
      <c r="X108" s="102"/>
      <c r="Y108" s="102"/>
      <c r="Z108" s="102"/>
      <c r="AA108" s="19"/>
      <c r="AB108" s="19"/>
      <c r="AC108" s="19"/>
      <c r="AD108" s="19"/>
      <c r="AE108" s="19"/>
      <c r="AF108" s="19"/>
      <c r="AG108" s="19"/>
      <c r="AH108" s="19"/>
      <c r="AI108" s="19"/>
      <c r="AJ108" s="19"/>
      <c r="AK108" s="19"/>
      <c r="AL108" s="19"/>
      <c r="AM108" s="19"/>
    </row>
    <row r="109" spans="1:39" ht="12.95" customHeight="1">
      <c r="A109" s="313" t="s">
        <v>1939</v>
      </c>
      <c r="C109" s="102"/>
      <c r="D109" s="102"/>
      <c r="E109" s="102"/>
      <c r="F109" s="102"/>
      <c r="G109" s="102"/>
      <c r="H109" s="102"/>
      <c r="I109" s="102"/>
      <c r="J109" s="102"/>
      <c r="K109" s="102"/>
      <c r="L109" s="102"/>
      <c r="M109" s="102"/>
      <c r="N109" s="102"/>
      <c r="O109" s="102"/>
      <c r="P109" s="102"/>
      <c r="Q109" s="102"/>
      <c r="R109" s="102"/>
      <c r="S109" s="102"/>
      <c r="T109" s="102"/>
      <c r="U109" s="102"/>
      <c r="V109" s="102"/>
      <c r="W109" s="102"/>
      <c r="X109" s="102"/>
      <c r="Y109" s="102"/>
      <c r="Z109" s="102"/>
      <c r="AA109" s="19"/>
      <c r="AB109" s="19"/>
      <c r="AC109" s="19"/>
      <c r="AD109" s="19"/>
      <c r="AE109" s="19"/>
      <c r="AF109" s="19"/>
      <c r="AG109" s="19"/>
      <c r="AH109" s="19"/>
      <c r="AI109" s="19"/>
      <c r="AJ109" s="19"/>
      <c r="AK109" s="19"/>
      <c r="AL109" s="19"/>
      <c r="AM109" s="19"/>
    </row>
    <row r="110" spans="1:39" ht="12.95" customHeight="1">
      <c r="A110" s="313" t="s">
        <v>1405</v>
      </c>
      <c r="C110" s="102"/>
      <c r="D110" s="102"/>
      <c r="E110" s="102"/>
      <c r="F110" s="102"/>
      <c r="G110" s="102"/>
      <c r="H110" s="102"/>
      <c r="I110" s="102"/>
      <c r="J110" s="102"/>
      <c r="K110" s="102"/>
      <c r="L110" s="102"/>
      <c r="M110" s="102"/>
      <c r="N110" s="102"/>
      <c r="O110" s="102"/>
      <c r="P110" s="102"/>
      <c r="Q110" s="102"/>
      <c r="R110" s="102"/>
      <c r="S110" s="102"/>
      <c r="T110" s="102"/>
      <c r="U110" s="102"/>
      <c r="V110" s="102"/>
      <c r="W110" s="102"/>
      <c r="X110" s="102"/>
      <c r="Y110" s="102"/>
      <c r="Z110" s="102"/>
      <c r="AA110" s="19"/>
      <c r="AB110" s="19"/>
      <c r="AC110" s="19"/>
      <c r="AD110" s="19"/>
      <c r="AE110" s="19"/>
      <c r="AF110" s="19"/>
      <c r="AG110" s="19"/>
      <c r="AH110" s="19"/>
      <c r="AI110" s="19"/>
      <c r="AJ110" s="19"/>
      <c r="AK110" s="19"/>
      <c r="AL110" s="19"/>
      <c r="AM110" s="19"/>
    </row>
    <row r="111" spans="1:39" ht="12.95" customHeight="1">
      <c r="A111" s="313" t="s">
        <v>2218</v>
      </c>
      <c r="C111" s="102"/>
      <c r="D111" s="102"/>
      <c r="E111" s="102"/>
      <c r="F111" s="102"/>
      <c r="G111" s="102"/>
      <c r="H111" s="102"/>
      <c r="I111" s="102"/>
      <c r="J111" s="102"/>
      <c r="K111" s="102"/>
      <c r="L111" s="102"/>
      <c r="M111" s="102"/>
      <c r="N111" s="102"/>
      <c r="O111" s="102"/>
      <c r="P111" s="102"/>
      <c r="Q111" s="102"/>
      <c r="R111" s="102"/>
      <c r="S111" s="102"/>
      <c r="T111" s="102"/>
      <c r="U111" s="102"/>
      <c r="V111" s="102"/>
      <c r="W111" s="102"/>
      <c r="X111" s="102"/>
      <c r="Y111" s="102"/>
      <c r="Z111" s="102"/>
      <c r="AA111" s="19"/>
      <c r="AB111" s="19"/>
      <c r="AC111" s="19"/>
      <c r="AD111" s="19"/>
      <c r="AE111" s="19"/>
      <c r="AF111" s="19"/>
      <c r="AG111" s="19"/>
      <c r="AH111" s="19"/>
      <c r="AI111" s="19"/>
      <c r="AJ111" s="19"/>
      <c r="AK111" s="19"/>
      <c r="AL111" s="19"/>
      <c r="AM111" s="19"/>
    </row>
    <row r="112" spans="1:39" ht="12.95" customHeight="1">
      <c r="A112" s="313" t="s">
        <v>1941</v>
      </c>
      <c r="C112" s="102"/>
      <c r="D112" s="102"/>
      <c r="E112" s="102"/>
      <c r="F112" s="102"/>
      <c r="G112" s="102"/>
      <c r="H112" s="102"/>
      <c r="I112" s="102"/>
      <c r="J112" s="102"/>
      <c r="K112" s="102"/>
      <c r="L112" s="102"/>
      <c r="M112" s="102"/>
      <c r="N112" s="102"/>
      <c r="O112" s="102"/>
      <c r="P112" s="102"/>
      <c r="Q112" s="102"/>
      <c r="R112" s="102"/>
      <c r="S112" s="102"/>
      <c r="T112" s="102"/>
      <c r="U112" s="102"/>
      <c r="V112" s="102"/>
      <c r="W112" s="102"/>
      <c r="X112" s="102"/>
      <c r="Y112" s="102"/>
      <c r="Z112" s="102"/>
      <c r="AA112" s="19"/>
      <c r="AB112" s="19"/>
      <c r="AC112" s="19"/>
      <c r="AD112" s="19"/>
      <c r="AE112" s="19"/>
      <c r="AF112" s="19"/>
      <c r="AG112" s="19"/>
      <c r="AH112" s="19"/>
      <c r="AI112" s="19"/>
      <c r="AJ112" s="19"/>
      <c r="AK112" s="19"/>
      <c r="AL112" s="19"/>
      <c r="AM112" s="19"/>
    </row>
    <row r="113" spans="1:39" ht="12.95" customHeight="1">
      <c r="A113" s="313" t="s">
        <v>1940</v>
      </c>
      <c r="C113" s="102"/>
      <c r="D113" s="102"/>
      <c r="E113" s="102"/>
      <c r="F113" s="102"/>
      <c r="G113" s="102"/>
      <c r="H113" s="102"/>
      <c r="I113" s="102"/>
      <c r="J113" s="102"/>
      <c r="K113" s="102"/>
      <c r="L113" s="102"/>
      <c r="M113" s="102"/>
      <c r="N113" s="102"/>
      <c r="O113" s="102"/>
      <c r="P113" s="102"/>
      <c r="Q113" s="102"/>
      <c r="R113" s="102"/>
      <c r="S113" s="102"/>
      <c r="T113" s="102"/>
      <c r="U113" s="102"/>
      <c r="V113" s="102"/>
      <c r="W113" s="102"/>
      <c r="X113" s="102"/>
      <c r="Y113" s="102"/>
      <c r="Z113" s="102"/>
      <c r="AA113" s="19"/>
      <c r="AB113" s="19"/>
      <c r="AC113" s="19"/>
      <c r="AD113" s="19"/>
      <c r="AE113" s="19"/>
      <c r="AF113" s="19"/>
      <c r="AG113" s="19"/>
      <c r="AH113" s="19"/>
      <c r="AI113" s="19"/>
      <c r="AJ113" s="19"/>
      <c r="AK113" s="19"/>
      <c r="AL113" s="19"/>
      <c r="AM113" s="19"/>
    </row>
    <row r="114" spans="1:39" ht="12.95" customHeight="1">
      <c r="C114" s="102"/>
      <c r="D114" s="102"/>
      <c r="E114" s="102"/>
      <c r="F114" s="102"/>
      <c r="G114" s="102"/>
      <c r="H114" s="102"/>
      <c r="I114" s="102"/>
      <c r="J114" s="102"/>
      <c r="K114" s="102"/>
      <c r="L114" s="102"/>
      <c r="M114" s="102"/>
      <c r="N114" s="102"/>
      <c r="O114" s="102"/>
      <c r="P114" s="102"/>
      <c r="Q114" s="102"/>
      <c r="R114" s="102"/>
      <c r="S114" s="102"/>
      <c r="T114" s="102"/>
      <c r="U114" s="102"/>
      <c r="V114" s="102"/>
      <c r="W114" s="102"/>
      <c r="X114" s="102"/>
      <c r="Y114" s="102"/>
      <c r="Z114" s="102"/>
      <c r="AA114" s="19"/>
      <c r="AB114" s="19"/>
      <c r="AC114" s="19"/>
      <c r="AD114" s="19"/>
      <c r="AE114" s="19"/>
      <c r="AF114" s="19"/>
      <c r="AG114" s="19"/>
      <c r="AH114" s="19"/>
      <c r="AI114" s="19"/>
      <c r="AJ114" s="19"/>
      <c r="AK114" s="19"/>
      <c r="AL114" s="19"/>
    </row>
    <row r="115" spans="1:39" ht="12.95" customHeight="1">
      <c r="A115" s="102" t="s">
        <v>1406</v>
      </c>
      <c r="C115" s="102"/>
      <c r="D115" s="102"/>
      <c r="E115" s="102"/>
      <c r="F115" s="102"/>
      <c r="G115" s="102"/>
      <c r="H115" s="102"/>
      <c r="I115" s="102"/>
      <c r="J115" s="102"/>
      <c r="K115" s="102"/>
      <c r="L115" s="102"/>
      <c r="M115" s="102"/>
      <c r="N115" s="102"/>
      <c r="O115" s="102"/>
      <c r="P115" s="102"/>
      <c r="Q115" s="102"/>
      <c r="R115" s="102"/>
      <c r="S115" s="102"/>
      <c r="T115" s="102"/>
      <c r="U115" s="102"/>
      <c r="V115" s="102"/>
      <c r="W115" s="102"/>
      <c r="X115" s="102"/>
      <c r="Y115" s="102"/>
      <c r="Z115" s="102"/>
      <c r="AA115" s="19"/>
      <c r="AB115" s="19"/>
      <c r="AC115" s="19"/>
      <c r="AD115" s="19"/>
      <c r="AE115" s="19"/>
      <c r="AF115" s="19"/>
      <c r="AG115" s="19"/>
      <c r="AH115" s="19"/>
      <c r="AI115" s="19"/>
      <c r="AJ115" s="19"/>
      <c r="AK115" s="19"/>
      <c r="AL115" s="19"/>
    </row>
    <row r="116" spans="1:39" ht="12.95" customHeight="1">
      <c r="A116" s="102" t="s">
        <v>2219</v>
      </c>
    </row>
    <row r="117" spans="1:39" ht="12.95" customHeight="1">
      <c r="A117" s="102" t="s">
        <v>1407</v>
      </c>
      <c r="C117" s="102"/>
      <c r="D117" s="102"/>
      <c r="E117" s="102"/>
      <c r="F117" s="102"/>
      <c r="G117" s="102"/>
      <c r="H117" s="102"/>
      <c r="I117" s="102"/>
      <c r="J117" s="102"/>
      <c r="K117" s="102"/>
      <c r="L117" s="102"/>
      <c r="M117" s="102"/>
      <c r="N117" s="102"/>
      <c r="O117" s="102"/>
      <c r="P117" s="102"/>
      <c r="Q117" s="102"/>
      <c r="R117" s="102"/>
      <c r="S117" s="102"/>
      <c r="T117" s="102"/>
      <c r="U117" s="102"/>
      <c r="V117" s="102"/>
      <c r="W117" s="102"/>
      <c r="X117" s="102"/>
      <c r="Y117" s="102"/>
      <c r="Z117" s="102"/>
      <c r="AA117" s="19"/>
      <c r="AB117" s="19"/>
      <c r="AC117" s="19"/>
      <c r="AD117" s="19"/>
      <c r="AE117" s="19"/>
      <c r="AF117" s="19"/>
      <c r="AG117" s="19"/>
      <c r="AH117" s="19"/>
      <c r="AI117" s="19"/>
      <c r="AJ117" s="19"/>
      <c r="AK117" s="19"/>
      <c r="AL117" s="19"/>
    </row>
    <row r="118" spans="1:39" ht="12.95" customHeight="1">
      <c r="A118" s="313" t="s">
        <v>1408</v>
      </c>
      <c r="C118" s="102"/>
      <c r="D118" s="102"/>
      <c r="E118" s="102"/>
      <c r="F118" s="102"/>
      <c r="G118" s="102"/>
      <c r="H118" s="102"/>
      <c r="I118" s="102"/>
      <c r="J118" s="102"/>
      <c r="K118" s="102"/>
      <c r="L118" s="102"/>
      <c r="M118" s="102"/>
      <c r="N118" s="102"/>
      <c r="O118" s="102"/>
      <c r="P118" s="102"/>
      <c r="Q118" s="102"/>
      <c r="R118" s="102"/>
      <c r="S118" s="102"/>
      <c r="T118" s="102"/>
      <c r="U118" s="102"/>
      <c r="V118" s="102"/>
      <c r="W118" s="102"/>
      <c r="X118" s="102"/>
      <c r="Y118" s="102"/>
      <c r="Z118" s="102"/>
      <c r="AA118" s="19"/>
      <c r="AB118" s="19"/>
      <c r="AC118" s="19"/>
      <c r="AD118" s="19"/>
      <c r="AE118" s="19"/>
      <c r="AF118" s="19"/>
      <c r="AG118" s="19"/>
      <c r="AH118" s="19"/>
      <c r="AI118" s="19"/>
      <c r="AJ118" s="19"/>
      <c r="AK118" s="19"/>
      <c r="AL118" s="19"/>
    </row>
    <row r="119" spans="1:39" ht="12.95" customHeight="1">
      <c r="C119" s="102"/>
      <c r="D119" s="102"/>
      <c r="E119" s="102"/>
      <c r="F119" s="102"/>
      <c r="G119" s="102"/>
      <c r="H119" s="102"/>
      <c r="I119" s="102"/>
      <c r="J119" s="102"/>
      <c r="K119" s="102"/>
      <c r="L119" s="102"/>
      <c r="M119" s="102"/>
      <c r="N119" s="102"/>
      <c r="O119" s="102"/>
      <c r="P119" s="102"/>
      <c r="Q119" s="102"/>
      <c r="R119" s="102"/>
      <c r="S119" s="102"/>
      <c r="T119" s="102"/>
      <c r="U119" s="102"/>
      <c r="V119" s="102"/>
      <c r="W119" s="102"/>
      <c r="X119" s="102"/>
      <c r="Y119" s="102"/>
      <c r="Z119" s="102"/>
      <c r="AA119" s="19"/>
      <c r="AB119" s="19"/>
      <c r="AC119" s="19"/>
      <c r="AD119" s="19"/>
      <c r="AE119" s="19"/>
      <c r="AF119" s="19"/>
      <c r="AG119" s="19"/>
      <c r="AH119" s="19"/>
      <c r="AI119" s="19"/>
      <c r="AJ119" s="19"/>
      <c r="AK119" s="19"/>
      <c r="AL119" s="19"/>
    </row>
    <row r="120" spans="1:39" ht="12.95" customHeight="1">
      <c r="A120" s="102" t="s">
        <v>71</v>
      </c>
      <c r="C120" s="102"/>
      <c r="D120" s="102"/>
      <c r="E120" s="102"/>
      <c r="F120" s="102"/>
      <c r="G120" s="102"/>
      <c r="H120" s="102"/>
      <c r="I120" s="102"/>
      <c r="J120" s="102"/>
      <c r="K120" s="102"/>
      <c r="L120" s="102"/>
      <c r="M120" s="102"/>
      <c r="N120" s="102"/>
      <c r="O120" s="102"/>
      <c r="P120" s="102"/>
      <c r="Q120" s="102"/>
      <c r="R120" s="102"/>
      <c r="S120" s="102"/>
      <c r="T120" s="102"/>
      <c r="U120" s="102"/>
      <c r="V120" s="102"/>
      <c r="W120" s="102"/>
      <c r="X120" s="102"/>
      <c r="Y120" s="102"/>
      <c r="Z120" s="102"/>
      <c r="AA120" s="19"/>
      <c r="AB120" s="19"/>
      <c r="AC120" s="19"/>
      <c r="AD120" s="19"/>
      <c r="AE120" s="19"/>
      <c r="AF120" s="19"/>
      <c r="AG120" s="19"/>
      <c r="AH120" s="19"/>
      <c r="AI120" s="19"/>
      <c r="AJ120" s="19"/>
      <c r="AK120" s="19"/>
      <c r="AL120" s="19"/>
    </row>
    <row r="121" spans="1:39" ht="12.95" customHeight="1">
      <c r="A121" s="102" t="s">
        <v>2220</v>
      </c>
      <c r="C121" s="102"/>
      <c r="D121" s="102"/>
      <c r="E121" s="102"/>
      <c r="F121" s="102"/>
      <c r="G121" s="102"/>
      <c r="H121" s="102"/>
      <c r="I121" s="102"/>
      <c r="J121" s="102"/>
      <c r="K121" s="102"/>
      <c r="L121" s="102"/>
      <c r="M121" s="102"/>
      <c r="N121" s="102"/>
      <c r="O121" s="102"/>
      <c r="P121" s="102"/>
      <c r="Q121" s="102"/>
      <c r="R121" s="102"/>
      <c r="S121" s="102"/>
      <c r="T121" s="102"/>
      <c r="U121" s="102"/>
      <c r="V121" s="102"/>
      <c r="W121" s="102"/>
      <c r="X121" s="102"/>
      <c r="Y121" s="102"/>
      <c r="Z121" s="102"/>
      <c r="AA121" s="19"/>
      <c r="AB121" s="19"/>
      <c r="AC121" s="19"/>
      <c r="AD121" s="19"/>
      <c r="AE121" s="19"/>
      <c r="AF121" s="19"/>
      <c r="AG121" s="19"/>
      <c r="AH121" s="19"/>
      <c r="AI121" s="19"/>
      <c r="AJ121" s="19"/>
      <c r="AK121" s="19"/>
      <c r="AL121" s="19"/>
    </row>
    <row r="122" spans="1:39" ht="12.95" customHeight="1">
      <c r="A122" s="102" t="s">
        <v>938</v>
      </c>
      <c r="C122" s="102"/>
      <c r="D122" s="102"/>
      <c r="E122" s="102"/>
      <c r="F122" s="102"/>
      <c r="G122" s="102"/>
      <c r="H122" s="102"/>
      <c r="I122" s="102"/>
      <c r="J122" s="102"/>
      <c r="K122" s="102"/>
      <c r="L122" s="102"/>
      <c r="M122" s="102"/>
      <c r="N122" s="102"/>
      <c r="O122" s="102"/>
      <c r="P122" s="102"/>
      <c r="Q122" s="102"/>
      <c r="R122" s="102"/>
      <c r="S122" s="102"/>
      <c r="T122" s="102"/>
      <c r="U122" s="102"/>
      <c r="V122" s="102"/>
      <c r="W122" s="102"/>
      <c r="X122" s="102"/>
      <c r="Y122" s="102"/>
      <c r="Z122" s="102"/>
      <c r="AA122" s="19"/>
      <c r="AB122" s="19"/>
      <c r="AC122" s="19"/>
      <c r="AD122" s="19"/>
      <c r="AE122" s="19"/>
      <c r="AF122" s="19"/>
      <c r="AG122" s="19"/>
      <c r="AH122" s="19"/>
      <c r="AI122" s="19"/>
      <c r="AJ122" s="19"/>
      <c r="AK122" s="19"/>
      <c r="AL122" s="19"/>
    </row>
    <row r="123" spans="1:39" ht="12.95" customHeight="1"/>
    <row r="124" spans="1:39" ht="12.95" customHeight="1">
      <c r="A124" s="102" t="s">
        <v>939</v>
      </c>
    </row>
    <row r="125" spans="1:39" ht="12.95" customHeight="1">
      <c r="A125" s="102" t="s">
        <v>1081</v>
      </c>
      <c r="V125" s="41"/>
      <c r="W125" s="41"/>
      <c r="AL125" s="41"/>
    </row>
    <row r="126" spans="1:39" ht="12.95" customHeight="1">
      <c r="A126" s="41"/>
      <c r="B126" s="41"/>
      <c r="AL126" s="41"/>
    </row>
    <row r="127" spans="1:39" ht="12.95" customHeight="1">
      <c r="A127" s="41"/>
      <c r="B127" s="41"/>
      <c r="AL127" s="41"/>
    </row>
    <row r="128" spans="1:39" ht="12.95" customHeight="1">
      <c r="A128" s="41"/>
      <c r="B128" s="41"/>
      <c r="C128" s="41" t="s">
        <v>439</v>
      </c>
      <c r="E128" s="41"/>
      <c r="F128" s="41"/>
      <c r="G128" s="1115">
        <v>8</v>
      </c>
      <c r="H128" s="1115"/>
      <c r="I128" s="41" t="s">
        <v>440</v>
      </c>
      <c r="J128" s="41"/>
      <c r="L128" s="1295" t="s">
        <v>2364</v>
      </c>
      <c r="M128" s="1296"/>
      <c r="N128" s="1296"/>
      <c r="O128" s="41" t="s">
        <v>2341</v>
      </c>
      <c r="P128" s="41"/>
      <c r="Q128" s="41"/>
      <c r="R128" s="41"/>
      <c r="S128" s="41"/>
      <c r="T128" s="41"/>
      <c r="U128" s="41"/>
      <c r="V128" s="41"/>
      <c r="W128" s="41"/>
      <c r="X128" s="41" t="s">
        <v>442</v>
      </c>
      <c r="Y128" s="414"/>
      <c r="Z128" s="414"/>
      <c r="AA128" s="414"/>
      <c r="AB128" s="414"/>
      <c r="AC128" s="414"/>
      <c r="AD128" s="414"/>
      <c r="AE128" s="414"/>
      <c r="AF128" s="414"/>
      <c r="AG128" s="414"/>
      <c r="AH128" s="414"/>
      <c r="AI128" s="414"/>
      <c r="AJ128" s="414"/>
      <c r="AK128" s="414"/>
      <c r="AL128" s="41"/>
    </row>
    <row r="129" spans="1:56" ht="12.95" customHeight="1">
      <c r="A129" s="41"/>
      <c r="B129" s="41"/>
      <c r="C129" s="41"/>
      <c r="D129" s="41"/>
      <c r="E129" s="41"/>
      <c r="F129" s="41"/>
      <c r="G129" s="41"/>
      <c r="H129" s="41"/>
      <c r="I129" s="41"/>
      <c r="J129" s="41"/>
      <c r="K129" s="41"/>
      <c r="L129" s="41"/>
      <c r="M129" s="41"/>
      <c r="N129" s="41"/>
      <c r="O129" s="41"/>
      <c r="P129" s="41"/>
      <c r="Q129" s="41"/>
      <c r="R129" s="41"/>
      <c r="S129" s="41"/>
      <c r="T129" s="41"/>
      <c r="U129" s="41"/>
      <c r="V129" s="41"/>
      <c r="W129" s="41"/>
      <c r="X129" s="41"/>
      <c r="Y129" s="41"/>
      <c r="Z129" s="41" t="s">
        <v>443</v>
      </c>
      <c r="AA129" s="41"/>
      <c r="AB129" s="41"/>
      <c r="AC129" s="41"/>
      <c r="AD129" s="41"/>
      <c r="AE129" s="41"/>
      <c r="AF129" s="41"/>
      <c r="AG129" s="41"/>
      <c r="AH129" s="41"/>
      <c r="AI129" s="41"/>
      <c r="AJ129" s="41"/>
      <c r="AK129" s="41"/>
      <c r="AL129" s="41"/>
    </row>
    <row r="130" spans="1:56" ht="12.95" customHeight="1">
      <c r="A130" s="41"/>
      <c r="B130" s="41"/>
      <c r="C130" s="1295" t="s">
        <v>2363</v>
      </c>
      <c r="D130" s="1296"/>
      <c r="E130" s="1296"/>
      <c r="F130" s="1296"/>
      <c r="G130" s="1296"/>
      <c r="H130" s="1296"/>
      <c r="I130" s="1296"/>
      <c r="J130" s="1296"/>
      <c r="K130" s="1296"/>
      <c r="L130" s="310" t="s">
        <v>441</v>
      </c>
      <c r="M130" s="41"/>
      <c r="O130" s="41"/>
      <c r="P130" s="41"/>
      <c r="Q130" s="41"/>
      <c r="R130" s="41"/>
      <c r="S130" s="41"/>
      <c r="T130" s="41"/>
      <c r="U130" s="41"/>
      <c r="V130" s="41"/>
      <c r="W130" s="41"/>
      <c r="X130" s="41"/>
      <c r="AL130" s="41"/>
    </row>
    <row r="131" spans="1:56" ht="12.95"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X131" s="41"/>
      <c r="Y131" s="1086" t="s">
        <v>2374</v>
      </c>
      <c r="Z131" s="1114"/>
      <c r="AA131" s="1114"/>
      <c r="AB131" s="1114"/>
      <c r="AC131" s="1114"/>
      <c r="AD131" s="1114"/>
      <c r="AE131" s="1114"/>
      <c r="AF131" s="1114"/>
      <c r="AG131" s="1114"/>
      <c r="AH131" s="1114"/>
      <c r="AI131" s="1114"/>
      <c r="AJ131" s="1114"/>
      <c r="AK131" s="1114"/>
      <c r="AL131" s="41"/>
    </row>
    <row r="132" spans="1:56" ht="12.95"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X132" s="41"/>
      <c r="Y132" s="41"/>
      <c r="Z132" s="41" t="s">
        <v>444</v>
      </c>
      <c r="AA132" s="41"/>
      <c r="AB132" s="41"/>
      <c r="AC132" s="41"/>
      <c r="AD132" s="41"/>
      <c r="AE132" s="41"/>
      <c r="AF132" s="41"/>
      <c r="AG132" s="41"/>
      <c r="AH132" s="41"/>
      <c r="AI132" s="41"/>
      <c r="AJ132" s="41"/>
      <c r="AK132" s="41"/>
      <c r="AL132" s="41"/>
    </row>
    <row r="133" spans="1:56" ht="12.95" customHeight="1">
      <c r="C133" s="41"/>
      <c r="D133" s="41"/>
      <c r="E133" s="41"/>
      <c r="F133" s="41"/>
      <c r="G133" s="41"/>
      <c r="H133" s="41"/>
      <c r="I133" s="41"/>
      <c r="J133" s="41"/>
      <c r="K133" s="41"/>
      <c r="L133" s="41"/>
      <c r="M133" s="41"/>
      <c r="N133" s="41"/>
      <c r="O133" s="41"/>
      <c r="P133" s="41"/>
      <c r="Q133" s="41"/>
      <c r="R133" s="41"/>
      <c r="S133" s="41"/>
      <c r="T133" s="41"/>
      <c r="U133" s="41"/>
      <c r="V133" s="41"/>
      <c r="W133" s="41"/>
      <c r="X133" s="41"/>
    </row>
    <row r="134" spans="1:56" ht="12.95" customHeight="1">
      <c r="A134" s="5"/>
      <c r="B134" s="5"/>
      <c r="C134" s="41"/>
      <c r="D134" s="41"/>
      <c r="E134" s="41"/>
      <c r="F134" s="41"/>
      <c r="G134" s="41"/>
      <c r="H134" s="41"/>
      <c r="I134" s="41"/>
      <c r="J134" s="41"/>
      <c r="K134" s="41"/>
      <c r="L134" s="41"/>
      <c r="M134" s="41"/>
      <c r="N134" s="41"/>
      <c r="O134" s="41"/>
      <c r="P134" s="41"/>
      <c r="Q134" s="41"/>
      <c r="R134" s="41"/>
      <c r="S134" s="41"/>
      <c r="T134" s="41"/>
      <c r="U134" s="41"/>
      <c r="V134" s="41"/>
      <c r="W134" s="41"/>
      <c r="X134" s="41"/>
      <c r="Y134" s="1086" t="s">
        <v>2450</v>
      </c>
      <c r="Z134" s="1114"/>
      <c r="AA134" s="1114"/>
      <c r="AB134" s="1114"/>
      <c r="AC134" s="1114"/>
      <c r="AD134" s="1114"/>
      <c r="AE134" s="1114"/>
      <c r="AF134" s="1114"/>
      <c r="AG134" s="1114"/>
      <c r="AH134" s="1114"/>
      <c r="AI134" s="1114"/>
      <c r="AJ134" s="1114"/>
      <c r="AK134" s="1114"/>
      <c r="AL134" s="5"/>
      <c r="AM134" s="5"/>
      <c r="AN134" s="5"/>
      <c r="AO134" s="5"/>
      <c r="AP134" s="5"/>
      <c r="AQ134" s="5"/>
      <c r="AR134" s="5"/>
      <c r="AS134" s="5"/>
      <c r="AT134" s="5"/>
      <c r="AU134" s="5"/>
      <c r="AV134" s="5"/>
      <c r="AW134" s="5"/>
      <c r="AX134" s="5"/>
      <c r="AY134" s="5"/>
      <c r="AZ134" s="5"/>
      <c r="BA134" s="5"/>
      <c r="BB134" s="5"/>
      <c r="BC134" s="5"/>
      <c r="BD134" s="5"/>
    </row>
    <row r="135" spans="1:56" s="5" customFormat="1" ht="12.95" customHeight="1">
      <c r="A135" s="495"/>
      <c r="C135" s="41"/>
      <c r="D135" s="41"/>
      <c r="E135" s="41"/>
      <c r="F135" s="41"/>
      <c r="G135" s="41"/>
      <c r="H135" s="41"/>
      <c r="I135" s="41"/>
      <c r="J135" s="41"/>
      <c r="K135" s="41"/>
      <c r="L135" s="41"/>
      <c r="M135" s="41"/>
      <c r="N135" s="41"/>
      <c r="O135" s="41"/>
      <c r="P135" s="41"/>
      <c r="Q135" s="41"/>
      <c r="R135" s="41"/>
      <c r="S135" s="41"/>
      <c r="T135" s="41"/>
      <c r="U135" s="41"/>
      <c r="V135" s="41"/>
      <c r="W135" s="41"/>
      <c r="X135" s="41"/>
      <c r="Y135" s="41"/>
      <c r="Z135" s="41" t="s">
        <v>445</v>
      </c>
      <c r="AA135" s="41"/>
      <c r="AB135" s="41"/>
      <c r="AC135" s="41"/>
      <c r="AD135" s="41"/>
      <c r="AE135" s="41"/>
      <c r="AF135" s="41"/>
      <c r="AG135" s="41"/>
      <c r="AH135" s="41"/>
      <c r="AI135" s="41"/>
      <c r="AJ135" s="41"/>
      <c r="AK135" s="41"/>
      <c r="AL135" s="495"/>
    </row>
    <row r="136" spans="1:56" ht="12.95" customHeight="1">
      <c r="A136" s="495"/>
      <c r="B136" s="5"/>
      <c r="AL136" s="495"/>
    </row>
    <row r="137" spans="1:56" ht="12.95" customHeight="1">
      <c r="A137" s="41"/>
      <c r="B137" s="5"/>
      <c r="AL137" s="41"/>
    </row>
    <row r="138" spans="1:56" ht="12.95" customHeight="1">
      <c r="A138" s="41"/>
      <c r="AL138" s="41"/>
    </row>
    <row r="139" spans="1:56" ht="12.95" customHeight="1">
      <c r="A139" s="41"/>
      <c r="AL139" s="41"/>
    </row>
    <row r="140" spans="1:56" ht="12.95" customHeight="1">
      <c r="A140" s="41"/>
      <c r="AL140" s="41"/>
    </row>
    <row r="141" spans="1:56" ht="12.95" customHeight="1">
      <c r="A141" s="41"/>
      <c r="AL141" s="41"/>
    </row>
    <row r="142" spans="1:56" ht="12.95" customHeight="1">
      <c r="A142" s="41"/>
      <c r="AL142" s="41"/>
    </row>
    <row r="143" spans="1:56" ht="12.95" customHeight="1">
      <c r="A143" s="41"/>
      <c r="AL143" s="41"/>
    </row>
    <row r="144" spans="1:56" ht="12.95" customHeight="1">
      <c r="A144" s="41"/>
      <c r="AL144" s="41"/>
    </row>
    <row r="145" spans="1:72" ht="12.95" customHeight="1">
      <c r="A145" s="41"/>
      <c r="C145" s="41"/>
      <c r="D145" s="5"/>
      <c r="E145" s="5"/>
      <c r="F145" s="5"/>
      <c r="G145" s="5"/>
      <c r="H145" s="5"/>
      <c r="I145" s="5"/>
      <c r="J145" s="5"/>
      <c r="K145" s="5"/>
      <c r="L145" s="5"/>
      <c r="M145" s="5"/>
      <c r="N145" s="5"/>
      <c r="O145" s="5"/>
      <c r="P145" s="5"/>
      <c r="Q145" s="5"/>
      <c r="R145" s="5"/>
      <c r="S145" s="5"/>
      <c r="T145" s="5"/>
      <c r="U145" s="5"/>
      <c r="V145" s="5"/>
      <c r="W145" s="41"/>
      <c r="X145" s="41"/>
      <c r="Y145" s="41"/>
      <c r="Z145" s="41"/>
      <c r="AA145" s="41"/>
      <c r="AB145" s="41"/>
      <c r="AC145" s="41"/>
      <c r="AD145" s="41"/>
      <c r="AE145" s="41"/>
      <c r="AF145" s="41"/>
      <c r="AG145" s="41"/>
      <c r="AH145" s="41"/>
      <c r="AI145" s="41"/>
      <c r="AJ145" s="41"/>
      <c r="AK145" s="41"/>
      <c r="AL145" s="41"/>
    </row>
    <row r="146" spans="1:72" ht="12.95" customHeight="1">
      <c r="A146" s="41"/>
      <c r="D146" s="210"/>
      <c r="E146" s="210"/>
      <c r="F146" s="210"/>
      <c r="G146" s="210"/>
      <c r="H146" s="210"/>
      <c r="I146" s="210"/>
      <c r="J146" s="210"/>
      <c r="K146" s="210"/>
      <c r="L146" s="210"/>
      <c r="M146" s="210"/>
      <c r="N146" s="210"/>
      <c r="O146" s="210"/>
      <c r="P146" s="210"/>
      <c r="Q146" s="210"/>
      <c r="R146" s="210"/>
      <c r="S146" s="210"/>
      <c r="T146" s="210"/>
      <c r="U146" s="210"/>
      <c r="V146" s="210"/>
      <c r="W146" s="210"/>
      <c r="X146" s="210"/>
      <c r="Y146" s="210"/>
      <c r="Z146" s="210"/>
      <c r="AA146" s="210"/>
      <c r="AB146" s="210"/>
      <c r="AC146" s="210"/>
      <c r="AD146" s="210"/>
      <c r="AE146" s="210"/>
      <c r="AF146" s="210"/>
      <c r="AG146" s="210"/>
      <c r="AH146" s="210"/>
      <c r="AI146" s="210"/>
      <c r="AJ146" s="210"/>
      <c r="AK146" s="41"/>
      <c r="AL146" s="41"/>
    </row>
    <row r="147" spans="1:72" ht="12.95" customHeight="1">
      <c r="A147" s="41"/>
      <c r="C147" s="210"/>
      <c r="D147" s="210"/>
      <c r="E147" s="210"/>
      <c r="F147" s="210"/>
      <c r="G147" s="210"/>
      <c r="H147" s="210"/>
      <c r="I147" s="210"/>
      <c r="J147" s="210"/>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210"/>
      <c r="AJ147" s="210"/>
      <c r="AK147" s="41"/>
      <c r="AL147" s="41"/>
    </row>
    <row r="148" spans="1:72" ht="12.95" customHeight="1">
      <c r="A148" s="41"/>
      <c r="C148" s="210"/>
      <c r="D148" s="210"/>
      <c r="E148" s="210"/>
      <c r="F148" s="210"/>
      <c r="G148" s="210"/>
      <c r="H148" s="210"/>
      <c r="I148" s="210"/>
      <c r="J148" s="210"/>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210"/>
      <c r="AJ148" s="210"/>
      <c r="AK148" s="41"/>
      <c r="AL148" s="41"/>
    </row>
    <row r="149" spans="1:72" ht="12.95" customHeight="1">
      <c r="A149" s="41"/>
      <c r="D149" s="210"/>
      <c r="E149" s="210"/>
      <c r="F149" s="210"/>
      <c r="G149" s="210"/>
      <c r="H149" s="210"/>
      <c r="I149" s="210"/>
      <c r="J149" s="210"/>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210"/>
      <c r="AJ149" s="210"/>
      <c r="AK149" s="41"/>
      <c r="AL149" s="41"/>
    </row>
    <row r="150" spans="1:72" ht="12.95" customHeight="1">
      <c r="A150" s="41"/>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row>
    <row r="151" spans="1:72" ht="12.95" customHeight="1">
      <c r="A151" s="4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row>
    <row r="152" spans="1:72" ht="12.95" customHeight="1">
      <c r="A152" s="41"/>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72" ht="12.95" customHeight="1">
      <c r="A153" s="41"/>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72" ht="12.95" customHeight="1">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row>
    <row r="155" spans="1:72" ht="12.95" customHeight="1">
      <c r="D155" s="12"/>
      <c r="F155" s="12"/>
      <c r="G155" s="12"/>
      <c r="H155" s="12"/>
      <c r="I155" s="12"/>
      <c r="J155" s="12"/>
      <c r="K155" s="12"/>
      <c r="L155" s="12"/>
      <c r="M155" s="12"/>
      <c r="N155" s="12"/>
      <c r="O155" s="41"/>
      <c r="P155" s="41"/>
      <c r="Q155" s="41"/>
      <c r="R155" s="41"/>
      <c r="S155" s="41"/>
      <c r="T155" s="41"/>
      <c r="U155" s="41"/>
      <c r="V155" s="41"/>
      <c r="W155" s="41"/>
      <c r="X155" s="41"/>
      <c r="Y155" s="41"/>
      <c r="Z155" s="41"/>
      <c r="AA155" s="41"/>
      <c r="AB155" s="41"/>
      <c r="AC155" s="41"/>
      <c r="AD155" s="41"/>
      <c r="AE155" s="41"/>
      <c r="AF155" s="41"/>
      <c r="AG155" s="41"/>
      <c r="AH155" s="41"/>
    </row>
    <row r="156" spans="1:72" ht="12.95" customHeight="1">
      <c r="D156" t="s">
        <v>691</v>
      </c>
      <c r="O156" s="1086" t="s">
        <v>2365</v>
      </c>
      <c r="P156" s="1114"/>
      <c r="Q156" s="1114"/>
      <c r="R156" s="1114"/>
      <c r="S156" s="1114"/>
      <c r="T156" s="1114"/>
      <c r="U156" s="1114"/>
      <c r="V156" s="1114"/>
      <c r="W156" s="1114"/>
      <c r="X156" s="1114"/>
      <c r="Y156" s="1114"/>
      <c r="Z156" s="1114"/>
      <c r="AA156" s="1114"/>
      <c r="AB156" s="1114"/>
      <c r="AC156" s="1114"/>
      <c r="AD156" s="1114"/>
      <c r="AE156" s="1114"/>
      <c r="AF156" s="1114"/>
      <c r="AG156" s="1114"/>
      <c r="AH156" s="1114"/>
      <c r="BT156" t="s">
        <v>84</v>
      </c>
    </row>
    <row r="157" spans="1:72" ht="12.95" customHeight="1">
      <c r="D157" s="340" t="s">
        <v>573</v>
      </c>
      <c r="O157" s="1122" t="s">
        <v>2366</v>
      </c>
      <c r="P157" s="1282"/>
      <c r="Q157" s="1282"/>
      <c r="R157" s="1282"/>
      <c r="S157" s="1282"/>
      <c r="T157" s="1282"/>
      <c r="U157" s="1282"/>
      <c r="V157" s="1282"/>
      <c r="W157" s="1282"/>
      <c r="X157" s="1282"/>
      <c r="Y157" s="1282"/>
      <c r="Z157" s="1282"/>
      <c r="AA157" s="1282"/>
      <c r="AB157" s="1282"/>
      <c r="AC157" s="1282"/>
      <c r="AD157" s="1282"/>
      <c r="AE157" s="1282"/>
      <c r="AF157" s="1282"/>
      <c r="AG157" s="1282"/>
      <c r="AH157" s="1282"/>
      <c r="AI157" t="s">
        <v>744</v>
      </c>
      <c r="BN157" s="30" t="s">
        <v>450</v>
      </c>
      <c r="BT157" t="s">
        <v>31</v>
      </c>
    </row>
    <row r="158" spans="1:72" ht="12.95" customHeight="1">
      <c r="D158" s="12" t="s">
        <v>574</v>
      </c>
      <c r="F158" s="12"/>
      <c r="G158" s="12"/>
      <c r="H158" s="12"/>
      <c r="I158" s="12"/>
      <c r="J158" s="12"/>
      <c r="K158" s="12"/>
      <c r="L158" s="12"/>
      <c r="M158" s="12"/>
      <c r="N158" s="12"/>
      <c r="O158" s="1293" t="s">
        <v>575</v>
      </c>
      <c r="P158" s="1293"/>
      <c r="Q158" s="1293"/>
      <c r="R158" s="1293"/>
      <c r="S158" s="1293"/>
      <c r="T158" s="1293"/>
      <c r="U158" s="1293"/>
      <c r="V158" s="1293"/>
      <c r="W158" s="1293"/>
      <c r="X158" s="1293"/>
      <c r="Y158" s="1293"/>
      <c r="Z158" s="1293"/>
      <c r="AA158" s="1293"/>
      <c r="AB158" s="1293"/>
      <c r="AC158" s="1293"/>
      <c r="AD158" s="1293"/>
      <c r="AE158" s="1293"/>
      <c r="AF158" s="1293"/>
      <c r="AG158" s="1293"/>
      <c r="AH158" s="1293"/>
      <c r="BN158" s="30" t="s">
        <v>451</v>
      </c>
      <c r="BT158" t="s">
        <v>32</v>
      </c>
    </row>
    <row r="159" spans="1:72" ht="12.95" customHeight="1">
      <c r="D159" t="s">
        <v>682</v>
      </c>
      <c r="O159" s="1085" t="s">
        <v>2367</v>
      </c>
      <c r="P159" s="1085"/>
      <c r="Q159" s="1085"/>
      <c r="R159" s="1085"/>
      <c r="S159" s="1085"/>
      <c r="T159" s="1085"/>
      <c r="U159" s="1085"/>
      <c r="V159" s="1085"/>
      <c r="W159" s="1085"/>
      <c r="X159" s="1085"/>
      <c r="Y159" s="1085"/>
      <c r="Z159" s="1085"/>
      <c r="AA159" s="1085"/>
      <c r="AB159" s="1085"/>
      <c r="AC159" s="1085"/>
      <c r="AD159" s="1085"/>
      <c r="AE159" s="1085"/>
      <c r="AF159" s="1085"/>
      <c r="AG159" s="1085"/>
      <c r="AH159" s="1085"/>
      <c r="BN159" s="30" t="s">
        <v>78</v>
      </c>
      <c r="BT159" t="s">
        <v>412</v>
      </c>
    </row>
    <row r="160" spans="1:72" ht="12.95" customHeight="1">
      <c r="D160" t="s">
        <v>683</v>
      </c>
      <c r="O160" s="1086" t="s">
        <v>419</v>
      </c>
      <c r="P160" s="1114"/>
      <c r="Q160" s="1114"/>
      <c r="R160" s="1114"/>
      <c r="S160" s="1114"/>
      <c r="T160" s="1114"/>
      <c r="U160" s="1114"/>
      <c r="V160" s="1114"/>
      <c r="W160" s="1114"/>
      <c r="X160" s="1114"/>
      <c r="Y160" s="12"/>
      <c r="Z160" s="12"/>
      <c r="AA160" s="12"/>
      <c r="AB160" s="12"/>
      <c r="AC160" s="12"/>
      <c r="AD160" s="12"/>
      <c r="AE160" s="12"/>
      <c r="AF160" s="12"/>
      <c r="BN160" s="30" t="s">
        <v>80</v>
      </c>
      <c r="BT160" t="s">
        <v>413</v>
      </c>
    </row>
    <row r="161" spans="1:72" ht="12.95" customHeight="1">
      <c r="D161" t="s">
        <v>684</v>
      </c>
      <c r="O161" s="1299">
        <v>93721</v>
      </c>
      <c r="P161" s="1299"/>
      <c r="Q161" s="1299"/>
      <c r="R161" s="1299"/>
      <c r="S161" s="13"/>
      <c r="T161" s="13"/>
      <c r="U161" s="13"/>
      <c r="V161" s="13"/>
      <c r="W161" s="13"/>
      <c r="X161" s="13"/>
      <c r="Y161" s="13"/>
      <c r="Z161" s="13"/>
      <c r="AA161" s="13"/>
      <c r="AB161" s="13"/>
      <c r="AC161" s="13"/>
      <c r="AD161" s="13"/>
      <c r="AE161" s="13"/>
      <c r="AF161" s="13"/>
      <c r="BJ161" t="s">
        <v>510</v>
      </c>
      <c r="BN161" s="30" t="s">
        <v>81</v>
      </c>
      <c r="BT161" t="s">
        <v>414</v>
      </c>
    </row>
    <row r="162" spans="1:72" ht="12.95" customHeight="1">
      <c r="D162" t="s">
        <v>685</v>
      </c>
      <c r="O162" s="1286" t="s">
        <v>2368</v>
      </c>
      <c r="P162" s="1286"/>
      <c r="Q162" s="1286"/>
      <c r="R162" s="1286"/>
      <c r="S162" s="1286"/>
      <c r="T162" s="1286"/>
      <c r="V162" s="179" t="s">
        <v>12</v>
      </c>
      <c r="W162" s="1300"/>
      <c r="X162" s="1300"/>
      <c r="Y162" s="14"/>
      <c r="Z162" s="14"/>
      <c r="AA162" s="14"/>
      <c r="AB162" s="14"/>
      <c r="AC162" s="14"/>
      <c r="AD162" s="14"/>
      <c r="AE162" s="14"/>
      <c r="AF162" s="14"/>
      <c r="BJ162" t="s">
        <v>116</v>
      </c>
      <c r="BN162" s="30" t="s">
        <v>82</v>
      </c>
      <c r="BT162" t="s">
        <v>415</v>
      </c>
    </row>
    <row r="163" spans="1:72" ht="12.95" customHeight="1">
      <c r="D163" t="s">
        <v>686</v>
      </c>
      <c r="O163" s="1286"/>
      <c r="P163" s="1286"/>
      <c r="Q163" s="1286"/>
      <c r="R163" s="1286"/>
      <c r="S163" s="1286"/>
      <c r="T163" s="1286"/>
      <c r="U163" s="14"/>
      <c r="V163" s="14"/>
      <c r="W163" s="14"/>
      <c r="X163" s="14"/>
      <c r="Y163" s="14"/>
      <c r="Z163" s="14"/>
      <c r="AA163" s="14"/>
      <c r="AB163" s="14"/>
      <c r="AC163" s="14"/>
      <c r="AD163" s="14"/>
      <c r="AE163" s="14"/>
      <c r="AF163" s="14"/>
      <c r="BN163" s="30" t="s">
        <v>504</v>
      </c>
      <c r="BT163" t="s">
        <v>416</v>
      </c>
    </row>
    <row r="164" spans="1:72" ht="12.95" customHeight="1">
      <c r="D164" t="s">
        <v>687</v>
      </c>
      <c r="O164" s="1137" t="s">
        <v>2369</v>
      </c>
      <c r="P164" s="1137"/>
      <c r="Q164" s="1137"/>
      <c r="R164" s="1137"/>
      <c r="S164" s="1137"/>
      <c r="T164" s="1137"/>
      <c r="U164" s="1137"/>
      <c r="V164" s="1137"/>
      <c r="W164" s="1137"/>
      <c r="X164" s="1137"/>
      <c r="Y164" s="1137"/>
      <c r="Z164" s="1137"/>
      <c r="AA164" s="1137"/>
      <c r="AB164" s="1137"/>
      <c r="AC164" s="1137"/>
      <c r="AD164" s="1137"/>
      <c r="AE164" s="1137"/>
      <c r="AF164" s="1137"/>
      <c r="AG164" s="1137"/>
      <c r="AH164" s="1137"/>
      <c r="BN164" s="30" t="s">
        <v>505</v>
      </c>
      <c r="BT164" t="s">
        <v>417</v>
      </c>
    </row>
    <row r="165" spans="1:72" ht="12.95" customHeight="1">
      <c r="C165" s="34"/>
      <c r="D165" s="262"/>
      <c r="E165" s="262"/>
      <c r="F165" s="262"/>
      <c r="G165" s="262"/>
      <c r="H165" s="262"/>
      <c r="I165" s="262"/>
      <c r="J165" s="262"/>
      <c r="K165" s="262"/>
      <c r="L165" s="262"/>
      <c r="M165" s="262"/>
      <c r="N165" s="262"/>
      <c r="O165" s="263"/>
      <c r="P165" s="263"/>
      <c r="Q165" s="263"/>
      <c r="R165" s="263"/>
      <c r="S165" s="263"/>
      <c r="T165" s="263"/>
      <c r="U165" s="263"/>
      <c r="V165" s="263"/>
      <c r="W165" s="263"/>
      <c r="X165" s="263"/>
      <c r="Y165" s="263"/>
      <c r="Z165" s="263"/>
      <c r="AA165" s="261"/>
      <c r="AB165" s="261"/>
      <c r="AC165" s="261"/>
      <c r="AD165" s="261"/>
      <c r="AE165" s="261"/>
      <c r="AF165" s="261"/>
      <c r="AG165" s="261"/>
      <c r="AH165" s="261"/>
      <c r="BN165" s="30" t="s">
        <v>506</v>
      </c>
      <c r="BT165" t="s">
        <v>418</v>
      </c>
    </row>
    <row r="166" spans="1:72" ht="12.95" customHeight="1">
      <c r="C166" s="34" t="s">
        <v>744</v>
      </c>
      <c r="D166" t="s">
        <v>2195</v>
      </c>
      <c r="O166" s="261"/>
      <c r="P166" s="261"/>
      <c r="Q166" s="261"/>
      <c r="R166" s="261"/>
      <c r="S166" s="261"/>
      <c r="T166" s="261"/>
      <c r="U166" s="261"/>
      <c r="V166" s="261"/>
      <c r="W166" s="261"/>
      <c r="X166" s="261"/>
      <c r="Y166" s="261"/>
      <c r="Z166" s="261"/>
      <c r="AA166" s="261"/>
      <c r="AB166" s="261"/>
      <c r="AC166" s="261"/>
      <c r="AD166" s="261"/>
      <c r="AE166" s="261"/>
      <c r="AF166" s="261"/>
      <c r="AG166" s="261"/>
      <c r="AH166" s="261"/>
      <c r="BN166" s="30" t="s">
        <v>508</v>
      </c>
      <c r="BT166" t="s">
        <v>419</v>
      </c>
    </row>
    <row r="167" spans="1:72" ht="12.95" customHeight="1">
      <c r="C167" s="34"/>
      <c r="D167" s="1298" t="s">
        <v>2013</v>
      </c>
      <c r="E167" s="1298"/>
      <c r="F167" s="1298"/>
      <c r="G167" s="1298"/>
      <c r="H167" s="1298"/>
      <c r="I167" s="1298"/>
      <c r="J167" s="1298"/>
      <c r="K167" s="1298"/>
      <c r="L167" s="1298"/>
      <c r="M167" s="1298"/>
      <c r="N167" s="1298"/>
      <c r="O167" s="1298"/>
      <c r="P167" s="1298"/>
      <c r="Q167" s="1298"/>
      <c r="R167" s="1298"/>
      <c r="S167" s="1298"/>
      <c r="T167" s="1298"/>
      <c r="U167" s="1298"/>
      <c r="V167" s="1298"/>
      <c r="W167" s="1298"/>
      <c r="X167" s="1298"/>
      <c r="Y167" s="1298"/>
      <c r="Z167" s="263"/>
      <c r="AA167" s="261"/>
      <c r="AB167" s="261"/>
      <c r="AC167" s="261"/>
      <c r="AD167" s="261"/>
      <c r="AE167" s="261"/>
      <c r="AF167" s="261"/>
      <c r="AG167" s="261"/>
      <c r="AH167" s="261"/>
      <c r="BN167" s="30" t="s">
        <v>511</v>
      </c>
      <c r="BT167" t="s">
        <v>420</v>
      </c>
    </row>
    <row r="168" spans="1:72" ht="12.95" customHeight="1">
      <c r="BN168" s="30" t="s">
        <v>512</v>
      </c>
      <c r="BT168" t="s">
        <v>421</v>
      </c>
    </row>
    <row r="169" spans="1:72" ht="12.95" customHeight="1">
      <c r="A169" s="1284" t="s">
        <v>403</v>
      </c>
      <c r="B169" s="1284"/>
      <c r="C169" s="1284"/>
      <c r="D169" s="1284"/>
      <c r="E169" s="1284"/>
      <c r="F169" s="1284"/>
      <c r="G169" s="1284"/>
      <c r="H169" s="1284"/>
      <c r="I169" s="1284"/>
      <c r="J169" s="1284"/>
      <c r="K169" s="1284"/>
      <c r="L169" s="1284"/>
      <c r="M169" s="1284"/>
      <c r="N169" s="1284"/>
      <c r="O169" s="1284"/>
      <c r="P169" s="1284"/>
      <c r="Q169" s="1284"/>
      <c r="R169" s="1284"/>
      <c r="S169" s="1284"/>
      <c r="T169" s="1284"/>
      <c r="U169" s="1284"/>
      <c r="V169" s="1284"/>
      <c r="W169" s="1284"/>
      <c r="X169" s="1284"/>
      <c r="Y169" s="1284"/>
      <c r="Z169" s="1284"/>
      <c r="AA169" s="1284"/>
      <c r="AB169" s="1284"/>
      <c r="AC169" s="1284"/>
      <c r="AD169" s="1284"/>
      <c r="AE169" s="1284"/>
      <c r="AF169" s="1284"/>
      <c r="AG169" s="1284"/>
      <c r="AH169" s="1284"/>
      <c r="AI169" s="1284"/>
      <c r="AJ169" s="1284"/>
      <c r="AK169" s="1284"/>
      <c r="AL169" s="1284"/>
      <c r="BN169" s="30" t="s">
        <v>514</v>
      </c>
      <c r="BT169" t="s">
        <v>422</v>
      </c>
    </row>
    <row r="170" spans="1:72" ht="12.95" customHeight="1" thickBot="1">
      <c r="A170" s="1285"/>
      <c r="B170" s="1285"/>
      <c r="C170" s="1285"/>
      <c r="D170" s="1285"/>
      <c r="E170" s="1285"/>
      <c r="F170" s="1285"/>
      <c r="G170" s="1285"/>
      <c r="H170" s="1285"/>
      <c r="I170" s="1285"/>
      <c r="J170" s="1285"/>
      <c r="K170" s="1285"/>
      <c r="L170" s="1285"/>
      <c r="M170" s="1285"/>
      <c r="N170" s="1285"/>
      <c r="O170" s="1285"/>
      <c r="P170" s="1285"/>
      <c r="Q170" s="1285"/>
      <c r="R170" s="1285"/>
      <c r="S170" s="1285"/>
      <c r="T170" s="1285"/>
      <c r="U170" s="1285"/>
      <c r="V170" s="1285"/>
      <c r="W170" s="1285"/>
      <c r="X170" s="1285"/>
      <c r="Y170" s="1285"/>
      <c r="Z170" s="1285"/>
      <c r="AA170" s="1285"/>
      <c r="AB170" s="1285"/>
      <c r="AC170" s="1285"/>
      <c r="AD170" s="1285"/>
      <c r="AE170" s="1285"/>
      <c r="AF170" s="1285"/>
      <c r="AG170" s="1285"/>
      <c r="AH170" s="1285"/>
      <c r="AI170" s="1285"/>
      <c r="AJ170" s="1285"/>
      <c r="AK170" s="1285"/>
      <c r="AL170" s="1285"/>
      <c r="BN170" s="30" t="s">
        <v>515</v>
      </c>
      <c r="BT170" t="s">
        <v>423</v>
      </c>
    </row>
    <row r="171" spans="1:72" ht="12.95" customHeight="1" thickTop="1">
      <c r="BN171" s="30" t="s">
        <v>516</v>
      </c>
      <c r="BT171" t="s">
        <v>424</v>
      </c>
    </row>
    <row r="172" spans="1:72" ht="12.95" customHeight="1">
      <c r="A172" s="3" t="s">
        <v>688</v>
      </c>
      <c r="C172" s="3" t="s">
        <v>689</v>
      </c>
      <c r="BN172" s="30" t="s">
        <v>518</v>
      </c>
      <c r="BT172" t="s">
        <v>425</v>
      </c>
    </row>
    <row r="173" spans="1:72" ht="12.95" customHeight="1">
      <c r="C173" s="31"/>
      <c r="D173" t="s">
        <v>465</v>
      </c>
      <c r="J173" s="1294" t="s">
        <v>535</v>
      </c>
      <c r="K173" s="1294"/>
      <c r="L173" s="1294"/>
      <c r="M173" s="1294"/>
      <c r="N173" s="1294"/>
      <c r="O173" s="1294"/>
      <c r="P173" s="1294"/>
      <c r="Q173" s="1294"/>
      <c r="R173" s="1294"/>
      <c r="S173" s="1294"/>
      <c r="U173" s="32"/>
      <c r="X173" s="32"/>
      <c r="BN173" s="30" t="s">
        <v>519</v>
      </c>
      <c r="BT173" t="s">
        <v>426</v>
      </c>
    </row>
    <row r="174" spans="1:72" ht="12.95" customHeight="1">
      <c r="C174" s="31"/>
      <c r="D174" t="s">
        <v>466</v>
      </c>
      <c r="U174" s="1113" t="s">
        <v>510</v>
      </c>
      <c r="V174" s="1113"/>
      <c r="BN174" s="30" t="s">
        <v>629</v>
      </c>
      <c r="BT174" t="s">
        <v>427</v>
      </c>
    </row>
    <row r="175" spans="1:72" ht="12.95" customHeight="1">
      <c r="C175" s="12"/>
      <c r="D175" s="33"/>
      <c r="E175" t="s">
        <v>244</v>
      </c>
      <c r="O175" s="34"/>
      <c r="P175" t="s">
        <v>2221</v>
      </c>
      <c r="T175" s="34" t="s">
        <v>245</v>
      </c>
      <c r="U175" s="1089"/>
      <c r="V175" s="1089"/>
      <c r="W175" s="1" t="s">
        <v>246</v>
      </c>
      <c r="X175" s="1297"/>
      <c r="Y175" s="1297"/>
      <c r="BN175" s="30" t="s">
        <v>630</v>
      </c>
      <c r="BT175" t="s">
        <v>428</v>
      </c>
    </row>
    <row r="176" spans="1:72" ht="12.95" customHeight="1">
      <c r="C176" s="31"/>
      <c r="D176" t="s">
        <v>293</v>
      </c>
      <c r="U176" s="1113"/>
      <c r="V176" s="1113"/>
      <c r="BN176" s="30" t="s">
        <v>632</v>
      </c>
      <c r="BT176" t="s">
        <v>429</v>
      </c>
    </row>
    <row r="177" spans="1:72" ht="12.95" customHeight="1">
      <c r="C177" s="31"/>
      <c r="D177" s="365" t="s">
        <v>1283</v>
      </c>
      <c r="BN177" s="30" t="s">
        <v>633</v>
      </c>
      <c r="BT177" t="s">
        <v>430</v>
      </c>
    </row>
    <row r="178" spans="1:72" ht="12.95" customHeight="1">
      <c r="C178" s="31"/>
      <c r="E178" s="365" t="s">
        <v>2221</v>
      </c>
      <c r="F178" s="365"/>
      <c r="G178" s="365"/>
      <c r="I178" s="947" t="s">
        <v>245</v>
      </c>
      <c r="J178" s="1390"/>
      <c r="K178" s="1390"/>
      <c r="L178" s="374" t="s">
        <v>246</v>
      </c>
      <c r="M178" s="1116"/>
      <c r="N178" s="1116"/>
      <c r="O178" s="365"/>
      <c r="P178" s="365"/>
      <c r="Q178" s="365"/>
      <c r="R178" s="365"/>
      <c r="U178" s="365" t="s">
        <v>1284</v>
      </c>
      <c r="V178" s="365"/>
      <c r="W178" s="365"/>
      <c r="X178" s="365"/>
      <c r="Y178" s="365"/>
      <c r="Z178" s="365"/>
      <c r="AA178" s="365"/>
      <c r="AB178" s="365"/>
      <c r="AD178" s="1391"/>
      <c r="AE178" s="1391"/>
      <c r="AF178" s="1391"/>
      <c r="AG178" s="1391"/>
      <c r="AH178" s="1391"/>
      <c r="BN178" s="30" t="s">
        <v>634</v>
      </c>
      <c r="BT178" t="s">
        <v>431</v>
      </c>
    </row>
    <row r="179" spans="1:72" ht="12.95" customHeight="1">
      <c r="C179" s="31"/>
      <c r="BN179" s="30" t="s">
        <v>635</v>
      </c>
      <c r="BT179" t="s">
        <v>432</v>
      </c>
    </row>
    <row r="180" spans="1:72" ht="12.95" customHeight="1">
      <c r="C180" s="12"/>
      <c r="D180" t="s">
        <v>2222</v>
      </c>
      <c r="O180" s="365"/>
      <c r="P180" s="365"/>
      <c r="Q180" s="365"/>
      <c r="R180" s="365"/>
      <c r="Y180" s="1113" t="s">
        <v>510</v>
      </c>
      <c r="Z180" s="1289"/>
      <c r="BN180" s="30" t="s">
        <v>637</v>
      </c>
      <c r="BT180" t="s">
        <v>433</v>
      </c>
    </row>
    <row r="181" spans="1:72" ht="12.95" customHeight="1">
      <c r="C181" s="12"/>
      <c r="D181" s="35"/>
      <c r="E181" s="365" t="s">
        <v>1282</v>
      </c>
      <c r="R181" s="365"/>
      <c r="BN181" s="30" t="s">
        <v>638</v>
      </c>
      <c r="BT181" t="s">
        <v>434</v>
      </c>
    </row>
    <row r="182" spans="1:72" ht="12.95" customHeight="1">
      <c r="C182" s="12"/>
      <c r="D182" s="35"/>
      <c r="BN182" s="30" t="s">
        <v>639</v>
      </c>
      <c r="BT182" t="s">
        <v>435</v>
      </c>
    </row>
    <row r="183" spans="1:72" ht="12.95" customHeight="1">
      <c r="A183" s="3" t="s">
        <v>8</v>
      </c>
      <c r="C183" s="3" t="s">
        <v>9</v>
      </c>
      <c r="BN183" s="30" t="s">
        <v>602</v>
      </c>
      <c r="BT183" t="s">
        <v>436</v>
      </c>
    </row>
    <row r="184" spans="1:72" ht="12.95" customHeight="1">
      <c r="C184" s="29"/>
      <c r="D184" t="s">
        <v>10</v>
      </c>
      <c r="I184" s="1292" t="str">
        <f>H17</f>
        <v>Parkside Inn</v>
      </c>
      <c r="J184" s="1292"/>
      <c r="K184" s="1292"/>
      <c r="L184" s="1292"/>
      <c r="M184" s="1292"/>
      <c r="N184" s="1292"/>
      <c r="O184" s="1292"/>
      <c r="P184" s="1292"/>
      <c r="Q184" s="1292"/>
      <c r="R184" s="1292"/>
      <c r="S184" s="1292"/>
      <c r="T184" s="1292"/>
      <c r="U184" s="1292"/>
      <c r="V184" s="1292"/>
      <c r="W184" s="1292"/>
      <c r="X184" s="1292"/>
      <c r="Y184" s="1292"/>
      <c r="Z184" s="1292"/>
      <c r="AA184" s="1292"/>
      <c r="AB184" s="1292"/>
      <c r="AC184" s="1292"/>
      <c r="AD184" s="1292"/>
      <c r="AE184" s="1292"/>
      <c r="BC184" t="s">
        <v>128</v>
      </c>
      <c r="BN184" s="30" t="s">
        <v>604</v>
      </c>
      <c r="BT184" t="s">
        <v>437</v>
      </c>
    </row>
    <row r="185" spans="1:72" ht="12.95" customHeight="1">
      <c r="C185" s="29"/>
      <c r="D185" t="s">
        <v>457</v>
      </c>
      <c r="I185" s="1087" t="s">
        <v>2360</v>
      </c>
      <c r="J185" s="1087"/>
      <c r="K185" s="1087"/>
      <c r="L185" s="1087"/>
      <c r="M185" s="1087"/>
      <c r="N185" s="1087"/>
      <c r="O185" s="1087"/>
      <c r="P185" s="1087"/>
      <c r="Q185" s="1087"/>
      <c r="R185" s="1087"/>
      <c r="S185" s="1087"/>
      <c r="T185" s="1087"/>
      <c r="U185" s="1087"/>
      <c r="V185" s="1087"/>
      <c r="W185" s="1087"/>
      <c r="X185" s="1087"/>
      <c r="Y185" s="1087"/>
      <c r="Z185" s="1087"/>
      <c r="AA185" s="1087"/>
      <c r="AB185" s="1087"/>
      <c r="AC185" s="1087"/>
      <c r="AD185" s="1087"/>
      <c r="AE185" s="1087"/>
      <c r="BC185" s="41" t="s">
        <v>129</v>
      </c>
      <c r="BN185" s="30" t="s">
        <v>605</v>
      </c>
      <c r="BT185" t="s">
        <v>879</v>
      </c>
    </row>
    <row r="186" spans="1:72" ht="12.95" customHeight="1">
      <c r="C186" s="29"/>
      <c r="E186" t="s">
        <v>66</v>
      </c>
      <c r="BN186" s="30" t="s">
        <v>606</v>
      </c>
      <c r="BT186" t="s">
        <v>880</v>
      </c>
    </row>
    <row r="187" spans="1:72" ht="12.95" customHeight="1">
      <c r="C187" s="29"/>
      <c r="E187" s="1392"/>
      <c r="F187" s="1392"/>
      <c r="G187" s="1392"/>
      <c r="H187" s="1392"/>
      <c r="I187" s="1392"/>
      <c r="J187" s="1392"/>
      <c r="K187" s="1392"/>
      <c r="L187" s="1392"/>
      <c r="M187" s="1392"/>
      <c r="N187" s="1392"/>
      <c r="O187" s="1392"/>
      <c r="P187" s="1392"/>
      <c r="Q187" s="1392"/>
      <c r="R187" s="1392"/>
      <c r="S187" s="1392"/>
      <c r="T187" s="1392"/>
      <c r="U187" s="1392"/>
      <c r="V187" s="1392"/>
      <c r="W187" s="1392"/>
      <c r="X187" s="1392"/>
      <c r="Y187" s="1392"/>
      <c r="Z187" s="1392"/>
      <c r="AA187" s="1392"/>
      <c r="AB187" s="1392"/>
      <c r="AC187" s="1392"/>
      <c r="AD187" s="1392"/>
      <c r="AE187" s="1392"/>
      <c r="BN187" s="30" t="s">
        <v>607</v>
      </c>
      <c r="BT187" t="s">
        <v>881</v>
      </c>
    </row>
    <row r="188" spans="1:72" ht="12.95" customHeight="1">
      <c r="C188" s="29"/>
      <c r="E188" s="1393"/>
      <c r="F188" s="1393"/>
      <c r="G188" s="1393"/>
      <c r="H188" s="1393"/>
      <c r="I188" s="1393"/>
      <c r="J188" s="1393"/>
      <c r="K188" s="1393"/>
      <c r="L188" s="1393"/>
      <c r="M188" s="1393"/>
      <c r="N188" s="1393"/>
      <c r="O188" s="1393"/>
      <c r="P188" s="1393"/>
      <c r="Q188" s="1393"/>
      <c r="R188" s="1393"/>
      <c r="S188" s="1393"/>
      <c r="T188" s="1393"/>
      <c r="U188" s="1393"/>
      <c r="V188" s="1393"/>
      <c r="W188" s="1393"/>
      <c r="X188" s="1393"/>
      <c r="Y188" s="1393"/>
      <c r="Z188" s="1393"/>
      <c r="AA188" s="1393"/>
      <c r="AB188" s="1393"/>
      <c r="AC188" s="1393"/>
      <c r="AD188" s="1393"/>
      <c r="AE188" s="1393"/>
      <c r="BN188" s="30" t="s">
        <v>609</v>
      </c>
      <c r="BT188" t="s">
        <v>882</v>
      </c>
    </row>
    <row r="189" spans="1:72" ht="12.95" customHeight="1">
      <c r="C189" s="29"/>
      <c r="D189" t="s">
        <v>458</v>
      </c>
      <c r="I189" s="1085" t="s">
        <v>419</v>
      </c>
      <c r="J189" s="1085"/>
      <c r="K189" s="1085"/>
      <c r="L189" s="1085"/>
      <c r="M189" s="1085"/>
      <c r="N189" s="1085"/>
      <c r="O189" s="1085"/>
      <c r="P189" s="1085"/>
      <c r="Q189" t="s">
        <v>460</v>
      </c>
      <c r="T189" s="1085" t="s">
        <v>419</v>
      </c>
      <c r="U189" s="1085"/>
      <c r="V189" s="1085"/>
      <c r="W189" s="1085"/>
      <c r="X189" s="1085"/>
      <c r="Y189" s="1085"/>
      <c r="Z189" s="1085"/>
      <c r="AA189" s="1085"/>
      <c r="AB189" s="1085"/>
      <c r="AC189" s="1085"/>
      <c r="AD189" s="1085"/>
      <c r="AE189" s="1085"/>
      <c r="BC189" t="s">
        <v>84</v>
      </c>
      <c r="BH189" s="41" t="s">
        <v>132</v>
      </c>
      <c r="BN189" s="30" t="s">
        <v>610</v>
      </c>
      <c r="BT189" t="s">
        <v>117</v>
      </c>
    </row>
    <row r="190" spans="1:72" ht="12.95" customHeight="1">
      <c r="C190" s="29"/>
      <c r="D190" t="s">
        <v>461</v>
      </c>
      <c r="I190" s="1087">
        <v>93728</v>
      </c>
      <c r="J190" s="1087"/>
      <c r="K190" s="1087"/>
      <c r="L190" s="1087"/>
      <c r="M190" s="1087"/>
      <c r="N190" s="1087"/>
      <c r="O190" t="s">
        <v>463</v>
      </c>
      <c r="T190" s="1287">
        <v>20</v>
      </c>
      <c r="U190" s="1287"/>
      <c r="V190" s="1287"/>
      <c r="W190" s="1287"/>
      <c r="X190" s="1287"/>
      <c r="Y190" s="1287"/>
      <c r="Z190" s="1287"/>
      <c r="AA190" s="1287"/>
      <c r="AB190" s="1287"/>
      <c r="AC190" s="1287"/>
      <c r="AD190" s="1287"/>
      <c r="AE190" s="1287"/>
      <c r="BC190" t="s">
        <v>698</v>
      </c>
      <c r="BH190" t="s">
        <v>698</v>
      </c>
      <c r="BN190" s="30" t="s">
        <v>449</v>
      </c>
      <c r="BT190" t="s">
        <v>118</v>
      </c>
    </row>
    <row r="191" spans="1:72" ht="12.95" customHeight="1">
      <c r="C191" s="29"/>
      <c r="D191" t="s">
        <v>89</v>
      </c>
      <c r="N191" s="1392" t="s">
        <v>2361</v>
      </c>
      <c r="O191" s="1392"/>
      <c r="P191" s="1392"/>
      <c r="Q191" s="1392"/>
      <c r="R191" s="1392"/>
      <c r="S191" s="1392"/>
      <c r="T191" s="1392"/>
      <c r="U191" s="1392"/>
      <c r="V191" s="1392"/>
      <c r="W191" s="1392"/>
      <c r="X191" s="1392"/>
      <c r="Y191" s="1392"/>
      <c r="Z191" s="1392"/>
      <c r="AA191" s="1392"/>
      <c r="AB191" s="1392"/>
      <c r="AC191" s="1392"/>
      <c r="AD191" s="1392"/>
      <c r="AE191" s="1392"/>
      <c r="BC191" t="s">
        <v>1486</v>
      </c>
      <c r="BH191" t="s">
        <v>1486</v>
      </c>
      <c r="BN191" s="30" t="s">
        <v>612</v>
      </c>
      <c r="BT191" t="s">
        <v>119</v>
      </c>
    </row>
    <row r="192" spans="1:72" ht="12.95" customHeight="1">
      <c r="C192" s="29"/>
      <c r="M192" s="49"/>
      <c r="N192" s="1393"/>
      <c r="O192" s="1393"/>
      <c r="P192" s="1393"/>
      <c r="Q192" s="1393"/>
      <c r="R192" s="1393"/>
      <c r="S192" s="1393"/>
      <c r="T192" s="1393"/>
      <c r="U192" s="1393"/>
      <c r="V192" s="1393"/>
      <c r="W192" s="1393"/>
      <c r="X192" s="1393"/>
      <c r="Y192" s="1393"/>
      <c r="Z192" s="1393"/>
      <c r="AA192" s="1393"/>
      <c r="AB192" s="1393"/>
      <c r="AC192" s="1393"/>
      <c r="AD192" s="1393"/>
      <c r="AE192" s="1393"/>
      <c r="BC192" t="s">
        <v>699</v>
      </c>
      <c r="BH192" s="5" t="s">
        <v>1493</v>
      </c>
      <c r="BN192" s="30" t="s">
        <v>613</v>
      </c>
      <c r="BT192" t="s">
        <v>120</v>
      </c>
    </row>
    <row r="193" spans="1:73" ht="12.95" customHeight="1">
      <c r="C193" s="29"/>
      <c r="D193" t="s">
        <v>464</v>
      </c>
      <c r="T193" s="1113" t="s">
        <v>510</v>
      </c>
      <c r="U193" s="1113"/>
      <c r="W193" s="41" t="s">
        <v>1976</v>
      </c>
      <c r="AA193" s="1279"/>
      <c r="AB193" s="1279"/>
      <c r="AC193" s="1279"/>
      <c r="BC193" t="s">
        <v>594</v>
      </c>
      <c r="BH193" s="5" t="s">
        <v>1494</v>
      </c>
      <c r="BN193" s="30" t="s">
        <v>614</v>
      </c>
      <c r="BT193" t="s">
        <v>121</v>
      </c>
    </row>
    <row r="194" spans="1:73" ht="12.95" customHeight="1">
      <c r="C194" s="29"/>
      <c r="D194" t="s">
        <v>126</v>
      </c>
      <c r="T194" s="1101" t="s">
        <v>116</v>
      </c>
      <c r="U194" s="1101"/>
      <c r="W194" t="s">
        <v>67</v>
      </c>
      <c r="AI194" s="1113" t="s">
        <v>510</v>
      </c>
      <c r="AJ194" s="1113"/>
      <c r="AX194" s="5" t="s">
        <v>132</v>
      </c>
      <c r="BC194" t="s">
        <v>650</v>
      </c>
      <c r="BN194" s="30" t="s">
        <v>789</v>
      </c>
      <c r="BT194" t="s">
        <v>122</v>
      </c>
    </row>
    <row r="195" spans="1:73" ht="12.95" customHeight="1">
      <c r="C195" s="29"/>
      <c r="D195" s="41" t="s">
        <v>1805</v>
      </c>
      <c r="T195" s="1101" t="s">
        <v>510</v>
      </c>
      <c r="U195" s="1101"/>
      <c r="X195" s="804" t="s">
        <v>2223</v>
      </c>
      <c r="AX195" s="5" t="s">
        <v>1197</v>
      </c>
      <c r="BN195" s="30" t="s">
        <v>790</v>
      </c>
      <c r="BT195" t="s">
        <v>123</v>
      </c>
    </row>
    <row r="196" spans="1:73" ht="12.95" customHeight="1">
      <c r="C196" s="29"/>
      <c r="D196" s="5" t="s">
        <v>1202</v>
      </c>
      <c r="T196" s="1101" t="s">
        <v>116</v>
      </c>
      <c r="U196" s="1101"/>
      <c r="AK196" s="1278"/>
      <c r="AL196" s="1278"/>
      <c r="AX196" s="41" t="s">
        <v>2316</v>
      </c>
      <c r="BN196" s="30" t="s">
        <v>791</v>
      </c>
      <c r="BT196" t="s">
        <v>124</v>
      </c>
    </row>
    <row r="197" spans="1:73" ht="12.95" customHeight="1">
      <c r="C197" s="29"/>
      <c r="D197" s="41" t="s">
        <v>1977</v>
      </c>
      <c r="T197" s="1113" t="s">
        <v>510</v>
      </c>
      <c r="U197" s="1113"/>
      <c r="AX197" s="5" t="s">
        <v>1198</v>
      </c>
      <c r="BC197" t="s">
        <v>84</v>
      </c>
      <c r="BN197" s="30" t="s">
        <v>792</v>
      </c>
      <c r="BT197" t="s">
        <v>125</v>
      </c>
    </row>
    <row r="198" spans="1:73" ht="12.95" customHeight="1">
      <c r="C198" s="29"/>
      <c r="D198" s="41" t="s">
        <v>2005</v>
      </c>
      <c r="W198" s="1290" t="s">
        <v>510</v>
      </c>
      <c r="X198" s="1113"/>
      <c r="AX198" s="5" t="s">
        <v>1199</v>
      </c>
      <c r="BC198" t="s">
        <v>1149</v>
      </c>
      <c r="BN198" s="30" t="s">
        <v>793</v>
      </c>
      <c r="BT198" t="s">
        <v>843</v>
      </c>
    </row>
    <row r="199" spans="1:73" ht="12.95" customHeight="1">
      <c r="C199" s="29"/>
      <c r="L199" s="310"/>
      <c r="M199" s="310"/>
      <c r="N199" s="310"/>
      <c r="O199" s="310"/>
      <c r="P199" s="310"/>
      <c r="Q199" s="929" t="s">
        <v>2224</v>
      </c>
      <c r="R199" s="1086" t="s">
        <v>2118</v>
      </c>
      <c r="S199" s="1086"/>
      <c r="T199" s="1086"/>
      <c r="U199" s="1086"/>
      <c r="V199" s="1086"/>
      <c r="W199" s="1086"/>
      <c r="X199" s="1086"/>
      <c r="Y199" s="1086"/>
      <c r="Z199" s="1086"/>
      <c r="AA199" s="1086"/>
      <c r="AB199" s="1086"/>
      <c r="AH199" s="1"/>
      <c r="AI199" s="1"/>
      <c r="AX199" s="5" t="s">
        <v>1200</v>
      </c>
      <c r="BC199" s="5" t="s">
        <v>1150</v>
      </c>
      <c r="BN199" s="30" t="s">
        <v>794</v>
      </c>
      <c r="BO199" s="39"/>
      <c r="BP199" s="40"/>
      <c r="BQ199" s="40"/>
      <c r="BR199" s="40"/>
      <c r="BS199" s="40"/>
      <c r="BT199" s="40" t="s">
        <v>844</v>
      </c>
    </row>
    <row r="200" spans="1:73" ht="12.95" customHeight="1">
      <c r="C200" s="29"/>
      <c r="D200" t="s">
        <v>590</v>
      </c>
      <c r="AH200" s="1"/>
      <c r="AI200" s="1"/>
      <c r="AX200" s="41" t="s">
        <v>2152</v>
      </c>
      <c r="BC200" s="41" t="s">
        <v>2153</v>
      </c>
      <c r="BN200" s="266" t="s">
        <v>693</v>
      </c>
      <c r="BO200" s="21"/>
      <c r="BP200" s="40"/>
      <c r="BQ200" s="40"/>
      <c r="BR200" s="40"/>
      <c r="BS200" s="40"/>
      <c r="BT200" s="40" t="s">
        <v>845</v>
      </c>
    </row>
    <row r="201" spans="1:73" ht="12.95" customHeight="1">
      <c r="C201" s="29"/>
      <c r="G201" s="902" t="s">
        <v>2119</v>
      </c>
      <c r="AX201" s="5" t="s">
        <v>1201</v>
      </c>
      <c r="BC201" t="s">
        <v>901</v>
      </c>
      <c r="BN201" s="30" t="s">
        <v>694</v>
      </c>
      <c r="BO201" s="21"/>
      <c r="BP201" s="40"/>
      <c r="BQ201" s="40"/>
      <c r="BR201" s="40"/>
      <c r="BS201" s="40"/>
      <c r="BT201" s="40" t="s">
        <v>846</v>
      </c>
    </row>
    <row r="202" spans="1:73" ht="12.95" customHeight="1">
      <c r="A202" s="3" t="s">
        <v>127</v>
      </c>
      <c r="C202" s="3" t="s">
        <v>1196</v>
      </c>
      <c r="AX202" s="5" t="s">
        <v>594</v>
      </c>
      <c r="BC202" t="s">
        <v>1501</v>
      </c>
      <c r="BN202" s="30" t="s">
        <v>695</v>
      </c>
      <c r="BT202" s="40" t="s">
        <v>847</v>
      </c>
      <c r="BU202" s="21"/>
    </row>
    <row r="203" spans="1:73" ht="12.95" customHeight="1">
      <c r="D203" s="1292" t="str">
        <f>IF(AND(M25&gt;0,M27&gt;0),"Federal and State","Federal Only")</f>
        <v>Federal and State</v>
      </c>
      <c r="E203" s="1292"/>
      <c r="F203" s="1292"/>
      <c r="G203" s="1292"/>
      <c r="H203" s="1292"/>
      <c r="I203" s="1292"/>
      <c r="J203" s="1292"/>
      <c r="K203" s="1292"/>
      <c r="L203" s="1292"/>
      <c r="M203" s="1292"/>
      <c r="P203" s="1398">
        <f>M25</f>
        <v>2283015</v>
      </c>
      <c r="Q203" s="1398"/>
      <c r="R203" s="1398"/>
      <c r="S203" s="1398"/>
      <c r="T203" s="1398"/>
      <c r="U203" s="1398"/>
      <c r="W203" s="1398">
        <f>M27</f>
        <v>5387233</v>
      </c>
      <c r="X203" s="1398"/>
      <c r="Y203" s="1398"/>
      <c r="Z203" s="1398"/>
      <c r="AA203" s="1398"/>
      <c r="AB203" s="1398"/>
      <c r="AV203" t="s">
        <v>132</v>
      </c>
      <c r="AX203" s="5" t="s">
        <v>699</v>
      </c>
      <c r="BC203" t="s">
        <v>1499</v>
      </c>
      <c r="BN203" s="30" t="s">
        <v>696</v>
      </c>
      <c r="BT203" s="40" t="s">
        <v>848</v>
      </c>
      <c r="BU203" s="21"/>
    </row>
    <row r="204" spans="1:73" ht="12.95" customHeight="1">
      <c r="C204" s="29"/>
      <c r="P204" s="1379" t="s">
        <v>186</v>
      </c>
      <c r="Q204" s="1379"/>
      <c r="R204" s="1379"/>
      <c r="S204" s="1379"/>
      <c r="T204" s="1379"/>
      <c r="U204" s="1379"/>
      <c r="V204" s="36"/>
      <c r="W204" s="1379" t="s">
        <v>187</v>
      </c>
      <c r="X204" s="1379"/>
      <c r="Y204" s="1379"/>
      <c r="Z204" s="1379"/>
      <c r="AA204" s="1379"/>
      <c r="AB204" s="1379"/>
      <c r="AV204" t="s">
        <v>116</v>
      </c>
      <c r="AX204" s="5" t="s">
        <v>1437</v>
      </c>
      <c r="BC204" t="s">
        <v>900</v>
      </c>
      <c r="BN204" s="30" t="s">
        <v>697</v>
      </c>
      <c r="BT204" s="40" t="s">
        <v>849</v>
      </c>
      <c r="BU204" s="21"/>
    </row>
    <row r="205" spans="1:73" ht="12.95" customHeight="1" thickBot="1">
      <c r="D205" s="470" t="s">
        <v>188</v>
      </c>
      <c r="E205" s="37"/>
      <c r="F205" s="37"/>
      <c r="G205" s="37"/>
      <c r="H205" s="37"/>
      <c r="I205" s="37"/>
      <c r="J205" s="37"/>
      <c r="K205" s="37"/>
      <c r="L205" s="37"/>
      <c r="M205" s="37"/>
      <c r="N205" s="37"/>
      <c r="O205" s="37"/>
      <c r="P205" s="37"/>
      <c r="AV205" t="s">
        <v>510</v>
      </c>
      <c r="BC205" t="s">
        <v>147</v>
      </c>
      <c r="BN205" s="30" t="s">
        <v>940</v>
      </c>
      <c r="BT205" s="40" t="s">
        <v>885</v>
      </c>
    </row>
    <row r="206" spans="1:73" ht="12.95" customHeight="1">
      <c r="X206" s="807"/>
      <c r="Y206" s="808"/>
      <c r="Z206" s="808"/>
      <c r="AA206" s="808"/>
      <c r="AB206" s="808"/>
      <c r="AC206" s="808"/>
      <c r="AD206" s="808"/>
      <c r="AE206" s="808"/>
      <c r="AF206" s="808"/>
      <c r="AG206" s="808"/>
      <c r="AH206" s="808"/>
      <c r="AI206" s="808"/>
      <c r="AJ206" s="808"/>
      <c r="AK206" s="809"/>
      <c r="AX206" t="s">
        <v>84</v>
      </c>
      <c r="BC206" s="180" t="s">
        <v>1502</v>
      </c>
      <c r="BN206" s="30" t="s">
        <v>941</v>
      </c>
      <c r="BT206" s="40" t="s">
        <v>850</v>
      </c>
    </row>
    <row r="207" spans="1:73" ht="12.95" customHeight="1">
      <c r="A207" s="3" t="s">
        <v>130</v>
      </c>
      <c r="C207" s="3" t="s">
        <v>842</v>
      </c>
      <c r="X207" s="810"/>
      <c r="Y207" s="921"/>
      <c r="Z207" s="811"/>
      <c r="AA207" s="811"/>
      <c r="AB207" s="811"/>
      <c r="AC207" s="811"/>
      <c r="AD207" s="811"/>
      <c r="AE207" s="811"/>
      <c r="AF207" s="811"/>
      <c r="AG207" s="811"/>
      <c r="AH207" s="811"/>
      <c r="AI207" s="811"/>
      <c r="AJ207" s="811"/>
      <c r="AK207" s="812"/>
      <c r="AX207" t="s">
        <v>2113</v>
      </c>
      <c r="BC207" t="s">
        <v>1828</v>
      </c>
      <c r="BN207" s="30" t="s">
        <v>1</v>
      </c>
      <c r="BT207" s="40" t="s">
        <v>851</v>
      </c>
    </row>
    <row r="208" spans="1:73" ht="12.95" customHeight="1">
      <c r="C208" s="29"/>
      <c r="D208" s="1114" t="s">
        <v>2370</v>
      </c>
      <c r="E208" s="1114"/>
      <c r="F208" s="1114"/>
      <c r="G208" s="1114"/>
      <c r="H208" s="1114"/>
      <c r="I208" s="1114"/>
      <c r="J208" s="1114"/>
      <c r="K208" s="1114"/>
      <c r="L208" s="1114"/>
      <c r="M208" s="1114"/>
      <c r="X208" s="810"/>
      <c r="Y208" s="922"/>
      <c r="Z208" s="811"/>
      <c r="AA208" s="811"/>
      <c r="AB208" s="811"/>
      <c r="AC208" s="811"/>
      <c r="AD208" s="811"/>
      <c r="AE208" s="811"/>
      <c r="AF208" s="811"/>
      <c r="AG208" s="811"/>
      <c r="AH208" s="811"/>
      <c r="AI208" s="811"/>
      <c r="AJ208" s="811"/>
      <c r="AK208" s="812"/>
      <c r="AX208" t="s">
        <v>2114</v>
      </c>
      <c r="BC208" t="s">
        <v>1500</v>
      </c>
      <c r="BN208" s="30" t="s">
        <v>2</v>
      </c>
      <c r="BT208" s="40" t="s">
        <v>852</v>
      </c>
    </row>
    <row r="209" spans="1:72" ht="12.95" customHeight="1">
      <c r="C209" s="12"/>
      <c r="X209" s="810"/>
      <c r="Y209" s="922"/>
      <c r="Z209" s="811"/>
      <c r="AA209" s="811"/>
      <c r="AB209" s="811"/>
      <c r="AC209" s="811"/>
      <c r="AD209" s="811"/>
      <c r="AE209" s="811"/>
      <c r="AF209" s="811"/>
      <c r="AG209" s="811"/>
      <c r="AH209" s="811"/>
      <c r="AI209" s="811"/>
      <c r="AJ209" s="811"/>
      <c r="AK209" s="812"/>
      <c r="AX209" t="s">
        <v>2115</v>
      </c>
      <c r="BC209" t="s">
        <v>79</v>
      </c>
      <c r="BN209" s="30" t="s">
        <v>3</v>
      </c>
      <c r="BT209" s="40" t="s">
        <v>853</v>
      </c>
    </row>
    <row r="210" spans="1:72" ht="12.95" customHeight="1">
      <c r="A210" s="3" t="s">
        <v>131</v>
      </c>
      <c r="C210" s="3" t="s">
        <v>1195</v>
      </c>
      <c r="X210" s="810"/>
      <c r="Y210" s="922"/>
      <c r="Z210" s="811"/>
      <c r="AA210" s="811"/>
      <c r="AB210" s="811"/>
      <c r="AC210" s="811"/>
      <c r="AD210" s="811"/>
      <c r="AE210" s="811"/>
      <c r="AF210" s="811"/>
      <c r="AG210" s="811"/>
      <c r="AH210" s="811"/>
      <c r="AI210" s="811"/>
      <c r="AJ210" s="811"/>
      <c r="AK210" s="812"/>
      <c r="AX210" t="s">
        <v>2116</v>
      </c>
      <c r="BN210" s="30" t="s">
        <v>4</v>
      </c>
      <c r="BT210" s="40" t="s">
        <v>854</v>
      </c>
    </row>
    <row r="211" spans="1:72" ht="12.95" customHeight="1">
      <c r="C211" s="29"/>
      <c r="D211" s="1114" t="s">
        <v>699</v>
      </c>
      <c r="E211" s="1114"/>
      <c r="F211" s="1114"/>
      <c r="G211" s="1114"/>
      <c r="H211" s="1114"/>
      <c r="I211" s="1114"/>
      <c r="J211" s="1114"/>
      <c r="K211" s="1114"/>
      <c r="L211" s="1114"/>
      <c r="M211" s="1114"/>
      <c r="N211" s="1114"/>
      <c r="O211" s="1114"/>
      <c r="P211" s="1114"/>
      <c r="X211" s="810"/>
      <c r="Y211" s="1288" t="s">
        <v>510</v>
      </c>
      <c r="Z211" s="1288"/>
      <c r="AA211" s="811"/>
      <c r="AB211" s="811"/>
      <c r="AC211" s="811"/>
      <c r="AD211" s="811"/>
      <c r="AE211" s="811"/>
      <c r="AF211" s="811"/>
      <c r="AG211" s="811"/>
      <c r="AH211" s="811"/>
      <c r="AI211" s="811"/>
      <c r="AJ211" s="811"/>
      <c r="AK211" s="812"/>
      <c r="AX211" t="s">
        <v>2117</v>
      </c>
      <c r="BN211" s="30" t="s">
        <v>21</v>
      </c>
      <c r="BT211" s="40" t="s">
        <v>22</v>
      </c>
    </row>
    <row r="212" spans="1:72" ht="12.95" customHeight="1" thickBot="1">
      <c r="X212" s="815"/>
      <c r="Y212" s="813"/>
      <c r="Z212" s="813"/>
      <c r="AA212" s="813"/>
      <c r="AB212" s="813"/>
      <c r="AC212" s="813"/>
      <c r="AD212" s="813"/>
      <c r="AE212" s="813"/>
      <c r="AF212" s="813"/>
      <c r="AG212" s="813"/>
      <c r="AH212" s="813"/>
      <c r="AI212" s="813"/>
      <c r="AJ212" s="813"/>
      <c r="AK212" s="814"/>
      <c r="AX212" t="s">
        <v>2118</v>
      </c>
      <c r="BC212" t="s">
        <v>84</v>
      </c>
      <c r="BN212" s="30" t="s">
        <v>5</v>
      </c>
      <c r="BT212" s="40" t="s">
        <v>855</v>
      </c>
    </row>
    <row r="213" spans="1:72" ht="12.95" customHeight="1">
      <c r="A213" s="3" t="s">
        <v>133</v>
      </c>
      <c r="C213" s="3" t="s">
        <v>1487</v>
      </c>
      <c r="AX213" s="41" t="s">
        <v>2120</v>
      </c>
      <c r="BC213" t="s">
        <v>661</v>
      </c>
      <c r="BN213" s="30" t="s">
        <v>6</v>
      </c>
      <c r="BT213" s="40" t="s">
        <v>856</v>
      </c>
    </row>
    <row r="214" spans="1:72" ht="12.95" customHeight="1">
      <c r="C214" s="29"/>
      <c r="D214" s="1114" t="s">
        <v>699</v>
      </c>
      <c r="E214" s="1114"/>
      <c r="F214" s="1114"/>
      <c r="G214" s="1114"/>
      <c r="H214" s="1114"/>
      <c r="I214" s="1114"/>
      <c r="J214" s="1114"/>
      <c r="K214" s="1114"/>
      <c r="L214" s="1114"/>
      <c r="M214" s="1114"/>
      <c r="N214" s="1114"/>
      <c r="O214" s="1114"/>
      <c r="P214" s="1114"/>
      <c r="Q214" s="1114"/>
      <c r="R214" s="1114"/>
      <c r="S214" s="1114"/>
      <c r="T214" s="1114"/>
      <c r="U214" s="1114"/>
      <c r="V214" s="1114"/>
      <c r="W214" s="1114"/>
      <c r="X214" s="1114"/>
      <c r="Y214" s="1114"/>
      <c r="Z214" s="1114"/>
      <c r="BC214" t="s">
        <v>665</v>
      </c>
      <c r="BN214" s="30" t="s">
        <v>471</v>
      </c>
      <c r="BT214" s="40" t="s">
        <v>857</v>
      </c>
    </row>
    <row r="215" spans="1:72" ht="12.95" customHeight="1">
      <c r="D215" s="35"/>
      <c r="E215" s="41" t="s">
        <v>2200</v>
      </c>
      <c r="AC215" s="1283">
        <v>19</v>
      </c>
      <c r="AD215" s="1283"/>
      <c r="AF215" s="1394">
        <f>IFERROR(AC215/AG433,"")</f>
        <v>0.5</v>
      </c>
      <c r="AG215" s="1394"/>
      <c r="BC215" t="s">
        <v>662</v>
      </c>
    </row>
    <row r="216" spans="1:72" ht="12.95" customHeight="1">
      <c r="D216" s="35"/>
      <c r="E216" s="945" t="s">
        <v>1497</v>
      </c>
      <c r="BC216" t="s">
        <v>779</v>
      </c>
    </row>
    <row r="217" spans="1:72" ht="12.95" customHeight="1">
      <c r="E217" s="1403" t="s">
        <v>698</v>
      </c>
      <c r="F217" s="1403"/>
      <c r="G217" s="1403"/>
      <c r="H217" s="1403"/>
      <c r="I217" s="1403"/>
      <c r="J217" s="1403"/>
      <c r="K217" s="1403"/>
      <c r="L217" s="1403"/>
      <c r="M217" s="1403"/>
      <c r="N217" s="1403"/>
      <c r="O217" s="1403"/>
      <c r="P217" s="1403"/>
      <c r="Q217" s="1403"/>
      <c r="R217" s="1403"/>
      <c r="S217" s="1403"/>
      <c r="T217" s="1403"/>
      <c r="U217" s="1403"/>
      <c r="V217" s="1403"/>
      <c r="W217" s="1403"/>
      <c r="X217" s="1403"/>
      <c r="Y217" s="1403"/>
      <c r="Z217" s="1403"/>
      <c r="AA217" s="49"/>
      <c r="AB217" s="49"/>
      <c r="AC217" s="49"/>
      <c r="AD217" s="49"/>
      <c r="AE217" s="49"/>
      <c r="AF217" s="49"/>
      <c r="BC217" t="s">
        <v>663</v>
      </c>
    </row>
    <row r="218" spans="1:72" ht="12.95" customHeight="1">
      <c r="E218" s="41" t="s">
        <v>2053</v>
      </c>
      <c r="AA218" s="49"/>
      <c r="AC218" s="1291"/>
      <c r="AD218" s="1291"/>
      <c r="AE218" s="1291"/>
      <c r="AF218" s="1291"/>
      <c r="AG218" s="1291"/>
      <c r="AH218" s="1291"/>
      <c r="AI218" s="1291"/>
      <c r="AJ218" s="1291"/>
      <c r="AK218" s="1291"/>
      <c r="AL218" s="1291"/>
      <c r="AM218" s="1291"/>
      <c r="BC218" t="s">
        <v>664</v>
      </c>
      <c r="BI218" s="39"/>
    </row>
    <row r="219" spans="1:72" ht="12.95" customHeight="1">
      <c r="E219" s="41" t="s">
        <v>2054</v>
      </c>
      <c r="AA219" s="49"/>
      <c r="AC219" s="1291"/>
      <c r="AD219" s="1291"/>
      <c r="AE219" s="1291"/>
      <c r="AF219" s="1291"/>
      <c r="AG219" s="1291"/>
      <c r="AH219" s="1291"/>
      <c r="AI219" s="1291"/>
      <c r="AJ219" s="1291"/>
      <c r="AK219" s="1291"/>
      <c r="AL219" s="1291"/>
      <c r="AM219" s="1291"/>
      <c r="BC219" t="s">
        <v>522</v>
      </c>
      <c r="BI219" s="21"/>
    </row>
    <row r="220" spans="1:72" s="21" customFormat="1" ht="12.95"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5"/>
      <c r="AK220"/>
      <c r="AL220"/>
      <c r="AM220" s="38"/>
      <c r="AN220" s="38"/>
      <c r="BC220" t="s">
        <v>527</v>
      </c>
      <c r="BD220"/>
    </row>
    <row r="221" spans="1:72" s="21" customFormat="1" ht="12.95" customHeight="1">
      <c r="A221" s="3" t="s">
        <v>391</v>
      </c>
      <c r="C221" s="3" t="s">
        <v>1829</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8"/>
      <c r="AN221" s="38"/>
      <c r="BI221"/>
    </row>
    <row r="222" spans="1:72" s="21" customFormat="1" ht="12.95" customHeight="1">
      <c r="B222"/>
      <c r="C222"/>
      <c r="D222" t="s">
        <v>393</v>
      </c>
      <c r="E222"/>
      <c r="F222"/>
      <c r="G222"/>
      <c r="H222"/>
      <c r="I222"/>
      <c r="J222"/>
      <c r="K222"/>
      <c r="L222"/>
      <c r="M222"/>
      <c r="N222"/>
      <c r="O222"/>
      <c r="P222"/>
      <c r="Q222"/>
      <c r="R222"/>
      <c r="S222"/>
      <c r="T222"/>
      <c r="U222"/>
      <c r="V222"/>
      <c r="W222"/>
      <c r="X222"/>
      <c r="Y222"/>
      <c r="Z222"/>
      <c r="AA222"/>
      <c r="AB222"/>
      <c r="AC222"/>
      <c r="AD222"/>
      <c r="AE222"/>
      <c r="AF222"/>
      <c r="AG222"/>
      <c r="AH222"/>
      <c r="AI222"/>
      <c r="AM222" s="38"/>
      <c r="AN222" s="38"/>
      <c r="BI222"/>
    </row>
    <row r="223" spans="1:72" ht="12.95" customHeight="1">
      <c r="A223" s="21"/>
      <c r="D223" s="1086" t="s">
        <v>2153</v>
      </c>
      <c r="E223" s="1086"/>
      <c r="F223" s="1086"/>
      <c r="G223" s="1086"/>
      <c r="H223" s="1086"/>
      <c r="I223" s="1086"/>
      <c r="J223" s="1086"/>
      <c r="K223" s="1086"/>
      <c r="L223" s="1086"/>
      <c r="M223" s="1086"/>
      <c r="N223" s="1086"/>
      <c r="O223" s="1086"/>
      <c r="P223" s="1086"/>
      <c r="Q223" s="1086"/>
      <c r="R223" s="1086"/>
      <c r="S223" s="1086"/>
      <c r="T223" s="1086"/>
      <c r="U223" s="1086"/>
      <c r="V223" s="1086"/>
      <c r="W223" s="1086"/>
      <c r="X223" s="1086"/>
      <c r="Y223" s="1086"/>
      <c r="Z223" s="1086"/>
      <c r="AA223" s="1086"/>
      <c r="AB223" s="1086"/>
      <c r="AC223" s="1086"/>
      <c r="AD223" s="1086"/>
      <c r="AE223" s="1086"/>
      <c r="AF223" s="1086"/>
      <c r="AG223" s="1086"/>
      <c r="AH223" s="1086"/>
      <c r="AI223" s="1086"/>
      <c r="AJ223" s="21"/>
      <c r="AK223" s="21"/>
      <c r="AL223" s="21"/>
    </row>
    <row r="224" spans="1:72" ht="12.95" customHeight="1">
      <c r="AJ224" s="5"/>
    </row>
    <row r="225" spans="1:59" ht="12.95" customHeight="1">
      <c r="D225" t="s">
        <v>587</v>
      </c>
      <c r="O225" s="1113">
        <v>16</v>
      </c>
      <c r="P225" s="1113"/>
    </row>
    <row r="226" spans="1:59" ht="12.95" customHeight="1">
      <c r="D226" t="s">
        <v>588</v>
      </c>
      <c r="O226" s="1113">
        <v>31</v>
      </c>
      <c r="P226" s="1113"/>
      <c r="BB226" s="5" t="s">
        <v>673</v>
      </c>
      <c r="BG226" s="414">
        <f>IF(AND(AND($M$251="for profit",$M$259="for profit",$M$267="nonprofit")),2,0)</f>
        <v>0</v>
      </c>
    </row>
    <row r="227" spans="1:59" ht="12.95" customHeight="1">
      <c r="D227" t="s">
        <v>589</v>
      </c>
      <c r="O227" s="1113">
        <v>14</v>
      </c>
      <c r="P227" s="1113"/>
      <c r="BB227" s="5" t="s">
        <v>673</v>
      </c>
      <c r="BG227" s="414">
        <f>IF(AND(AND($M$251="for profit",$M$259="nonprofit",$M$267="for profit")),2,0)</f>
        <v>0</v>
      </c>
    </row>
    <row r="228" spans="1:59" ht="12.95" customHeight="1">
      <c r="D228" t="s">
        <v>590</v>
      </c>
      <c r="BB228" t="s">
        <v>673</v>
      </c>
      <c r="BG228" s="414">
        <f>IF(AND(AND($M$251="nonprofit",$M$259="for profit",$M$267="for profit")),2,0)</f>
        <v>0</v>
      </c>
    </row>
    <row r="229" spans="1:59" ht="12.95" customHeight="1">
      <c r="D229" s="364" t="s">
        <v>1227</v>
      </c>
      <c r="U229" s="364" t="s">
        <v>1228</v>
      </c>
      <c r="BB229" t="s">
        <v>673</v>
      </c>
      <c r="BG229" s="414">
        <f>IF(AND(AND($M$251="for profit",$M$259="nonprofit",$M$267="(select one)")),2,0)</f>
        <v>0</v>
      </c>
    </row>
    <row r="230" spans="1:59" ht="12.95" customHeight="1">
      <c r="BB230" t="s">
        <v>673</v>
      </c>
      <c r="BG230" s="415">
        <f>IF(AND(AND($M$251="nonprofit",$M$259="for profit",$M$267="(select one)")),2,0)</f>
        <v>0</v>
      </c>
    </row>
    <row r="231" spans="1:59" ht="12.95" customHeight="1">
      <c r="A231" s="1284" t="s">
        <v>523</v>
      </c>
      <c r="B231" s="1284"/>
      <c r="C231" s="1284"/>
      <c r="D231" s="1284"/>
      <c r="E231" s="1284"/>
      <c r="F231" s="1284"/>
      <c r="G231" s="1284"/>
      <c r="H231" s="1284"/>
      <c r="I231" s="1284"/>
      <c r="J231" s="1284"/>
      <c r="K231" s="1284"/>
      <c r="L231" s="1284"/>
      <c r="M231" s="1284"/>
      <c r="N231" s="1284"/>
      <c r="O231" s="1284"/>
      <c r="P231" s="1284"/>
      <c r="Q231" s="1284"/>
      <c r="R231" s="1284"/>
      <c r="S231" s="1284"/>
      <c r="T231" s="1284"/>
      <c r="U231" s="1284"/>
      <c r="V231" s="1284"/>
      <c r="W231" s="1284"/>
      <c r="X231" s="1284"/>
      <c r="Y231" s="1284"/>
      <c r="Z231" s="1284"/>
      <c r="AA231" s="1284"/>
      <c r="AB231" s="1284"/>
      <c r="AC231" s="1284"/>
      <c r="AD231" s="1284"/>
      <c r="AE231" s="1284"/>
      <c r="AF231" s="1284"/>
      <c r="AG231" s="1284"/>
      <c r="AH231" s="1284"/>
      <c r="AI231" s="1284"/>
      <c r="AJ231" s="1284"/>
      <c r="AK231" s="1284"/>
      <c r="AL231" s="1284"/>
    </row>
    <row r="232" spans="1:59" ht="12.95" customHeight="1" thickBot="1">
      <c r="A232" s="1285"/>
      <c r="B232" s="1285"/>
      <c r="C232" s="1285"/>
      <c r="D232" s="1285"/>
      <c r="E232" s="1285"/>
      <c r="F232" s="1285"/>
      <c r="G232" s="1285"/>
      <c r="H232" s="1285"/>
      <c r="I232" s="1285"/>
      <c r="J232" s="1285"/>
      <c r="K232" s="1285"/>
      <c r="L232" s="1285"/>
      <c r="M232" s="1285"/>
      <c r="N232" s="1285"/>
      <c r="O232" s="1285"/>
      <c r="P232" s="1285"/>
      <c r="Q232" s="1285"/>
      <c r="R232" s="1285"/>
      <c r="S232" s="1285"/>
      <c r="T232" s="1285"/>
      <c r="U232" s="1285"/>
      <c r="V232" s="1285"/>
      <c r="W232" s="1285"/>
      <c r="X232" s="1285"/>
      <c r="Y232" s="1285"/>
      <c r="Z232" s="1285"/>
      <c r="AA232" s="1285"/>
      <c r="AB232" s="1285"/>
      <c r="AC232" s="1285"/>
      <c r="AD232" s="1285"/>
      <c r="AE232" s="1285"/>
      <c r="AF232" s="1285"/>
      <c r="AG232" s="1285"/>
      <c r="AH232" s="1285"/>
      <c r="AI232" s="1285"/>
      <c r="AJ232" s="1285"/>
      <c r="AK232" s="1285"/>
      <c r="AL232" s="1285"/>
      <c r="BB232" s="3" t="s">
        <v>673</v>
      </c>
      <c r="BC232" s="3"/>
      <c r="BD232" s="3"/>
      <c r="BE232" s="3"/>
      <c r="BF232" s="3"/>
      <c r="BG232" s="193">
        <f>IF(AND(AND($M$251="nonprofit",$M$259="nonprofit",$M$267="for profit")),2,0)</f>
        <v>0</v>
      </c>
    </row>
    <row r="233" spans="1:59" ht="12.95" customHeight="1" thickTop="1">
      <c r="B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L233" s="41"/>
      <c r="BB233" s="3" t="s">
        <v>673</v>
      </c>
      <c r="BC233" s="3"/>
      <c r="BD233" s="3"/>
      <c r="BE233" s="3"/>
      <c r="BF233" s="3"/>
      <c r="BG233" s="193">
        <f>IF(AND(AND($M$251="nonprofit",$M$259="for profit",$M$267="nonprofit")),2,0)</f>
        <v>0</v>
      </c>
    </row>
    <row r="234" spans="1:59" ht="12.95" customHeight="1">
      <c r="A234" s="3" t="s">
        <v>688</v>
      </c>
      <c r="B234" s="5"/>
      <c r="C234" s="3" t="s">
        <v>659</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L234" s="41"/>
      <c r="BB234" s="3" t="s">
        <v>673</v>
      </c>
      <c r="BC234" s="3"/>
      <c r="BD234" s="3"/>
      <c r="BE234" s="3"/>
      <c r="BF234" s="3"/>
      <c r="BG234" s="89">
        <f>IF(AND(AND($M$251="for profit",$M$259="nonprofit",$M$267="nonprofit")),2,0)</f>
        <v>0</v>
      </c>
    </row>
    <row r="235" spans="1:59" ht="12.95" customHeight="1">
      <c r="D235" s="5" t="s">
        <v>395</v>
      </c>
      <c r="E235" s="5"/>
      <c r="F235" s="5"/>
      <c r="G235" s="5"/>
      <c r="H235" s="5"/>
      <c r="I235" s="5"/>
      <c r="J235" s="5"/>
      <c r="K235" s="5"/>
      <c r="M235" s="1378" t="str">
        <f>H15</f>
        <v>Silvercrest, Inc.</v>
      </c>
      <c r="N235" s="1378"/>
      <c r="O235" s="1378"/>
      <c r="P235" s="1378"/>
      <c r="Q235" s="1378"/>
      <c r="R235" s="1378"/>
      <c r="S235" s="1378"/>
      <c r="T235" s="1378"/>
      <c r="U235" s="1378"/>
      <c r="V235" s="1378"/>
      <c r="W235" s="1378"/>
      <c r="X235" s="1378"/>
      <c r="Y235" s="1378"/>
      <c r="Z235" s="1378"/>
      <c r="AA235" s="1378"/>
      <c r="AB235" s="1378"/>
      <c r="AC235" s="1378"/>
      <c r="AD235" s="1378"/>
      <c r="AE235" s="1378"/>
      <c r="AF235" s="1378"/>
      <c r="AG235" s="1378"/>
      <c r="AH235" s="1378"/>
      <c r="AI235" s="1378"/>
      <c r="AJ235" s="1378"/>
      <c r="AK235" s="1378"/>
      <c r="BB235" s="3"/>
      <c r="BG235" s="5"/>
    </row>
    <row r="236" spans="1:59" ht="12.95" customHeight="1">
      <c r="D236" s="5" t="s">
        <v>396</v>
      </c>
      <c r="E236" s="5"/>
      <c r="F236" s="5"/>
      <c r="G236" s="5"/>
      <c r="H236" s="5"/>
      <c r="I236" s="5"/>
      <c r="J236" s="5"/>
      <c r="K236" s="5"/>
      <c r="M236" s="1086" t="s">
        <v>2371</v>
      </c>
      <c r="N236" s="1114"/>
      <c r="O236" s="1114"/>
      <c r="P236" s="1114"/>
      <c r="Q236" s="1114"/>
      <c r="R236" s="1114"/>
      <c r="S236" s="1114"/>
      <c r="T236" s="1114"/>
      <c r="U236" s="1114"/>
      <c r="V236" s="1114"/>
      <c r="W236" s="1114"/>
      <c r="X236" s="1114"/>
      <c r="Y236" s="1114"/>
      <c r="Z236" s="1114"/>
      <c r="AA236" s="1114"/>
      <c r="AB236" s="1114"/>
      <c r="AC236" s="1114"/>
      <c r="AD236" s="1114"/>
      <c r="AE236" s="1114"/>
      <c r="AM236" s="41"/>
      <c r="AN236" s="41"/>
      <c r="BB236" t="s">
        <v>672</v>
      </c>
      <c r="BG236" s="414">
        <f>IF(AND(AND($M$251="nonprofit",$M$259="nonprofit",$M$267="nonprofit")),1,0)</f>
        <v>0</v>
      </c>
    </row>
    <row r="237" spans="1:59" ht="12.95" customHeight="1">
      <c r="D237" s="5" t="s">
        <v>458</v>
      </c>
      <c r="E237" s="5"/>
      <c r="M237" s="1086" t="s">
        <v>419</v>
      </c>
      <c r="N237" s="1114"/>
      <c r="O237" s="1114"/>
      <c r="P237" s="1114"/>
      <c r="Q237" s="1114"/>
      <c r="R237" s="1114"/>
      <c r="S237" s="1114"/>
      <c r="T237" s="1114"/>
      <c r="V237" s="42" t="s">
        <v>397</v>
      </c>
      <c r="W237" s="1122" t="s">
        <v>2372</v>
      </c>
      <c r="X237" s="1282"/>
      <c r="Y237" s="5" t="s">
        <v>461</v>
      </c>
      <c r="AC237" s="1114">
        <v>93721</v>
      </c>
      <c r="AD237" s="1114"/>
      <c r="AE237" s="1114"/>
      <c r="AN237" s="41"/>
      <c r="BB237" t="s">
        <v>672</v>
      </c>
      <c r="BG237" s="414">
        <f>IF(AND(AND($M$251="nonprofit",$M$259="nonprofit",$M$267="(select one)")),1,0)</f>
        <v>0</v>
      </c>
    </row>
    <row r="238" spans="1:59" ht="12.95" customHeight="1">
      <c r="D238" s="5" t="s">
        <v>398</v>
      </c>
      <c r="E238" s="5"/>
      <c r="F238" s="5"/>
      <c r="G238" s="5"/>
      <c r="H238" s="5"/>
      <c r="I238" s="5"/>
      <c r="J238" s="5"/>
      <c r="K238" s="28"/>
      <c r="M238" s="1086" t="s">
        <v>2374</v>
      </c>
      <c r="N238" s="1114"/>
      <c r="O238" s="1114"/>
      <c r="P238" s="1114"/>
      <c r="Q238" s="1114"/>
      <c r="R238" s="1114"/>
      <c r="S238" s="1114"/>
      <c r="T238" s="1114"/>
      <c r="U238" s="1114"/>
      <c r="V238" s="1114"/>
      <c r="W238" s="1114"/>
      <c r="X238" s="1114"/>
      <c r="Y238" s="1114"/>
      <c r="Z238" s="1114"/>
      <c r="AA238" s="1114"/>
      <c r="AB238" s="1114"/>
      <c r="AC238" s="1114"/>
      <c r="AD238" s="1114"/>
      <c r="AE238" s="1114"/>
      <c r="AI238" s="5"/>
      <c r="AJ238" s="5"/>
      <c r="AK238" s="5"/>
      <c r="AL238" s="5"/>
      <c r="AN238" s="41"/>
      <c r="BB238" t="s">
        <v>672</v>
      </c>
      <c r="BG238" s="414">
        <f>IF(AND(AND($M$251="nonprofit",$M$259="(select one)",$M$267="(select one)")),1,0)</f>
        <v>1</v>
      </c>
    </row>
    <row r="239" spans="1:59" ht="12.95" customHeight="1">
      <c r="D239" s="5" t="s">
        <v>399</v>
      </c>
      <c r="E239" s="5"/>
      <c r="F239" s="5"/>
      <c r="M239" s="1112" t="s">
        <v>2375</v>
      </c>
      <c r="N239" s="1111"/>
      <c r="O239" s="1111"/>
      <c r="P239" s="1111"/>
      <c r="Q239" s="1111"/>
      <c r="R239" s="1111"/>
      <c r="S239" s="5" t="s">
        <v>858</v>
      </c>
      <c r="T239" s="5"/>
      <c r="U239" s="1282"/>
      <c r="V239" s="1282"/>
      <c r="W239" s="1282"/>
      <c r="X239" s="5" t="s">
        <v>400</v>
      </c>
      <c r="Z239" s="1111"/>
      <c r="AA239" s="1111"/>
      <c r="AB239" s="1111"/>
      <c r="AC239" s="1111"/>
      <c r="AD239" s="1111"/>
      <c r="AE239" s="1111"/>
      <c r="AM239" s="41"/>
      <c r="AN239" s="41"/>
      <c r="BB239" t="s">
        <v>1053</v>
      </c>
      <c r="BG239" s="414">
        <f>IF(AND(AND($M$251="for profit",$M$259="for profit",$M$267="for profit")),3,0)</f>
        <v>0</v>
      </c>
    </row>
    <row r="240" spans="1:59" ht="12.95" customHeight="1">
      <c r="D240" s="5" t="s">
        <v>401</v>
      </c>
      <c r="E240" s="5"/>
      <c r="F240" s="5"/>
      <c r="M240" s="1137" t="s">
        <v>2376</v>
      </c>
      <c r="N240" s="1137"/>
      <c r="O240" s="1137"/>
      <c r="P240" s="1137"/>
      <c r="Q240" s="1137"/>
      <c r="R240" s="1137"/>
      <c r="S240" s="1137"/>
      <c r="T240" s="1137"/>
      <c r="U240" s="1137"/>
      <c r="V240" s="1137"/>
      <c r="W240" s="1137"/>
      <c r="X240" s="1137"/>
      <c r="Y240" s="1137"/>
      <c r="Z240" s="1137"/>
      <c r="AA240" s="1137"/>
      <c r="AB240" s="1137"/>
      <c r="AC240" s="1137"/>
      <c r="AD240" s="1137"/>
      <c r="AE240" s="1137"/>
      <c r="AF240" s="5"/>
      <c r="AG240" s="5"/>
      <c r="AH240" s="5"/>
      <c r="AI240" s="5"/>
      <c r="AJ240" s="5"/>
      <c r="AK240" s="5"/>
      <c r="AL240" s="5"/>
      <c r="AN240" s="41"/>
      <c r="AO240" s="41"/>
      <c r="BB240" t="s">
        <v>1053</v>
      </c>
      <c r="BG240" s="415">
        <f>IF(AND(AND($M$251="for profit",$M$259="for profit",$M$267="(select one)")),3,0)</f>
        <v>0</v>
      </c>
    </row>
    <row r="241" spans="1:67" ht="12.95" customHeight="1">
      <c r="A241" s="3" t="s">
        <v>8</v>
      </c>
      <c r="C241" s="3" t="s">
        <v>660</v>
      </c>
      <c r="M241" s="1087" t="s">
        <v>522</v>
      </c>
      <c r="N241" s="1087"/>
      <c r="O241" s="1087"/>
      <c r="P241" s="1087"/>
      <c r="Q241" s="1087"/>
      <c r="R241" s="1087"/>
      <c r="S241" s="1087"/>
      <c r="T241" s="1087"/>
      <c r="U241" s="5" t="s">
        <v>1191</v>
      </c>
      <c r="AA241" s="1110"/>
      <c r="AB241" s="1110"/>
      <c r="AC241" s="1110"/>
      <c r="AD241" s="1110"/>
      <c r="AE241" s="1110"/>
      <c r="AF241" s="1110"/>
      <c r="AG241" s="1110"/>
      <c r="AH241" s="1110"/>
      <c r="AI241" s="1110"/>
      <c r="AJ241" s="1110"/>
      <c r="AK241" s="1110"/>
      <c r="AL241" s="41"/>
      <c r="AM241" s="5"/>
      <c r="AN241" s="41"/>
      <c r="AO241" s="41"/>
      <c r="BB241" t="s">
        <v>1053</v>
      </c>
      <c r="BG241" s="415">
        <f>IF(AND(AND($M$251="for profit",$M$259="(select one)",$M$267="(select one)")),3,0)</f>
        <v>0</v>
      </c>
    </row>
    <row r="242" spans="1:67" ht="12.95" customHeight="1">
      <c r="D242" t="s">
        <v>666</v>
      </c>
      <c r="M242" s="1086"/>
      <c r="N242" s="1085"/>
      <c r="O242" s="1085"/>
      <c r="P242" s="1085"/>
      <c r="Q242" s="1085"/>
      <c r="R242" s="1085"/>
      <c r="S242" s="1085"/>
      <c r="T242" s="1085"/>
      <c r="U242" s="1085"/>
      <c r="V242" s="1085"/>
      <c r="W242" s="1085"/>
      <c r="X242" s="1085"/>
      <c r="Y242" s="1085"/>
      <c r="Z242" s="1085"/>
      <c r="AA242" s="1085"/>
      <c r="AB242" s="1085"/>
      <c r="AC242" s="1085"/>
      <c r="AD242" s="1085"/>
      <c r="AE242" s="1085"/>
      <c r="AF242" s="946" t="str">
        <f>IF(AND(M241="other",M242=""),"!","")</f>
        <v/>
      </c>
      <c r="AG242" s="946"/>
      <c r="AH242" s="5"/>
      <c r="AI242" s="5"/>
      <c r="AJ242" s="5"/>
      <c r="AK242" s="41"/>
      <c r="AL242" s="41"/>
    </row>
    <row r="243" spans="1:67" ht="12.95" customHeight="1">
      <c r="D243" s="5"/>
      <c r="AM243" s="5"/>
    </row>
    <row r="244" spans="1:67" ht="12.95" customHeight="1">
      <c r="A244" s="3" t="s">
        <v>127</v>
      </c>
      <c r="C244" s="3" t="s">
        <v>668</v>
      </c>
      <c r="D244" s="5"/>
      <c r="L244" s="12"/>
      <c r="M244" s="12"/>
      <c r="N244" s="12"/>
      <c r="AN244" s="41"/>
      <c r="BB244" t="s">
        <v>84</v>
      </c>
      <c r="BH244">
        <v>1</v>
      </c>
      <c r="BI244" t="s">
        <v>669</v>
      </c>
    </row>
    <row r="245" spans="1:67" ht="12.95" customHeight="1">
      <c r="A245" s="28"/>
      <c r="C245" s="62" t="s">
        <v>1533</v>
      </c>
      <c r="D245" s="5" t="s">
        <v>667</v>
      </c>
      <c r="E245" s="5"/>
      <c r="F245" s="5"/>
      <c r="G245" s="5"/>
      <c r="H245" s="5"/>
      <c r="I245" s="5"/>
      <c r="J245" s="5"/>
      <c r="K245" s="5"/>
      <c r="L245" s="5"/>
      <c r="M245" s="1280" t="s">
        <v>2435</v>
      </c>
      <c r="N245" s="1280"/>
      <c r="O245" s="1280"/>
      <c r="P245" s="1280"/>
      <c r="Q245" s="1280"/>
      <c r="R245" s="1280"/>
      <c r="S245" s="1280"/>
      <c r="T245" s="1280"/>
      <c r="U245" s="1280"/>
      <c r="V245" s="1280"/>
      <c r="W245" s="1280"/>
      <c r="X245" s="1280"/>
      <c r="Y245" s="1280"/>
      <c r="Z245" s="1280"/>
      <c r="AA245" s="1280"/>
      <c r="AB245" s="1280"/>
      <c r="AC245" s="1280"/>
      <c r="AD245" s="1280"/>
      <c r="AE245" s="1280"/>
      <c r="AF245" s="1281" t="s">
        <v>2436</v>
      </c>
      <c r="AG245" s="1281"/>
      <c r="AH245" s="1281"/>
      <c r="AI245" s="1281"/>
      <c r="AJ245" s="1281"/>
      <c r="AK245" s="1281"/>
      <c r="AM245" s="5"/>
      <c r="AN245" s="41"/>
      <c r="BB245" s="5" t="s">
        <v>933</v>
      </c>
      <c r="BH245">
        <v>2</v>
      </c>
      <c r="BI245" t="s">
        <v>779</v>
      </c>
      <c r="BO245" s="416" t="str">
        <f>VLOOKUP(AZ260,BH244:BI246,2,FALSE)</f>
        <v>Nonprofit</v>
      </c>
    </row>
    <row r="246" spans="1:67" ht="12.95" customHeight="1">
      <c r="A246" s="28"/>
      <c r="B246" s="5"/>
      <c r="C246" s="5"/>
      <c r="D246" s="5" t="s">
        <v>396</v>
      </c>
      <c r="E246" s="5"/>
      <c r="F246" s="5"/>
      <c r="G246" s="5"/>
      <c r="H246" s="5"/>
      <c r="I246" s="5"/>
      <c r="J246" s="5"/>
      <c r="K246" s="5"/>
      <c r="L246" s="5"/>
      <c r="M246" s="1086" t="s">
        <v>2373</v>
      </c>
      <c r="N246" s="1114"/>
      <c r="O246" s="1114"/>
      <c r="P246" s="1114"/>
      <c r="Q246" s="1114"/>
      <c r="R246" s="1114"/>
      <c r="S246" s="1114"/>
      <c r="T246" s="1114"/>
      <c r="U246" s="1114"/>
      <c r="V246" s="1114"/>
      <c r="W246" s="1114"/>
      <c r="X246" s="1114"/>
      <c r="Y246" s="1114"/>
      <c r="Z246" s="1114"/>
      <c r="AA246" s="1114"/>
      <c r="AB246" s="1114"/>
      <c r="AC246" s="1114"/>
      <c r="AD246" s="1114"/>
      <c r="AE246" s="1114"/>
      <c r="AL246" s="5"/>
      <c r="AN246" s="41"/>
      <c r="BB246" s="5" t="s">
        <v>482</v>
      </c>
      <c r="BH246">
        <v>3</v>
      </c>
      <c r="BI246" t="s">
        <v>671</v>
      </c>
    </row>
    <row r="247" spans="1:67" ht="12.95" customHeight="1">
      <c r="A247" s="28"/>
      <c r="B247" s="5"/>
      <c r="C247" s="5"/>
      <c r="D247" s="5" t="s">
        <v>458</v>
      </c>
      <c r="E247" s="5"/>
      <c r="M247" s="1086" t="s">
        <v>419</v>
      </c>
      <c r="N247" s="1114"/>
      <c r="O247" s="1114"/>
      <c r="P247" s="1114"/>
      <c r="Q247" s="1114"/>
      <c r="R247" s="1114"/>
      <c r="S247" s="1114"/>
      <c r="T247" s="1114"/>
      <c r="V247" s="42" t="s">
        <v>397</v>
      </c>
      <c r="W247" s="1122" t="s">
        <v>2372</v>
      </c>
      <c r="X247" s="1282"/>
      <c r="Y247" s="5" t="s">
        <v>461</v>
      </c>
      <c r="AC247" s="1114">
        <v>93721</v>
      </c>
      <c r="AD247" s="1114"/>
      <c r="AE247" s="1114"/>
      <c r="AN247" s="41"/>
    </row>
    <row r="248" spans="1:67" ht="12.95" customHeight="1">
      <c r="A248" s="28"/>
      <c r="B248" s="5"/>
      <c r="C248" s="5"/>
      <c r="D248" s="5" t="s">
        <v>398</v>
      </c>
      <c r="E248" s="5"/>
      <c r="F248" s="5"/>
      <c r="G248" s="5"/>
      <c r="H248" s="5"/>
      <c r="I248" s="5"/>
      <c r="J248" s="5"/>
      <c r="K248" s="5"/>
      <c r="L248" s="28"/>
      <c r="M248" s="1086" t="s">
        <v>2374</v>
      </c>
      <c r="N248" s="1114"/>
      <c r="O248" s="1114"/>
      <c r="P248" s="1114"/>
      <c r="Q248" s="1114"/>
      <c r="R248" s="1114"/>
      <c r="S248" s="1114"/>
      <c r="T248" s="1114"/>
      <c r="U248" s="1114"/>
      <c r="V248" s="1114"/>
      <c r="W248" s="1114"/>
      <c r="X248" s="1114"/>
      <c r="Y248" s="1114"/>
      <c r="Z248" s="1114"/>
      <c r="AA248" s="1114"/>
      <c r="AB248" s="1114"/>
      <c r="AC248" s="1114"/>
      <c r="AD248" s="1114"/>
      <c r="AE248" s="1114"/>
      <c r="AJ248" s="5"/>
      <c r="AK248" s="5"/>
      <c r="AL248" s="5"/>
      <c r="AN248" s="41"/>
    </row>
    <row r="249" spans="1:67" ht="12.95" customHeight="1">
      <c r="A249" s="28"/>
      <c r="B249" s="5"/>
      <c r="C249" s="5"/>
      <c r="D249" s="5" t="s">
        <v>399</v>
      </c>
      <c r="E249" s="5"/>
      <c r="F249" s="5"/>
      <c r="M249" s="1112" t="s">
        <v>2375</v>
      </c>
      <c r="N249" s="1111"/>
      <c r="O249" s="1111"/>
      <c r="P249" s="1111"/>
      <c r="Q249" s="1111"/>
      <c r="R249" s="1111"/>
      <c r="S249" s="5" t="s">
        <v>858</v>
      </c>
      <c r="T249" s="5"/>
      <c r="U249" s="1282"/>
      <c r="V249" s="1282"/>
      <c r="W249" s="1282"/>
      <c r="X249" s="5" t="s">
        <v>400</v>
      </c>
      <c r="Z249" s="1111"/>
      <c r="AA249" s="1111"/>
      <c r="AB249" s="1111"/>
      <c r="AC249" s="1111"/>
      <c r="AD249" s="1111"/>
      <c r="AE249" s="1111"/>
      <c r="AM249" s="5"/>
      <c r="AN249" s="41"/>
    </row>
    <row r="250" spans="1:67" ht="12.95" customHeight="1">
      <c r="A250" s="28"/>
      <c r="B250" s="5"/>
      <c r="C250" s="5"/>
      <c r="D250" s="5" t="s">
        <v>401</v>
      </c>
      <c r="E250" s="5"/>
      <c r="F250" s="5"/>
      <c r="M250" s="1137" t="s">
        <v>2376</v>
      </c>
      <c r="N250" s="1137"/>
      <c r="O250" s="1137"/>
      <c r="P250" s="1137"/>
      <c r="Q250" s="1137"/>
      <c r="R250" s="1137"/>
      <c r="S250" s="1137"/>
      <c r="T250" s="1137"/>
      <c r="U250" s="1137"/>
      <c r="V250" s="1137"/>
      <c r="W250" s="1137"/>
      <c r="X250" s="1137"/>
      <c r="Y250" s="1137"/>
      <c r="Z250" s="1137"/>
      <c r="AA250" s="1137"/>
      <c r="AB250" s="1137"/>
      <c r="AC250" s="1137"/>
      <c r="AD250" s="1137"/>
      <c r="AE250" s="1137"/>
      <c r="AG250" s="5"/>
      <c r="AH250" s="5"/>
      <c r="AI250" s="5"/>
      <c r="AJ250" s="5"/>
      <c r="AK250" s="5"/>
      <c r="AL250" s="5"/>
    </row>
    <row r="251" spans="1:67" ht="12.95" customHeight="1">
      <c r="A251" s="18"/>
      <c r="B251" s="5"/>
      <c r="C251" s="62"/>
      <c r="D251" s="5" t="s">
        <v>670</v>
      </c>
      <c r="E251" s="5"/>
      <c r="F251" s="5"/>
      <c r="G251" s="5"/>
      <c r="H251" s="5"/>
      <c r="I251" s="5"/>
      <c r="J251" s="5"/>
      <c r="K251" s="5"/>
      <c r="L251" s="5"/>
      <c r="M251" s="1087" t="s">
        <v>669</v>
      </c>
      <c r="N251" s="1087"/>
      <c r="O251" s="1087"/>
      <c r="P251" s="1087"/>
      <c r="Q251" s="1087"/>
      <c r="R251" s="1087"/>
      <c r="S251" s="1087"/>
      <c r="T251" s="1087"/>
      <c r="U251" s="5" t="s">
        <v>1191</v>
      </c>
      <c r="AA251" s="1109"/>
      <c r="AB251" s="1110"/>
      <c r="AC251" s="1110"/>
      <c r="AD251" s="1110"/>
      <c r="AE251" s="1110"/>
      <c r="AF251" s="1110"/>
      <c r="AG251" s="1110"/>
      <c r="AH251" s="1110"/>
      <c r="AI251" s="1110"/>
      <c r="AJ251" s="1110"/>
      <c r="AK251" s="1110"/>
      <c r="AM251" s="5"/>
    </row>
    <row r="252" spans="1:67" ht="12.95" customHeight="1">
      <c r="A252" s="28"/>
      <c r="B252" s="5"/>
      <c r="C252" s="5"/>
      <c r="D252" s="5"/>
      <c r="E252" s="5"/>
      <c r="F252" s="5"/>
      <c r="G252" s="5"/>
      <c r="H252" s="5"/>
      <c r="I252" s="5"/>
      <c r="J252" s="5"/>
      <c r="K252" s="5"/>
      <c r="L252" s="5"/>
      <c r="AG252" s="5"/>
      <c r="AH252" s="5"/>
      <c r="AI252" s="5"/>
      <c r="AJ252" s="5"/>
    </row>
    <row r="253" spans="1:67" ht="12.95" customHeight="1">
      <c r="A253" s="3"/>
      <c r="B253" s="5"/>
      <c r="C253" s="62" t="s">
        <v>1534</v>
      </c>
      <c r="D253" s="5" t="s">
        <v>1262</v>
      </c>
      <c r="E253" s="5"/>
      <c r="F253" s="5"/>
      <c r="G253" s="5"/>
      <c r="H253" s="5"/>
      <c r="I253" s="5"/>
      <c r="J253" s="5"/>
      <c r="K253" s="5"/>
      <c r="L253" s="5"/>
      <c r="M253" s="1280" t="s">
        <v>2434</v>
      </c>
      <c r="N253" s="1280"/>
      <c r="O253" s="1280"/>
      <c r="P253" s="1280"/>
      <c r="Q253" s="1280"/>
      <c r="R253" s="1280"/>
      <c r="S253" s="1280"/>
      <c r="T253" s="1280"/>
      <c r="U253" s="1280"/>
      <c r="V253" s="1280"/>
      <c r="W253" s="1280"/>
      <c r="X253" s="1280"/>
      <c r="Y253" s="1280"/>
      <c r="Z253" s="1280"/>
      <c r="AA253" s="1280"/>
      <c r="AB253" s="1280"/>
      <c r="AC253" s="1280"/>
      <c r="AD253" s="1280"/>
      <c r="AE253" s="1280"/>
      <c r="AF253" s="1281" t="s">
        <v>2437</v>
      </c>
      <c r="AG253" s="1281"/>
      <c r="AH253" s="1281"/>
      <c r="AI253" s="1281"/>
      <c r="AJ253" s="1281"/>
      <c r="AK253" s="1281"/>
      <c r="AM253" s="5"/>
    </row>
    <row r="254" spans="1:67" ht="12.95" customHeight="1">
      <c r="A254" s="28"/>
      <c r="B254" s="5"/>
      <c r="C254" s="5"/>
      <c r="D254" s="5" t="s">
        <v>396</v>
      </c>
      <c r="E254" s="5"/>
      <c r="F254" s="5"/>
      <c r="G254" s="5"/>
      <c r="H254" s="5"/>
      <c r="I254" s="5"/>
      <c r="J254" s="5"/>
      <c r="K254" s="5"/>
      <c r="L254" s="5"/>
      <c r="M254" s="1086" t="s">
        <v>2371</v>
      </c>
      <c r="N254" s="1114"/>
      <c r="O254" s="1114"/>
      <c r="P254" s="1114"/>
      <c r="Q254" s="1114"/>
      <c r="R254" s="1114"/>
      <c r="S254" s="1114"/>
      <c r="T254" s="1114"/>
      <c r="U254" s="1114"/>
      <c r="V254" s="1114"/>
      <c r="W254" s="1114"/>
      <c r="X254" s="1114"/>
      <c r="Y254" s="1114"/>
      <c r="Z254" s="1114"/>
      <c r="AA254" s="1114"/>
      <c r="AB254" s="1114"/>
      <c r="AC254" s="1114"/>
      <c r="AD254" s="1114"/>
      <c r="AE254" s="1114"/>
      <c r="AL254" s="5"/>
    </row>
    <row r="255" spans="1:67" ht="12.95" customHeight="1">
      <c r="A255" s="28"/>
      <c r="B255" s="5"/>
      <c r="C255" s="5"/>
      <c r="D255" s="5" t="s">
        <v>458</v>
      </c>
      <c r="E255" s="5"/>
      <c r="M255" s="1086" t="s">
        <v>2363</v>
      </c>
      <c r="N255" s="1114"/>
      <c r="O255" s="1114"/>
      <c r="P255" s="1114"/>
      <c r="Q255" s="1114"/>
      <c r="R255" s="1114"/>
      <c r="S255" s="1114"/>
      <c r="T255" s="1114"/>
      <c r="V255" s="42" t="s">
        <v>397</v>
      </c>
      <c r="W255" s="1122" t="s">
        <v>2372</v>
      </c>
      <c r="X255" s="1282"/>
      <c r="Y255" s="5" t="s">
        <v>461</v>
      </c>
      <c r="AC255" s="1114">
        <v>93721</v>
      </c>
      <c r="AD255" s="1114"/>
      <c r="AE255" s="1114"/>
    </row>
    <row r="256" spans="1:67" ht="12.95" customHeight="1">
      <c r="A256" s="28"/>
      <c r="B256" s="5"/>
      <c r="C256" s="5"/>
      <c r="D256" s="5" t="s">
        <v>398</v>
      </c>
      <c r="E256" s="5"/>
      <c r="F256" s="5"/>
      <c r="G256" s="5"/>
      <c r="H256" s="5"/>
      <c r="I256" s="5"/>
      <c r="J256" s="5"/>
      <c r="K256" s="5"/>
      <c r="L256" s="28"/>
      <c r="M256" s="1086" t="s">
        <v>2374</v>
      </c>
      <c r="N256" s="1114"/>
      <c r="O256" s="1114"/>
      <c r="P256" s="1114"/>
      <c r="Q256" s="1114"/>
      <c r="R256" s="1114"/>
      <c r="S256" s="1114"/>
      <c r="T256" s="1114"/>
      <c r="U256" s="1114"/>
      <c r="V256" s="1114"/>
      <c r="W256" s="1114"/>
      <c r="X256" s="1114"/>
      <c r="Y256" s="1114"/>
      <c r="Z256" s="1114"/>
      <c r="AA256" s="1114"/>
      <c r="AB256" s="1114"/>
      <c r="AC256" s="1114"/>
      <c r="AD256" s="1114"/>
      <c r="AE256" s="1114"/>
      <c r="AJ256" s="5"/>
      <c r="AK256" s="5"/>
      <c r="AL256" s="5"/>
    </row>
    <row r="257" spans="1:53" ht="12.95" customHeight="1">
      <c r="A257" s="28"/>
      <c r="B257" s="5"/>
      <c r="C257" s="5"/>
      <c r="D257" s="5" t="s">
        <v>399</v>
      </c>
      <c r="E257" s="5"/>
      <c r="F257" s="5"/>
      <c r="M257" s="1112" t="s">
        <v>2375</v>
      </c>
      <c r="N257" s="1111"/>
      <c r="O257" s="1111"/>
      <c r="P257" s="1111"/>
      <c r="Q257" s="1111"/>
      <c r="R257" s="1111"/>
      <c r="S257" s="5" t="s">
        <v>858</v>
      </c>
      <c r="T257" s="5"/>
      <c r="U257" s="1282"/>
      <c r="V257" s="1282"/>
      <c r="W257" s="1282"/>
      <c r="X257" s="5" t="s">
        <v>400</v>
      </c>
      <c r="Z257" s="1111"/>
      <c r="AA257" s="1111"/>
      <c r="AB257" s="1111"/>
      <c r="AC257" s="1111"/>
      <c r="AD257" s="1111"/>
      <c r="AE257" s="1111"/>
      <c r="BA257" s="43"/>
    </row>
    <row r="258" spans="1:53" ht="12.95" customHeight="1">
      <c r="A258" s="28"/>
      <c r="B258" s="5"/>
      <c r="C258" s="5"/>
      <c r="D258" s="5" t="s">
        <v>401</v>
      </c>
      <c r="E258" s="5"/>
      <c r="F258" s="5"/>
      <c r="M258" s="1137" t="s">
        <v>2376</v>
      </c>
      <c r="N258" s="1137"/>
      <c r="O258" s="1137"/>
      <c r="P258" s="1137"/>
      <c r="Q258" s="1137"/>
      <c r="R258" s="1137"/>
      <c r="S258" s="1137"/>
      <c r="T258" s="1137"/>
      <c r="U258" s="1137"/>
      <c r="V258" s="1137"/>
      <c r="W258" s="1137"/>
      <c r="X258" s="1137"/>
      <c r="Y258" s="1137"/>
      <c r="Z258" s="1137"/>
      <c r="AA258" s="1137"/>
      <c r="AB258" s="1137"/>
      <c r="AC258" s="1137"/>
      <c r="AD258" s="1137"/>
      <c r="AE258" s="1137"/>
      <c r="AG258" s="5"/>
      <c r="AH258" s="5"/>
      <c r="AI258" s="5"/>
      <c r="AJ258" s="5"/>
      <c r="AK258" s="5"/>
      <c r="AL258" s="5"/>
    </row>
    <row r="259" spans="1:53" ht="12.95" customHeight="1">
      <c r="A259" s="18"/>
      <c r="B259" s="5"/>
      <c r="C259" s="62"/>
      <c r="D259" s="5" t="s">
        <v>670</v>
      </c>
      <c r="E259" s="5"/>
      <c r="F259" s="5"/>
      <c r="G259" s="5"/>
      <c r="H259" s="5"/>
      <c r="I259" s="5"/>
      <c r="J259" s="5"/>
      <c r="K259" s="5"/>
      <c r="L259" s="5"/>
      <c r="M259" s="1087" t="s">
        <v>84</v>
      </c>
      <c r="N259" s="1087"/>
      <c r="O259" s="1087"/>
      <c r="P259" s="1087"/>
      <c r="Q259" s="1087"/>
      <c r="R259" s="1087"/>
      <c r="S259" s="1087"/>
      <c r="T259" s="1087"/>
      <c r="U259" s="5" t="s">
        <v>1191</v>
      </c>
      <c r="AA259" s="1110"/>
      <c r="AB259" s="1110"/>
      <c r="AC259" s="1110"/>
      <c r="AD259" s="1110"/>
      <c r="AE259" s="1110"/>
      <c r="AF259" s="1110"/>
      <c r="AG259" s="1110"/>
      <c r="AH259" s="1110"/>
      <c r="AI259" s="1110"/>
      <c r="AJ259" s="1110"/>
      <c r="AK259" s="1110"/>
      <c r="AL259" s="41"/>
    </row>
    <row r="260" spans="1:53" ht="12.95" customHeight="1">
      <c r="A260" s="18"/>
      <c r="B260" s="5"/>
      <c r="C260" s="62"/>
      <c r="D260" s="5"/>
      <c r="E260" s="5"/>
      <c r="F260" s="5"/>
      <c r="G260" s="5"/>
      <c r="H260" s="5"/>
      <c r="I260" s="5"/>
      <c r="J260" s="5"/>
      <c r="K260" s="5"/>
      <c r="L260" s="5"/>
      <c r="M260" s="12"/>
      <c r="N260" s="12"/>
      <c r="O260" s="12"/>
      <c r="P260" s="12"/>
      <c r="Q260" s="12"/>
      <c r="R260" s="12"/>
      <c r="S260" s="12"/>
      <c r="T260" s="12"/>
      <c r="U260" s="270"/>
      <c r="V260" s="270"/>
      <c r="W260" s="270"/>
      <c r="X260" s="270"/>
      <c r="Y260" s="270"/>
      <c r="Z260" s="270"/>
      <c r="AA260" s="270"/>
      <c r="AB260" s="270"/>
      <c r="AC260" s="270"/>
      <c r="AD260" s="270"/>
      <c r="AE260" s="5"/>
      <c r="AF260" s="5"/>
      <c r="AG260" s="5"/>
      <c r="AH260" s="5"/>
      <c r="AI260" s="5"/>
      <c r="AJ260" s="5"/>
      <c r="AK260" s="5"/>
      <c r="AL260" s="41"/>
      <c r="AZ260">
        <f>SUM(BG226:BG241)</f>
        <v>1</v>
      </c>
    </row>
    <row r="261" spans="1:53" ht="12.95" customHeight="1">
      <c r="A261" s="18"/>
      <c r="B261" s="5"/>
      <c r="C261" s="62" t="s">
        <v>1975</v>
      </c>
      <c r="D261" s="5" t="s">
        <v>667</v>
      </c>
      <c r="E261" s="5"/>
      <c r="F261" s="5"/>
      <c r="G261" s="5"/>
      <c r="H261" s="5"/>
      <c r="I261" s="5"/>
      <c r="J261" s="5"/>
      <c r="K261" s="5"/>
      <c r="L261" s="5"/>
      <c r="M261" s="1281"/>
      <c r="N261" s="1281"/>
      <c r="O261" s="1281"/>
      <c r="P261" s="1281"/>
      <c r="Q261" s="1281"/>
      <c r="R261" s="1281"/>
      <c r="S261" s="1281"/>
      <c r="T261" s="1281"/>
      <c r="U261" s="1281"/>
      <c r="V261" s="1281"/>
      <c r="W261" s="1281"/>
      <c r="X261" s="1281"/>
      <c r="Y261" s="1281"/>
      <c r="Z261" s="1281"/>
      <c r="AA261" s="1281"/>
      <c r="AB261" s="1281"/>
      <c r="AC261" s="1281"/>
      <c r="AD261" s="1281"/>
      <c r="AE261" s="1281"/>
      <c r="AF261" s="1281" t="s">
        <v>84</v>
      </c>
      <c r="AG261" s="1281"/>
      <c r="AH261" s="1281"/>
      <c r="AI261" s="1281"/>
      <c r="AJ261" s="1281"/>
      <c r="AK261" s="1281"/>
      <c r="AL261" s="41"/>
    </row>
    <row r="262" spans="1:53" ht="12.95" customHeight="1">
      <c r="A262" s="18"/>
      <c r="B262" s="5"/>
      <c r="C262" s="5"/>
      <c r="D262" s="5" t="s">
        <v>396</v>
      </c>
      <c r="E262" s="5"/>
      <c r="F262" s="5"/>
      <c r="G262" s="5"/>
      <c r="H262" s="5"/>
      <c r="I262" s="5"/>
      <c r="J262" s="5"/>
      <c r="K262" s="5"/>
      <c r="L262" s="5"/>
      <c r="M262" s="1114"/>
      <c r="N262" s="1114"/>
      <c r="O262" s="1114"/>
      <c r="P262" s="1114"/>
      <c r="Q262" s="1114"/>
      <c r="R262" s="1114"/>
      <c r="S262" s="1114"/>
      <c r="T262" s="1114"/>
      <c r="U262" s="1114"/>
      <c r="V262" s="1114"/>
      <c r="W262" s="1114"/>
      <c r="X262" s="1114"/>
      <c r="Y262" s="1114"/>
      <c r="Z262" s="1114"/>
      <c r="AA262" s="1114"/>
      <c r="AB262" s="1114"/>
      <c r="AC262" s="1114"/>
      <c r="AD262" s="1114"/>
      <c r="AE262" s="1114"/>
      <c r="AL262" s="41"/>
      <c r="BA262" s="43"/>
    </row>
    <row r="263" spans="1:53" ht="12.95" customHeight="1">
      <c r="A263" s="18"/>
      <c r="B263" s="5"/>
      <c r="C263" s="5"/>
      <c r="D263" s="5" t="s">
        <v>458</v>
      </c>
      <c r="E263" s="5"/>
      <c r="M263" s="1114"/>
      <c r="N263" s="1114"/>
      <c r="O263" s="1114"/>
      <c r="P263" s="1114"/>
      <c r="Q263" s="1114"/>
      <c r="R263" s="1114"/>
      <c r="S263" s="1114"/>
      <c r="T263" s="1114"/>
      <c r="V263" s="42" t="s">
        <v>397</v>
      </c>
      <c r="W263" s="1282"/>
      <c r="X263" s="1282"/>
      <c r="Y263" s="5" t="s">
        <v>461</v>
      </c>
      <c r="AC263" s="1114"/>
      <c r="AD263" s="1114"/>
      <c r="AE263" s="1114"/>
      <c r="AL263" s="41"/>
      <c r="BA263" s="43"/>
    </row>
    <row r="264" spans="1:53" ht="12.95" customHeight="1">
      <c r="A264" s="18"/>
      <c r="B264" s="5"/>
      <c r="C264" s="5"/>
      <c r="D264" s="5" t="s">
        <v>398</v>
      </c>
      <c r="E264" s="5"/>
      <c r="F264" s="5"/>
      <c r="G264" s="5"/>
      <c r="H264" s="5"/>
      <c r="I264" s="5"/>
      <c r="J264" s="5"/>
      <c r="K264" s="5"/>
      <c r="L264" s="28"/>
      <c r="M264" s="1114"/>
      <c r="N264" s="1114"/>
      <c r="O264" s="1114"/>
      <c r="P264" s="1114"/>
      <c r="Q264" s="1114"/>
      <c r="R264" s="1114"/>
      <c r="S264" s="1114"/>
      <c r="T264" s="1114"/>
      <c r="U264" s="1114"/>
      <c r="V264" s="1114"/>
      <c r="W264" s="1114"/>
      <c r="X264" s="1114"/>
      <c r="Y264" s="1114"/>
      <c r="Z264" s="1114"/>
      <c r="AA264" s="1114"/>
      <c r="AB264" s="1114"/>
      <c r="AC264" s="1114"/>
      <c r="AD264" s="1114"/>
      <c r="AE264" s="1114"/>
      <c r="AJ264" s="5"/>
      <c r="AK264" s="5"/>
      <c r="AL264" s="41"/>
      <c r="BA264" s="43"/>
    </row>
    <row r="265" spans="1:53" ht="12.95" customHeight="1">
      <c r="A265" s="18"/>
      <c r="B265" s="5"/>
      <c r="C265" s="5"/>
      <c r="D265" s="5" t="s">
        <v>399</v>
      </c>
      <c r="E265" s="5"/>
      <c r="F265" s="5"/>
      <c r="M265" s="1111"/>
      <c r="N265" s="1111"/>
      <c r="O265" s="1111"/>
      <c r="P265" s="1111"/>
      <c r="Q265" s="1111"/>
      <c r="R265" s="1111"/>
      <c r="S265" s="5" t="s">
        <v>858</v>
      </c>
      <c r="T265" s="5"/>
      <c r="U265" s="1282"/>
      <c r="V265" s="1282"/>
      <c r="W265" s="1282"/>
      <c r="X265" s="5" t="s">
        <v>400</v>
      </c>
      <c r="Z265" s="1111"/>
      <c r="AA265" s="1111"/>
      <c r="AB265" s="1111"/>
      <c r="AC265" s="1111"/>
      <c r="AD265" s="1111"/>
      <c r="AE265" s="1111"/>
      <c r="AL265" s="41"/>
      <c r="BA265" s="43"/>
    </row>
    <row r="266" spans="1:53" ht="12.95" customHeight="1">
      <c r="A266" s="18"/>
      <c r="B266" s="5"/>
      <c r="C266" s="5"/>
      <c r="D266" s="5" t="s">
        <v>401</v>
      </c>
      <c r="E266" s="5"/>
      <c r="F266" s="5"/>
      <c r="M266" s="1137"/>
      <c r="N266" s="1137"/>
      <c r="O266" s="1137"/>
      <c r="P266" s="1137"/>
      <c r="Q266" s="1137"/>
      <c r="R266" s="1137"/>
      <c r="S266" s="1137"/>
      <c r="T266" s="1137"/>
      <c r="U266" s="1137"/>
      <c r="V266" s="1137"/>
      <c r="W266" s="1137"/>
      <c r="X266" s="1137"/>
      <c r="Y266" s="1137"/>
      <c r="Z266" s="1137"/>
      <c r="AA266" s="1137"/>
      <c r="AB266" s="1137"/>
      <c r="AC266" s="1137"/>
      <c r="AD266" s="1137"/>
      <c r="AE266" s="1137"/>
      <c r="AG266" s="5"/>
      <c r="AH266" s="5"/>
      <c r="AI266" s="5"/>
      <c r="AJ266" s="5"/>
      <c r="AK266" s="5"/>
      <c r="AL266" s="41"/>
      <c r="BA266" s="43"/>
    </row>
    <row r="267" spans="1:53" ht="12.95" customHeight="1">
      <c r="A267" s="18"/>
      <c r="B267" s="5"/>
      <c r="C267" s="62"/>
      <c r="D267" s="5" t="s">
        <v>670</v>
      </c>
      <c r="E267" s="5"/>
      <c r="F267" s="5"/>
      <c r="G267" s="5"/>
      <c r="H267" s="5"/>
      <c r="I267" s="5"/>
      <c r="J267" s="5"/>
      <c r="K267" s="5"/>
      <c r="L267" s="5"/>
      <c r="M267" s="1087" t="s">
        <v>84</v>
      </c>
      <c r="N267" s="1087"/>
      <c r="O267" s="1087"/>
      <c r="P267" s="1087"/>
      <c r="Q267" s="1087"/>
      <c r="R267" s="1087"/>
      <c r="S267" s="1087"/>
      <c r="T267" s="1087"/>
      <c r="U267" s="5" t="s">
        <v>1191</v>
      </c>
      <c r="AA267" s="1110"/>
      <c r="AB267" s="1110"/>
      <c r="AC267" s="1110"/>
      <c r="AD267" s="1110"/>
      <c r="AE267" s="1110"/>
      <c r="AF267" s="1110"/>
      <c r="AG267" s="1110"/>
      <c r="AH267" s="1110"/>
      <c r="AI267" s="1110"/>
      <c r="AJ267" s="1110"/>
      <c r="AK267" s="1110"/>
      <c r="AL267" s="41"/>
      <c r="BA267" s="43"/>
    </row>
    <row r="268" spans="1:53" ht="12.95" customHeight="1">
      <c r="A268" s="28"/>
      <c r="B268" s="5"/>
      <c r="C268" s="5"/>
      <c r="D268" s="5"/>
      <c r="E268" s="5"/>
      <c r="F268" s="5"/>
      <c r="J268" s="261"/>
      <c r="K268" s="270"/>
      <c r="L268" s="270"/>
      <c r="M268" s="270"/>
      <c r="N268" s="270"/>
      <c r="O268" s="270"/>
      <c r="P268" s="270"/>
      <c r="Q268" s="270"/>
      <c r="R268" s="270"/>
      <c r="S268" s="270"/>
      <c r="T268" s="270"/>
      <c r="U268" s="270"/>
      <c r="V268" s="270"/>
      <c r="W268" s="270"/>
      <c r="X268" s="270"/>
      <c r="Y268" s="270"/>
      <c r="Z268" s="270"/>
      <c r="AA268" s="270"/>
      <c r="AB268" s="270"/>
      <c r="AC268" s="270"/>
      <c r="AD268" s="5"/>
      <c r="AE268" s="5"/>
      <c r="AF268" s="5"/>
      <c r="AG268" s="5"/>
      <c r="AH268" s="5"/>
      <c r="AI268" s="5"/>
      <c r="AJ268" s="5"/>
      <c r="AK268" s="41"/>
      <c r="BA268" s="43"/>
    </row>
    <row r="269" spans="1:53" ht="12.95" customHeight="1">
      <c r="A269" s="63" t="s">
        <v>130</v>
      </c>
      <c r="B269" s="5"/>
      <c r="C269" s="3" t="s">
        <v>281</v>
      </c>
      <c r="D269" s="5"/>
      <c r="E269" s="5"/>
      <c r="F269" s="5"/>
      <c r="G269" s="5"/>
      <c r="H269" s="5"/>
      <c r="I269" s="5"/>
      <c r="J269" s="5"/>
      <c r="K269" s="5"/>
      <c r="L269" s="5"/>
      <c r="M269" s="44"/>
      <c r="N269" s="44"/>
      <c r="O269" s="44"/>
      <c r="P269" s="44"/>
      <c r="Q269" s="44"/>
      <c r="T269" s="1136" t="str">
        <f>BO245</f>
        <v>Nonprofit</v>
      </c>
      <c r="U269" s="1136"/>
      <c r="V269" s="1136"/>
      <c r="W269" s="1136"/>
      <c r="X269" s="1136"/>
      <c r="Z269" s="480" t="s">
        <v>1263</v>
      </c>
      <c r="AA269" s="7"/>
      <c r="AB269" s="7"/>
      <c r="AC269" s="7"/>
      <c r="AD269" s="7"/>
      <c r="AE269" s="7"/>
      <c r="AF269" s="195"/>
      <c r="AG269" s="195"/>
      <c r="AH269" s="195"/>
      <c r="AI269" s="195"/>
      <c r="AJ269" s="195"/>
      <c r="AK269" s="7"/>
      <c r="AL269" s="64"/>
      <c r="BA269" s="43"/>
    </row>
    <row r="270" spans="1:53" ht="12.95" customHeight="1">
      <c r="A270" s="3"/>
      <c r="B270" s="5"/>
      <c r="C270" s="3"/>
      <c r="I270" s="5"/>
      <c r="J270" s="5"/>
      <c r="K270" s="5"/>
      <c r="L270" s="5"/>
      <c r="M270" s="44"/>
      <c r="N270" s="44"/>
      <c r="O270" s="44"/>
      <c r="P270" s="44"/>
      <c r="Q270" s="44"/>
      <c r="T270" s="5"/>
      <c r="U270" s="5"/>
      <c r="V270" s="5"/>
      <c r="W270" s="44"/>
      <c r="Z270" s="481" t="s">
        <v>1260</v>
      </c>
      <c r="AF270" s="5"/>
      <c r="AG270" s="5"/>
      <c r="AH270" s="5"/>
      <c r="AI270" s="5"/>
      <c r="AJ270" s="5"/>
      <c r="AL270" s="71"/>
      <c r="BA270" s="43"/>
    </row>
    <row r="271" spans="1:53" ht="12.95" customHeight="1">
      <c r="A271" s="3" t="s">
        <v>131</v>
      </c>
      <c r="B271" s="5"/>
      <c r="C271" s="3" t="s">
        <v>481</v>
      </c>
      <c r="D271" s="5"/>
      <c r="E271" s="5"/>
      <c r="F271" s="5"/>
      <c r="G271" s="5"/>
      <c r="H271" s="5"/>
      <c r="I271" s="5"/>
      <c r="J271" s="5"/>
      <c r="K271" s="5"/>
      <c r="L271" s="5"/>
      <c r="M271" s="5"/>
      <c r="N271" s="5"/>
      <c r="O271" s="5"/>
      <c r="P271" s="5"/>
      <c r="Q271" s="5"/>
      <c r="R271" s="5"/>
      <c r="S271" s="5"/>
      <c r="T271" s="5"/>
      <c r="U271" s="5"/>
      <c r="V271" s="5"/>
      <c r="W271" s="5"/>
      <c r="Z271" s="482" t="s">
        <v>1261</v>
      </c>
      <c r="AA271" s="54"/>
      <c r="AB271" s="54"/>
      <c r="AC271" s="54"/>
      <c r="AD271" s="193"/>
      <c r="AE271" s="193"/>
      <c r="AF271" s="193"/>
      <c r="AG271" s="193"/>
      <c r="AH271" s="193"/>
      <c r="AI271" s="193"/>
      <c r="AJ271" s="193"/>
      <c r="AK271" s="414"/>
      <c r="AL271" s="483"/>
    </row>
    <row r="272" spans="1:53" ht="12.95" customHeight="1">
      <c r="A272" s="5"/>
      <c r="B272" s="45">
        <v>0</v>
      </c>
      <c r="D272" s="1114" t="s">
        <v>933</v>
      </c>
      <c r="E272" s="1114"/>
      <c r="F272" s="1114"/>
      <c r="G272" s="1114"/>
      <c r="H272" s="1114"/>
      <c r="J272" t="s">
        <v>932</v>
      </c>
      <c r="X272" s="1301">
        <v>44832</v>
      </c>
      <c r="Y272" s="1301"/>
      <c r="Z272" s="1301"/>
      <c r="AA272" s="1301"/>
      <c r="AB272" s="1301"/>
      <c r="AC272" s="1301"/>
      <c r="BA272" s="43"/>
    </row>
    <row r="273" spans="1:53" ht="12.95" customHeight="1">
      <c r="A273" s="5"/>
      <c r="B273" s="28"/>
      <c r="D273" s="46" t="s">
        <v>156</v>
      </c>
      <c r="E273" s="5"/>
      <c r="F273" s="5"/>
      <c r="G273" s="5"/>
      <c r="H273" s="5"/>
      <c r="I273" s="5"/>
      <c r="J273" s="5"/>
      <c r="K273" s="5"/>
      <c r="L273" s="5"/>
      <c r="M273" s="5"/>
      <c r="N273" s="5"/>
      <c r="O273" s="5"/>
      <c r="P273" s="5"/>
      <c r="Q273" s="5"/>
      <c r="R273" s="5"/>
      <c r="S273" s="5"/>
      <c r="T273" s="5"/>
      <c r="U273" s="5"/>
      <c r="V273" s="5"/>
      <c r="W273" s="5"/>
      <c r="X273" s="5"/>
      <c r="Y273" s="5"/>
      <c r="Z273" s="5"/>
      <c r="AA273" s="5"/>
      <c r="AH273" s="5"/>
      <c r="AI273" s="5"/>
      <c r="AJ273" s="5"/>
      <c r="AK273" s="41"/>
      <c r="AL273" s="41"/>
      <c r="BA273" s="43"/>
    </row>
    <row r="274" spans="1:53" ht="12.95" customHeight="1">
      <c r="A274" s="44"/>
      <c r="B274" s="44"/>
      <c r="C274" s="44"/>
      <c r="D274" s="44"/>
      <c r="E274" s="44"/>
      <c r="F274" s="44"/>
      <c r="G274" s="44"/>
      <c r="H274" s="44"/>
      <c r="I274" s="44"/>
      <c r="J274" s="44"/>
      <c r="K274" s="44"/>
      <c r="L274" s="44"/>
      <c r="M274" s="44"/>
      <c r="N274" s="44"/>
      <c r="O274" s="44"/>
      <c r="P274" s="44"/>
      <c r="Q274" s="44"/>
      <c r="R274" s="44"/>
      <c r="S274" s="44"/>
      <c r="T274" s="44"/>
      <c r="U274" s="5"/>
      <c r="V274" s="5"/>
      <c r="W274" s="45"/>
      <c r="X274" s="5"/>
      <c r="Y274" s="5"/>
      <c r="Z274" s="10"/>
      <c r="AA274" s="10"/>
      <c r="AB274" s="10"/>
      <c r="AC274" s="10"/>
      <c r="AD274" s="10"/>
      <c r="AE274" s="5"/>
      <c r="AK274" s="41"/>
      <c r="AL274" s="41"/>
      <c r="BA274" s="43"/>
    </row>
    <row r="275" spans="1:53" ht="12.95" customHeight="1">
      <c r="A275" s="3" t="s">
        <v>133</v>
      </c>
      <c r="B275" s="3"/>
      <c r="C275" s="3" t="s">
        <v>196</v>
      </c>
      <c r="D275" s="5"/>
      <c r="E275" s="5"/>
      <c r="F275" s="5"/>
      <c r="G275" s="5"/>
      <c r="H275" s="5"/>
      <c r="I275" s="5"/>
      <c r="J275" s="5"/>
      <c r="K275" s="5"/>
      <c r="L275" s="5"/>
      <c r="M275" s="5"/>
      <c r="N275" s="5"/>
      <c r="O275" s="5"/>
      <c r="P275" s="5"/>
      <c r="Q275" s="5"/>
      <c r="R275" s="5"/>
      <c r="S275" s="5"/>
      <c r="T275" s="5"/>
      <c r="BA275" s="43"/>
    </row>
    <row r="276" spans="1:53" ht="12.95" customHeight="1">
      <c r="D276" s="5" t="s">
        <v>282</v>
      </c>
      <c r="E276" s="5"/>
      <c r="F276" s="5"/>
      <c r="G276" s="5"/>
      <c r="H276" s="5"/>
      <c r="I276" s="5"/>
      <c r="J276" s="5"/>
      <c r="K276" s="5"/>
      <c r="L276" s="1280" t="s">
        <v>2377</v>
      </c>
      <c r="M276" s="1281"/>
      <c r="N276" s="1281"/>
      <c r="O276" s="1281"/>
      <c r="P276" s="1281"/>
      <c r="Q276" s="1281"/>
      <c r="R276" s="1281"/>
      <c r="S276" s="1281"/>
      <c r="T276" s="1281"/>
      <c r="U276" s="1281"/>
      <c r="V276" s="1281"/>
      <c r="W276" s="1281"/>
      <c r="X276" s="1281"/>
      <c r="Y276" s="1281"/>
      <c r="Z276" s="1281"/>
      <c r="AA276" s="1281"/>
      <c r="AB276" s="1281"/>
      <c r="AC276" s="1281"/>
      <c r="AD276" s="1281"/>
      <c r="AE276" s="1281"/>
      <c r="AF276" s="1281"/>
      <c r="AG276" s="1281"/>
      <c r="AH276" s="1281"/>
      <c r="AI276" s="1281"/>
      <c r="AJ276" s="1281"/>
      <c r="AK276" s="41"/>
      <c r="AL276" s="41"/>
      <c r="BA276" s="43"/>
    </row>
    <row r="277" spans="1:53" ht="12.95" customHeight="1">
      <c r="D277" s="5" t="s">
        <v>396</v>
      </c>
      <c r="E277" s="5"/>
      <c r="F277" s="5"/>
      <c r="G277" s="5"/>
      <c r="H277" s="5"/>
      <c r="I277" s="5"/>
      <c r="J277" s="5"/>
      <c r="K277" s="5"/>
      <c r="L277" s="1086" t="s">
        <v>2371</v>
      </c>
      <c r="M277" s="1114"/>
      <c r="N277" s="1114"/>
      <c r="O277" s="1114"/>
      <c r="P277" s="1114"/>
      <c r="Q277" s="1114"/>
      <c r="R277" s="1114"/>
      <c r="S277" s="1114"/>
      <c r="T277" s="1114"/>
      <c r="U277" s="1114"/>
      <c r="V277" s="1114"/>
      <c r="W277" s="1114"/>
      <c r="X277" s="1114"/>
      <c r="Y277" s="1114"/>
      <c r="Z277" s="1114"/>
      <c r="AA277" s="1114"/>
      <c r="AB277" s="1114"/>
      <c r="AC277" s="1114"/>
      <c r="AD277" s="1114"/>
      <c r="AK277" s="41"/>
      <c r="AL277" s="41"/>
      <c r="BA277" s="43"/>
    </row>
    <row r="278" spans="1:53" ht="12.95" customHeight="1">
      <c r="D278" s="5" t="s">
        <v>458</v>
      </c>
      <c r="E278" s="5"/>
      <c r="L278" s="1086" t="s">
        <v>419</v>
      </c>
      <c r="M278" s="1114"/>
      <c r="N278" s="1114"/>
      <c r="O278" s="1114"/>
      <c r="P278" s="1114"/>
      <c r="Q278" s="1114"/>
      <c r="R278" s="1114"/>
      <c r="S278" s="1114"/>
      <c r="U278" s="42" t="s">
        <v>397</v>
      </c>
      <c r="V278" s="1122" t="s">
        <v>2372</v>
      </c>
      <c r="W278" s="1282"/>
      <c r="X278" s="5" t="s">
        <v>461</v>
      </c>
      <c r="AB278" s="1114">
        <v>93721</v>
      </c>
      <c r="AC278" s="1114"/>
      <c r="AD278" s="1114"/>
      <c r="AK278" s="41"/>
      <c r="AL278" s="41"/>
      <c r="BA278" s="43"/>
    </row>
    <row r="279" spans="1:53" ht="12.95" customHeight="1">
      <c r="D279" s="5" t="s">
        <v>398</v>
      </c>
      <c r="E279" s="5"/>
      <c r="F279" s="5"/>
      <c r="G279" s="5"/>
      <c r="H279" s="5"/>
      <c r="I279" s="5"/>
      <c r="J279" s="5"/>
      <c r="K279" s="28"/>
      <c r="L279" s="1086" t="s">
        <v>2374</v>
      </c>
      <c r="M279" s="1114"/>
      <c r="N279" s="1114"/>
      <c r="O279" s="1114"/>
      <c r="P279" s="1114"/>
      <c r="Q279" s="1114"/>
      <c r="R279" s="1114"/>
      <c r="S279" s="1114"/>
      <c r="T279" s="1114"/>
      <c r="U279" s="1114"/>
      <c r="V279" s="1114"/>
      <c r="W279" s="1114"/>
      <c r="X279" s="1114"/>
      <c r="Y279" s="1114"/>
      <c r="Z279" s="1114"/>
      <c r="AA279" s="1114"/>
      <c r="AB279" s="1114"/>
      <c r="AC279" s="1114"/>
      <c r="AD279" s="1114"/>
      <c r="AI279" s="5"/>
      <c r="AJ279" s="5"/>
      <c r="AK279" s="41"/>
      <c r="AL279" s="41"/>
      <c r="BA279" s="43"/>
    </row>
    <row r="280" spans="1:53" ht="12.95" customHeight="1">
      <c r="D280" s="5" t="s">
        <v>399</v>
      </c>
      <c r="E280" s="5"/>
      <c r="F280" s="5"/>
      <c r="L280" s="1112" t="s">
        <v>2375</v>
      </c>
      <c r="M280" s="1111"/>
      <c r="N280" s="1111"/>
      <c r="O280" s="1111"/>
      <c r="P280" s="1111"/>
      <c r="Q280" s="1111"/>
      <c r="R280" s="5" t="s">
        <v>858</v>
      </c>
      <c r="S280" s="5"/>
      <c r="T280" s="1282"/>
      <c r="U280" s="1282"/>
      <c r="V280" s="1282"/>
      <c r="W280" s="5" t="s">
        <v>400</v>
      </c>
      <c r="Y280" s="1111"/>
      <c r="Z280" s="1111"/>
      <c r="AA280" s="1111"/>
      <c r="AB280" s="1111"/>
      <c r="AC280" s="1111"/>
      <c r="AD280" s="1111"/>
      <c r="BA280" s="43"/>
    </row>
    <row r="281" spans="1:53" ht="12.95" customHeight="1">
      <c r="D281" s="5" t="s">
        <v>401</v>
      </c>
      <c r="E281" s="5"/>
      <c r="F281" s="5"/>
      <c r="L281" s="1137" t="s">
        <v>2376</v>
      </c>
      <c r="M281" s="1137"/>
      <c r="N281" s="1137"/>
      <c r="O281" s="1137"/>
      <c r="P281" s="1137"/>
      <c r="Q281" s="1137"/>
      <c r="R281" s="1137"/>
      <c r="S281" s="1137"/>
      <c r="T281" s="1137"/>
      <c r="U281" s="1137"/>
      <c r="V281" s="1137"/>
      <c r="W281" s="1137"/>
      <c r="X281" s="1137"/>
      <c r="Y281" s="1137"/>
      <c r="Z281" s="1137"/>
      <c r="AA281" s="1137"/>
      <c r="AB281" s="1137"/>
      <c r="AC281" s="1137"/>
      <c r="AD281" s="1137"/>
      <c r="AF281" s="5"/>
      <c r="AG281" s="5"/>
      <c r="AH281" s="5"/>
      <c r="AI281" s="5"/>
      <c r="AJ281" s="5"/>
      <c r="BA281" s="43"/>
    </row>
    <row r="282" spans="1:53" ht="12.95" customHeight="1">
      <c r="D282" s="41" t="s">
        <v>197</v>
      </c>
      <c r="E282" s="41"/>
      <c r="F282" s="41"/>
      <c r="G282" s="41"/>
      <c r="H282" s="41"/>
      <c r="I282" s="41"/>
      <c r="L282" s="1122" t="s">
        <v>2378</v>
      </c>
      <c r="M282" s="1122"/>
      <c r="N282" s="1122"/>
      <c r="O282" s="1122"/>
      <c r="P282" s="1122"/>
      <c r="Q282" s="1122"/>
      <c r="R282" s="1122"/>
      <c r="S282" s="1122"/>
      <c r="T282" s="1122"/>
      <c r="U282" s="1122"/>
      <c r="V282" s="1122"/>
      <c r="W282" s="1122"/>
      <c r="X282" s="1122"/>
      <c r="Y282" s="1122"/>
      <c r="Z282" s="1122"/>
      <c r="AA282" s="1122"/>
      <c r="AB282" s="1122"/>
      <c r="AC282" s="1122"/>
      <c r="AD282" s="1122"/>
      <c r="AK282" s="41"/>
      <c r="AL282" s="41"/>
      <c r="BA282" s="43"/>
    </row>
    <row r="283" spans="1:53" ht="12.95" customHeight="1">
      <c r="L283" s="4" t="s">
        <v>198</v>
      </c>
      <c r="BA283" s="43"/>
    </row>
    <row r="284" spans="1:53" ht="12.95" customHeight="1">
      <c r="A284" s="1284" t="s">
        <v>524</v>
      </c>
      <c r="B284" s="1284"/>
      <c r="C284" s="1284"/>
      <c r="D284" s="1284"/>
      <c r="E284" s="1284"/>
      <c r="F284" s="1284"/>
      <c r="G284" s="1284"/>
      <c r="H284" s="1284"/>
      <c r="I284" s="1284"/>
      <c r="J284" s="1284"/>
      <c r="K284" s="1284"/>
      <c r="L284" s="1284"/>
      <c r="M284" s="1284"/>
      <c r="N284" s="1284"/>
      <c r="O284" s="1284"/>
      <c r="P284" s="1284"/>
      <c r="Q284" s="1284"/>
      <c r="R284" s="1284"/>
      <c r="S284" s="1284"/>
      <c r="T284" s="1284"/>
      <c r="U284" s="1284"/>
      <c r="V284" s="1284"/>
      <c r="W284" s="1284"/>
      <c r="X284" s="1284"/>
      <c r="Y284" s="1284"/>
      <c r="Z284" s="1284"/>
      <c r="AA284" s="1284"/>
      <c r="AB284" s="1284"/>
      <c r="AC284" s="1284"/>
      <c r="AD284" s="1284"/>
      <c r="AE284" s="1284"/>
      <c r="AF284" s="1284"/>
      <c r="AG284" s="1284"/>
      <c r="AH284" s="1284"/>
      <c r="AI284" s="1284"/>
      <c r="AJ284" s="1284"/>
      <c r="AK284" s="1284"/>
      <c r="AL284" s="1284"/>
      <c r="BA284" s="43"/>
    </row>
    <row r="285" spans="1:53" ht="12.95" customHeight="1" thickBot="1">
      <c r="A285" s="1285"/>
      <c r="B285" s="1285"/>
      <c r="C285" s="1285"/>
      <c r="D285" s="1285"/>
      <c r="E285" s="1285"/>
      <c r="F285" s="1285"/>
      <c r="G285" s="1285"/>
      <c r="H285" s="1285"/>
      <c r="I285" s="1285"/>
      <c r="J285" s="1285"/>
      <c r="K285" s="1285"/>
      <c r="L285" s="1285"/>
      <c r="M285" s="1285"/>
      <c r="N285" s="1285"/>
      <c r="O285" s="1285"/>
      <c r="P285" s="1285"/>
      <c r="Q285" s="1285"/>
      <c r="R285" s="1285"/>
      <c r="S285" s="1285"/>
      <c r="T285" s="1285"/>
      <c r="U285" s="1285"/>
      <c r="V285" s="1285"/>
      <c r="W285" s="1285"/>
      <c r="X285" s="1285"/>
      <c r="Y285" s="1285"/>
      <c r="Z285" s="1285"/>
      <c r="AA285" s="1285"/>
      <c r="AB285" s="1285"/>
      <c r="AC285" s="1285"/>
      <c r="AD285" s="1285"/>
      <c r="AE285" s="1285"/>
      <c r="AF285" s="1285"/>
      <c r="AG285" s="1285"/>
      <c r="AH285" s="1285"/>
      <c r="AI285" s="1285"/>
      <c r="AJ285" s="1285"/>
      <c r="AK285" s="1285"/>
      <c r="AL285" s="1285"/>
      <c r="BA285" s="43"/>
    </row>
    <row r="286" spans="1:53" ht="12.95" customHeight="1" thickTop="1">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5"/>
      <c r="AL286" s="32"/>
      <c r="BA286" s="43"/>
    </row>
    <row r="287" spans="1:53" ht="12.95" customHeight="1">
      <c r="A287" s="3" t="s">
        <v>688</v>
      </c>
      <c r="C287" s="3" t="s">
        <v>199</v>
      </c>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BA287" s="43"/>
    </row>
    <row r="288" spans="1:53" ht="12.95" customHeight="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BA288" s="43"/>
    </row>
    <row r="289" spans="2:53" ht="12.95" customHeight="1">
      <c r="B289" s="41" t="s">
        <v>200</v>
      </c>
      <c r="C289" s="41"/>
      <c r="D289" s="41"/>
      <c r="E289" s="41"/>
      <c r="F289" s="41"/>
      <c r="H289" s="1085" t="s">
        <v>2379</v>
      </c>
      <c r="I289" s="1085"/>
      <c r="J289" s="1085"/>
      <c r="K289" s="1085"/>
      <c r="L289" s="1085"/>
      <c r="M289" s="1085"/>
      <c r="N289" s="1085"/>
      <c r="O289" s="1085"/>
      <c r="P289" s="1085"/>
      <c r="Q289" s="1085"/>
      <c r="R289" s="1085"/>
      <c r="T289" s="41" t="s">
        <v>780</v>
      </c>
      <c r="V289" s="41"/>
      <c r="W289" s="41"/>
      <c r="X289" s="41"/>
      <c r="Y289" s="41"/>
      <c r="AA289" s="1085" t="s">
        <v>2382</v>
      </c>
      <c r="AB289" s="1085"/>
      <c r="AC289" s="1085"/>
      <c r="AD289" s="1085"/>
      <c r="AE289" s="1085"/>
      <c r="AF289" s="1085"/>
      <c r="AG289" s="1085"/>
      <c r="AH289" s="1085"/>
      <c r="AI289" s="1085"/>
      <c r="AJ289" s="1085"/>
      <c r="AK289" s="1085"/>
      <c r="BA289" s="43"/>
    </row>
    <row r="290" spans="2:53" ht="12.95" customHeight="1">
      <c r="B290" s="41" t="s">
        <v>734</v>
      </c>
      <c r="C290" s="41"/>
      <c r="D290" s="41"/>
      <c r="E290" s="41"/>
      <c r="F290" s="41"/>
      <c r="H290" s="1087" t="s">
        <v>2371</v>
      </c>
      <c r="I290" s="1087"/>
      <c r="J290" s="1087"/>
      <c r="K290" s="1087"/>
      <c r="L290" s="1087"/>
      <c r="M290" s="1087"/>
      <c r="N290" s="1087"/>
      <c r="O290" s="1087"/>
      <c r="P290" s="1087"/>
      <c r="Q290" s="1087"/>
      <c r="R290" s="1087"/>
      <c r="T290" s="41" t="s">
        <v>734</v>
      </c>
      <c r="V290" s="41"/>
      <c r="W290" s="41"/>
      <c r="X290" s="41"/>
      <c r="Y290" s="41"/>
      <c r="AA290" s="1087" t="s">
        <v>2383</v>
      </c>
      <c r="AB290" s="1087"/>
      <c r="AC290" s="1087"/>
      <c r="AD290" s="1087"/>
      <c r="AE290" s="1087"/>
      <c r="AF290" s="1087"/>
      <c r="AG290" s="1087"/>
      <c r="AH290" s="1087"/>
      <c r="AI290" s="1087"/>
      <c r="AJ290" s="1087"/>
      <c r="AK290" s="1087"/>
      <c r="BA290" s="43"/>
    </row>
    <row r="291" spans="2:53" ht="12.95" customHeight="1">
      <c r="B291" s="41" t="s">
        <v>736</v>
      </c>
      <c r="C291" s="41"/>
      <c r="D291" s="41"/>
      <c r="E291" s="41"/>
      <c r="F291" s="41"/>
      <c r="H291" s="1087" t="s">
        <v>2380</v>
      </c>
      <c r="I291" s="1087"/>
      <c r="J291" s="1087"/>
      <c r="K291" s="1087"/>
      <c r="L291" s="1087"/>
      <c r="M291" s="1087"/>
      <c r="N291" s="1087"/>
      <c r="O291" s="1087"/>
      <c r="P291" s="1087"/>
      <c r="Q291" s="1087"/>
      <c r="R291" s="1087"/>
      <c r="T291" s="41" t="s">
        <v>735</v>
      </c>
      <c r="V291" s="41"/>
      <c r="W291" s="41"/>
      <c r="X291" s="41"/>
      <c r="Y291" s="41"/>
      <c r="AA291" s="1087" t="s">
        <v>2384</v>
      </c>
      <c r="AB291" s="1087"/>
      <c r="AC291" s="1087"/>
      <c r="AD291" s="1087"/>
      <c r="AE291" s="1087"/>
      <c r="AF291" s="1087"/>
      <c r="AG291" s="1087"/>
      <c r="AH291" s="1087"/>
      <c r="AI291" s="1087"/>
      <c r="AJ291" s="1087"/>
      <c r="AK291" s="1087"/>
      <c r="BA291" s="43"/>
    </row>
    <row r="292" spans="2:53" ht="12.95" customHeight="1">
      <c r="B292" s="41" t="s">
        <v>398</v>
      </c>
      <c r="C292" s="41"/>
      <c r="D292" s="41"/>
      <c r="E292" s="41"/>
      <c r="F292" s="41"/>
      <c r="H292" s="1087" t="s">
        <v>2374</v>
      </c>
      <c r="I292" s="1087"/>
      <c r="J292" s="1087"/>
      <c r="K292" s="1087"/>
      <c r="L292" s="1087"/>
      <c r="M292" s="1087"/>
      <c r="N292" s="1087"/>
      <c r="O292" s="1087"/>
      <c r="P292" s="1087"/>
      <c r="Q292" s="1087"/>
      <c r="R292" s="1087"/>
      <c r="T292" s="41" t="s">
        <v>398</v>
      </c>
      <c r="V292" s="41"/>
      <c r="W292" s="41"/>
      <c r="X292" s="41"/>
      <c r="Y292" s="41"/>
      <c r="AA292" s="1087" t="s">
        <v>2385</v>
      </c>
      <c r="AB292" s="1087"/>
      <c r="AC292" s="1087"/>
      <c r="AD292" s="1087"/>
      <c r="AE292" s="1087"/>
      <c r="AF292" s="1087"/>
      <c r="AG292" s="1087"/>
      <c r="AH292" s="1087"/>
      <c r="AI292" s="1087"/>
      <c r="AJ292" s="1087"/>
      <c r="AK292" s="1087"/>
      <c r="BA292" s="43"/>
    </row>
    <row r="293" spans="2:53" ht="12.95" customHeight="1">
      <c r="B293" s="41" t="s">
        <v>399</v>
      </c>
      <c r="C293" s="41"/>
      <c r="D293" s="41"/>
      <c r="E293" s="41"/>
      <c r="F293" s="41"/>
      <c r="G293" s="41"/>
      <c r="H293" s="1109" t="s">
        <v>2375</v>
      </c>
      <c r="I293" s="1110"/>
      <c r="J293" s="1110"/>
      <c r="K293" s="1110"/>
      <c r="L293" s="1110"/>
      <c r="M293" s="1110"/>
      <c r="N293" s="5" t="s">
        <v>858</v>
      </c>
      <c r="O293" s="5"/>
      <c r="P293" s="1114"/>
      <c r="Q293" s="1114"/>
      <c r="R293" s="1114"/>
      <c r="S293" s="41"/>
      <c r="T293" s="41" t="s">
        <v>399</v>
      </c>
      <c r="V293" s="41"/>
      <c r="W293" s="41"/>
      <c r="X293" s="41"/>
      <c r="Y293" s="41"/>
      <c r="AA293" s="1109" t="s">
        <v>2386</v>
      </c>
      <c r="AB293" s="1110"/>
      <c r="AC293" s="1110"/>
      <c r="AD293" s="1110"/>
      <c r="AE293" s="1110"/>
      <c r="AF293" s="1110"/>
      <c r="AG293" s="5" t="s">
        <v>858</v>
      </c>
      <c r="AH293" s="5"/>
      <c r="AI293" s="1114"/>
      <c r="AJ293" s="1114"/>
      <c r="AK293" s="1114"/>
      <c r="BA293" s="43"/>
    </row>
    <row r="294" spans="2:53" ht="12.95" customHeight="1">
      <c r="B294" s="41" t="s">
        <v>400</v>
      </c>
      <c r="C294" s="41"/>
      <c r="D294" s="41"/>
      <c r="E294" s="41"/>
      <c r="F294" s="41"/>
      <c r="G294" s="41"/>
      <c r="H294" s="1112" t="s">
        <v>2381</v>
      </c>
      <c r="I294" s="1111"/>
      <c r="J294" s="1111"/>
      <c r="K294" s="1111"/>
      <c r="L294" s="1111"/>
      <c r="M294" s="1111"/>
      <c r="N294" s="5"/>
      <c r="O294" s="5"/>
      <c r="P294" s="44"/>
      <c r="Q294" s="44"/>
      <c r="R294" s="44"/>
      <c r="S294" s="41"/>
      <c r="T294" s="41" t="s">
        <v>400</v>
      </c>
      <c r="V294" s="41"/>
      <c r="W294" s="41"/>
      <c r="X294" s="41"/>
      <c r="Y294" s="41"/>
      <c r="AA294" s="1111"/>
      <c r="AB294" s="1111"/>
      <c r="AC294" s="1111"/>
      <c r="AD294" s="1111"/>
      <c r="AE294" s="1111"/>
      <c r="AF294" s="1111"/>
      <c r="AG294" s="5"/>
      <c r="AH294" s="5"/>
      <c r="AI294" s="44"/>
      <c r="AJ294" s="44"/>
      <c r="AK294" s="44"/>
      <c r="BA294" s="43"/>
    </row>
    <row r="295" spans="2:53" ht="12.95" customHeight="1">
      <c r="B295" s="41" t="s">
        <v>737</v>
      </c>
      <c r="C295" s="41"/>
      <c r="D295" s="41"/>
      <c r="E295" s="41"/>
      <c r="F295" s="41"/>
      <c r="G295" s="41"/>
      <c r="H295" s="1087" t="s">
        <v>2376</v>
      </c>
      <c r="I295" s="1087"/>
      <c r="J295" s="1087"/>
      <c r="K295" s="1087"/>
      <c r="L295" s="1087"/>
      <c r="M295" s="1087"/>
      <c r="N295" s="1085"/>
      <c r="O295" s="1085"/>
      <c r="P295" s="1085"/>
      <c r="Q295" s="1085"/>
      <c r="R295" s="1085"/>
      <c r="S295" s="41"/>
      <c r="T295" s="41" t="s">
        <v>737</v>
      </c>
      <c r="V295" s="41"/>
      <c r="W295" s="41"/>
      <c r="X295" s="41"/>
      <c r="Y295" s="41"/>
      <c r="AA295" s="1087" t="s">
        <v>2387</v>
      </c>
      <c r="AB295" s="1087"/>
      <c r="AC295" s="1087"/>
      <c r="AD295" s="1087"/>
      <c r="AE295" s="1087"/>
      <c r="AF295" s="1087"/>
      <c r="AG295" s="1085"/>
      <c r="AH295" s="1085"/>
      <c r="AI295" s="1085"/>
      <c r="AJ295" s="1085"/>
      <c r="AK295" s="1085"/>
      <c r="BA295" s="43"/>
    </row>
    <row r="296" spans="2:53" ht="12.95" customHeight="1">
      <c r="B296" s="41"/>
      <c r="C296" s="41"/>
      <c r="D296" s="41"/>
      <c r="E296" s="41"/>
      <c r="F296" s="41"/>
      <c r="G296" s="41"/>
      <c r="H296" s="41"/>
      <c r="I296" s="41"/>
      <c r="J296" s="41"/>
      <c r="K296" s="41"/>
      <c r="L296" s="41"/>
      <c r="M296" s="41"/>
      <c r="N296" s="41"/>
      <c r="O296" s="41"/>
      <c r="P296" s="41"/>
      <c r="Q296" s="41"/>
      <c r="R296" s="41"/>
      <c r="S296" s="41"/>
      <c r="T296" s="41"/>
      <c r="V296" s="41"/>
      <c r="W296" s="41"/>
      <c r="X296" s="41"/>
      <c r="Y296" s="41"/>
      <c r="AA296" s="41"/>
      <c r="AB296" s="41"/>
      <c r="AC296" s="41"/>
      <c r="AD296" s="41"/>
      <c r="AE296" s="41"/>
      <c r="AF296" s="41"/>
      <c r="AG296" s="41"/>
      <c r="AH296" s="41"/>
      <c r="AI296" s="41"/>
      <c r="AJ296" s="41"/>
      <c r="AK296" s="41"/>
      <c r="BA296" s="43"/>
    </row>
    <row r="297" spans="2:53" ht="12.95" customHeight="1">
      <c r="B297" s="41" t="s">
        <v>467</v>
      </c>
      <c r="C297" s="41"/>
      <c r="D297" s="41"/>
      <c r="E297" s="41"/>
      <c r="F297" s="41"/>
      <c r="H297" s="1085" t="s">
        <v>2389</v>
      </c>
      <c r="I297" s="1085"/>
      <c r="J297" s="1085"/>
      <c r="K297" s="1085"/>
      <c r="L297" s="1085"/>
      <c r="M297" s="1085"/>
      <c r="N297" s="1085"/>
      <c r="O297" s="1085"/>
      <c r="P297" s="1085"/>
      <c r="Q297" s="1085"/>
      <c r="R297" s="1085"/>
      <c r="T297" s="41" t="s">
        <v>39</v>
      </c>
      <c r="V297" s="41"/>
      <c r="W297" s="41"/>
      <c r="X297" s="41"/>
      <c r="Y297" s="41"/>
      <c r="AA297" s="1086" t="s">
        <v>2438</v>
      </c>
      <c r="AB297" s="1085"/>
      <c r="AC297" s="1085"/>
      <c r="AD297" s="1085"/>
      <c r="AE297" s="1085"/>
      <c r="AF297" s="1085"/>
      <c r="AG297" s="1085"/>
      <c r="AH297" s="1085"/>
      <c r="AI297" s="1085"/>
      <c r="AJ297" s="1085"/>
      <c r="AK297" s="1085"/>
      <c r="BA297" s="43"/>
    </row>
    <row r="298" spans="2:53" ht="12.95" customHeight="1">
      <c r="B298" s="41" t="s">
        <v>734</v>
      </c>
      <c r="C298" s="41"/>
      <c r="D298" s="41"/>
      <c r="E298" s="41"/>
      <c r="F298" s="41"/>
      <c r="H298" s="1087" t="s">
        <v>2390</v>
      </c>
      <c r="I298" s="1087"/>
      <c r="J298" s="1087"/>
      <c r="K298" s="1087"/>
      <c r="L298" s="1087"/>
      <c r="M298" s="1087"/>
      <c r="N298" s="1087"/>
      <c r="O298" s="1087"/>
      <c r="P298" s="1087"/>
      <c r="Q298" s="1087"/>
      <c r="R298" s="1087"/>
      <c r="T298" s="41" t="s">
        <v>734</v>
      </c>
      <c r="V298" s="41"/>
      <c r="W298" s="41"/>
      <c r="X298" s="41"/>
      <c r="Y298" s="41"/>
      <c r="AA298" s="1122" t="s">
        <v>2440</v>
      </c>
      <c r="AB298" s="1087"/>
      <c r="AC298" s="1087"/>
      <c r="AD298" s="1087"/>
      <c r="AE298" s="1087"/>
      <c r="AF298" s="1087"/>
      <c r="AG298" s="1087"/>
      <c r="AH298" s="1087"/>
      <c r="AI298" s="1087"/>
      <c r="AJ298" s="1087"/>
      <c r="AK298" s="1087"/>
      <c r="BA298" s="43"/>
    </row>
    <row r="299" spans="2:53" ht="12.95" customHeight="1">
      <c r="B299" s="41" t="s">
        <v>736</v>
      </c>
      <c r="C299" s="41"/>
      <c r="D299" s="41"/>
      <c r="E299" s="41"/>
      <c r="F299" s="41"/>
      <c r="H299" s="1087" t="s">
        <v>2391</v>
      </c>
      <c r="I299" s="1087"/>
      <c r="J299" s="1087"/>
      <c r="K299" s="1087"/>
      <c r="L299" s="1087"/>
      <c r="M299" s="1087"/>
      <c r="N299" s="1087"/>
      <c r="O299" s="1087"/>
      <c r="P299" s="1087"/>
      <c r="Q299" s="1087"/>
      <c r="R299" s="1087"/>
      <c r="T299" s="41" t="s">
        <v>735</v>
      </c>
      <c r="V299" s="41"/>
      <c r="W299" s="41"/>
      <c r="X299" s="41"/>
      <c r="Y299" s="41"/>
      <c r="AA299" s="1122" t="s">
        <v>2441</v>
      </c>
      <c r="AB299" s="1087"/>
      <c r="AC299" s="1087"/>
      <c r="AD299" s="1087"/>
      <c r="AE299" s="1087"/>
      <c r="AF299" s="1087"/>
      <c r="AG299" s="1087"/>
      <c r="AH299" s="1087"/>
      <c r="AI299" s="1087"/>
      <c r="AJ299" s="1087"/>
      <c r="AK299" s="1087"/>
      <c r="BA299" s="43"/>
    </row>
    <row r="300" spans="2:53" ht="12.95" customHeight="1">
      <c r="B300" s="41" t="s">
        <v>398</v>
      </c>
      <c r="C300" s="41"/>
      <c r="D300" s="41"/>
      <c r="E300" s="41"/>
      <c r="F300" s="41"/>
      <c r="H300" s="1087" t="s">
        <v>2392</v>
      </c>
      <c r="I300" s="1087"/>
      <c r="J300" s="1087"/>
      <c r="K300" s="1087"/>
      <c r="L300" s="1087"/>
      <c r="M300" s="1087"/>
      <c r="N300" s="1087"/>
      <c r="O300" s="1087"/>
      <c r="P300" s="1087"/>
      <c r="Q300" s="1087"/>
      <c r="R300" s="1087"/>
      <c r="T300" s="41" t="s">
        <v>398</v>
      </c>
      <c r="V300" s="41"/>
      <c r="W300" s="41"/>
      <c r="X300" s="41"/>
      <c r="Y300" s="41"/>
      <c r="AA300" s="1122" t="s">
        <v>2442</v>
      </c>
      <c r="AB300" s="1087"/>
      <c r="AC300" s="1087"/>
      <c r="AD300" s="1087"/>
      <c r="AE300" s="1087"/>
      <c r="AF300" s="1087"/>
      <c r="AG300" s="1087"/>
      <c r="AH300" s="1087"/>
      <c r="AI300" s="1087"/>
      <c r="AJ300" s="1087"/>
      <c r="AK300" s="1087"/>
      <c r="BA300" s="43"/>
    </row>
    <row r="301" spans="2:53" ht="12.95" customHeight="1">
      <c r="B301" s="41" t="s">
        <v>399</v>
      </c>
      <c r="C301" s="41"/>
      <c r="D301" s="41"/>
      <c r="E301" s="41"/>
      <c r="F301" s="41"/>
      <c r="G301" s="41"/>
      <c r="H301" s="1109" t="s">
        <v>2393</v>
      </c>
      <c r="I301" s="1110"/>
      <c r="J301" s="1110"/>
      <c r="K301" s="1110"/>
      <c r="L301" s="1110"/>
      <c r="M301" s="1110"/>
      <c r="N301" s="5" t="s">
        <v>858</v>
      </c>
      <c r="O301" s="5"/>
      <c r="P301" s="1114"/>
      <c r="Q301" s="1114"/>
      <c r="R301" s="1114"/>
      <c r="S301" s="41"/>
      <c r="T301" s="41" t="s">
        <v>399</v>
      </c>
      <c r="V301" s="41"/>
      <c r="W301" s="41"/>
      <c r="X301" s="41"/>
      <c r="Y301" s="41"/>
      <c r="AA301" s="1109" t="s">
        <v>2443</v>
      </c>
      <c r="AB301" s="1110"/>
      <c r="AC301" s="1110"/>
      <c r="AD301" s="1110"/>
      <c r="AE301" s="1110"/>
      <c r="AF301" s="1110"/>
      <c r="AG301" s="5" t="s">
        <v>858</v>
      </c>
      <c r="AH301" s="5"/>
      <c r="AI301" s="1114">
        <v>218</v>
      </c>
      <c r="AJ301" s="1114"/>
      <c r="AK301" s="1114"/>
      <c r="BA301" s="43"/>
    </row>
    <row r="302" spans="2:53" ht="12.95" customHeight="1">
      <c r="B302" s="41" t="s">
        <v>400</v>
      </c>
      <c r="C302" s="41"/>
      <c r="D302" s="41"/>
      <c r="E302" s="41"/>
      <c r="F302" s="41"/>
      <c r="G302" s="41"/>
      <c r="H302" s="1112" t="s">
        <v>2394</v>
      </c>
      <c r="I302" s="1111"/>
      <c r="J302" s="1111"/>
      <c r="K302" s="1111"/>
      <c r="L302" s="1111"/>
      <c r="M302" s="1111"/>
      <c r="N302" s="5"/>
      <c r="O302" s="5"/>
      <c r="P302" s="44"/>
      <c r="Q302" s="44"/>
      <c r="R302" s="44"/>
      <c r="S302" s="41"/>
      <c r="T302" s="41" t="s">
        <v>400</v>
      </c>
      <c r="V302" s="41"/>
      <c r="W302" s="41"/>
      <c r="X302" s="41"/>
      <c r="Y302" s="41"/>
      <c r="AA302" s="1111"/>
      <c r="AB302" s="1111"/>
      <c r="AC302" s="1111"/>
      <c r="AD302" s="1111"/>
      <c r="AE302" s="1111"/>
      <c r="AF302" s="1111"/>
      <c r="AG302" s="5"/>
      <c r="AH302" s="5"/>
      <c r="AI302" s="44"/>
      <c r="AJ302" s="44"/>
      <c r="AK302" s="44"/>
      <c r="BA302" s="43"/>
    </row>
    <row r="303" spans="2:53" ht="12.95" customHeight="1">
      <c r="B303" s="41" t="s">
        <v>737</v>
      </c>
      <c r="C303" s="41"/>
      <c r="D303" s="41"/>
      <c r="E303" s="41"/>
      <c r="F303" s="41"/>
      <c r="G303" s="41"/>
      <c r="H303" s="1087"/>
      <c r="I303" s="1087"/>
      <c r="J303" s="1087"/>
      <c r="K303" s="1087"/>
      <c r="L303" s="1087"/>
      <c r="M303" s="1087"/>
      <c r="N303" s="1085"/>
      <c r="O303" s="1085"/>
      <c r="P303" s="1085"/>
      <c r="Q303" s="1085"/>
      <c r="R303" s="1085"/>
      <c r="S303" s="41"/>
      <c r="T303" s="41" t="s">
        <v>737</v>
      </c>
      <c r="V303" s="41"/>
      <c r="W303" s="41"/>
      <c r="X303" s="41"/>
      <c r="Y303" s="41"/>
      <c r="AA303" s="1122" t="s">
        <v>2444</v>
      </c>
      <c r="AB303" s="1087"/>
      <c r="AC303" s="1087"/>
      <c r="AD303" s="1087"/>
      <c r="AE303" s="1087"/>
      <c r="AF303" s="1087"/>
      <c r="AG303" s="1085"/>
      <c r="AH303" s="1085"/>
      <c r="AI303" s="1085"/>
      <c r="AJ303" s="1085"/>
      <c r="AK303" s="1085"/>
      <c r="BA303" s="43"/>
    </row>
    <row r="304" spans="2:53" ht="12.95" customHeight="1">
      <c r="BA304" s="43"/>
    </row>
    <row r="305" spans="2:53" ht="12.95" customHeight="1">
      <c r="B305" s="41" t="s">
        <v>738</v>
      </c>
      <c r="C305" s="41"/>
      <c r="D305" s="41"/>
      <c r="E305" s="41"/>
      <c r="F305" s="41"/>
      <c r="H305" s="1085" t="s">
        <v>2395</v>
      </c>
      <c r="I305" s="1085"/>
      <c r="J305" s="1085"/>
      <c r="K305" s="1085"/>
      <c r="L305" s="1085"/>
      <c r="M305" s="1085"/>
      <c r="N305" s="1085"/>
      <c r="O305" s="1085"/>
      <c r="P305" s="1085"/>
      <c r="Q305" s="1085"/>
      <c r="R305" s="1085"/>
      <c r="T305" s="5" t="s">
        <v>1151</v>
      </c>
      <c r="V305" s="41"/>
      <c r="W305" s="41"/>
      <c r="X305" s="41"/>
      <c r="Y305" s="41"/>
      <c r="AA305" s="1085" t="s">
        <v>2476</v>
      </c>
      <c r="AB305" s="1085"/>
      <c r="AC305" s="1085"/>
      <c r="AD305" s="1085"/>
      <c r="AE305" s="1085"/>
      <c r="AF305" s="1085"/>
      <c r="AG305" s="1085"/>
      <c r="AH305" s="1085"/>
      <c r="AI305" s="1085"/>
      <c r="AJ305" s="1085"/>
      <c r="AK305" s="1085"/>
      <c r="BA305" s="43"/>
    </row>
    <row r="306" spans="2:53" ht="12.95" customHeight="1">
      <c r="B306" s="41" t="s">
        <v>734</v>
      </c>
      <c r="C306" s="41"/>
      <c r="D306" s="41"/>
      <c r="E306" s="41"/>
      <c r="F306" s="41"/>
      <c r="H306" s="1087" t="s">
        <v>2396</v>
      </c>
      <c r="I306" s="1087"/>
      <c r="J306" s="1087"/>
      <c r="K306" s="1087"/>
      <c r="L306" s="1087"/>
      <c r="M306" s="1087"/>
      <c r="N306" s="1087"/>
      <c r="O306" s="1087"/>
      <c r="P306" s="1087"/>
      <c r="Q306" s="1087"/>
      <c r="R306" s="1087"/>
      <c r="T306" s="41" t="s">
        <v>734</v>
      </c>
      <c r="V306" s="41"/>
      <c r="W306" s="41"/>
      <c r="X306" s="41"/>
      <c r="Y306" s="41"/>
      <c r="AA306" s="1087" t="s">
        <v>2477</v>
      </c>
      <c r="AB306" s="1087"/>
      <c r="AC306" s="1087"/>
      <c r="AD306" s="1087"/>
      <c r="AE306" s="1087"/>
      <c r="AF306" s="1087"/>
      <c r="AG306" s="1087"/>
      <c r="AH306" s="1087"/>
      <c r="AI306" s="1087"/>
      <c r="AJ306" s="1087"/>
      <c r="AK306" s="1087"/>
      <c r="BA306" s="43"/>
    </row>
    <row r="307" spans="2:53" ht="12.95" customHeight="1">
      <c r="B307" s="41" t="s">
        <v>736</v>
      </c>
      <c r="C307" s="41"/>
      <c r="D307" s="41"/>
      <c r="E307" s="41"/>
      <c r="F307" s="41"/>
      <c r="H307" s="1087" t="s">
        <v>2397</v>
      </c>
      <c r="I307" s="1087"/>
      <c r="J307" s="1087"/>
      <c r="K307" s="1087"/>
      <c r="L307" s="1087"/>
      <c r="M307" s="1087"/>
      <c r="N307" s="1087"/>
      <c r="O307" s="1087"/>
      <c r="P307" s="1087"/>
      <c r="Q307" s="1087"/>
      <c r="R307" s="1087"/>
      <c r="T307" s="41" t="s">
        <v>735</v>
      </c>
      <c r="V307" s="41"/>
      <c r="W307" s="41"/>
      <c r="X307" s="41"/>
      <c r="Y307" s="41"/>
      <c r="AA307" s="1087" t="s">
        <v>2478</v>
      </c>
      <c r="AB307" s="1087"/>
      <c r="AC307" s="1087"/>
      <c r="AD307" s="1087"/>
      <c r="AE307" s="1087"/>
      <c r="AF307" s="1087"/>
      <c r="AG307" s="1087"/>
      <c r="AH307" s="1087"/>
      <c r="AI307" s="1087"/>
      <c r="AJ307" s="1087"/>
      <c r="AK307" s="1087"/>
      <c r="BA307" s="43"/>
    </row>
    <row r="308" spans="2:53" ht="12.95" customHeight="1">
      <c r="B308" s="41" t="s">
        <v>398</v>
      </c>
      <c r="C308" s="41"/>
      <c r="D308" s="41"/>
      <c r="E308" s="41"/>
      <c r="F308" s="41"/>
      <c r="H308" s="1087" t="s">
        <v>2398</v>
      </c>
      <c r="I308" s="1087"/>
      <c r="J308" s="1087"/>
      <c r="K308" s="1087"/>
      <c r="L308" s="1087"/>
      <c r="M308" s="1087"/>
      <c r="N308" s="1087"/>
      <c r="O308" s="1087"/>
      <c r="P308" s="1087"/>
      <c r="Q308" s="1087"/>
      <c r="R308" s="1087"/>
      <c r="T308" s="41" t="s">
        <v>398</v>
      </c>
      <c r="V308" s="41"/>
      <c r="W308" s="41"/>
      <c r="X308" s="41"/>
      <c r="Y308" s="41"/>
      <c r="AA308" s="1087" t="s">
        <v>2479</v>
      </c>
      <c r="AB308" s="1087"/>
      <c r="AC308" s="1087"/>
      <c r="AD308" s="1087"/>
      <c r="AE308" s="1087"/>
      <c r="AF308" s="1087"/>
      <c r="AG308" s="1087"/>
      <c r="AH308" s="1087"/>
      <c r="AI308" s="1087"/>
      <c r="AJ308" s="1087"/>
      <c r="AK308" s="1087"/>
      <c r="BA308" s="43"/>
    </row>
    <row r="309" spans="2:53" ht="12.95" customHeight="1">
      <c r="B309" s="41" t="s">
        <v>399</v>
      </c>
      <c r="C309" s="41"/>
      <c r="D309" s="41"/>
      <c r="E309" s="41"/>
      <c r="F309" s="41"/>
      <c r="G309" s="41"/>
      <c r="H309" s="1109" t="s">
        <v>2399</v>
      </c>
      <c r="I309" s="1110"/>
      <c r="J309" s="1110"/>
      <c r="K309" s="1110"/>
      <c r="L309" s="1110"/>
      <c r="M309" s="1110"/>
      <c r="N309" s="5" t="s">
        <v>858</v>
      </c>
      <c r="O309" s="5"/>
      <c r="P309" s="1114"/>
      <c r="Q309" s="1114"/>
      <c r="R309" s="1114"/>
      <c r="S309" s="41"/>
      <c r="T309" s="41" t="s">
        <v>399</v>
      </c>
      <c r="V309" s="41"/>
      <c r="W309" s="41"/>
      <c r="X309" s="41"/>
      <c r="Y309" s="41"/>
      <c r="AA309" s="1109" t="s">
        <v>2480</v>
      </c>
      <c r="AB309" s="1110"/>
      <c r="AC309" s="1110"/>
      <c r="AD309" s="1110"/>
      <c r="AE309" s="1110"/>
      <c r="AF309" s="1110"/>
      <c r="AG309" s="5" t="s">
        <v>858</v>
      </c>
      <c r="AH309" s="5"/>
      <c r="AI309" s="1114"/>
      <c r="AJ309" s="1114"/>
      <c r="AK309" s="1114"/>
      <c r="BA309" s="43"/>
    </row>
    <row r="310" spans="2:53" ht="12.95" customHeight="1">
      <c r="B310" s="41" t="s">
        <v>400</v>
      </c>
      <c r="C310" s="41"/>
      <c r="D310" s="41"/>
      <c r="E310" s="41"/>
      <c r="F310" s="41"/>
      <c r="G310" s="41"/>
      <c r="H310" s="1112" t="s">
        <v>2400</v>
      </c>
      <c r="I310" s="1111"/>
      <c r="J310" s="1111"/>
      <c r="K310" s="1111"/>
      <c r="L310" s="1111"/>
      <c r="M310" s="1111"/>
      <c r="N310" s="5"/>
      <c r="O310" s="5"/>
      <c r="P310" s="44"/>
      <c r="Q310" s="44"/>
      <c r="R310" s="44"/>
      <c r="S310" s="41"/>
      <c r="T310" s="41" t="s">
        <v>400</v>
      </c>
      <c r="V310" s="41"/>
      <c r="W310" s="41"/>
      <c r="X310" s="41"/>
      <c r="Y310" s="41"/>
      <c r="AA310" s="1112" t="s">
        <v>132</v>
      </c>
      <c r="AB310" s="1111"/>
      <c r="AC310" s="1111"/>
      <c r="AD310" s="1111"/>
      <c r="AE310" s="1111"/>
      <c r="AF310" s="1111"/>
      <c r="AG310" s="5"/>
      <c r="AH310" s="5"/>
      <c r="AI310" s="44"/>
      <c r="AJ310" s="44"/>
      <c r="AK310" s="44"/>
      <c r="BA310" s="43"/>
    </row>
    <row r="311" spans="2:53" ht="12.95" customHeight="1">
      <c r="B311" s="41" t="s">
        <v>737</v>
      </c>
      <c r="C311" s="41"/>
      <c r="D311" s="41"/>
      <c r="E311" s="41"/>
      <c r="F311" s="41"/>
      <c r="G311" s="41"/>
      <c r="H311" s="1087" t="s">
        <v>2401</v>
      </c>
      <c r="I311" s="1087"/>
      <c r="J311" s="1087"/>
      <c r="K311" s="1087"/>
      <c r="L311" s="1087"/>
      <c r="M311" s="1087"/>
      <c r="N311" s="1085"/>
      <c r="O311" s="1085"/>
      <c r="P311" s="1085"/>
      <c r="Q311" s="1085"/>
      <c r="R311" s="1085"/>
      <c r="S311" s="41"/>
      <c r="T311" s="41" t="s">
        <v>737</v>
      </c>
      <c r="V311" s="41"/>
      <c r="W311" s="41"/>
      <c r="X311" s="41"/>
      <c r="Y311" s="41"/>
      <c r="AA311" s="1087" t="s">
        <v>2481</v>
      </c>
      <c r="AB311" s="1087"/>
      <c r="AC311" s="1087"/>
      <c r="AD311" s="1087"/>
      <c r="AE311" s="1087"/>
      <c r="AF311" s="1087"/>
      <c r="AG311" s="1085"/>
      <c r="AH311" s="1085"/>
      <c r="AI311" s="1085"/>
      <c r="AJ311" s="1085"/>
      <c r="AK311" s="1085"/>
      <c r="BA311" s="43"/>
    </row>
    <row r="312" spans="2:53" ht="12.95" customHeight="1">
      <c r="BA312" s="43"/>
    </row>
    <row r="313" spans="2:53" ht="12.95" customHeight="1">
      <c r="B313" s="5" t="s">
        <v>1193</v>
      </c>
      <c r="C313" s="41"/>
      <c r="D313" s="41"/>
      <c r="E313" s="41"/>
      <c r="F313" s="41"/>
      <c r="H313" s="1085" t="s">
        <v>2395</v>
      </c>
      <c r="I313" s="1085"/>
      <c r="J313" s="1085"/>
      <c r="K313" s="1085"/>
      <c r="L313" s="1085"/>
      <c r="M313" s="1085"/>
      <c r="N313" s="1085"/>
      <c r="O313" s="1085"/>
      <c r="P313" s="1085"/>
      <c r="Q313" s="1085"/>
      <c r="R313" s="1085"/>
      <c r="T313" s="41" t="s">
        <v>40</v>
      </c>
      <c r="V313" s="41"/>
      <c r="W313" s="41"/>
      <c r="X313" s="41"/>
      <c r="Y313" s="41"/>
      <c r="AA313" s="1085" t="s">
        <v>2388</v>
      </c>
      <c r="AB313" s="1085"/>
      <c r="AC313" s="1085"/>
      <c r="AD313" s="1085"/>
      <c r="AE313" s="1085"/>
      <c r="AF313" s="1085"/>
      <c r="AG313" s="1085"/>
      <c r="AH313" s="1085"/>
      <c r="AI313" s="1085"/>
      <c r="AJ313" s="1085"/>
      <c r="AK313" s="1085"/>
      <c r="BA313" s="43"/>
    </row>
    <row r="314" spans="2:53" ht="12.95" customHeight="1">
      <c r="B314" s="41" t="s">
        <v>734</v>
      </c>
      <c r="C314" s="41"/>
      <c r="D314" s="41"/>
      <c r="E314" s="41"/>
      <c r="F314" s="41"/>
      <c r="H314" s="1087" t="s">
        <v>2396</v>
      </c>
      <c r="I314" s="1087"/>
      <c r="J314" s="1087"/>
      <c r="K314" s="1087"/>
      <c r="L314" s="1087"/>
      <c r="M314" s="1087"/>
      <c r="N314" s="1087"/>
      <c r="O314" s="1087"/>
      <c r="P314" s="1087"/>
      <c r="Q314" s="1087"/>
      <c r="R314" s="1087"/>
      <c r="T314" s="41" t="s">
        <v>734</v>
      </c>
      <c r="V314" s="41"/>
      <c r="W314" s="41"/>
      <c r="X314" s="41"/>
      <c r="Y314" s="41"/>
      <c r="AA314" s="1087"/>
      <c r="AB314" s="1087"/>
      <c r="AC314" s="1087"/>
      <c r="AD314" s="1087"/>
      <c r="AE314" s="1087"/>
      <c r="AF314" s="1087"/>
      <c r="AG314" s="1087"/>
      <c r="AH314" s="1087"/>
      <c r="AI314" s="1087"/>
      <c r="AJ314" s="1087"/>
      <c r="AK314" s="1087"/>
      <c r="BA314" s="43"/>
    </row>
    <row r="315" spans="2:53" ht="12.95" customHeight="1">
      <c r="B315" s="41" t="s">
        <v>736</v>
      </c>
      <c r="C315" s="41"/>
      <c r="D315" s="41"/>
      <c r="E315" s="41"/>
      <c r="F315" s="41"/>
      <c r="H315" s="1087" t="s">
        <v>2397</v>
      </c>
      <c r="I315" s="1087"/>
      <c r="J315" s="1087"/>
      <c r="K315" s="1087"/>
      <c r="L315" s="1087"/>
      <c r="M315" s="1087"/>
      <c r="N315" s="1087"/>
      <c r="O315" s="1087"/>
      <c r="P315" s="1087"/>
      <c r="Q315" s="1087"/>
      <c r="R315" s="1087"/>
      <c r="T315" s="41" t="s">
        <v>735</v>
      </c>
      <c r="V315" s="41"/>
      <c r="W315" s="41"/>
      <c r="X315" s="41"/>
      <c r="Y315" s="41"/>
      <c r="AA315" s="1087"/>
      <c r="AB315" s="1087"/>
      <c r="AC315" s="1087"/>
      <c r="AD315" s="1087"/>
      <c r="AE315" s="1087"/>
      <c r="AF315" s="1087"/>
      <c r="AG315" s="1087"/>
      <c r="AH315" s="1087"/>
      <c r="AI315" s="1087"/>
      <c r="AJ315" s="1087"/>
      <c r="AK315" s="1087"/>
      <c r="BA315" s="43"/>
    </row>
    <row r="316" spans="2:53" ht="12.95" customHeight="1">
      <c r="B316" s="41" t="s">
        <v>398</v>
      </c>
      <c r="C316" s="41"/>
      <c r="D316" s="41"/>
      <c r="E316" s="41"/>
      <c r="F316" s="41"/>
      <c r="H316" s="1087" t="s">
        <v>2402</v>
      </c>
      <c r="I316" s="1087"/>
      <c r="J316" s="1087"/>
      <c r="K316" s="1087"/>
      <c r="L316" s="1087"/>
      <c r="M316" s="1087"/>
      <c r="N316" s="1087"/>
      <c r="O316" s="1087"/>
      <c r="P316" s="1087"/>
      <c r="Q316" s="1087"/>
      <c r="R316" s="1087"/>
      <c r="T316" s="41" t="s">
        <v>398</v>
      </c>
      <c r="V316" s="41"/>
      <c r="W316" s="41"/>
      <c r="X316" s="41"/>
      <c r="Y316" s="41"/>
      <c r="AA316" s="1087"/>
      <c r="AB316" s="1087"/>
      <c r="AC316" s="1087"/>
      <c r="AD316" s="1087"/>
      <c r="AE316" s="1087"/>
      <c r="AF316" s="1087"/>
      <c r="AG316" s="1087"/>
      <c r="AH316" s="1087"/>
      <c r="AI316" s="1087"/>
      <c r="AJ316" s="1087"/>
      <c r="AK316" s="1087"/>
      <c r="BA316" s="43"/>
    </row>
    <row r="317" spans="2:53" ht="12.95" customHeight="1">
      <c r="B317" s="41" t="s">
        <v>399</v>
      </c>
      <c r="C317" s="41"/>
      <c r="D317" s="41"/>
      <c r="E317" s="41"/>
      <c r="F317" s="41"/>
      <c r="G317" s="41"/>
      <c r="H317" s="1109" t="s">
        <v>2399</v>
      </c>
      <c r="I317" s="1110"/>
      <c r="J317" s="1110"/>
      <c r="K317" s="1110"/>
      <c r="L317" s="1110"/>
      <c r="M317" s="1110"/>
      <c r="N317" s="5" t="s">
        <v>858</v>
      </c>
      <c r="O317" s="5"/>
      <c r="P317" s="1114"/>
      <c r="Q317" s="1114"/>
      <c r="R317" s="1114"/>
      <c r="S317" s="41"/>
      <c r="T317" s="41" t="s">
        <v>399</v>
      </c>
      <c r="V317" s="41"/>
      <c r="W317" s="41"/>
      <c r="X317" s="41"/>
      <c r="Y317" s="41"/>
      <c r="AA317" s="1110"/>
      <c r="AB317" s="1110"/>
      <c r="AC317" s="1110"/>
      <c r="AD317" s="1110"/>
      <c r="AE317" s="1110"/>
      <c r="AF317" s="1110"/>
      <c r="AG317" s="5" t="s">
        <v>858</v>
      </c>
      <c r="AH317" s="5"/>
      <c r="AI317" s="1114"/>
      <c r="AJ317" s="1114"/>
      <c r="AK317" s="1114"/>
      <c r="BA317" s="43"/>
    </row>
    <row r="318" spans="2:53" ht="12.95" customHeight="1">
      <c r="B318" s="41" t="s">
        <v>400</v>
      </c>
      <c r="C318" s="41"/>
      <c r="D318" s="41"/>
      <c r="E318" s="41"/>
      <c r="F318" s="41"/>
      <c r="G318" s="41"/>
      <c r="H318" s="1112" t="s">
        <v>2400</v>
      </c>
      <c r="I318" s="1111"/>
      <c r="J318" s="1111"/>
      <c r="K318" s="1111"/>
      <c r="L318" s="1111"/>
      <c r="M318" s="1111"/>
      <c r="N318" s="5"/>
      <c r="O318" s="5"/>
      <c r="P318" s="44"/>
      <c r="Q318" s="44"/>
      <c r="R318" s="44"/>
      <c r="S318" s="41"/>
      <c r="T318" s="41" t="s">
        <v>400</v>
      </c>
      <c r="V318" s="41"/>
      <c r="W318" s="41"/>
      <c r="X318" s="41"/>
      <c r="Y318" s="41"/>
      <c r="AA318" s="1111"/>
      <c r="AB318" s="1111"/>
      <c r="AC318" s="1111"/>
      <c r="AD318" s="1111"/>
      <c r="AE318" s="1111"/>
      <c r="AF318" s="1111"/>
      <c r="AG318" s="5"/>
      <c r="AH318" s="5"/>
      <c r="AI318" s="44"/>
      <c r="AJ318" s="44"/>
      <c r="AK318" s="44"/>
      <c r="BA318" s="43"/>
    </row>
    <row r="319" spans="2:53" ht="12.95" customHeight="1">
      <c r="B319" s="41" t="s">
        <v>737</v>
      </c>
      <c r="C319" s="41"/>
      <c r="D319" s="41"/>
      <c r="E319" s="41"/>
      <c r="F319" s="41"/>
      <c r="G319" s="41"/>
      <c r="H319" s="1087" t="s">
        <v>2401</v>
      </c>
      <c r="I319" s="1087"/>
      <c r="J319" s="1087"/>
      <c r="K319" s="1087"/>
      <c r="L319" s="1087"/>
      <c r="M319" s="1087"/>
      <c r="N319" s="1085"/>
      <c r="O319" s="1085"/>
      <c r="P319" s="1085"/>
      <c r="Q319" s="1085"/>
      <c r="R319" s="1085"/>
      <c r="S319" s="41"/>
      <c r="T319" s="41" t="s">
        <v>737</v>
      </c>
      <c r="V319" s="41"/>
      <c r="W319" s="41"/>
      <c r="X319" s="41"/>
      <c r="Y319" s="41"/>
      <c r="AA319" s="1087"/>
      <c r="AB319" s="1087"/>
      <c r="AC319" s="1087"/>
      <c r="AD319" s="1087"/>
      <c r="AE319" s="1087"/>
      <c r="AF319" s="1087"/>
      <c r="AG319" s="1085"/>
      <c r="AH319" s="1085"/>
      <c r="AI319" s="1085"/>
      <c r="AJ319" s="1085"/>
      <c r="AK319" s="1085"/>
      <c r="BA319" s="43"/>
    </row>
    <row r="320" spans="2:53" ht="12.95" customHeight="1">
      <c r="B320" s="41"/>
      <c r="C320" s="41"/>
      <c r="D320" s="41"/>
      <c r="E320" s="41"/>
      <c r="F320" s="41"/>
      <c r="G320" s="41"/>
      <c r="P320" s="259"/>
      <c r="Q320" s="259"/>
      <c r="R320" s="259"/>
      <c r="S320" s="259"/>
      <c r="T320" s="259"/>
      <c r="U320" s="259"/>
      <c r="V320" s="5"/>
      <c r="W320" s="5"/>
      <c r="X320" s="44"/>
      <c r="Y320" s="44"/>
      <c r="Z320" s="44"/>
      <c r="BA320" s="43"/>
    </row>
    <row r="321" spans="2:53" ht="12.95" customHeight="1">
      <c r="B321" s="5" t="s">
        <v>1194</v>
      </c>
      <c r="C321" s="41"/>
      <c r="D321" s="41"/>
      <c r="E321" s="41"/>
      <c r="F321" s="41"/>
      <c r="H321" s="1085" t="s">
        <v>2403</v>
      </c>
      <c r="I321" s="1085"/>
      <c r="J321" s="1085"/>
      <c r="K321" s="1085"/>
      <c r="L321" s="1085"/>
      <c r="M321" s="1085"/>
      <c r="N321" s="1085"/>
      <c r="O321" s="1085"/>
      <c r="P321" s="1085"/>
      <c r="Q321" s="1085"/>
      <c r="R321" s="1085"/>
      <c r="T321" s="41" t="s">
        <v>41</v>
      </c>
      <c r="V321" s="41"/>
      <c r="W321" s="41"/>
      <c r="X321" s="41"/>
      <c r="Y321" s="41"/>
      <c r="AA321" s="1085" t="s">
        <v>2412</v>
      </c>
      <c r="AB321" s="1085"/>
      <c r="AC321" s="1085"/>
      <c r="AD321" s="1085"/>
      <c r="AE321" s="1085"/>
      <c r="AF321" s="1085"/>
      <c r="AG321" s="1085"/>
      <c r="AH321" s="1085"/>
      <c r="AI321" s="1085"/>
      <c r="AJ321" s="1085"/>
      <c r="AK321" s="1085"/>
      <c r="BA321" s="43"/>
    </row>
    <row r="322" spans="2:53" ht="12.95" customHeight="1">
      <c r="B322" s="41" t="s">
        <v>734</v>
      </c>
      <c r="C322" s="41"/>
      <c r="D322" s="41"/>
      <c r="E322" s="41"/>
      <c r="F322" s="41"/>
      <c r="H322" s="1122" t="s">
        <v>2465</v>
      </c>
      <c r="I322" s="1087"/>
      <c r="J322" s="1087"/>
      <c r="K322" s="1087"/>
      <c r="L322" s="1087"/>
      <c r="M322" s="1087"/>
      <c r="N322" s="1087"/>
      <c r="O322" s="1087"/>
      <c r="P322" s="1087"/>
      <c r="Q322" s="1087"/>
      <c r="R322" s="1087"/>
      <c r="T322" s="41" t="s">
        <v>734</v>
      </c>
      <c r="V322" s="41"/>
      <c r="W322" s="41"/>
      <c r="X322" s="41"/>
      <c r="Y322" s="41"/>
      <c r="AA322" s="1087" t="s">
        <v>2413</v>
      </c>
      <c r="AB322" s="1087"/>
      <c r="AC322" s="1087"/>
      <c r="AD322" s="1087"/>
      <c r="AE322" s="1087"/>
      <c r="AF322" s="1087"/>
      <c r="AG322" s="1087"/>
      <c r="AH322" s="1087"/>
      <c r="AI322" s="1087"/>
      <c r="AJ322" s="1087"/>
      <c r="AK322" s="1087"/>
      <c r="BA322" s="43"/>
    </row>
    <row r="323" spans="2:53" ht="12.95" customHeight="1">
      <c r="B323" s="41" t="s">
        <v>736</v>
      </c>
      <c r="C323" s="41"/>
      <c r="D323" s="41"/>
      <c r="E323" s="41"/>
      <c r="F323" s="41"/>
      <c r="H323" s="1087" t="s">
        <v>2404</v>
      </c>
      <c r="I323" s="1087"/>
      <c r="J323" s="1087"/>
      <c r="K323" s="1087"/>
      <c r="L323" s="1087"/>
      <c r="M323" s="1087"/>
      <c r="N323" s="1087"/>
      <c r="O323" s="1087"/>
      <c r="P323" s="1087"/>
      <c r="Q323" s="1087"/>
      <c r="R323" s="1087"/>
      <c r="T323" s="41" t="s">
        <v>735</v>
      </c>
      <c r="V323" s="41"/>
      <c r="W323" s="41"/>
      <c r="X323" s="41"/>
      <c r="Y323" s="41"/>
      <c r="AA323" s="1087" t="s">
        <v>2414</v>
      </c>
      <c r="AB323" s="1087"/>
      <c r="AC323" s="1087"/>
      <c r="AD323" s="1087"/>
      <c r="AE323" s="1087"/>
      <c r="AF323" s="1087"/>
      <c r="AG323" s="1087"/>
      <c r="AH323" s="1087"/>
      <c r="AI323" s="1087"/>
      <c r="AJ323" s="1087"/>
      <c r="AK323" s="1087"/>
      <c r="BA323" s="43"/>
    </row>
    <row r="324" spans="2:53" ht="12.95" customHeight="1">
      <c r="B324" s="41" t="s">
        <v>398</v>
      </c>
      <c r="C324" s="41"/>
      <c r="D324" s="41"/>
      <c r="E324" s="41"/>
      <c r="F324" s="41"/>
      <c r="H324" s="1122" t="s">
        <v>2463</v>
      </c>
      <c r="I324" s="1087"/>
      <c r="J324" s="1087"/>
      <c r="K324" s="1087"/>
      <c r="L324" s="1087"/>
      <c r="M324" s="1087"/>
      <c r="N324" s="1087"/>
      <c r="O324" s="1087"/>
      <c r="P324" s="1087"/>
      <c r="Q324" s="1087"/>
      <c r="R324" s="1087"/>
      <c r="T324" s="41" t="s">
        <v>398</v>
      </c>
      <c r="V324" s="41"/>
      <c r="W324" s="41"/>
      <c r="X324" s="41"/>
      <c r="Y324" s="41"/>
      <c r="AA324" s="1087" t="s">
        <v>2415</v>
      </c>
      <c r="AB324" s="1087"/>
      <c r="AC324" s="1087"/>
      <c r="AD324" s="1087"/>
      <c r="AE324" s="1087"/>
      <c r="AF324" s="1087"/>
      <c r="AG324" s="1087"/>
      <c r="AH324" s="1087"/>
      <c r="AI324" s="1087"/>
      <c r="AJ324" s="1087"/>
      <c r="AK324" s="1087"/>
      <c r="BA324" s="43"/>
    </row>
    <row r="325" spans="2:53" ht="12.95" customHeight="1">
      <c r="B325" s="41" t="s">
        <v>399</v>
      </c>
      <c r="C325" s="41"/>
      <c r="D325" s="41"/>
      <c r="E325" s="41"/>
      <c r="F325" s="41"/>
      <c r="G325" s="41"/>
      <c r="H325" s="1109" t="s">
        <v>2439</v>
      </c>
      <c r="I325" s="1110"/>
      <c r="J325" s="1110"/>
      <c r="K325" s="1110"/>
      <c r="L325" s="1110"/>
      <c r="M325" s="1110"/>
      <c r="N325" s="5" t="s">
        <v>858</v>
      </c>
      <c r="O325" s="5"/>
      <c r="P325" s="1114"/>
      <c r="Q325" s="1114"/>
      <c r="R325" s="1114"/>
      <c r="S325" s="41"/>
      <c r="T325" s="41" t="s">
        <v>399</v>
      </c>
      <c r="V325" s="41"/>
      <c r="W325" s="41"/>
      <c r="X325" s="41"/>
      <c r="Y325" s="41"/>
      <c r="AA325" s="1109" t="s">
        <v>2416</v>
      </c>
      <c r="AB325" s="1110"/>
      <c r="AC325" s="1110"/>
      <c r="AD325" s="1110"/>
      <c r="AE325" s="1110"/>
      <c r="AF325" s="1110"/>
      <c r="AG325" s="5" t="s">
        <v>858</v>
      </c>
      <c r="AH325" s="5"/>
      <c r="AI325" s="1114"/>
      <c r="AJ325" s="1114"/>
      <c r="AK325" s="1114"/>
      <c r="BA325" s="43"/>
    </row>
    <row r="326" spans="2:53" ht="12.95" customHeight="1">
      <c r="B326" s="41" t="s">
        <v>400</v>
      </c>
      <c r="C326" s="41"/>
      <c r="D326" s="41"/>
      <c r="E326" s="41"/>
      <c r="F326" s="41"/>
      <c r="G326" s="41"/>
      <c r="H326" s="1111"/>
      <c r="I326" s="1111"/>
      <c r="J326" s="1111"/>
      <c r="K326" s="1111"/>
      <c r="L326" s="1111"/>
      <c r="M326" s="1111"/>
      <c r="N326" s="5"/>
      <c r="O326" s="5"/>
      <c r="P326" s="44"/>
      <c r="Q326" s="44"/>
      <c r="R326" s="44"/>
      <c r="S326" s="41"/>
      <c r="T326" s="41" t="s">
        <v>400</v>
      </c>
      <c r="V326" s="41"/>
      <c r="W326" s="41"/>
      <c r="X326" s="41"/>
      <c r="Y326" s="41"/>
      <c r="AA326" s="1112" t="s">
        <v>2417</v>
      </c>
      <c r="AB326" s="1111"/>
      <c r="AC326" s="1111"/>
      <c r="AD326" s="1111"/>
      <c r="AE326" s="1111"/>
      <c r="AF326" s="1111"/>
      <c r="AG326" s="5"/>
      <c r="AH326" s="5"/>
      <c r="AI326" s="44"/>
      <c r="AJ326" s="44"/>
      <c r="AK326" s="44"/>
      <c r="BA326" s="43"/>
    </row>
    <row r="327" spans="2:53" ht="12.95" customHeight="1">
      <c r="B327" s="41" t="s">
        <v>737</v>
      </c>
      <c r="C327" s="41"/>
      <c r="D327" s="41"/>
      <c r="E327" s="41"/>
      <c r="F327" s="41"/>
      <c r="G327" s="41"/>
      <c r="H327" s="1122" t="s">
        <v>2464</v>
      </c>
      <c r="I327" s="1087"/>
      <c r="J327" s="1087"/>
      <c r="K327" s="1087"/>
      <c r="L327" s="1087"/>
      <c r="M327" s="1087"/>
      <c r="N327" s="1085"/>
      <c r="O327" s="1085"/>
      <c r="P327" s="1085"/>
      <c r="Q327" s="1085"/>
      <c r="R327" s="1085"/>
      <c r="S327" s="41"/>
      <c r="T327" s="41" t="s">
        <v>737</v>
      </c>
      <c r="V327" s="41"/>
      <c r="W327" s="41"/>
      <c r="X327" s="41"/>
      <c r="Y327" s="41"/>
      <c r="AA327" s="1087" t="s">
        <v>2418</v>
      </c>
      <c r="AB327" s="1087"/>
      <c r="AC327" s="1087"/>
      <c r="AD327" s="1087"/>
      <c r="AE327" s="1087"/>
      <c r="AF327" s="1087"/>
      <c r="AG327" s="1085"/>
      <c r="AH327" s="1085"/>
      <c r="AI327" s="1085"/>
      <c r="AJ327" s="1085"/>
      <c r="AK327" s="1085"/>
      <c r="BA327" s="43"/>
    </row>
    <row r="328" spans="2:53" ht="12.95" customHeight="1">
      <c r="B328" s="5"/>
      <c r="C328" s="41"/>
      <c r="D328" s="41"/>
      <c r="E328" s="41"/>
      <c r="F328" s="41"/>
      <c r="G328" s="41"/>
      <c r="P328" s="259"/>
      <c r="Q328" s="259"/>
      <c r="R328" s="259"/>
      <c r="S328" s="259"/>
      <c r="T328" s="259"/>
      <c r="U328" s="259"/>
      <c r="V328" s="5"/>
      <c r="W328" s="5"/>
      <c r="X328" s="44"/>
      <c r="Y328" s="44"/>
      <c r="Z328" s="44"/>
      <c r="BA328" s="43"/>
    </row>
    <row r="329" spans="2:53" ht="12.95" customHeight="1">
      <c r="B329" s="41" t="s">
        <v>42</v>
      </c>
      <c r="C329" s="41"/>
      <c r="D329" s="41"/>
      <c r="E329" s="41"/>
      <c r="F329" s="41"/>
      <c r="H329" s="1085" t="s">
        <v>2405</v>
      </c>
      <c r="I329" s="1085"/>
      <c r="J329" s="1085"/>
      <c r="K329" s="1085"/>
      <c r="L329" s="1085"/>
      <c r="M329" s="1085"/>
      <c r="N329" s="1085"/>
      <c r="O329" s="1085"/>
      <c r="P329" s="1085"/>
      <c r="Q329" s="1085"/>
      <c r="R329" s="1085"/>
      <c r="T329" s="5" t="s">
        <v>1152</v>
      </c>
      <c r="V329" s="41"/>
      <c r="W329" s="41"/>
      <c r="X329" s="41"/>
      <c r="Y329" s="41"/>
      <c r="AA329" s="1085" t="s">
        <v>2419</v>
      </c>
      <c r="AB329" s="1085"/>
      <c r="AC329" s="1085"/>
      <c r="AD329" s="1085"/>
      <c r="AE329" s="1085"/>
      <c r="AF329" s="1085"/>
      <c r="AG329" s="1085"/>
      <c r="AH329" s="1085"/>
      <c r="AI329" s="1085"/>
      <c r="AJ329" s="1085"/>
      <c r="AK329" s="1085"/>
      <c r="BA329" s="43"/>
    </row>
    <row r="330" spans="2:53" ht="12.95" customHeight="1">
      <c r="B330" s="41" t="s">
        <v>734</v>
      </c>
      <c r="C330" s="41"/>
      <c r="D330" s="41"/>
      <c r="E330" s="41"/>
      <c r="F330" s="41"/>
      <c r="H330" s="1087" t="s">
        <v>2406</v>
      </c>
      <c r="I330" s="1087"/>
      <c r="J330" s="1087"/>
      <c r="K330" s="1087"/>
      <c r="L330" s="1087"/>
      <c r="M330" s="1087"/>
      <c r="N330" s="1087"/>
      <c r="O330" s="1087"/>
      <c r="P330" s="1087"/>
      <c r="Q330" s="1087"/>
      <c r="R330" s="1087"/>
      <c r="T330" s="41" t="s">
        <v>734</v>
      </c>
      <c r="V330" s="41"/>
      <c r="W330" s="41"/>
      <c r="X330" s="41"/>
      <c r="Y330" s="41"/>
      <c r="AA330" s="1087" t="s">
        <v>2371</v>
      </c>
      <c r="AB330" s="1087"/>
      <c r="AC330" s="1087"/>
      <c r="AD330" s="1087"/>
      <c r="AE330" s="1087"/>
      <c r="AF330" s="1087"/>
      <c r="AG330" s="1087"/>
      <c r="AH330" s="1087"/>
      <c r="AI330" s="1087"/>
      <c r="AJ330" s="1087"/>
      <c r="AK330" s="1087"/>
      <c r="BA330" s="43"/>
    </row>
    <row r="331" spans="2:53" ht="12.95" customHeight="1">
      <c r="B331" s="41" t="s">
        <v>736</v>
      </c>
      <c r="C331" s="41"/>
      <c r="D331" s="41"/>
      <c r="E331" s="41"/>
      <c r="F331" s="41"/>
      <c r="G331" s="41"/>
      <c r="H331" s="1087" t="s">
        <v>2407</v>
      </c>
      <c r="I331" s="1087"/>
      <c r="J331" s="1087"/>
      <c r="K331" s="1087"/>
      <c r="L331" s="1087"/>
      <c r="M331" s="1087"/>
      <c r="N331" s="1087"/>
      <c r="O331" s="1087"/>
      <c r="P331" s="1087"/>
      <c r="Q331" s="1087"/>
      <c r="R331" s="1087"/>
      <c r="T331" s="41" t="s">
        <v>735</v>
      </c>
      <c r="V331" s="41"/>
      <c r="W331" s="41"/>
      <c r="X331" s="41"/>
      <c r="Y331" s="41"/>
      <c r="AA331" s="1087" t="s">
        <v>2380</v>
      </c>
      <c r="AB331" s="1087"/>
      <c r="AC331" s="1087"/>
      <c r="AD331" s="1087"/>
      <c r="AE331" s="1087"/>
      <c r="AF331" s="1087"/>
      <c r="AG331" s="1087"/>
      <c r="AH331" s="1087"/>
      <c r="AI331" s="1087"/>
      <c r="AJ331" s="1087"/>
      <c r="AK331" s="1087"/>
      <c r="BA331" s="43"/>
    </row>
    <row r="332" spans="2:53" ht="12.95" customHeight="1">
      <c r="B332" s="41" t="s">
        <v>398</v>
      </c>
      <c r="C332" s="41"/>
      <c r="D332" s="41"/>
      <c r="E332" s="41"/>
      <c r="F332" s="41"/>
      <c r="H332" s="1087" t="s">
        <v>2408</v>
      </c>
      <c r="I332" s="1087"/>
      <c r="J332" s="1087"/>
      <c r="K332" s="1087"/>
      <c r="L332" s="1087"/>
      <c r="M332" s="1087"/>
      <c r="N332" s="1087"/>
      <c r="O332" s="1087"/>
      <c r="P332" s="1087"/>
      <c r="Q332" s="1087"/>
      <c r="R332" s="1087"/>
      <c r="T332" s="41" t="s">
        <v>398</v>
      </c>
      <c r="V332" s="41"/>
      <c r="W332" s="41"/>
      <c r="X332" s="41"/>
      <c r="Y332" s="41"/>
      <c r="AA332" s="1087" t="s">
        <v>2374</v>
      </c>
      <c r="AB332" s="1087"/>
      <c r="AC332" s="1087"/>
      <c r="AD332" s="1087"/>
      <c r="AE332" s="1087"/>
      <c r="AF332" s="1087"/>
      <c r="AG332" s="1087"/>
      <c r="AH332" s="1087"/>
      <c r="AI332" s="1087"/>
      <c r="AJ332" s="1087"/>
      <c r="AK332" s="1087"/>
      <c r="BA332" s="43"/>
    </row>
    <row r="333" spans="2:53" ht="12.95" customHeight="1">
      <c r="B333" s="41" t="s">
        <v>399</v>
      </c>
      <c r="C333" s="41"/>
      <c r="D333" s="41"/>
      <c r="E333" s="41"/>
      <c r="F333" s="41"/>
      <c r="G333" s="41"/>
      <c r="H333" s="1109" t="s">
        <v>2409</v>
      </c>
      <c r="I333" s="1110"/>
      <c r="J333" s="1110"/>
      <c r="K333" s="1110"/>
      <c r="L333" s="1110"/>
      <c r="M333" s="1110"/>
      <c r="N333" s="5" t="s">
        <v>858</v>
      </c>
      <c r="O333" s="5"/>
      <c r="P333" s="1114"/>
      <c r="Q333" s="1114"/>
      <c r="R333" s="1114"/>
      <c r="T333" s="41" t="s">
        <v>399</v>
      </c>
      <c r="V333" s="41"/>
      <c r="W333" s="41"/>
      <c r="X333" s="41"/>
      <c r="Y333" s="41"/>
      <c r="AA333" s="1109" t="s">
        <v>2375</v>
      </c>
      <c r="AB333" s="1110"/>
      <c r="AC333" s="1110"/>
      <c r="AD333" s="1110"/>
      <c r="AE333" s="1110"/>
      <c r="AF333" s="1110"/>
      <c r="AG333" s="5" t="s">
        <v>858</v>
      </c>
      <c r="AH333" s="5"/>
      <c r="AI333" s="1114"/>
      <c r="AJ333" s="1114"/>
      <c r="AK333" s="1114"/>
      <c r="BA333" s="43"/>
    </row>
    <row r="334" spans="2:53" ht="12.95" customHeight="1">
      <c r="B334" s="41" t="s">
        <v>400</v>
      </c>
      <c r="C334" s="41"/>
      <c r="D334" s="41"/>
      <c r="E334" s="41"/>
      <c r="F334" s="41"/>
      <c r="G334" s="41"/>
      <c r="H334" s="1112" t="s">
        <v>2410</v>
      </c>
      <c r="I334" s="1111"/>
      <c r="J334" s="1111"/>
      <c r="K334" s="1111"/>
      <c r="L334" s="1111"/>
      <c r="M334" s="1111"/>
      <c r="N334" s="5"/>
      <c r="O334" s="5"/>
      <c r="P334" s="44"/>
      <c r="Q334" s="44"/>
      <c r="R334" s="44"/>
      <c r="T334" s="41" t="s">
        <v>400</v>
      </c>
      <c r="V334" s="41"/>
      <c r="W334" s="41"/>
      <c r="X334" s="41"/>
      <c r="Y334" s="41"/>
      <c r="AA334" s="1111"/>
      <c r="AB334" s="1111"/>
      <c r="AC334" s="1111"/>
      <c r="AD334" s="1111"/>
      <c r="AE334" s="1111"/>
      <c r="AF334" s="1111"/>
      <c r="AG334" s="5"/>
      <c r="AH334" s="5"/>
      <c r="AI334" s="44"/>
      <c r="AJ334" s="44"/>
      <c r="AK334" s="44"/>
      <c r="BA334" s="43"/>
    </row>
    <row r="335" spans="2:53" ht="12.95" customHeight="1">
      <c r="B335" s="41" t="s">
        <v>737</v>
      </c>
      <c r="C335" s="41"/>
      <c r="D335" s="41"/>
      <c r="E335" s="41"/>
      <c r="F335" s="41"/>
      <c r="G335" s="41"/>
      <c r="H335" s="1087" t="s">
        <v>2411</v>
      </c>
      <c r="I335" s="1087"/>
      <c r="J335" s="1087"/>
      <c r="K335" s="1087"/>
      <c r="L335" s="1087"/>
      <c r="M335" s="1087"/>
      <c r="N335" s="1085"/>
      <c r="O335" s="1085"/>
      <c r="P335" s="1085"/>
      <c r="Q335" s="1085"/>
      <c r="R335" s="1085"/>
      <c r="T335" s="41" t="s">
        <v>737</v>
      </c>
      <c r="V335" s="41"/>
      <c r="W335" s="41"/>
      <c r="X335" s="41"/>
      <c r="Y335" s="41"/>
      <c r="AA335" s="1087" t="s">
        <v>2420</v>
      </c>
      <c r="AB335" s="1087"/>
      <c r="AC335" s="1087"/>
      <c r="AD335" s="1087"/>
      <c r="AE335" s="1087"/>
      <c r="AF335" s="1087"/>
      <c r="AG335" s="1085"/>
      <c r="AH335" s="1085"/>
      <c r="AI335" s="1085"/>
      <c r="AJ335" s="1085"/>
      <c r="AK335" s="1085"/>
      <c r="BA335" s="43"/>
    </row>
    <row r="336" spans="2:53" ht="12.95" customHeight="1">
      <c r="B336" s="41"/>
      <c r="C336" s="41"/>
      <c r="D336" s="41"/>
      <c r="E336" s="41"/>
      <c r="F336" s="41"/>
      <c r="G336" s="41"/>
      <c r="H336" s="12"/>
      <c r="I336" s="12"/>
      <c r="J336" s="12"/>
      <c r="K336" s="12"/>
      <c r="L336" s="12"/>
      <c r="M336" s="12"/>
      <c r="N336" s="12"/>
      <c r="O336" s="12"/>
      <c r="P336" s="12"/>
      <c r="Q336" s="12"/>
      <c r="R336" s="12"/>
      <c r="T336" s="41"/>
      <c r="V336" s="41"/>
      <c r="W336" s="41"/>
      <c r="X336" s="41"/>
      <c r="Y336" s="41"/>
      <c r="AA336" s="12"/>
      <c r="AB336" s="12"/>
      <c r="AC336" s="12"/>
      <c r="AD336" s="12"/>
      <c r="AE336" s="12"/>
      <c r="AF336" s="12"/>
      <c r="AG336" s="12"/>
      <c r="AH336" s="12"/>
      <c r="AI336" s="12"/>
      <c r="AJ336" s="12"/>
      <c r="AK336" s="12"/>
      <c r="BA336" s="43"/>
    </row>
    <row r="337" spans="1:53" ht="12.95" customHeight="1">
      <c r="B337" s="5" t="s">
        <v>43</v>
      </c>
      <c r="C337" s="365"/>
      <c r="D337" s="365"/>
      <c r="E337" s="365"/>
      <c r="F337" s="365"/>
      <c r="G337" s="365"/>
      <c r="H337" s="1085" t="s">
        <v>132</v>
      </c>
      <c r="I337" s="1085"/>
      <c r="J337" s="1085"/>
      <c r="K337" s="1085"/>
      <c r="L337" s="1085"/>
      <c r="M337" s="1085"/>
      <c r="N337" s="1085"/>
      <c r="O337" s="1085"/>
      <c r="P337" s="1085"/>
      <c r="Q337" s="1085"/>
      <c r="R337" s="1085"/>
      <c r="T337" s="365" t="s">
        <v>1192</v>
      </c>
      <c r="AA337" s="1085" t="s">
        <v>132</v>
      </c>
      <c r="AB337" s="1085"/>
      <c r="AC337" s="1085"/>
      <c r="AD337" s="1085"/>
      <c r="AE337" s="1085"/>
      <c r="AF337" s="1085"/>
      <c r="AG337" s="1085"/>
      <c r="AH337" s="1085"/>
      <c r="AI337" s="1085"/>
      <c r="AJ337" s="1085"/>
      <c r="AK337" s="1085"/>
      <c r="BA337" s="43"/>
    </row>
    <row r="338" spans="1:53" ht="12.95" customHeight="1">
      <c r="B338" s="365" t="s">
        <v>734</v>
      </c>
      <c r="C338" s="365"/>
      <c r="D338" s="365"/>
      <c r="E338" s="365"/>
      <c r="F338" s="365"/>
      <c r="G338" s="365"/>
      <c r="H338" s="1087"/>
      <c r="I338" s="1087"/>
      <c r="J338" s="1087"/>
      <c r="K338" s="1087"/>
      <c r="L338" s="1087"/>
      <c r="M338" s="1087"/>
      <c r="N338" s="1087"/>
      <c r="O338" s="1087"/>
      <c r="P338" s="1087"/>
      <c r="Q338" s="1087"/>
      <c r="R338" s="1087"/>
      <c r="T338" s="41" t="s">
        <v>734</v>
      </c>
      <c r="AA338" s="1087"/>
      <c r="AB338" s="1087"/>
      <c r="AC338" s="1087"/>
      <c r="AD338" s="1087"/>
      <c r="AE338" s="1087"/>
      <c r="AF338" s="1087"/>
      <c r="AG338" s="1087"/>
      <c r="AH338" s="1087"/>
      <c r="AI338" s="1087"/>
      <c r="AJ338" s="1087"/>
      <c r="AK338" s="1087"/>
      <c r="BA338" s="43"/>
    </row>
    <row r="339" spans="1:53" ht="12.95" customHeight="1">
      <c r="B339" s="365" t="s">
        <v>736</v>
      </c>
      <c r="C339" s="365"/>
      <c r="D339" s="365"/>
      <c r="E339" s="365"/>
      <c r="F339" s="365"/>
      <c r="G339" s="365"/>
      <c r="H339" s="1087"/>
      <c r="I339" s="1087"/>
      <c r="J339" s="1087"/>
      <c r="K339" s="1087"/>
      <c r="L339" s="1087"/>
      <c r="M339" s="1087"/>
      <c r="N339" s="1087"/>
      <c r="O339" s="1087"/>
      <c r="P339" s="1087"/>
      <c r="Q339" s="1087"/>
      <c r="R339" s="1087"/>
      <c r="T339" s="41" t="s">
        <v>735</v>
      </c>
      <c r="AA339" s="1087"/>
      <c r="AB339" s="1087"/>
      <c r="AC339" s="1087"/>
      <c r="AD339" s="1087"/>
      <c r="AE339" s="1087"/>
      <c r="AF339" s="1087"/>
      <c r="AG339" s="1087"/>
      <c r="AH339" s="1087"/>
      <c r="AI339" s="1087"/>
      <c r="AJ339" s="1087"/>
      <c r="AK339" s="1087"/>
    </row>
    <row r="340" spans="1:53" ht="12.95" customHeight="1">
      <c r="B340" s="365" t="s">
        <v>398</v>
      </c>
      <c r="C340" s="365"/>
      <c r="D340" s="365"/>
      <c r="E340" s="365"/>
      <c r="F340" s="365"/>
      <c r="G340" s="365"/>
      <c r="H340" s="1087"/>
      <c r="I340" s="1087"/>
      <c r="J340" s="1087"/>
      <c r="K340" s="1087"/>
      <c r="L340" s="1087"/>
      <c r="M340" s="1087"/>
      <c r="N340" s="1087"/>
      <c r="O340" s="1087"/>
      <c r="P340" s="1087"/>
      <c r="Q340" s="1087"/>
      <c r="R340" s="1087"/>
      <c r="T340" s="41" t="s">
        <v>398</v>
      </c>
      <c r="AA340" s="1087"/>
      <c r="AB340" s="1087"/>
      <c r="AC340" s="1087"/>
      <c r="AD340" s="1087"/>
      <c r="AE340" s="1087"/>
      <c r="AF340" s="1087"/>
      <c r="AG340" s="1087"/>
      <c r="AH340" s="1087"/>
      <c r="AI340" s="1087"/>
      <c r="AJ340" s="1087"/>
      <c r="AK340" s="1087"/>
    </row>
    <row r="341" spans="1:53" ht="12.95" customHeight="1">
      <c r="B341" s="365" t="s">
        <v>399</v>
      </c>
      <c r="C341" s="365"/>
      <c r="D341" s="365"/>
      <c r="E341" s="365"/>
      <c r="F341" s="365"/>
      <c r="G341" s="365"/>
      <c r="H341" s="1110"/>
      <c r="I341" s="1110"/>
      <c r="J341" s="1110"/>
      <c r="K341" s="1110"/>
      <c r="L341" s="1110"/>
      <c r="M341" s="1110"/>
      <c r="N341" s="5" t="s">
        <v>858</v>
      </c>
      <c r="O341" s="5"/>
      <c r="P341" s="1114"/>
      <c r="Q341" s="1114"/>
      <c r="R341" s="1114"/>
      <c r="T341" s="41" t="s">
        <v>399</v>
      </c>
      <c r="AA341" s="1110"/>
      <c r="AB341" s="1110"/>
      <c r="AC341" s="1110"/>
      <c r="AD341" s="1110"/>
      <c r="AE341" s="1110"/>
      <c r="AF341" s="1110"/>
      <c r="AG341" s="5" t="s">
        <v>858</v>
      </c>
      <c r="AH341" s="5"/>
      <c r="AI341" s="1114"/>
      <c r="AJ341" s="1114"/>
      <c r="AK341" s="1114"/>
    </row>
    <row r="342" spans="1:53" ht="12.95" customHeight="1">
      <c r="B342" s="365" t="s">
        <v>400</v>
      </c>
      <c r="C342" s="365"/>
      <c r="D342" s="365"/>
      <c r="E342" s="365"/>
      <c r="F342" s="365"/>
      <c r="G342" s="365"/>
      <c r="H342" s="1111"/>
      <c r="I342" s="1111"/>
      <c r="J342" s="1111"/>
      <c r="K342" s="1111"/>
      <c r="L342" s="1111"/>
      <c r="M342" s="1111"/>
      <c r="N342" s="5"/>
      <c r="O342" s="5"/>
      <c r="P342" s="44"/>
      <c r="Q342" s="44"/>
      <c r="R342" s="44"/>
      <c r="T342" s="41" t="s">
        <v>400</v>
      </c>
      <c r="AA342" s="1111"/>
      <c r="AB342" s="1111"/>
      <c r="AC342" s="1111"/>
      <c r="AD342" s="1111"/>
      <c r="AE342" s="1111"/>
      <c r="AF342" s="1111"/>
      <c r="AG342" s="5"/>
      <c r="AH342" s="5"/>
      <c r="AI342" s="44"/>
      <c r="AJ342" s="44"/>
      <c r="AK342" s="44"/>
    </row>
    <row r="343" spans="1:53" ht="12.95" customHeight="1">
      <c r="B343" s="365" t="s">
        <v>737</v>
      </c>
      <c r="C343" s="365"/>
      <c r="D343" s="365"/>
      <c r="E343" s="365"/>
      <c r="F343" s="365"/>
      <c r="G343" s="365"/>
      <c r="H343" s="1087"/>
      <c r="I343" s="1087"/>
      <c r="J343" s="1087"/>
      <c r="K343" s="1087"/>
      <c r="L343" s="1087"/>
      <c r="M343" s="1087"/>
      <c r="N343" s="1085"/>
      <c r="O343" s="1085"/>
      <c r="P343" s="1085"/>
      <c r="Q343" s="1085"/>
      <c r="R343" s="1085"/>
      <c r="T343" s="41" t="s">
        <v>737</v>
      </c>
      <c r="AA343" s="1087"/>
      <c r="AB343" s="1087"/>
      <c r="AC343" s="1087"/>
      <c r="AD343" s="1087"/>
      <c r="AE343" s="1087"/>
      <c r="AF343" s="1087"/>
      <c r="AG343" s="1085"/>
      <c r="AH343" s="1085"/>
      <c r="AI343" s="1085"/>
      <c r="AJ343" s="1085"/>
      <c r="AK343" s="1085"/>
    </row>
    <row r="344" spans="1:53" ht="12.95" customHeight="1">
      <c r="B344" s="41"/>
      <c r="C344" s="41"/>
      <c r="D344" s="41"/>
      <c r="E344" s="41"/>
      <c r="F344" s="41"/>
      <c r="G344" s="41"/>
      <c r="H344" s="12"/>
      <c r="I344" s="12"/>
      <c r="J344" s="12"/>
      <c r="K344" s="12"/>
      <c r="L344" s="12"/>
      <c r="M344" s="12"/>
      <c r="N344" s="12"/>
      <c r="O344" s="12"/>
      <c r="P344" s="12"/>
      <c r="Q344" s="12"/>
      <c r="R344" s="12"/>
      <c r="T344" s="41"/>
      <c r="V344" s="41"/>
      <c r="W344" s="41"/>
      <c r="X344" s="41"/>
      <c r="Y344" s="41"/>
      <c r="AA344" s="12"/>
      <c r="AB344" s="12"/>
      <c r="AC344" s="12"/>
      <c r="AD344" s="12"/>
      <c r="AE344" s="12"/>
      <c r="AF344" s="12"/>
      <c r="AG344" s="12"/>
      <c r="AH344" s="12"/>
      <c r="AI344" s="12"/>
      <c r="AJ344" s="12"/>
      <c r="AK344" s="12"/>
    </row>
    <row r="345" spans="1:53" ht="12.95" customHeight="1">
      <c r="A345" s="1284" t="s">
        <v>525</v>
      </c>
      <c r="B345" s="1284"/>
      <c r="C345" s="1284"/>
      <c r="D345" s="1284"/>
      <c r="E345" s="1284"/>
      <c r="F345" s="1284"/>
      <c r="G345" s="1284"/>
      <c r="H345" s="1284"/>
      <c r="I345" s="1284"/>
      <c r="J345" s="1284"/>
      <c r="K345" s="1284"/>
      <c r="L345" s="1284"/>
      <c r="M345" s="1284"/>
      <c r="N345" s="1284"/>
      <c r="O345" s="1284"/>
      <c r="P345" s="1284"/>
      <c r="Q345" s="1284"/>
      <c r="R345" s="1284"/>
      <c r="S345" s="1284"/>
      <c r="T345" s="1284"/>
      <c r="U345" s="1284"/>
      <c r="V345" s="1284"/>
      <c r="W345" s="1284"/>
      <c r="X345" s="1284"/>
      <c r="Y345" s="1284"/>
      <c r="Z345" s="1284"/>
      <c r="AA345" s="1284"/>
      <c r="AB345" s="1284"/>
      <c r="AC345" s="1284"/>
      <c r="AD345" s="1284"/>
      <c r="AE345" s="1284"/>
      <c r="AF345" s="1284"/>
      <c r="AG345" s="1284"/>
      <c r="AH345" s="1284"/>
      <c r="AI345" s="1284"/>
      <c r="AJ345" s="1284"/>
      <c r="AK345" s="1284"/>
      <c r="AL345" s="1284"/>
    </row>
    <row r="346" spans="1:53" ht="12.95" customHeight="1" thickBot="1">
      <c r="A346" s="1285"/>
      <c r="B346" s="1285"/>
      <c r="C346" s="1285"/>
      <c r="D346" s="1285"/>
      <c r="E346" s="1285"/>
      <c r="F346" s="1285"/>
      <c r="G346" s="1285"/>
      <c r="H346" s="1285"/>
      <c r="I346" s="1285"/>
      <c r="J346" s="1285"/>
      <c r="K346" s="1285"/>
      <c r="L346" s="1285"/>
      <c r="M346" s="1285"/>
      <c r="N346" s="1285"/>
      <c r="O346" s="1285"/>
      <c r="P346" s="1285"/>
      <c r="Q346" s="1285"/>
      <c r="R346" s="1285"/>
      <c r="S346" s="1285"/>
      <c r="T346" s="1285"/>
      <c r="U346" s="1285"/>
      <c r="V346" s="1285"/>
      <c r="W346" s="1285"/>
      <c r="X346" s="1285"/>
      <c r="Y346" s="1285"/>
      <c r="Z346" s="1285"/>
      <c r="AA346" s="1285"/>
      <c r="AB346" s="1285"/>
      <c r="AC346" s="1285"/>
      <c r="AD346" s="1285"/>
      <c r="AE346" s="1285"/>
      <c r="AF346" s="1285"/>
      <c r="AG346" s="1285"/>
      <c r="AH346" s="1285"/>
      <c r="AI346" s="1285"/>
      <c r="AJ346" s="1285"/>
      <c r="AK346" s="1285"/>
      <c r="AL346" s="1285"/>
    </row>
    <row r="347" spans="1:53" ht="12.95" customHeight="1" thickTop="1">
      <c r="I347" s="5"/>
      <c r="J347" s="5"/>
      <c r="K347" s="32"/>
      <c r="L347" s="32"/>
      <c r="M347" s="32"/>
      <c r="N347" s="32"/>
      <c r="O347" s="32"/>
      <c r="P347" s="32"/>
      <c r="Q347" s="32"/>
      <c r="R347" s="32"/>
      <c r="S347" s="32"/>
      <c r="T347" s="32"/>
      <c r="U347" s="32"/>
      <c r="V347" s="32"/>
      <c r="W347" s="32"/>
      <c r="X347" s="32"/>
      <c r="Y347" s="32"/>
      <c r="Z347" s="32"/>
      <c r="AA347" s="32"/>
      <c r="AB347" s="32"/>
      <c r="AC347" s="32"/>
      <c r="AD347" s="32"/>
      <c r="AE347" s="32"/>
      <c r="AF347" s="32"/>
      <c r="AG347" s="32"/>
      <c r="AH347" s="32"/>
      <c r="AI347" s="32"/>
      <c r="AJ347" s="32"/>
      <c r="AK347" s="5"/>
      <c r="AL347" s="32"/>
    </row>
    <row r="348" spans="1:53" ht="12.95" customHeight="1">
      <c r="A348" s="3" t="s">
        <v>688</v>
      </c>
      <c r="B348" s="3"/>
      <c r="C348" s="3" t="s">
        <v>561</v>
      </c>
    </row>
    <row r="349" spans="1:53" ht="12.95" customHeight="1">
      <c r="D349" t="s">
        <v>44</v>
      </c>
      <c r="M349" s="1113" t="s">
        <v>116</v>
      </c>
      <c r="N349" s="1113"/>
      <c r="P349" t="s">
        <v>2055</v>
      </c>
      <c r="AJ349" s="1113" t="s">
        <v>132</v>
      </c>
      <c r="AK349" s="1113"/>
    </row>
    <row r="350" spans="1:53" ht="12.95" customHeight="1">
      <c r="D350" s="41" t="s">
        <v>1978</v>
      </c>
      <c r="M350" s="1113" t="s">
        <v>116</v>
      </c>
      <c r="N350" s="1113"/>
      <c r="P350" s="41" t="s">
        <v>2056</v>
      </c>
      <c r="AJ350" s="1051">
        <v>0</v>
      </c>
      <c r="AK350" s="1051"/>
    </row>
    <row r="351" spans="1:53" ht="12.95" customHeight="1">
      <c r="D351" t="s">
        <v>333</v>
      </c>
      <c r="M351" s="1113" t="s">
        <v>132</v>
      </c>
      <c r="N351" s="1113"/>
      <c r="P351" t="s">
        <v>2057</v>
      </c>
      <c r="AJ351" s="1113" t="s">
        <v>116</v>
      </c>
      <c r="AK351" s="1113"/>
    </row>
    <row r="352" spans="1:53" ht="12.95" customHeight="1">
      <c r="D352" t="s">
        <v>334</v>
      </c>
      <c r="M352" s="1113" t="s">
        <v>132</v>
      </c>
      <c r="N352" s="1113"/>
      <c r="Q352" s="41"/>
    </row>
    <row r="353" spans="1:57" ht="12.95" customHeight="1">
      <c r="P353" s="365"/>
      <c r="Q353" s="365"/>
      <c r="R353" s="365"/>
    </row>
    <row r="354" spans="1:57" ht="12.95" customHeight="1"/>
    <row r="355" spans="1:57" ht="12.95" customHeight="1">
      <c r="A355" s="3" t="s">
        <v>8</v>
      </c>
      <c r="B355" s="3"/>
      <c r="C355" s="3" t="s">
        <v>921</v>
      </c>
      <c r="D355" s="3"/>
    </row>
    <row r="356" spans="1:57" ht="12.95" customHeight="1">
      <c r="D356" s="48" t="s">
        <v>934</v>
      </c>
      <c r="E356" s="49"/>
      <c r="F356" s="49"/>
      <c r="G356" s="49"/>
      <c r="H356" s="49"/>
      <c r="I356" s="49"/>
      <c r="J356" s="49"/>
      <c r="K356" s="49"/>
      <c r="L356" s="49"/>
      <c r="M356" s="49"/>
      <c r="N356" s="49"/>
      <c r="O356" s="49"/>
      <c r="P356" s="49"/>
      <c r="Q356" s="49"/>
      <c r="R356" s="49"/>
      <c r="S356" s="49"/>
      <c r="T356" s="49"/>
      <c r="U356" s="49"/>
      <c r="V356" s="49"/>
      <c r="W356" s="49"/>
      <c r="X356" s="49"/>
      <c r="Y356" s="49"/>
      <c r="Z356" s="49"/>
      <c r="AA356" s="49"/>
      <c r="AB356" s="49"/>
      <c r="AC356" s="49"/>
      <c r="AD356" s="49"/>
      <c r="AE356" s="49"/>
    </row>
    <row r="357" spans="1:57" ht="12.95" customHeight="1">
      <c r="D357" s="48" t="s">
        <v>935</v>
      </c>
      <c r="E357" s="49"/>
      <c r="F357" s="49"/>
      <c r="G357" s="49"/>
      <c r="H357" s="49"/>
      <c r="I357" s="49"/>
      <c r="J357" s="49"/>
      <c r="K357" s="49"/>
      <c r="L357" s="49"/>
      <c r="M357" s="49"/>
      <c r="N357" s="1113" t="s">
        <v>132</v>
      </c>
      <c r="O357" s="1113"/>
      <c r="P357" s="49"/>
      <c r="Q357" s="49"/>
      <c r="R357" s="49"/>
      <c r="S357" s="49"/>
      <c r="T357" s="49"/>
      <c r="U357" s="49"/>
      <c r="V357" s="49"/>
      <c r="W357" s="49"/>
      <c r="X357" s="49"/>
      <c r="Y357" s="49"/>
      <c r="Z357" s="49"/>
      <c r="AC357" s="49"/>
      <c r="AD357" s="49"/>
      <c r="AE357" s="49"/>
    </row>
    <row r="358" spans="1:57" ht="12.95" customHeight="1">
      <c r="E358" t="s">
        <v>768</v>
      </c>
      <c r="Y358" s="1113" t="s">
        <v>132</v>
      </c>
      <c r="Z358" s="1113"/>
    </row>
    <row r="359" spans="1:57" ht="12.95" customHeight="1">
      <c r="D359" t="s">
        <v>936</v>
      </c>
      <c r="E359" s="49"/>
      <c r="F359" s="49"/>
      <c r="G359" s="49"/>
      <c r="H359" s="49"/>
      <c r="I359" s="49"/>
      <c r="J359" s="49"/>
      <c r="K359" s="49"/>
      <c r="L359" s="49"/>
      <c r="M359" s="49"/>
      <c r="N359" s="49"/>
      <c r="O359" s="49"/>
      <c r="P359" s="49"/>
      <c r="Q359" s="49"/>
      <c r="R359" s="49"/>
      <c r="S359" s="49"/>
      <c r="T359" s="49"/>
      <c r="U359" s="49"/>
      <c r="V359" s="49"/>
      <c r="W359" s="49"/>
      <c r="X359" s="49"/>
      <c r="Y359" s="49"/>
      <c r="Z359" s="49"/>
      <c r="AA359" s="49"/>
      <c r="AB359" s="49"/>
      <c r="AC359" s="49"/>
      <c r="AD359" s="49"/>
      <c r="AE359" s="49"/>
    </row>
    <row r="360" spans="1:57" ht="12.95" customHeight="1">
      <c r="D360" t="s">
        <v>937</v>
      </c>
      <c r="E360" s="49"/>
      <c r="F360" s="49"/>
      <c r="G360" s="49"/>
      <c r="H360" s="49"/>
      <c r="I360" s="49"/>
      <c r="J360" s="1113" t="s">
        <v>132</v>
      </c>
      <c r="K360" s="1113"/>
      <c r="L360" s="49"/>
      <c r="M360" s="49"/>
      <c r="N360" s="49"/>
      <c r="O360" s="49"/>
      <c r="P360" s="49"/>
      <c r="Q360" s="49"/>
      <c r="R360" s="49"/>
      <c r="S360" s="49"/>
      <c r="T360" s="49"/>
      <c r="U360" s="49"/>
      <c r="V360" s="49"/>
      <c r="W360" s="49"/>
      <c r="X360" s="49"/>
      <c r="Y360" s="49"/>
      <c r="Z360" s="49"/>
      <c r="AC360" s="49"/>
      <c r="AD360" s="49"/>
      <c r="AE360" s="49"/>
    </row>
    <row r="361" spans="1:57" ht="12.95" customHeight="1">
      <c r="E361" s="976" t="s">
        <v>335</v>
      </c>
      <c r="F361" s="976"/>
      <c r="G361" s="976"/>
      <c r="H361" s="976"/>
      <c r="I361" s="976"/>
      <c r="J361" s="976"/>
      <c r="K361" s="976"/>
      <c r="L361" s="976"/>
      <c r="M361" s="976"/>
      <c r="N361" s="976"/>
      <c r="O361" s="976"/>
      <c r="P361" s="976"/>
      <c r="Q361" s="976"/>
      <c r="R361" s="976"/>
      <c r="S361" s="976"/>
      <c r="T361" s="976"/>
      <c r="U361" s="976"/>
      <c r="V361" s="976"/>
      <c r="W361" s="976"/>
      <c r="X361" s="976"/>
      <c r="Y361" s="976"/>
      <c r="Z361" s="976"/>
      <c r="AA361" s="976"/>
      <c r="AB361" s="976"/>
      <c r="AC361" s="976"/>
      <c r="AD361" s="976"/>
      <c r="AE361" s="976"/>
      <c r="AF361" s="976"/>
      <c r="AG361" s="976"/>
      <c r="AH361" s="976"/>
      <c r="BE361" t="s">
        <v>132</v>
      </c>
    </row>
    <row r="362" spans="1:57" ht="12.95" customHeight="1">
      <c r="E362" s="976"/>
      <c r="F362" s="976"/>
      <c r="G362" s="976"/>
      <c r="H362" s="976"/>
      <c r="I362" s="976"/>
      <c r="J362" s="976"/>
      <c r="K362" s="976"/>
      <c r="L362" s="976"/>
      <c r="M362" s="976"/>
      <c r="N362" s="976"/>
      <c r="O362" s="976"/>
      <c r="P362" s="976"/>
      <c r="Q362" s="976"/>
      <c r="R362" s="976"/>
      <c r="S362" s="976"/>
      <c r="T362" s="976"/>
      <c r="U362" s="976"/>
      <c r="V362" s="976"/>
      <c r="W362" s="976"/>
      <c r="X362" s="976"/>
      <c r="Y362" s="976"/>
      <c r="Z362" s="976"/>
      <c r="AA362" s="976"/>
      <c r="AB362" s="976"/>
      <c r="AC362" s="976"/>
      <c r="AD362" s="976"/>
      <c r="AE362" s="976"/>
      <c r="AF362" s="976"/>
      <c r="AG362" s="976"/>
      <c r="AH362" s="976"/>
      <c r="BE362" t="s">
        <v>510</v>
      </c>
    </row>
    <row r="363" spans="1:57" ht="12.95" customHeight="1">
      <c r="E363" s="5" t="s">
        <v>625</v>
      </c>
      <c r="F363" s="5"/>
      <c r="G363" s="5"/>
      <c r="H363" s="5"/>
      <c r="I363" s="5"/>
      <c r="J363" s="5"/>
      <c r="K363" s="5"/>
      <c r="L363" s="5"/>
      <c r="N363" s="1115"/>
      <c r="O363" s="1115"/>
      <c r="P363" s="1115"/>
      <c r="Q363" s="1115"/>
      <c r="R363" s="5"/>
      <c r="U363" s="5" t="s">
        <v>626</v>
      </c>
      <c r="V363" s="5"/>
      <c r="W363" s="5"/>
      <c r="X363" s="5"/>
      <c r="Y363" s="5"/>
      <c r="Z363" s="5"/>
      <c r="AA363" s="5"/>
      <c r="AB363" s="5"/>
      <c r="AC363" s="1115"/>
      <c r="AD363" s="1115"/>
      <c r="AE363" s="1115"/>
      <c r="AF363" s="1115"/>
      <c r="BE363" t="s">
        <v>116</v>
      </c>
    </row>
    <row r="364" spans="1:57" ht="12.95" customHeight="1">
      <c r="E364" s="5" t="s">
        <v>627</v>
      </c>
      <c r="F364" s="5"/>
      <c r="G364" s="5"/>
      <c r="H364" s="5"/>
      <c r="I364" s="5"/>
      <c r="J364" s="5"/>
      <c r="K364" s="5"/>
      <c r="L364" s="5"/>
      <c r="N364" s="1115"/>
      <c r="O364" s="1115"/>
      <c r="P364" s="1115"/>
      <c r="Q364" s="1115"/>
      <c r="R364" s="5"/>
      <c r="U364" s="5" t="s">
        <v>628</v>
      </c>
      <c r="V364" s="5"/>
      <c r="W364" s="5"/>
      <c r="X364" s="5"/>
      <c r="Y364" s="5"/>
      <c r="Z364" s="5"/>
      <c r="AA364" s="5"/>
      <c r="AB364" s="5"/>
      <c r="AC364" s="1115"/>
      <c r="AD364" s="1115"/>
      <c r="AE364" s="1115"/>
      <c r="AF364" s="1115"/>
    </row>
    <row r="365" spans="1:57" ht="12.95" customHeight="1">
      <c r="E365" s="5" t="s">
        <v>68</v>
      </c>
      <c r="F365" s="5"/>
      <c r="G365" s="5"/>
      <c r="H365" s="5"/>
      <c r="I365" s="5"/>
      <c r="J365" s="5"/>
      <c r="K365" s="5"/>
      <c r="L365" s="5"/>
      <c r="N365" s="1115"/>
      <c r="O365" s="1115"/>
      <c r="P365" s="1115"/>
      <c r="Q365" s="1115"/>
      <c r="R365" s="5"/>
      <c r="V365" s="5"/>
      <c r="W365" s="5"/>
      <c r="X365" s="5"/>
      <c r="Y365" s="5"/>
      <c r="Z365" s="5"/>
      <c r="AA365" s="5"/>
      <c r="AB365" s="5"/>
    </row>
    <row r="366" spans="1:57" ht="12.95" customHeight="1">
      <c r="E366" s="5" t="s">
        <v>69</v>
      </c>
      <c r="F366" s="5"/>
      <c r="G366" s="5"/>
      <c r="H366" s="5"/>
      <c r="I366" s="5"/>
      <c r="J366" s="5"/>
      <c r="K366" s="5"/>
      <c r="L366" s="5"/>
      <c r="N366" s="1305"/>
      <c r="O366" s="1305"/>
      <c r="P366" s="1305"/>
      <c r="Q366" s="1305"/>
      <c r="R366" s="1305"/>
      <c r="S366" s="1305"/>
      <c r="T366" s="1305"/>
      <c r="U366" s="1305"/>
      <c r="V366" s="1305"/>
      <c r="W366" s="1305"/>
      <c r="X366" s="1305"/>
      <c r="Y366" s="1305"/>
      <c r="Z366" s="1305"/>
      <c r="AA366" s="1305"/>
      <c r="AB366" s="1305"/>
      <c r="AC366" s="1305"/>
      <c r="AD366" s="1305"/>
      <c r="AE366" s="1305"/>
      <c r="AF366" s="1305"/>
    </row>
    <row r="367" spans="1:57" ht="12.95" customHeight="1">
      <c r="E367" s="5"/>
      <c r="F367" s="5"/>
      <c r="G367" s="5"/>
      <c r="H367" s="5"/>
      <c r="I367" s="5"/>
      <c r="J367" s="5"/>
      <c r="K367" s="5"/>
      <c r="L367" s="5"/>
      <c r="N367" s="1306"/>
      <c r="O367" s="1306"/>
      <c r="P367" s="1306"/>
      <c r="Q367" s="1306"/>
      <c r="R367" s="1306"/>
      <c r="S367" s="1306"/>
      <c r="T367" s="1306"/>
      <c r="U367" s="1306"/>
      <c r="V367" s="1306"/>
      <c r="W367" s="1306"/>
      <c r="X367" s="1306"/>
      <c r="Y367" s="1306"/>
      <c r="Z367" s="1306"/>
      <c r="AA367" s="1306"/>
      <c r="AB367" s="1306"/>
      <c r="AC367" s="1306"/>
      <c r="AD367" s="1306"/>
      <c r="AE367" s="1306"/>
      <c r="AF367" s="1306"/>
    </row>
    <row r="368" spans="1:57" ht="12.95" customHeight="1">
      <c r="E368" s="5"/>
      <c r="F368" s="5"/>
      <c r="G368" s="5"/>
      <c r="H368" s="5"/>
      <c r="I368" s="5"/>
      <c r="J368" s="5"/>
      <c r="K368" s="5"/>
      <c r="L368" s="5"/>
    </row>
    <row r="369" spans="1:36" ht="12.95" customHeight="1">
      <c r="D369" s="377" t="s">
        <v>1285</v>
      </c>
      <c r="E369" s="377"/>
      <c r="F369" s="365"/>
      <c r="G369" s="365"/>
      <c r="H369" s="365"/>
      <c r="I369" s="365"/>
      <c r="J369" s="365"/>
      <c r="K369" s="365"/>
      <c r="L369" s="365"/>
      <c r="M369" s="365"/>
      <c r="N369" s="365"/>
      <c r="O369" s="365"/>
      <c r="P369" s="365"/>
      <c r="Q369" s="365"/>
      <c r="R369" s="365"/>
      <c r="S369" s="365"/>
      <c r="T369" s="365"/>
      <c r="U369" s="365"/>
      <c r="V369" s="365"/>
      <c r="W369" s="365"/>
      <c r="X369" s="365"/>
      <c r="Y369" s="365"/>
      <c r="Z369" s="365"/>
      <c r="AA369" s="365"/>
      <c r="AB369" s="365"/>
      <c r="AC369" s="365"/>
      <c r="AD369" s="365"/>
      <c r="AE369" s="365"/>
      <c r="AF369" s="365"/>
      <c r="AG369" s="365"/>
      <c r="AH369" s="365"/>
    </row>
    <row r="370" spans="1:36" ht="12.95" customHeight="1">
      <c r="D370" s="365"/>
      <c r="E370" s="365" t="s">
        <v>2225</v>
      </c>
      <c r="F370" s="365"/>
      <c r="G370" s="365"/>
      <c r="H370" s="365"/>
      <c r="I370" s="365"/>
      <c r="J370" s="365"/>
      <c r="K370" s="365"/>
      <c r="L370" s="365"/>
      <c r="M370" s="365"/>
      <c r="O370" s="365"/>
      <c r="P370" s="947" t="s">
        <v>2221</v>
      </c>
      <c r="Q370" s="365" t="s">
        <v>245</v>
      </c>
      <c r="R370" s="365"/>
      <c r="S370" s="1117"/>
      <c r="T370" s="1117"/>
      <c r="U370" s="374" t="s">
        <v>246</v>
      </c>
      <c r="V370" s="1117"/>
      <c r="W370" s="1117"/>
      <c r="X370" s="365"/>
      <c r="Z370" s="365"/>
      <c r="AA370" s="947" t="s">
        <v>2221</v>
      </c>
      <c r="AB370" s="365" t="s">
        <v>245</v>
      </c>
      <c r="AC370" s="365"/>
      <c r="AD370" s="1117"/>
      <c r="AE370" s="1117"/>
      <c r="AF370" s="374" t="s">
        <v>246</v>
      </c>
      <c r="AG370" s="1117"/>
      <c r="AH370" s="1117"/>
    </row>
    <row r="371" spans="1:36" ht="12.95" customHeight="1">
      <c r="D371" s="365"/>
      <c r="E371" s="365" t="s">
        <v>1286</v>
      </c>
      <c r="F371" s="365"/>
      <c r="G371" s="365"/>
      <c r="H371" s="365"/>
      <c r="I371" s="365"/>
      <c r="J371" s="365"/>
      <c r="K371" s="365"/>
      <c r="L371" s="365"/>
      <c r="M371" s="365"/>
      <c r="N371" s="1117"/>
      <c r="O371" s="1117"/>
      <c r="P371" s="1117"/>
      <c r="Q371" s="365"/>
      <c r="R371" s="365"/>
      <c r="S371" s="365"/>
      <c r="T371" s="365"/>
      <c r="U371" s="365"/>
      <c r="V371" s="365"/>
      <c r="W371" s="365"/>
      <c r="X371" s="365"/>
      <c r="Y371" s="365"/>
      <c r="Z371" s="365"/>
      <c r="AA371" s="365"/>
      <c r="AB371" s="365"/>
      <c r="AC371" s="365"/>
      <c r="AD371" s="365"/>
      <c r="AE371" s="365"/>
      <c r="AF371" s="365"/>
      <c r="AG371" s="365"/>
      <c r="AH371" s="365"/>
    </row>
    <row r="372" spans="1:36" ht="12.95" customHeight="1">
      <c r="D372" s="365"/>
      <c r="E372" s="365" t="s">
        <v>2226</v>
      </c>
      <c r="F372" s="365"/>
      <c r="G372" s="365"/>
      <c r="H372" s="365"/>
      <c r="I372" s="365"/>
      <c r="J372" s="365"/>
      <c r="K372" s="365"/>
      <c r="L372" s="365"/>
      <c r="M372" s="365"/>
      <c r="N372" s="365"/>
      <c r="O372" s="365"/>
      <c r="P372" s="365"/>
      <c r="Q372" s="365"/>
      <c r="R372" s="365"/>
      <c r="S372" s="365"/>
      <c r="T372" s="365"/>
      <c r="U372" s="365"/>
      <c r="V372" s="365"/>
      <c r="W372" s="365"/>
      <c r="X372" s="365"/>
      <c r="Y372" s="365"/>
      <c r="Z372" s="365"/>
      <c r="AA372" s="365"/>
      <c r="AB372" s="365"/>
      <c r="AC372" s="365"/>
      <c r="AD372" s="365"/>
      <c r="AE372" s="365"/>
      <c r="AF372" s="365"/>
      <c r="AG372" s="1116" t="s">
        <v>132</v>
      </c>
      <c r="AH372" s="1116"/>
    </row>
    <row r="373" spans="1:36" ht="12.95" customHeight="1">
      <c r="D373" s="365"/>
      <c r="E373" s="365"/>
      <c r="F373" s="365"/>
      <c r="G373" s="365" t="s">
        <v>2227</v>
      </c>
      <c r="H373" s="365"/>
      <c r="I373" s="365"/>
      <c r="J373" s="365"/>
      <c r="K373" s="365"/>
      <c r="L373" s="365"/>
      <c r="M373" s="365"/>
      <c r="N373" s="365"/>
      <c r="O373" s="365"/>
      <c r="P373" s="365"/>
      <c r="Q373" s="365"/>
      <c r="R373" s="365"/>
      <c r="S373" s="365"/>
      <c r="T373" s="365"/>
      <c r="U373" s="365"/>
      <c r="V373" s="365"/>
      <c r="W373" s="365"/>
      <c r="X373" s="365"/>
      <c r="Y373" s="365"/>
      <c r="Z373" s="365"/>
      <c r="AA373" s="365"/>
      <c r="AB373" s="365"/>
      <c r="AC373" s="365"/>
      <c r="AD373" s="365"/>
      <c r="AE373" s="365"/>
      <c r="AF373" s="365"/>
      <c r="AG373" s="1116" t="s">
        <v>132</v>
      </c>
      <c r="AH373" s="1116"/>
    </row>
    <row r="374" spans="1:36" ht="12.95" customHeight="1">
      <c r="D374" s="365"/>
      <c r="E374" s="365"/>
      <c r="F374" s="365"/>
      <c r="G374" s="512" t="s">
        <v>1336</v>
      </c>
      <c r="H374" s="365"/>
      <c r="I374" s="365"/>
      <c r="J374" s="365"/>
      <c r="K374" s="365"/>
      <c r="L374" s="365"/>
      <c r="M374" s="365"/>
      <c r="N374" s="365"/>
      <c r="O374" s="365"/>
      <c r="P374" s="365"/>
      <c r="Q374" s="365"/>
      <c r="R374" s="365"/>
      <c r="S374" s="365"/>
      <c r="T374" s="365"/>
      <c r="U374" s="365"/>
      <c r="V374" s="1116" t="s">
        <v>132</v>
      </c>
      <c r="W374" s="1116"/>
      <c r="X374" s="365"/>
      <c r="Y374" s="455" t="s">
        <v>1287</v>
      </c>
      <c r="Z374" s="365"/>
      <c r="AA374" s="365"/>
      <c r="AB374" s="365"/>
      <c r="AC374" s="365"/>
      <c r="AD374" s="365"/>
      <c r="AE374" s="365"/>
      <c r="AF374" s="365"/>
      <c r="AG374" s="365"/>
      <c r="AH374" s="365"/>
    </row>
    <row r="375" spans="1:36" ht="12.95" customHeight="1">
      <c r="D375" s="365"/>
      <c r="E375" s="365" t="s">
        <v>1288</v>
      </c>
      <c r="F375" s="365"/>
      <c r="G375" s="365"/>
      <c r="H375" s="365"/>
      <c r="I375" s="365"/>
      <c r="J375" s="365"/>
      <c r="K375" s="365"/>
      <c r="L375" s="365"/>
      <c r="M375" s="365"/>
      <c r="N375" s="365"/>
      <c r="O375" s="365"/>
      <c r="P375" s="365"/>
      <c r="Q375" s="365"/>
      <c r="R375" s="365"/>
      <c r="S375" s="365"/>
      <c r="T375" s="365"/>
      <c r="U375" s="365"/>
      <c r="V375" s="1116" t="s">
        <v>132</v>
      </c>
      <c r="W375" s="1116"/>
      <c r="X375" s="365"/>
      <c r="Y375" s="365" t="s">
        <v>1289</v>
      </c>
      <c r="Z375" s="365"/>
      <c r="AA375" s="365"/>
      <c r="AB375" s="365"/>
      <c r="AC375" s="365"/>
      <c r="AD375" s="365"/>
      <c r="AE375" s="365"/>
      <c r="AF375" s="365"/>
      <c r="AG375" s="365"/>
      <c r="AH375" s="365"/>
    </row>
    <row r="376" spans="1:36" ht="12.95" customHeight="1">
      <c r="D376" s="365"/>
      <c r="E376" s="365"/>
      <c r="F376" s="365"/>
      <c r="G376" s="365"/>
      <c r="H376" s="365"/>
      <c r="I376" s="365"/>
      <c r="J376" s="365"/>
      <c r="K376" s="365"/>
      <c r="L376" s="365"/>
      <c r="M376" s="365"/>
      <c r="N376" s="365"/>
      <c r="O376" s="365"/>
      <c r="P376" s="365"/>
      <c r="Q376" s="365"/>
      <c r="R376" s="365"/>
      <c r="S376" s="365"/>
      <c r="T376" s="365"/>
      <c r="U376" s="365"/>
      <c r="V376" s="365"/>
      <c r="W376" s="365"/>
      <c r="X376" s="365"/>
      <c r="Y376" s="365"/>
      <c r="Z376" s="365"/>
      <c r="AA376" s="365"/>
      <c r="AB376" s="365"/>
      <c r="AC376" s="365"/>
      <c r="AD376" s="365"/>
      <c r="AE376" s="365"/>
      <c r="AF376" s="365"/>
      <c r="AG376" s="365"/>
      <c r="AH376" s="365"/>
    </row>
    <row r="377" spans="1:36" ht="12.95" customHeight="1">
      <c r="A377" s="3" t="s">
        <v>127</v>
      </c>
      <c r="B377" s="3"/>
      <c r="C377" s="3" t="s">
        <v>70</v>
      </c>
    </row>
    <row r="378" spans="1:36" ht="12.95" customHeight="1">
      <c r="D378" t="s">
        <v>289</v>
      </c>
      <c r="J378" s="1085" t="s">
        <v>2435</v>
      </c>
      <c r="K378" s="1085"/>
      <c r="L378" s="1085"/>
      <c r="M378" s="1085"/>
      <c r="N378" s="1085"/>
      <c r="O378" s="1085"/>
      <c r="P378" s="1085"/>
      <c r="Q378" s="1085"/>
      <c r="R378" s="1085"/>
      <c r="S378" s="1085"/>
      <c r="T378" s="1085"/>
      <c r="U378" s="1085"/>
      <c r="V378" s="12" t="s">
        <v>745</v>
      </c>
      <c r="W378" s="12"/>
      <c r="X378" s="12"/>
      <c r="Y378" s="12"/>
      <c r="Z378" s="12"/>
      <c r="AA378" s="12"/>
      <c r="AB378" s="12"/>
      <c r="AC378" s="1085" t="s">
        <v>2362</v>
      </c>
      <c r="AD378" s="1085"/>
      <c r="AE378" s="1085"/>
      <c r="AF378" s="1085"/>
      <c r="AG378" s="1085"/>
      <c r="AH378" s="1085"/>
      <c r="AI378" s="1085"/>
      <c r="AJ378" s="1085"/>
    </row>
    <row r="379" spans="1:36" ht="12.95" customHeight="1">
      <c r="D379" s="41" t="s">
        <v>2058</v>
      </c>
      <c r="J379" s="1087" t="s">
        <v>2362</v>
      </c>
      <c r="K379" s="1087"/>
      <c r="L379" s="1087"/>
      <c r="M379" s="1087"/>
      <c r="N379" s="1087"/>
      <c r="O379" s="1087"/>
      <c r="P379" s="1087"/>
      <c r="Q379" s="1087"/>
      <c r="R379" s="1087"/>
      <c r="S379" s="1087"/>
      <c r="T379" s="1087"/>
      <c r="U379" s="1087"/>
      <c r="V379" s="41" t="s">
        <v>2058</v>
      </c>
      <c r="W379" s="12"/>
      <c r="X379" s="12"/>
      <c r="Y379" s="12"/>
      <c r="Z379" s="12"/>
      <c r="AA379" s="12"/>
      <c r="AB379" s="12"/>
      <c r="AC379" s="1085" t="s">
        <v>2362</v>
      </c>
      <c r="AD379" s="1085"/>
      <c r="AE379" s="1085"/>
      <c r="AF379" s="1085"/>
      <c r="AG379" s="1085"/>
      <c r="AH379" s="1085"/>
      <c r="AI379" s="1085"/>
      <c r="AJ379" s="1085"/>
    </row>
    <row r="380" spans="1:36" ht="12.95" customHeight="1">
      <c r="D380" s="41" t="s">
        <v>574</v>
      </c>
      <c r="J380" s="1087" t="s">
        <v>2482</v>
      </c>
      <c r="K380" s="1087"/>
      <c r="L380" s="1087"/>
      <c r="M380" s="1087"/>
      <c r="N380" s="1087"/>
      <c r="O380" s="1087"/>
      <c r="P380" s="1087"/>
      <c r="Q380" s="1087"/>
      <c r="R380" s="1087"/>
      <c r="S380" s="1087"/>
      <c r="T380" s="1087"/>
      <c r="U380" s="1087"/>
      <c r="V380" s="41" t="s">
        <v>574</v>
      </c>
      <c r="W380" s="12"/>
      <c r="X380" s="12"/>
      <c r="Y380" s="12"/>
      <c r="Z380" s="12"/>
      <c r="AA380" s="12"/>
      <c r="AB380" s="12"/>
      <c r="AC380" s="1085" t="s">
        <v>2482</v>
      </c>
      <c r="AD380" s="1085"/>
      <c r="AE380" s="1085"/>
      <c r="AF380" s="1085"/>
      <c r="AG380" s="1085"/>
      <c r="AH380" s="1085"/>
      <c r="AI380" s="1085"/>
      <c r="AJ380" s="1085"/>
    </row>
    <row r="381" spans="1:36" ht="12.95" customHeight="1">
      <c r="D381" t="s">
        <v>2059</v>
      </c>
      <c r="J381" s="1101" t="s">
        <v>2421</v>
      </c>
      <c r="K381" s="1101"/>
      <c r="L381" s="1101"/>
      <c r="M381" s="1101"/>
      <c r="N381" s="1101"/>
      <c r="O381" s="1101"/>
      <c r="P381" s="1101"/>
      <c r="Q381" s="1101"/>
      <c r="R381" s="1101"/>
      <c r="S381" s="1101"/>
      <c r="T381" s="1101"/>
      <c r="U381" s="1101"/>
      <c r="V381" s="1085"/>
      <c r="W381" s="1085"/>
      <c r="X381" s="1085"/>
      <c r="Y381" s="1085"/>
      <c r="Z381" s="1085"/>
      <c r="AA381" s="1085"/>
      <c r="AB381" s="1085"/>
      <c r="AC381" s="1085"/>
      <c r="AD381" s="1085"/>
      <c r="AE381" s="1085"/>
      <c r="AF381" s="1085"/>
      <c r="AG381" s="1085"/>
      <c r="AH381" s="1085"/>
      <c r="AI381" s="1085"/>
      <c r="AJ381" s="1085"/>
    </row>
    <row r="382" spans="1:36" ht="12.95" customHeight="1">
      <c r="D382" t="s">
        <v>584</v>
      </c>
      <c r="Q382" s="1404">
        <v>44687</v>
      </c>
      <c r="R382" s="1404"/>
      <c r="S382" s="1404"/>
      <c r="T382" s="1404"/>
      <c r="U382" s="1404"/>
      <c r="V382" t="s">
        <v>179</v>
      </c>
      <c r="AI382" s="1113" t="s">
        <v>116</v>
      </c>
      <c r="AJ382" s="1113"/>
    </row>
    <row r="383" spans="1:36" ht="12.95" customHeight="1">
      <c r="D383" t="s">
        <v>585</v>
      </c>
      <c r="Q383" s="1205" t="s">
        <v>132</v>
      </c>
      <c r="R383" s="1307"/>
      <c r="S383" s="1307"/>
      <c r="T383" s="1307"/>
      <c r="U383" s="1307"/>
      <c r="W383" s="29" t="s">
        <v>20</v>
      </c>
      <c r="AG383" s="1135"/>
      <c r="AH383" s="1135"/>
      <c r="AI383" s="1135"/>
      <c r="AJ383" s="1135"/>
    </row>
    <row r="384" spans="1:36" ht="12.95" customHeight="1">
      <c r="D384" t="s">
        <v>288</v>
      </c>
      <c r="Q384" s="1118">
        <v>3000000</v>
      </c>
      <c r="R384" s="1118"/>
      <c r="S384" s="1118"/>
      <c r="T384" s="1118"/>
      <c r="U384" s="1118"/>
      <c r="V384" s="41" t="s">
        <v>2060</v>
      </c>
      <c r="AG384" s="1246"/>
      <c r="AH384" s="1246"/>
      <c r="AI384" s="1246"/>
      <c r="AJ384" s="1246"/>
    </row>
    <row r="385" spans="4:36" ht="12.95" customHeight="1">
      <c r="D385" t="s">
        <v>399</v>
      </c>
      <c r="I385" s="1109" t="s">
        <v>2422</v>
      </c>
      <c r="J385" s="1109"/>
      <c r="K385" s="1109"/>
      <c r="L385" s="1109"/>
      <c r="M385" s="1109"/>
      <c r="N385" s="1109"/>
      <c r="Q385" s="41" t="s">
        <v>858</v>
      </c>
      <c r="S385" s="1133"/>
      <c r="T385" s="1133"/>
      <c r="U385" s="1133"/>
      <c r="V385" t="s">
        <v>19</v>
      </c>
      <c r="AI385" s="1113" t="s">
        <v>510</v>
      </c>
      <c r="AJ385" s="1113"/>
    </row>
    <row r="386" spans="4:36" ht="12.95" customHeight="1">
      <c r="D386" t="s">
        <v>180</v>
      </c>
      <c r="Q386" s="1134"/>
      <c r="R386" s="1134"/>
      <c r="S386" s="1134"/>
      <c r="T386" s="1134"/>
      <c r="U386" s="1134"/>
      <c r="V386" t="s">
        <v>181</v>
      </c>
      <c r="AG386" s="1135">
        <f>'Sources and Uses Budget'!C13</f>
        <v>759124</v>
      </c>
      <c r="AH386" s="1135"/>
      <c r="AI386" s="1135"/>
      <c r="AJ386" s="1135"/>
    </row>
    <row r="387" spans="4:36" ht="12.95" customHeight="1">
      <c r="D387" t="s">
        <v>28</v>
      </c>
      <c r="Q387" s="1423"/>
      <c r="R387" s="1423"/>
      <c r="S387" s="1423"/>
      <c r="T387" s="1423"/>
      <c r="U387" s="1423"/>
      <c r="V387" t="s">
        <v>1752</v>
      </c>
      <c r="AG387" s="1135">
        <v>0</v>
      </c>
      <c r="AH387" s="1135"/>
      <c r="AI387" s="1135"/>
      <c r="AJ387" s="1135"/>
    </row>
    <row r="388" spans="4:36" ht="12.95" customHeight="1">
      <c r="D388" t="s">
        <v>2061</v>
      </c>
      <c r="AG388" s="1135">
        <v>0</v>
      </c>
      <c r="AH388" s="1135"/>
      <c r="AI388" s="1135"/>
      <c r="AJ388" s="1135"/>
    </row>
    <row r="389" spans="4:36" ht="12.95" customHeight="1">
      <c r="AG389" s="839"/>
      <c r="AH389" s="839"/>
      <c r="AI389" s="839"/>
      <c r="AJ389" s="839"/>
    </row>
    <row r="390" spans="4:36" ht="12.95" customHeight="1">
      <c r="D390" s="41" t="s">
        <v>2327</v>
      </c>
      <c r="AG390" s="839"/>
      <c r="AH390" s="839"/>
      <c r="AI390" s="1113" t="s">
        <v>510</v>
      </c>
      <c r="AJ390" s="1113"/>
    </row>
    <row r="391" spans="4:36" ht="12.95" customHeight="1">
      <c r="D391" s="41" t="s">
        <v>2062</v>
      </c>
      <c r="T391" s="1424"/>
      <c r="U391" s="1424"/>
      <c r="V391" s="1424"/>
      <c r="W391" s="1424"/>
      <c r="X391" s="1424"/>
      <c r="Y391" s="1424"/>
      <c r="Z391" s="1424"/>
      <c r="AA391" s="1424"/>
      <c r="AB391" s="1424"/>
      <c r="AC391" s="1424"/>
      <c r="AD391" s="1424"/>
      <c r="AE391" s="1424"/>
      <c r="AF391" s="1424"/>
      <c r="AG391" s="1424"/>
      <c r="AH391" s="1424"/>
      <c r="AI391" s="1424"/>
      <c r="AJ391" s="1424"/>
    </row>
    <row r="392" spans="4:36" ht="12.95" customHeight="1">
      <c r="D392" s="41" t="s">
        <v>2063</v>
      </c>
      <c r="T392" s="1424"/>
      <c r="U392" s="1424"/>
      <c r="V392" s="1424"/>
      <c r="W392" s="1424"/>
      <c r="X392" s="1424"/>
      <c r="Y392" s="1424"/>
      <c r="Z392" s="1424"/>
      <c r="AA392" s="1424"/>
      <c r="AB392" s="1424"/>
      <c r="AC392" s="1424"/>
      <c r="AD392" s="1424"/>
      <c r="AE392" s="1424"/>
      <c r="AF392" s="1424"/>
      <c r="AG392" s="1424"/>
      <c r="AH392" s="1424"/>
      <c r="AI392" s="1424"/>
      <c r="AJ392" s="1424"/>
    </row>
    <row r="393" spans="4:36" ht="12.95" customHeight="1">
      <c r="AG393" s="839"/>
      <c r="AH393" s="839"/>
      <c r="AI393" s="839"/>
      <c r="AJ393" s="839"/>
    </row>
    <row r="394" spans="4:36" ht="12.95" customHeight="1">
      <c r="D394" s="41" t="s">
        <v>2064</v>
      </c>
      <c r="S394" s="1424" t="s">
        <v>510</v>
      </c>
      <c r="T394" s="1424"/>
      <c r="U394" s="1424"/>
      <c r="V394" t="s">
        <v>2065</v>
      </c>
      <c r="AG394" s="1456"/>
      <c r="AH394" s="1456"/>
      <c r="AI394" s="1456"/>
      <c r="AJ394" s="1456"/>
    </row>
    <row r="395" spans="4:36" ht="12.95" customHeight="1">
      <c r="D395" s="41" t="s">
        <v>2066</v>
      </c>
      <c r="S395" s="1424" t="s">
        <v>132</v>
      </c>
      <c r="T395" s="1424"/>
      <c r="U395" s="1424"/>
      <c r="V395" t="s">
        <v>2067</v>
      </c>
      <c r="AE395" s="1425"/>
      <c r="AF395" s="1425"/>
      <c r="AG395" s="1425"/>
      <c r="AH395" s="1425"/>
      <c r="AI395" s="1425"/>
      <c r="AJ395" s="1425"/>
    </row>
    <row r="396" spans="4:36" ht="12.95" customHeight="1">
      <c r="D396" s="41" t="s">
        <v>2068</v>
      </c>
      <c r="K396" s="1291"/>
      <c r="L396" s="1291"/>
      <c r="M396" s="1291"/>
      <c r="N396" s="1291"/>
      <c r="O396" s="1291"/>
      <c r="P396" s="1291"/>
      <c r="Q396" s="1291"/>
      <c r="R396" s="1291"/>
      <c r="S396" s="1291"/>
      <c r="T396" s="1291"/>
      <c r="U396" s="1291"/>
      <c r="V396" s="1291"/>
      <c r="W396" s="1291"/>
      <c r="X396" s="1291"/>
      <c r="Y396" s="1291"/>
      <c r="Z396" s="1291"/>
      <c r="AA396" s="1291"/>
      <c r="AB396" s="1291"/>
      <c r="AC396" s="1291"/>
      <c r="AD396" s="1291"/>
      <c r="AE396" s="1291"/>
      <c r="AF396" s="1291"/>
      <c r="AG396" s="1291"/>
      <c r="AH396" s="1291"/>
      <c r="AI396" s="1291"/>
      <c r="AJ396" s="1291"/>
    </row>
    <row r="397" spans="4:36" ht="12.95" customHeight="1">
      <c r="D397" s="41" t="s">
        <v>2069</v>
      </c>
      <c r="K397" s="1291"/>
      <c r="L397" s="1291"/>
      <c r="M397" s="1291"/>
      <c r="N397" s="1291"/>
      <c r="O397" s="1291"/>
      <c r="P397" s="1291"/>
      <c r="Q397" s="1291"/>
      <c r="R397" s="1291"/>
      <c r="S397" s="1291"/>
      <c r="T397" s="1291"/>
      <c r="U397" s="1291"/>
      <c r="V397" s="1291"/>
      <c r="W397" s="1291"/>
      <c r="X397" s="1291"/>
      <c r="Y397" s="1291"/>
      <c r="Z397" s="1291"/>
      <c r="AA397" s="1291"/>
      <c r="AB397" s="1291"/>
      <c r="AC397" s="1291"/>
      <c r="AD397" s="1291"/>
      <c r="AE397" s="1291"/>
      <c r="AF397" s="1291"/>
      <c r="AG397" s="1291"/>
      <c r="AH397" s="1291"/>
      <c r="AI397" s="1291"/>
      <c r="AJ397" s="1291"/>
    </row>
    <row r="398" spans="4:36" ht="12.95" customHeight="1">
      <c r="D398" s="41" t="s">
        <v>2070</v>
      </c>
      <c r="E398" s="820"/>
      <c r="F398" s="820"/>
      <c r="G398" s="820"/>
      <c r="H398" s="820"/>
      <c r="I398" s="820"/>
      <c r="J398" s="820"/>
      <c r="K398" s="820"/>
      <c r="L398" s="820"/>
      <c r="M398" s="820"/>
      <c r="N398" s="820"/>
      <c r="O398" s="820"/>
      <c r="P398" s="820"/>
      <c r="Q398" s="820"/>
      <c r="R398" s="820"/>
      <c r="S398" s="1405" t="s">
        <v>2071</v>
      </c>
      <c r="T398" s="1405"/>
      <c r="U398" s="1405"/>
      <c r="V398" s="1405"/>
      <c r="W398" s="1405"/>
      <c r="X398" s="1405"/>
      <c r="Y398" s="1405"/>
      <c r="Z398" s="1405"/>
      <c r="AA398" s="1405"/>
      <c r="AB398" s="1405"/>
      <c r="AC398" s="1405"/>
      <c r="AD398" s="1405"/>
      <c r="AE398" s="1405"/>
      <c r="AF398" s="1405"/>
      <c r="AG398" s="1405"/>
      <c r="AH398" s="1405"/>
      <c r="AI398" s="1405"/>
      <c r="AJ398" s="1405"/>
    </row>
    <row r="399" spans="4:36" ht="12.95" customHeight="1">
      <c r="D399" s="973" t="s">
        <v>2072</v>
      </c>
      <c r="E399" s="973"/>
      <c r="F399" s="973"/>
      <c r="G399" s="973"/>
      <c r="H399" s="973"/>
      <c r="I399" s="973"/>
      <c r="J399" s="973"/>
      <c r="K399" s="973"/>
      <c r="L399" s="973"/>
      <c r="M399" s="973"/>
      <c r="N399" s="973"/>
      <c r="O399" s="973"/>
      <c r="P399" s="973"/>
      <c r="Q399" s="973"/>
      <c r="R399" s="973"/>
      <c r="S399" s="973"/>
      <c r="T399" s="973"/>
      <c r="U399" s="973"/>
      <c r="V399" s="973"/>
      <c r="W399" s="973"/>
      <c r="X399" s="973"/>
      <c r="Y399" s="973"/>
      <c r="Z399" s="973"/>
      <c r="AA399" s="973"/>
      <c r="AB399" s="973"/>
      <c r="AC399" s="973"/>
      <c r="AD399" s="973"/>
      <c r="AE399" s="973"/>
      <c r="AF399" s="973"/>
      <c r="AG399" s="973"/>
      <c r="AH399" s="973"/>
      <c r="AI399" s="973"/>
      <c r="AJ399" s="973"/>
    </row>
    <row r="400" spans="4:36" ht="12.95" customHeight="1">
      <c r="D400" s="973"/>
      <c r="E400" s="973"/>
      <c r="F400" s="973"/>
      <c r="G400" s="973"/>
      <c r="H400" s="973"/>
      <c r="I400" s="973"/>
      <c r="J400" s="973"/>
      <c r="K400" s="973"/>
      <c r="L400" s="973"/>
      <c r="M400" s="973"/>
      <c r="N400" s="973"/>
      <c r="O400" s="973"/>
      <c r="P400" s="973"/>
      <c r="Q400" s="973"/>
      <c r="R400" s="973"/>
      <c r="S400" s="973"/>
      <c r="T400" s="973"/>
      <c r="U400" s="973"/>
      <c r="V400" s="973"/>
      <c r="W400" s="973"/>
      <c r="X400" s="973"/>
      <c r="Y400" s="973"/>
      <c r="Z400" s="973"/>
      <c r="AA400" s="973"/>
      <c r="AB400" s="973"/>
      <c r="AC400" s="973"/>
      <c r="AD400" s="973"/>
      <c r="AE400" s="973"/>
      <c r="AF400" s="973"/>
      <c r="AG400" s="973"/>
      <c r="AH400" s="973"/>
      <c r="AI400" s="973"/>
      <c r="AJ400" s="973"/>
    </row>
    <row r="401" spans="1:36" ht="12.95" customHeight="1">
      <c r="AG401" s="839"/>
      <c r="AH401" s="839"/>
      <c r="AI401" s="839"/>
      <c r="AJ401" s="839"/>
    </row>
    <row r="402" spans="1:36" ht="12.95" customHeight="1">
      <c r="A402" s="3" t="s">
        <v>130</v>
      </c>
      <c r="B402" s="3"/>
      <c r="C402" s="3" t="s">
        <v>942</v>
      </c>
    </row>
    <row r="403" spans="1:36" ht="12.95" customHeight="1">
      <c r="D403" s="3" t="s">
        <v>1806</v>
      </c>
      <c r="I403" s="1086" t="s">
        <v>2423</v>
      </c>
      <c r="J403" s="1086"/>
      <c r="K403" s="1086"/>
      <c r="L403" s="1086"/>
      <c r="M403" s="1086"/>
      <c r="N403" s="1086"/>
      <c r="O403" s="1086"/>
      <c r="P403" s="1086"/>
      <c r="Q403" s="1086"/>
      <c r="R403" s="1086"/>
      <c r="S403" s="1086"/>
      <c r="T403" s="1086"/>
      <c r="U403" s="1086"/>
      <c r="V403" s="1086"/>
      <c r="W403" s="1086"/>
      <c r="X403" s="1086"/>
      <c r="Y403" s="1086"/>
      <c r="Z403" s="1086"/>
      <c r="AA403" s="1086"/>
      <c r="AB403" s="1086"/>
      <c r="AC403" s="1086"/>
      <c r="AD403" s="1086"/>
    </row>
    <row r="404" spans="1:36" ht="12.95" customHeight="1">
      <c r="E404" t="s">
        <v>895</v>
      </c>
      <c r="R404" s="1113" t="s">
        <v>132</v>
      </c>
      <c r="S404" s="1113"/>
      <c r="T404" t="s">
        <v>305</v>
      </c>
      <c r="AD404" s="1115">
        <v>0</v>
      </c>
      <c r="AE404" s="1115"/>
    </row>
    <row r="405" spans="1:36" ht="12.95" customHeight="1">
      <c r="E405" t="s">
        <v>896</v>
      </c>
      <c r="R405" s="1113" t="s">
        <v>116</v>
      </c>
      <c r="S405" s="1113"/>
      <c r="T405" t="s">
        <v>305</v>
      </c>
      <c r="AD405" s="1115">
        <v>2</v>
      </c>
      <c r="AE405" s="1115"/>
    </row>
    <row r="406" spans="1:36" ht="12.95" customHeight="1">
      <c r="E406" t="s">
        <v>897</v>
      </c>
      <c r="S406" s="1113" t="s">
        <v>132</v>
      </c>
      <c r="T406" s="1113"/>
    </row>
    <row r="407" spans="1:36" ht="12.95" customHeight="1">
      <c r="E407" t="s">
        <v>297</v>
      </c>
      <c r="H407" s="1461" t="s">
        <v>592</v>
      </c>
      <c r="I407" s="1461"/>
      <c r="J407" s="1461"/>
      <c r="K407" s="1461"/>
      <c r="L407" s="1461"/>
      <c r="M407" s="1461"/>
      <c r="N407" s="1461"/>
      <c r="O407" s="1461"/>
      <c r="P407" s="1461"/>
      <c r="Q407" s="1461"/>
      <c r="R407" s="1461"/>
      <c r="S407" s="1461"/>
      <c r="T407" s="1461"/>
      <c r="U407" s="1461"/>
      <c r="V407" s="1461"/>
      <c r="W407" s="1461"/>
      <c r="X407" s="1461"/>
      <c r="Y407" s="1461"/>
      <c r="Z407" s="1461"/>
      <c r="AA407" s="1461"/>
      <c r="AB407" s="1461"/>
      <c r="AC407" s="1461"/>
      <c r="AD407" s="1461"/>
      <c r="AE407" s="1461"/>
      <c r="AF407" s="1461"/>
      <c r="AG407" s="1461"/>
      <c r="AH407" s="1461"/>
      <c r="AI407" s="1461"/>
      <c r="AJ407" s="1461"/>
    </row>
    <row r="408" spans="1:36" ht="12.95" customHeight="1">
      <c r="H408" s="1462"/>
      <c r="I408" s="1462"/>
      <c r="J408" s="1462"/>
      <c r="K408" s="1462"/>
      <c r="L408" s="1462"/>
      <c r="M408" s="1462"/>
      <c r="N408" s="1462"/>
      <c r="O408" s="1462"/>
      <c r="P408" s="1462"/>
      <c r="Q408" s="1462"/>
      <c r="R408" s="1462"/>
      <c r="S408" s="1462"/>
      <c r="T408" s="1462"/>
      <c r="U408" s="1462"/>
      <c r="V408" s="1462"/>
      <c r="W408" s="1462"/>
      <c r="X408" s="1462"/>
      <c r="Y408" s="1462"/>
      <c r="Z408" s="1462"/>
      <c r="AA408" s="1462"/>
      <c r="AB408" s="1462"/>
      <c r="AC408" s="1462"/>
      <c r="AD408" s="1462"/>
      <c r="AE408" s="1462"/>
      <c r="AF408" s="1462"/>
      <c r="AG408" s="1462"/>
      <c r="AH408" s="1462"/>
      <c r="AI408" s="1462"/>
      <c r="AJ408" s="1462"/>
    </row>
    <row r="409" spans="1:36" ht="12.95" customHeight="1"/>
    <row r="410" spans="1:36" ht="12.95" customHeight="1">
      <c r="A410" s="3" t="s">
        <v>131</v>
      </c>
      <c r="B410" s="3"/>
      <c r="C410" s="3"/>
      <c r="D410" s="3" t="s">
        <v>945</v>
      </c>
      <c r="AE410" s="5"/>
      <c r="AF410" s="3" t="s">
        <v>1264</v>
      </c>
    </row>
    <row r="411" spans="1:36" ht="12.95" customHeight="1">
      <c r="E411" s="1463"/>
      <c r="F411" s="1463"/>
      <c r="G411" s="1463"/>
      <c r="H411" s="18" t="s">
        <v>946</v>
      </c>
      <c r="I411" s="1463"/>
      <c r="J411" s="1463"/>
      <c r="K411" s="1463"/>
      <c r="L411" t="s">
        <v>947</v>
      </c>
      <c r="N411" s="34" t="s">
        <v>891</v>
      </c>
      <c r="P411" s="1464">
        <v>2.6</v>
      </c>
      <c r="Q411" s="1464"/>
      <c r="R411" s="1464"/>
      <c r="S411" t="s">
        <v>948</v>
      </c>
      <c r="W411" s="1465">
        <f>IF(E411&gt;0,(E411*I411),(P411*43560))</f>
        <v>113256</v>
      </c>
      <c r="X411" s="1465"/>
      <c r="Y411" s="1465"/>
      <c r="Z411" t="s">
        <v>949</v>
      </c>
      <c r="AF411" s="1475">
        <f>IF(P411&gt;0,(AG430/P411),(AG430/(W411/43560)))</f>
        <v>15</v>
      </c>
      <c r="AG411" s="1475"/>
      <c r="AH411" s="1475"/>
    </row>
    <row r="412" spans="1:36" ht="12.95" customHeight="1">
      <c r="E412" t="s">
        <v>215</v>
      </c>
    </row>
    <row r="413" spans="1:36" ht="12.95" customHeight="1">
      <c r="E413" s="1455"/>
      <c r="F413" s="1455"/>
      <c r="G413" s="1455"/>
      <c r="H413" s="1455"/>
      <c r="I413" s="1455"/>
      <c r="J413" s="1455"/>
      <c r="K413" s="1455"/>
      <c r="L413" s="1455"/>
      <c r="M413" s="1455"/>
      <c r="N413" s="1455"/>
      <c r="O413" s="1455"/>
      <c r="P413" s="1455"/>
      <c r="Q413" s="1455"/>
      <c r="R413" s="1455"/>
      <c r="S413" s="1455"/>
      <c r="T413" s="1455"/>
      <c r="U413" s="1455"/>
      <c r="V413" s="1455"/>
      <c r="W413" s="1455"/>
      <c r="X413" s="1455"/>
      <c r="Y413" s="1455"/>
      <c r="Z413" s="1455"/>
      <c r="AA413" s="1455"/>
      <c r="AB413" s="1455"/>
      <c r="AC413" s="1455"/>
      <c r="AD413" s="1455"/>
      <c r="AE413" s="1455"/>
      <c r="AF413" s="1455"/>
      <c r="AG413" s="1455"/>
      <c r="AH413" s="1455"/>
      <c r="AI413" s="1455"/>
      <c r="AJ413" s="1455"/>
    </row>
    <row r="414" spans="1:36" ht="12.95" customHeight="1">
      <c r="E414" s="270" t="s">
        <v>2073</v>
      </c>
      <c r="F414" s="29"/>
      <c r="G414" s="29"/>
      <c r="H414" s="29"/>
      <c r="I414" s="1451">
        <v>2.6</v>
      </c>
      <c r="J414" s="1451"/>
      <c r="K414" s="1451"/>
      <c r="L414" s="29"/>
      <c r="M414" s="270"/>
      <c r="N414" s="29"/>
      <c r="O414" s="29"/>
      <c r="P414" s="1474">
        <f>(CQ615+CS620+CQ634)/I414</f>
        <v>25.76923076923077</v>
      </c>
      <c r="Q414" s="1474"/>
      <c r="R414" s="1474"/>
      <c r="S414" s="270" t="s">
        <v>2074</v>
      </c>
      <c r="T414" s="29"/>
      <c r="U414" s="29"/>
      <c r="V414" s="29"/>
      <c r="W414" s="29"/>
      <c r="X414" s="29"/>
      <c r="Y414" s="886"/>
      <c r="Z414" s="886"/>
      <c r="AA414" s="886"/>
      <c r="AB414" s="886"/>
      <c r="AC414" s="886"/>
      <c r="AD414" s="886"/>
      <c r="AE414" s="886"/>
      <c r="AF414" s="886"/>
      <c r="AG414" s="886"/>
      <c r="AH414" s="886"/>
      <c r="AI414" s="886"/>
      <c r="AJ414" s="886"/>
    </row>
    <row r="415" spans="1:36" ht="12.95" customHeight="1"/>
    <row r="416" spans="1:36" ht="12.95" customHeight="1">
      <c r="A416" s="3" t="s">
        <v>133</v>
      </c>
      <c r="B416" s="3"/>
      <c r="C416" s="3"/>
      <c r="D416" s="3" t="s">
        <v>951</v>
      </c>
    </row>
    <row r="417" spans="1:36" ht="12.95" customHeight="1">
      <c r="E417" t="s">
        <v>479</v>
      </c>
      <c r="P417" s="1113">
        <v>2</v>
      </c>
      <c r="Q417" s="1113"/>
      <c r="S417" t="s">
        <v>144</v>
      </c>
      <c r="AE417" s="1113">
        <v>2</v>
      </c>
      <c r="AF417" s="1113"/>
    </row>
    <row r="418" spans="1:36" ht="12.95" customHeight="1">
      <c r="E418" t="s">
        <v>145</v>
      </c>
      <c r="P418" s="1113">
        <v>0</v>
      </c>
      <c r="Q418" s="1113"/>
      <c r="S418" t="s">
        <v>761</v>
      </c>
      <c r="AE418" s="1113" t="s">
        <v>132</v>
      </c>
      <c r="AF418" s="1113"/>
    </row>
    <row r="419" spans="1:36" ht="12.95" customHeight="1">
      <c r="F419" s="36" t="s">
        <v>235</v>
      </c>
    </row>
    <row r="420" spans="1:36" ht="12.95" customHeight="1">
      <c r="F420" s="1392"/>
      <c r="G420" s="1392"/>
      <c r="H420" s="1392"/>
      <c r="I420" s="1392"/>
      <c r="J420" s="1392"/>
      <c r="K420" s="1392"/>
      <c r="L420" s="1392"/>
      <c r="M420" s="1392"/>
      <c r="N420" s="1392"/>
      <c r="O420" s="1392"/>
      <c r="P420" s="1392"/>
      <c r="Q420" s="1392"/>
      <c r="R420" s="1392"/>
      <c r="S420" s="1392"/>
      <c r="T420" s="1392"/>
      <c r="U420" s="1392"/>
      <c r="V420" s="1392"/>
      <c r="W420" s="1392"/>
      <c r="X420" s="1392"/>
      <c r="Y420" s="1392"/>
      <c r="Z420" s="1392"/>
      <c r="AA420" s="1392"/>
      <c r="AB420" s="1392"/>
      <c r="AC420" s="1392"/>
      <c r="AD420" s="1392"/>
      <c r="AE420" s="1392"/>
      <c r="AF420" s="1392"/>
      <c r="AG420" s="1392"/>
      <c r="AH420" s="1392"/>
    </row>
    <row r="421" spans="1:36" ht="12.95" customHeight="1">
      <c r="F421" s="1393"/>
      <c r="G421" s="1393"/>
      <c r="H421" s="1393"/>
      <c r="I421" s="1393"/>
      <c r="J421" s="1393"/>
      <c r="K421" s="1393"/>
      <c r="L421" s="1393"/>
      <c r="M421" s="1393"/>
      <c r="N421" s="1393"/>
      <c r="O421" s="1393"/>
      <c r="P421" s="1393"/>
      <c r="Q421" s="1393"/>
      <c r="R421" s="1393"/>
      <c r="S421" s="1393"/>
      <c r="T421" s="1393"/>
      <c r="U421" s="1393"/>
      <c r="V421" s="1393"/>
      <c r="W421" s="1393"/>
      <c r="X421" s="1393"/>
      <c r="Y421" s="1393"/>
      <c r="Z421" s="1393"/>
      <c r="AA421" s="1393"/>
      <c r="AB421" s="1393"/>
      <c r="AC421" s="1393"/>
      <c r="AD421" s="1393"/>
      <c r="AE421" s="1393"/>
      <c r="AF421" s="1393"/>
      <c r="AG421" s="1393"/>
      <c r="AH421" s="1393"/>
    </row>
    <row r="422" spans="1:36" ht="12.95" customHeight="1">
      <c r="E422" t="s">
        <v>898</v>
      </c>
      <c r="P422" s="1"/>
      <c r="Q422" s="1113" t="s">
        <v>116</v>
      </c>
      <c r="R422" s="1113"/>
      <c r="AE422" s="1"/>
      <c r="AF422" s="1"/>
    </row>
    <row r="423" spans="1:36" ht="12.95" customHeight="1">
      <c r="F423" t="s">
        <v>899</v>
      </c>
      <c r="P423" s="1"/>
      <c r="Q423" s="1"/>
      <c r="AE423" s="1113" t="s">
        <v>132</v>
      </c>
      <c r="AF423" s="1294"/>
    </row>
    <row r="424" spans="1:36" ht="12.95" customHeight="1"/>
    <row r="425" spans="1:36" ht="12.95" customHeight="1">
      <c r="A425" s="3"/>
      <c r="B425" s="3"/>
      <c r="C425" s="3"/>
      <c r="E425" s="5" t="s">
        <v>85</v>
      </c>
      <c r="Z425" s="1113" t="s">
        <v>510</v>
      </c>
      <c r="AA425" s="1113"/>
    </row>
    <row r="426" spans="1:36" ht="12.95" customHeight="1">
      <c r="F426" s="48" t="s">
        <v>0</v>
      </c>
      <c r="G426" s="49"/>
      <c r="H426" s="49"/>
      <c r="I426" s="49"/>
      <c r="J426" s="49"/>
      <c r="K426" s="49"/>
      <c r="L426" s="49"/>
      <c r="M426" s="49"/>
      <c r="N426" s="49"/>
      <c r="O426" s="49"/>
      <c r="P426" s="49"/>
      <c r="Q426" s="49"/>
      <c r="R426" s="49"/>
      <c r="S426" s="49"/>
      <c r="T426" s="49"/>
      <c r="U426" s="49"/>
      <c r="V426" s="49"/>
      <c r="W426" s="49"/>
      <c r="AB426" s="49"/>
    </row>
    <row r="427" spans="1:36" ht="12.95" customHeight="1">
      <c r="F427" t="s">
        <v>46</v>
      </c>
      <c r="G427" s="49"/>
      <c r="I427" s="49"/>
      <c r="J427" s="49"/>
      <c r="K427" s="49"/>
      <c r="L427" s="49"/>
      <c r="M427" s="49"/>
      <c r="N427" s="49"/>
      <c r="Q427" s="41"/>
      <c r="R427" s="49"/>
      <c r="S427" s="49"/>
      <c r="T427" s="49"/>
      <c r="U427" s="49"/>
      <c r="V427" s="49"/>
      <c r="W427" s="49"/>
      <c r="Z427" s="1113" t="s">
        <v>132</v>
      </c>
      <c r="AA427" s="1113"/>
    </row>
    <row r="428" spans="1:36" ht="12.95" customHeight="1"/>
    <row r="429" spans="1:36" ht="12.95" customHeight="1">
      <c r="A429" s="3" t="s">
        <v>391</v>
      </c>
      <c r="B429" s="3"/>
      <c r="C429" s="3"/>
      <c r="D429" s="3" t="s">
        <v>183</v>
      </c>
      <c r="AF429" s="54"/>
    </row>
    <row r="430" spans="1:36" ht="12.95" customHeight="1">
      <c r="D430" s="1236" t="s">
        <v>380</v>
      </c>
      <c r="E430" s="1237"/>
      <c r="F430" s="1237"/>
      <c r="G430" s="1237"/>
      <c r="H430" s="1237"/>
      <c r="I430" s="1237"/>
      <c r="J430" s="1237"/>
      <c r="K430" s="1237"/>
      <c r="L430" s="1237"/>
      <c r="M430" s="1237"/>
      <c r="N430" s="1237"/>
      <c r="O430" s="1237"/>
      <c r="P430" s="1237"/>
      <c r="Q430" s="1237"/>
      <c r="R430" s="1237"/>
      <c r="S430" s="1237"/>
      <c r="T430" s="1237"/>
      <c r="U430" s="1237"/>
      <c r="V430" s="1237"/>
      <c r="W430" s="1237"/>
      <c r="X430" s="1237"/>
      <c r="Y430" s="1237"/>
      <c r="Z430" s="1237"/>
      <c r="AA430" s="1237"/>
      <c r="AB430" s="1237"/>
      <c r="AC430" s="1237"/>
      <c r="AD430" s="1237"/>
      <c r="AE430" s="1237"/>
      <c r="AF430" s="1454"/>
      <c r="AG430" s="1417">
        <v>39</v>
      </c>
      <c r="AH430" s="1417"/>
      <c r="AI430" s="1417"/>
      <c r="AJ430" s="1417"/>
    </row>
    <row r="431" spans="1:36" ht="12.95" customHeight="1">
      <c r="D431" s="1387" t="s">
        <v>1430</v>
      </c>
      <c r="E431" s="1388"/>
      <c r="F431" s="1388"/>
      <c r="G431" s="1388"/>
      <c r="H431" s="1388"/>
      <c r="I431" s="1388"/>
      <c r="J431" s="1388"/>
      <c r="K431" s="1388"/>
      <c r="L431" s="1388"/>
      <c r="M431" s="1388"/>
      <c r="N431" s="1388"/>
      <c r="O431" s="1388"/>
      <c r="P431" s="1388"/>
      <c r="Q431" s="1388"/>
      <c r="R431" s="1388"/>
      <c r="S431" s="1388"/>
      <c r="T431" s="1388"/>
      <c r="U431" s="1388"/>
      <c r="V431" s="1388"/>
      <c r="W431" s="1388"/>
      <c r="X431" s="1388"/>
      <c r="Y431" s="1388"/>
      <c r="Z431" s="1388"/>
      <c r="AA431" s="1388"/>
      <c r="AB431" s="1388"/>
      <c r="AC431" s="1388"/>
      <c r="AD431" s="1388"/>
      <c r="AE431" s="1388"/>
      <c r="AF431" s="1389"/>
      <c r="AG431" s="1459">
        <v>0</v>
      </c>
      <c r="AH431" s="1460"/>
      <c r="AI431" s="1460"/>
      <c r="AJ431" s="1460"/>
    </row>
    <row r="432" spans="1:36" ht="12.95" customHeight="1">
      <c r="D432" s="1387" t="s">
        <v>1431</v>
      </c>
      <c r="E432" s="1388"/>
      <c r="F432" s="1388"/>
      <c r="G432" s="1388"/>
      <c r="H432" s="1388"/>
      <c r="I432" s="1388"/>
      <c r="J432" s="1388"/>
      <c r="K432" s="1388"/>
      <c r="L432" s="1388"/>
      <c r="M432" s="1388"/>
      <c r="N432" s="1388"/>
      <c r="O432" s="1388"/>
      <c r="P432" s="1388"/>
      <c r="Q432" s="1388"/>
      <c r="R432" s="1388"/>
      <c r="S432" s="1388"/>
      <c r="T432" s="1388"/>
      <c r="U432" s="1388"/>
      <c r="V432" s="1388"/>
      <c r="W432" s="1388"/>
      <c r="X432" s="1388"/>
      <c r="Y432" s="1388"/>
      <c r="Z432" s="1388"/>
      <c r="AA432" s="1388"/>
      <c r="AB432" s="1388"/>
      <c r="AC432" s="1388"/>
      <c r="AD432" s="1388"/>
      <c r="AE432" s="1388"/>
      <c r="AF432" s="1389"/>
      <c r="AG432" s="1417">
        <v>38</v>
      </c>
      <c r="AH432" s="1417"/>
      <c r="AI432" s="1417"/>
      <c r="AJ432" s="1417"/>
    </row>
    <row r="433" spans="4:36" ht="12.95" customHeight="1">
      <c r="D433" s="1387" t="s">
        <v>1427</v>
      </c>
      <c r="E433" s="1388"/>
      <c r="F433" s="1388"/>
      <c r="G433" s="1388"/>
      <c r="H433" s="1388"/>
      <c r="I433" s="1388"/>
      <c r="J433" s="1388"/>
      <c r="K433" s="1388"/>
      <c r="L433" s="1388"/>
      <c r="M433" s="1388"/>
      <c r="N433" s="1388"/>
      <c r="O433" s="1388"/>
      <c r="P433" s="1388"/>
      <c r="Q433" s="1388"/>
      <c r="R433" s="1388"/>
      <c r="S433" s="1388"/>
      <c r="T433" s="1388"/>
      <c r="U433" s="1388"/>
      <c r="V433" s="1388"/>
      <c r="W433" s="1388"/>
      <c r="X433" s="1388"/>
      <c r="Y433" s="1388"/>
      <c r="Z433" s="1388"/>
      <c r="AA433" s="1388"/>
      <c r="AB433" s="1388"/>
      <c r="AC433" s="1388"/>
      <c r="AD433" s="1388"/>
      <c r="AE433" s="1388"/>
      <c r="AF433" s="1389"/>
      <c r="AG433" s="1417">
        <v>38</v>
      </c>
      <c r="AH433" s="1417"/>
      <c r="AI433" s="1417"/>
      <c r="AJ433" s="1417"/>
    </row>
    <row r="434" spans="4:36" ht="12.95" customHeight="1">
      <c r="D434" s="1387" t="s">
        <v>1432</v>
      </c>
      <c r="E434" s="1388"/>
      <c r="F434" s="1388"/>
      <c r="G434" s="1388"/>
      <c r="H434" s="1388"/>
      <c r="I434" s="1388"/>
      <c r="J434" s="1388"/>
      <c r="K434" s="1388"/>
      <c r="L434" s="1388"/>
      <c r="M434" s="1388"/>
      <c r="N434" s="1388"/>
      <c r="O434" s="1388"/>
      <c r="P434" s="1388"/>
      <c r="Q434" s="1388"/>
      <c r="R434" s="1388"/>
      <c r="S434" s="1388"/>
      <c r="T434" s="1388"/>
      <c r="U434" s="1388"/>
      <c r="V434" s="1388"/>
      <c r="W434" s="1388"/>
      <c r="X434" s="1388"/>
      <c r="Y434" s="1388"/>
      <c r="Z434" s="1388"/>
      <c r="AA434" s="1388"/>
      <c r="AB434" s="1388"/>
      <c r="AC434" s="1388"/>
      <c r="AD434" s="1388"/>
      <c r="AE434" s="1388"/>
      <c r="AF434" s="1389"/>
      <c r="AG434" s="1418">
        <f>IF(ISERROR(AG433/AG432),"",AG433/AG432)</f>
        <v>1</v>
      </c>
      <c r="AH434" s="1418"/>
      <c r="AI434" s="1418"/>
      <c r="AJ434" s="1418"/>
    </row>
    <row r="435" spans="4:36" ht="12.95" customHeight="1">
      <c r="D435" s="1387" t="s">
        <v>1429</v>
      </c>
      <c r="E435" s="1388"/>
      <c r="F435" s="1388"/>
      <c r="G435" s="1388"/>
      <c r="H435" s="1388"/>
      <c r="I435" s="1388"/>
      <c r="J435" s="1388"/>
      <c r="K435" s="1388"/>
      <c r="L435" s="1388"/>
      <c r="M435" s="1388"/>
      <c r="N435" s="1388"/>
      <c r="O435" s="1388"/>
      <c r="P435" s="1388"/>
      <c r="Q435" s="1388"/>
      <c r="R435" s="1388"/>
      <c r="S435" s="1388"/>
      <c r="T435" s="1388"/>
      <c r="U435" s="1388"/>
      <c r="V435" s="1388"/>
      <c r="W435" s="1388"/>
      <c r="X435" s="1388"/>
      <c r="Y435" s="1388"/>
      <c r="Z435" s="1388"/>
      <c r="AA435" s="1388"/>
      <c r="AB435" s="1388"/>
      <c r="AC435" s="1388"/>
      <c r="AD435" s="1388"/>
      <c r="AE435" s="1388"/>
      <c r="AF435" s="1389"/>
      <c r="AG435" s="1426">
        <v>29876</v>
      </c>
      <c r="AH435" s="1426"/>
      <c r="AI435" s="1426"/>
      <c r="AJ435" s="1426"/>
    </row>
    <row r="436" spans="4:36" ht="12.95" customHeight="1">
      <c r="D436" s="1387" t="s">
        <v>1428</v>
      </c>
      <c r="E436" s="1388"/>
      <c r="F436" s="1388"/>
      <c r="G436" s="1388"/>
      <c r="H436" s="1388"/>
      <c r="I436" s="1388"/>
      <c r="J436" s="1388"/>
      <c r="K436" s="1388"/>
      <c r="L436" s="1388"/>
      <c r="M436" s="1388"/>
      <c r="N436" s="1388"/>
      <c r="O436" s="1388"/>
      <c r="P436" s="1388"/>
      <c r="Q436" s="1388"/>
      <c r="R436" s="1388"/>
      <c r="S436" s="1388"/>
      <c r="T436" s="1388"/>
      <c r="U436" s="1388"/>
      <c r="V436" s="1388"/>
      <c r="W436" s="1388"/>
      <c r="X436" s="1388"/>
      <c r="Y436" s="1388"/>
      <c r="Z436" s="1388"/>
      <c r="AA436" s="1388"/>
      <c r="AB436" s="1388"/>
      <c r="AC436" s="1388"/>
      <c r="AD436" s="1388"/>
      <c r="AE436" s="1388"/>
      <c r="AF436" s="1389"/>
      <c r="AG436" s="1426">
        <v>29876</v>
      </c>
      <c r="AH436" s="1426"/>
      <c r="AI436" s="1426"/>
      <c r="AJ436" s="1426"/>
    </row>
    <row r="437" spans="4:36" ht="12.95" customHeight="1">
      <c r="D437" s="1387" t="s">
        <v>1435</v>
      </c>
      <c r="E437" s="1388"/>
      <c r="F437" s="1388"/>
      <c r="G437" s="1388"/>
      <c r="H437" s="1388"/>
      <c r="I437" s="1388"/>
      <c r="J437" s="1388"/>
      <c r="K437" s="1388"/>
      <c r="L437" s="1388"/>
      <c r="M437" s="1388"/>
      <c r="N437" s="1388"/>
      <c r="O437" s="1388"/>
      <c r="P437" s="1388"/>
      <c r="Q437" s="1388"/>
      <c r="R437" s="1388"/>
      <c r="S437" s="1388"/>
      <c r="T437" s="1388"/>
      <c r="U437" s="1388"/>
      <c r="V437" s="1388"/>
      <c r="W437" s="1388"/>
      <c r="X437" s="1388"/>
      <c r="Y437" s="1388"/>
      <c r="Z437" s="1388"/>
      <c r="AA437" s="1388"/>
      <c r="AB437" s="1388"/>
      <c r="AC437" s="1388"/>
      <c r="AD437" s="1388"/>
      <c r="AE437" s="1388"/>
      <c r="AF437" s="1389"/>
      <c r="AG437" s="1418">
        <f>IF(ISERROR(AG436/AG435),"",AG436/AG435)</f>
        <v>1</v>
      </c>
      <c r="AH437" s="1418"/>
      <c r="AI437" s="1418"/>
      <c r="AJ437" s="1418"/>
    </row>
    <row r="438" spans="4:36" ht="12.95" customHeight="1">
      <c r="D438" s="1387" t="s">
        <v>1433</v>
      </c>
      <c r="E438" s="1388"/>
      <c r="F438" s="1388"/>
      <c r="G438" s="1388"/>
      <c r="H438" s="1388"/>
      <c r="I438" s="1388"/>
      <c r="J438" s="1388"/>
      <c r="K438" s="1388"/>
      <c r="L438" s="1388"/>
      <c r="M438" s="1388"/>
      <c r="N438" s="1388"/>
      <c r="O438" s="1388"/>
      <c r="P438" s="1388"/>
      <c r="Q438" s="1388"/>
      <c r="R438" s="1388"/>
      <c r="S438" s="1388"/>
      <c r="T438" s="1388"/>
      <c r="U438" s="1388"/>
      <c r="V438" s="1388"/>
      <c r="W438" s="1388"/>
      <c r="X438" s="1388"/>
      <c r="Y438" s="1388"/>
      <c r="Z438" s="1388"/>
      <c r="AA438" s="1388"/>
      <c r="AB438" s="1388"/>
      <c r="AC438" s="1388"/>
      <c r="AD438" s="1388"/>
      <c r="AE438" s="1388"/>
      <c r="AF438" s="1389"/>
      <c r="AG438" s="1418">
        <f>MIN(IF(AG434&gt;AG437,AG437,AG434),1)</f>
        <v>1</v>
      </c>
      <c r="AH438" s="1418"/>
      <c r="AI438" s="1418"/>
      <c r="AJ438" s="1418"/>
    </row>
    <row r="439" spans="4:36" ht="12.95" customHeight="1">
      <c r="D439" s="1470" t="s">
        <v>2228</v>
      </c>
      <c r="E439" s="1237"/>
      <c r="F439" s="1237"/>
      <c r="G439" s="1237"/>
      <c r="H439" s="1237"/>
      <c r="I439" s="1237"/>
      <c r="J439" s="1237"/>
      <c r="K439" s="1237"/>
      <c r="L439" s="1237"/>
      <c r="M439" s="1237"/>
      <c r="N439" s="1237"/>
      <c r="O439" s="1237"/>
      <c r="P439" s="1237"/>
      <c r="Q439" s="1237"/>
      <c r="R439" s="1237"/>
      <c r="S439" s="1237"/>
      <c r="T439" s="1237"/>
      <c r="U439" s="1237"/>
      <c r="V439" s="1237"/>
      <c r="W439" s="1237"/>
      <c r="X439" s="1237"/>
      <c r="Y439" s="1237"/>
      <c r="Z439" s="1237"/>
      <c r="AA439" s="1237"/>
      <c r="AB439" s="1237"/>
      <c r="AC439" s="1237"/>
      <c r="AD439" s="1237"/>
      <c r="AE439" s="1237"/>
      <c r="AF439" s="1454"/>
      <c r="AG439" s="1426">
        <v>2641</v>
      </c>
      <c r="AH439" s="1426"/>
      <c r="AI439" s="1426"/>
      <c r="AJ439" s="1426"/>
    </row>
    <row r="440" spans="4:36" ht="12.95" customHeight="1">
      <c r="D440" s="1387" t="s">
        <v>222</v>
      </c>
      <c r="E440" s="1388"/>
      <c r="F440" s="1388"/>
      <c r="G440" s="1388"/>
      <c r="H440" s="1388"/>
      <c r="I440" s="1388"/>
      <c r="J440" s="1388"/>
      <c r="K440" s="1388"/>
      <c r="L440" s="1388"/>
      <c r="M440" s="1388"/>
      <c r="N440" s="1388"/>
      <c r="O440" s="1388"/>
      <c r="P440" s="1388"/>
      <c r="Q440" s="1388"/>
      <c r="R440" s="1388"/>
      <c r="S440" s="1388"/>
      <c r="T440" s="1388"/>
      <c r="U440" s="1388"/>
      <c r="V440" s="1388"/>
      <c r="W440" s="1388"/>
      <c r="X440" s="1388"/>
      <c r="Y440" s="1388"/>
      <c r="Z440" s="1388"/>
      <c r="AA440" s="1388"/>
      <c r="AB440" s="1388"/>
      <c r="AC440" s="1388"/>
      <c r="AD440" s="1388"/>
      <c r="AE440" s="1388"/>
      <c r="AF440" s="1389"/>
      <c r="AG440" s="1426">
        <v>0</v>
      </c>
      <c r="AH440" s="1426"/>
      <c r="AI440" s="1426"/>
      <c r="AJ440" s="1426"/>
    </row>
    <row r="441" spans="4:36" ht="12.95" customHeight="1">
      <c r="D441" s="1470" t="s">
        <v>1807</v>
      </c>
      <c r="E441" s="1388"/>
      <c r="F441" s="1388"/>
      <c r="G441" s="1388"/>
      <c r="H441" s="1388"/>
      <c r="I441" s="1388"/>
      <c r="J441" s="1388"/>
      <c r="K441" s="1388"/>
      <c r="L441" s="1388"/>
      <c r="M441" s="1388"/>
      <c r="N441" s="1388"/>
      <c r="O441" s="1388"/>
      <c r="P441" s="1388"/>
      <c r="Q441" s="1388"/>
      <c r="R441" s="1388"/>
      <c r="S441" s="1388"/>
      <c r="T441" s="1388"/>
      <c r="U441" s="1388"/>
      <c r="V441" s="1388"/>
      <c r="W441" s="1388"/>
      <c r="X441" s="1388"/>
      <c r="Y441" s="1388"/>
      <c r="Z441" s="1388"/>
      <c r="AA441" s="1388"/>
      <c r="AB441" s="1388"/>
      <c r="AC441" s="1388"/>
      <c r="AD441" s="1388"/>
      <c r="AE441" s="1388"/>
      <c r="AF441" s="1389"/>
      <c r="AG441" s="1426">
        <v>3835</v>
      </c>
      <c r="AH441" s="1426"/>
      <c r="AI441" s="1426"/>
      <c r="AJ441" s="1426"/>
    </row>
    <row r="442" spans="4:36" ht="12.95" customHeight="1">
      <c r="D442" s="1387" t="s">
        <v>1434</v>
      </c>
      <c r="E442" s="1388"/>
      <c r="F442" s="1388"/>
      <c r="G442" s="1388"/>
      <c r="H442" s="1388"/>
      <c r="I442" s="1388"/>
      <c r="J442" s="1388"/>
      <c r="K442" s="1388"/>
      <c r="L442" s="1388"/>
      <c r="M442" s="1388"/>
      <c r="N442" s="1388"/>
      <c r="O442" s="1388"/>
      <c r="P442" s="1388"/>
      <c r="Q442" s="1388"/>
      <c r="R442" s="1388"/>
      <c r="S442" s="1388"/>
      <c r="T442" s="1388"/>
      <c r="U442" s="1388"/>
      <c r="V442" s="1388"/>
      <c r="W442" s="1388"/>
      <c r="X442" s="1388"/>
      <c r="Y442" s="1388"/>
      <c r="Z442" s="1388"/>
      <c r="AA442" s="1388"/>
      <c r="AB442" s="1388"/>
      <c r="AC442" s="1388"/>
      <c r="AD442" s="1388"/>
      <c r="AE442" s="1388"/>
      <c r="AF442" s="1389"/>
      <c r="AG442" s="1426">
        <v>0</v>
      </c>
      <c r="AH442" s="1426"/>
      <c r="AI442" s="1426"/>
      <c r="AJ442" s="1426"/>
    </row>
    <row r="443" spans="4:36" ht="12.95" customHeight="1">
      <c r="D443" s="1387" t="s">
        <v>1436</v>
      </c>
      <c r="E443" s="1388"/>
      <c r="F443" s="1388"/>
      <c r="G443" s="1388"/>
      <c r="H443" s="1388"/>
      <c r="I443" s="1388"/>
      <c r="J443" s="1388"/>
      <c r="K443" s="1388"/>
      <c r="L443" s="1388"/>
      <c r="M443" s="1388"/>
      <c r="N443" s="1388"/>
      <c r="O443" s="1388"/>
      <c r="P443" s="1388"/>
      <c r="Q443" s="1388"/>
      <c r="R443" s="1388"/>
      <c r="S443" s="1388"/>
      <c r="T443" s="1388"/>
      <c r="U443" s="1388"/>
      <c r="V443" s="1388"/>
      <c r="W443" s="1388"/>
      <c r="X443" s="1388"/>
      <c r="Y443" s="1388"/>
      <c r="Z443" s="1388"/>
      <c r="AA443" s="1388"/>
      <c r="AB443" s="1388"/>
      <c r="AC443" s="1388"/>
      <c r="AD443" s="1388"/>
      <c r="AE443" s="1388"/>
      <c r="AF443" s="1389"/>
      <c r="AG443" s="1450">
        <f>AG435+AG439+AG441+AG442</f>
        <v>36352</v>
      </c>
      <c r="AH443" s="1450"/>
      <c r="AI443" s="1450"/>
      <c r="AJ443" s="1450"/>
    </row>
    <row r="444" spans="4:36" ht="12.95" customHeight="1">
      <c r="D444" s="1452" t="s">
        <v>1808</v>
      </c>
      <c r="E444" s="1452"/>
      <c r="F444" s="1452"/>
      <c r="G444" s="1452"/>
      <c r="H444" s="1452"/>
      <c r="I444" s="1452"/>
      <c r="J444" s="1452"/>
      <c r="K444" s="1452"/>
      <c r="L444" s="1452"/>
      <c r="M444" s="1452"/>
      <c r="N444" s="1452"/>
      <c r="O444" s="1452"/>
      <c r="P444" s="1452"/>
      <c r="Q444" s="1452"/>
      <c r="R444" s="1452"/>
      <c r="S444" s="1452"/>
      <c r="T444" s="1452"/>
      <c r="U444" s="1452"/>
      <c r="V444" s="1452"/>
      <c r="W444" s="1452"/>
      <c r="X444" s="1452"/>
      <c r="Y444" s="1452"/>
      <c r="Z444" s="1452"/>
      <c r="AA444" s="1452"/>
      <c r="AB444" s="1452"/>
      <c r="AC444" s="1452"/>
      <c r="AD444" s="1452"/>
      <c r="AE444" s="1452"/>
      <c r="AF444" s="1452"/>
      <c r="AG444" s="1452"/>
      <c r="AH444" s="1452"/>
      <c r="AI444" s="1452"/>
      <c r="AJ444" s="1452"/>
    </row>
    <row r="445" spans="4:36" ht="12.95" customHeight="1">
      <c r="D445" s="1453"/>
      <c r="E445" s="1453"/>
      <c r="F445" s="1453"/>
      <c r="G445" s="1453"/>
      <c r="H445" s="1453"/>
      <c r="I445" s="1453"/>
      <c r="J445" s="1453"/>
      <c r="K445" s="1453"/>
      <c r="L445" s="1453"/>
      <c r="M445" s="1453"/>
      <c r="N445" s="1453"/>
      <c r="O445" s="1453"/>
      <c r="P445" s="1453"/>
      <c r="Q445" s="1453"/>
      <c r="R445" s="1453"/>
      <c r="S445" s="1453"/>
      <c r="T445" s="1453"/>
      <c r="U445" s="1453"/>
      <c r="V445" s="1453"/>
      <c r="W445" s="1453"/>
      <c r="X445" s="1453"/>
      <c r="Y445" s="1453"/>
      <c r="Z445" s="1453"/>
      <c r="AA445" s="1453"/>
      <c r="AB445" s="1453"/>
      <c r="AC445" s="1453"/>
      <c r="AD445" s="1453"/>
      <c r="AE445" s="1453"/>
      <c r="AF445" s="1453"/>
      <c r="AG445" s="1453"/>
      <c r="AH445" s="1453"/>
      <c r="AI445" s="1453"/>
      <c r="AJ445" s="1453"/>
    </row>
    <row r="446" spans="4:36" ht="12.95" customHeight="1">
      <c r="D446" s="1419"/>
      <c r="E446" s="1419"/>
      <c r="F446" s="1419"/>
      <c r="G446" s="1419"/>
      <c r="H446" s="1419"/>
      <c r="I446" s="1419"/>
      <c r="J446" s="1419"/>
      <c r="K446" s="1419"/>
      <c r="L446" s="1419"/>
      <c r="M446" s="1419"/>
      <c r="N446" s="1419"/>
      <c r="O446" s="1419"/>
      <c r="P446" s="1419"/>
      <c r="Q446" s="1419"/>
      <c r="R446" s="1419"/>
      <c r="S446" s="1419"/>
      <c r="T446" s="1419"/>
      <c r="U446" s="1419"/>
      <c r="V446" s="1419"/>
      <c r="W446" s="1419"/>
      <c r="X446" s="1419"/>
      <c r="Y446" s="1419"/>
      <c r="Z446" s="1419"/>
      <c r="AA446" s="1419"/>
      <c r="AB446" s="1419"/>
      <c r="AC446" s="1419"/>
      <c r="AD446" s="1419"/>
      <c r="AE446" s="1419"/>
      <c r="AF446" s="1419"/>
      <c r="AG446" s="1419"/>
      <c r="AH446" s="1419"/>
      <c r="AI446" s="1419"/>
      <c r="AJ446" s="1419"/>
    </row>
    <row r="447" spans="4:36" ht="12.95" customHeight="1">
      <c r="D447" s="3" t="s">
        <v>1082</v>
      </c>
      <c r="E447" s="308"/>
      <c r="F447" s="308"/>
      <c r="G447" s="308"/>
      <c r="H447" s="308"/>
      <c r="I447" s="308"/>
      <c r="J447" s="308"/>
      <c r="K447" s="308"/>
      <c r="L447" s="308"/>
      <c r="M447" s="308"/>
      <c r="N447" s="308"/>
      <c r="O447" s="308"/>
      <c r="P447" s="308"/>
      <c r="Q447" s="308"/>
      <c r="R447" s="308"/>
      <c r="S447" s="308"/>
      <c r="T447" s="308"/>
      <c r="U447" s="308"/>
      <c r="V447" s="308"/>
      <c r="W447" s="308"/>
      <c r="X447" s="308"/>
      <c r="Y447" s="308"/>
      <c r="Z447" s="308"/>
      <c r="AA447" s="308"/>
      <c r="AB447" s="308"/>
      <c r="AC447" s="1429">
        <f>'Sources and Uses Budget'!B104/Application!AG430</f>
        <v>741056.61538461538</v>
      </c>
      <c r="AD447" s="1429"/>
      <c r="AE447" s="1429"/>
      <c r="AF447" s="1429"/>
      <c r="AG447" s="1415"/>
      <c r="AH447" s="1415"/>
      <c r="AI447" s="1415"/>
      <c r="AJ447" s="1415"/>
    </row>
    <row r="448" spans="4:36" ht="12.95" customHeight="1">
      <c r="D448" s="3" t="s">
        <v>1083</v>
      </c>
      <c r="E448" s="308"/>
      <c r="F448" s="308"/>
      <c r="G448" s="308"/>
      <c r="H448" s="308"/>
      <c r="I448" s="308"/>
      <c r="J448" s="308"/>
      <c r="K448" s="308"/>
      <c r="L448" s="308"/>
      <c r="M448" s="308"/>
      <c r="N448" s="308"/>
      <c r="O448" s="308"/>
      <c r="P448" s="308"/>
      <c r="Q448" s="308"/>
      <c r="R448" s="308"/>
      <c r="S448" s="308"/>
      <c r="T448" s="308"/>
      <c r="U448" s="308"/>
      <c r="V448" s="308"/>
      <c r="W448" s="308"/>
      <c r="X448" s="308"/>
      <c r="Y448" s="308"/>
      <c r="Z448" s="308"/>
      <c r="AA448" s="308"/>
      <c r="AB448" s="308"/>
      <c r="AC448" s="1429">
        <f>'Sources and Uses Budget'!C104/Application!AG430</f>
        <v>741056.61538461538</v>
      </c>
      <c r="AD448" s="1429"/>
      <c r="AE448" s="1429"/>
      <c r="AF448" s="1429"/>
      <c r="AG448" s="1415"/>
      <c r="AH448" s="1415"/>
      <c r="AI448" s="1415"/>
      <c r="AJ448" s="1415"/>
    </row>
    <row r="449" spans="1:38" ht="12.95" customHeight="1">
      <c r="D449" s="377" t="s">
        <v>1090</v>
      </c>
      <c r="E449" s="308"/>
      <c r="F449" s="308"/>
      <c r="G449" s="308"/>
      <c r="H449" s="308"/>
      <c r="I449" s="308"/>
      <c r="J449" s="308"/>
      <c r="K449" s="308"/>
      <c r="L449" s="308"/>
      <c r="M449" s="308"/>
      <c r="N449" s="308"/>
      <c r="O449" s="308"/>
      <c r="P449" s="308"/>
      <c r="Q449" s="308"/>
      <c r="R449" s="308"/>
      <c r="S449" s="308"/>
      <c r="T449" s="308"/>
      <c r="U449" s="308"/>
      <c r="V449" s="308"/>
      <c r="W449" s="308"/>
      <c r="X449" s="308"/>
      <c r="Y449" s="308"/>
      <c r="Z449" s="308"/>
      <c r="AA449" s="308"/>
      <c r="AB449" s="308"/>
      <c r="AC449" s="1429">
        <f>('Sources and Uses Budget'!S106+'Sources and Uses Budget'!T106)/Application!AG430</f>
        <v>598126.61538461538</v>
      </c>
      <c r="AD449" s="1429"/>
      <c r="AE449" s="1429"/>
      <c r="AF449" s="1429"/>
      <c r="AG449" s="366"/>
      <c r="AH449" s="366"/>
      <c r="AI449" s="366"/>
      <c r="AJ449" s="366"/>
    </row>
    <row r="450" spans="1:38" ht="12.95" customHeight="1">
      <c r="D450" s="308"/>
      <c r="E450" s="308"/>
      <c r="F450" s="308"/>
      <c r="G450" s="308"/>
      <c r="H450" s="308"/>
      <c r="I450" s="308"/>
      <c r="J450" s="308"/>
      <c r="K450" s="308"/>
      <c r="L450" s="308"/>
      <c r="M450" s="308"/>
      <c r="N450" s="308"/>
      <c r="O450" s="308"/>
      <c r="P450" s="308"/>
      <c r="Q450" s="308"/>
      <c r="R450" s="308"/>
      <c r="S450" s="308"/>
      <c r="T450" s="308"/>
      <c r="U450" s="308"/>
      <c r="V450" s="308"/>
      <c r="W450" s="308"/>
      <c r="X450" s="308"/>
      <c r="Y450" s="308"/>
      <c r="Z450" s="308"/>
      <c r="AA450" s="308"/>
      <c r="AB450" s="308"/>
      <c r="AC450" s="566"/>
      <c r="AD450" s="308"/>
      <c r="AE450" s="308"/>
      <c r="AF450" s="308"/>
      <c r="AG450" s="308"/>
      <c r="AH450" s="308"/>
      <c r="AI450" s="308"/>
    </row>
    <row r="451" spans="1:38" ht="12.95" customHeight="1">
      <c r="A451" s="3" t="s">
        <v>163</v>
      </c>
      <c r="D451" s="3" t="s">
        <v>226</v>
      </c>
      <c r="E451" s="308"/>
      <c r="F451" s="308"/>
      <c r="G451" s="308"/>
      <c r="H451" s="308"/>
      <c r="I451" s="308"/>
      <c r="J451" s="308"/>
      <c r="K451" s="308"/>
      <c r="L451" s="308"/>
      <c r="M451" s="308"/>
      <c r="N451" s="308"/>
      <c r="O451" s="308"/>
      <c r="P451" s="308"/>
      <c r="Q451" s="308"/>
      <c r="R451" s="308"/>
      <c r="S451" s="308"/>
      <c r="T451" s="308"/>
      <c r="U451" s="308"/>
      <c r="V451" s="308"/>
      <c r="W451" s="308"/>
      <c r="X451" s="308"/>
      <c r="Y451" s="308"/>
      <c r="Z451" s="308"/>
      <c r="AA451" s="308"/>
      <c r="AB451" s="308"/>
      <c r="AC451" s="308"/>
      <c r="AD451" s="308"/>
      <c r="AE451" s="308"/>
      <c r="AF451" s="308"/>
      <c r="AG451" s="308"/>
      <c r="AH451" s="308"/>
      <c r="AI451" s="308"/>
    </row>
    <row r="452" spans="1:38" ht="12.95" customHeight="1">
      <c r="D452" s="311" t="s">
        <v>232</v>
      </c>
      <c r="E452" s="308"/>
      <c r="F452" s="308"/>
      <c r="G452" s="308"/>
      <c r="H452" s="308"/>
      <c r="I452" s="308"/>
      <c r="J452" s="308"/>
      <c r="K452" s="308"/>
      <c r="L452" s="308"/>
      <c r="M452" s="308"/>
      <c r="N452" s="308"/>
      <c r="O452" s="308"/>
      <c r="P452" s="308"/>
      <c r="Q452" s="308"/>
      <c r="R452" s="308"/>
      <c r="S452" s="308"/>
      <c r="T452" s="308"/>
      <c r="U452" s="308"/>
      <c r="V452" s="308"/>
      <c r="W452" s="308"/>
      <c r="X452" s="308"/>
      <c r="Y452" s="308"/>
      <c r="Z452" s="308"/>
      <c r="AA452" s="308"/>
      <c r="AB452" s="308"/>
      <c r="AC452" s="308"/>
      <c r="AD452" s="308"/>
      <c r="AE452" s="308"/>
      <c r="AF452" s="308"/>
      <c r="AG452" s="308"/>
      <c r="AH452" s="308"/>
      <c r="AI452" s="308"/>
    </row>
    <row r="453" spans="1:38" ht="12.95" customHeight="1">
      <c r="D453" s="312" t="s">
        <v>731</v>
      </c>
      <c r="E453" s="308"/>
      <c r="F453" s="308"/>
      <c r="G453" s="308"/>
      <c r="H453" s="308"/>
      <c r="I453" s="308"/>
      <c r="J453" s="308"/>
      <c r="K453" s="308"/>
      <c r="L453" s="308"/>
      <c r="M453" s="308"/>
      <c r="N453" s="308"/>
      <c r="O453" s="308"/>
      <c r="P453" s="308"/>
      <c r="Q453" s="308"/>
      <c r="R453" s="308"/>
      <c r="S453" s="308"/>
      <c r="T453" s="308"/>
      <c r="U453" s="308"/>
      <c r="V453" s="308"/>
      <c r="W453" s="308"/>
      <c r="X453" s="308"/>
      <c r="Y453" s="308"/>
      <c r="Z453" s="308"/>
      <c r="AA453" s="308"/>
      <c r="AB453" s="308"/>
      <c r="AC453" s="308"/>
      <c r="AD453" s="308"/>
      <c r="AE453" s="308"/>
      <c r="AF453" s="308"/>
      <c r="AG453" s="308"/>
      <c r="AH453" s="308"/>
      <c r="AI453" s="308"/>
    </row>
    <row r="454" spans="1:38" ht="12.95" customHeight="1">
      <c r="D454" s="311" t="s">
        <v>233</v>
      </c>
      <c r="E454" s="308"/>
      <c r="F454" s="308"/>
      <c r="G454" s="308"/>
      <c r="H454" s="308"/>
      <c r="I454" s="308"/>
      <c r="J454" s="308"/>
      <c r="K454" s="308"/>
      <c r="L454" s="308"/>
      <c r="M454" s="308"/>
      <c r="N454" s="308"/>
      <c r="O454" s="308"/>
      <c r="P454" s="308"/>
      <c r="Q454" s="308"/>
      <c r="R454" s="308"/>
      <c r="S454" s="308"/>
      <c r="T454" s="308"/>
      <c r="U454" s="308"/>
      <c r="V454" s="308"/>
      <c r="W454" s="308"/>
      <c r="X454" s="308"/>
      <c r="Y454" s="308"/>
      <c r="Z454" s="308"/>
      <c r="AA454" s="308"/>
      <c r="AB454" s="308"/>
      <c r="AC454" s="308"/>
      <c r="AD454" s="308"/>
      <c r="AE454" s="308"/>
      <c r="AF454" s="308"/>
      <c r="AG454" s="308"/>
      <c r="AH454" s="308"/>
      <c r="AI454" s="308"/>
    </row>
    <row r="455" spans="1:38" ht="12.95" customHeight="1">
      <c r="D455" s="311" t="s">
        <v>229</v>
      </c>
      <c r="E455" s="308"/>
      <c r="F455" s="308"/>
      <c r="G455" s="308"/>
      <c r="H455" s="308"/>
      <c r="I455" s="308"/>
      <c r="J455" s="308"/>
      <c r="K455" s="308"/>
      <c r="L455" s="308"/>
      <c r="M455" s="308"/>
      <c r="N455" s="308"/>
      <c r="O455" s="308"/>
      <c r="P455" s="308"/>
      <c r="Q455" s="308"/>
      <c r="R455" s="308"/>
      <c r="S455" s="308"/>
      <c r="T455" s="308"/>
      <c r="U455" s="308"/>
      <c r="V455" s="308"/>
      <c r="W455" s="308"/>
      <c r="X455" s="308"/>
      <c r="Y455" s="308"/>
      <c r="Z455" s="308"/>
      <c r="AA455" s="308"/>
      <c r="AB455" s="308"/>
      <c r="AC455" s="308"/>
      <c r="AD455" s="308"/>
      <c r="AE455" s="308"/>
      <c r="AF455" s="308"/>
      <c r="AG455" s="308"/>
      <c r="AH455" s="308"/>
      <c r="AI455" s="308"/>
    </row>
    <row r="456" spans="1:38" ht="12.95" customHeight="1">
      <c r="D456" s="308"/>
      <c r="E456" s="308"/>
      <c r="F456" s="308"/>
      <c r="G456" s="308"/>
      <c r="H456" s="308"/>
      <c r="I456" s="308"/>
      <c r="J456" s="308"/>
      <c r="K456" s="308"/>
      <c r="L456" s="308"/>
      <c r="M456" s="308"/>
      <c r="N456" s="308"/>
      <c r="O456" s="308"/>
      <c r="P456" s="308"/>
      <c r="Q456" s="308"/>
      <c r="R456" s="308"/>
      <c r="S456" s="308"/>
      <c r="T456" s="308"/>
      <c r="U456" s="308"/>
      <c r="V456" s="308"/>
      <c r="W456" s="308"/>
      <c r="X456" s="308"/>
      <c r="Y456" s="308"/>
      <c r="Z456" s="308"/>
      <c r="AA456" s="308"/>
      <c r="AB456" s="308"/>
      <c r="AC456" s="308"/>
      <c r="AD456" s="308"/>
      <c r="AE456" s="308"/>
      <c r="AF456" s="308"/>
      <c r="AG456" s="308"/>
      <c r="AH456" s="308"/>
      <c r="AI456" s="308"/>
    </row>
    <row r="457" spans="1:38" ht="12.95" customHeight="1">
      <c r="A457" s="41"/>
      <c r="B457" s="41"/>
      <c r="C457" s="41"/>
      <c r="D457" s="314" t="s">
        <v>231</v>
      </c>
      <c r="E457" s="311"/>
      <c r="F457" s="311"/>
      <c r="G457" s="311"/>
      <c r="H457" s="311"/>
      <c r="I457" s="311"/>
      <c r="J457" s="311"/>
      <c r="K457" s="311"/>
      <c r="L457" s="311"/>
      <c r="M457" s="311"/>
      <c r="N457" s="311"/>
      <c r="O457" s="311"/>
      <c r="P457" s="311"/>
      <c r="Q457" s="311"/>
      <c r="R457" s="311"/>
      <c r="S457" s="311"/>
      <c r="T457" s="311"/>
      <c r="U457" s="311"/>
      <c r="V457" s="311"/>
      <c r="W457" s="311"/>
      <c r="X457" s="311"/>
      <c r="Y457" s="311"/>
      <c r="Z457" s="311"/>
      <c r="AA457" s="311"/>
      <c r="AB457" s="311"/>
      <c r="AC457" s="311"/>
      <c r="AD457" s="311"/>
      <c r="AE457" s="311"/>
      <c r="AF457" s="311"/>
      <c r="AG457" s="311"/>
      <c r="AH457" s="311"/>
      <c r="AI457" s="311"/>
      <c r="AJ457" s="41"/>
      <c r="AK457" s="41"/>
      <c r="AL457" s="41"/>
    </row>
    <row r="458" spans="1:38" ht="12.95" customHeight="1">
      <c r="A458" s="41"/>
      <c r="B458" s="41"/>
      <c r="C458" s="41"/>
      <c r="D458" s="1406" t="s">
        <v>2201</v>
      </c>
      <c r="E458" s="1407"/>
      <c r="F458" s="1407"/>
      <c r="G458" s="1407"/>
      <c r="H458" s="1407"/>
      <c r="I458" s="1407"/>
      <c r="J458" s="1407"/>
      <c r="K458" s="1407"/>
      <c r="L458" s="1407"/>
      <c r="M458" s="1407"/>
      <c r="N458" s="1407"/>
      <c r="O458" s="1407"/>
      <c r="P458" s="1407"/>
      <c r="Q458" s="1407"/>
      <c r="R458" s="1407"/>
      <c r="S458" s="1407"/>
      <c r="T458" s="1407"/>
      <c r="U458" s="1407"/>
      <c r="V458" s="1408"/>
      <c r="W458" s="1380">
        <v>19</v>
      </c>
      <c r="X458" s="1381"/>
      <c r="Y458" s="1382"/>
      <c r="Z458" s="311"/>
      <c r="AA458" s="311"/>
      <c r="AB458" s="311"/>
      <c r="AC458" s="311"/>
      <c r="AD458" s="311"/>
      <c r="AE458" s="311"/>
      <c r="AF458" s="311"/>
      <c r="AG458" s="311"/>
      <c r="AH458" s="311"/>
      <c r="AI458" s="311"/>
      <c r="AJ458" s="41"/>
      <c r="AK458" s="41"/>
      <c r="AL458" s="41"/>
    </row>
    <row r="459" spans="1:38" ht="12.95" customHeight="1">
      <c r="A459" s="41"/>
      <c r="B459" s="41"/>
      <c r="C459" s="41"/>
      <c r="D459" s="1406" t="s">
        <v>227</v>
      </c>
      <c r="E459" s="1407"/>
      <c r="F459" s="1407"/>
      <c r="G459" s="1407"/>
      <c r="H459" s="1407"/>
      <c r="I459" s="1407"/>
      <c r="J459" s="1407"/>
      <c r="K459" s="1407"/>
      <c r="L459" s="1407"/>
      <c r="M459" s="1407"/>
      <c r="N459" s="1407"/>
      <c r="O459" s="1407"/>
      <c r="P459" s="1407"/>
      <c r="Q459" s="1407"/>
      <c r="R459" s="1407"/>
      <c r="S459" s="1407"/>
      <c r="T459" s="1407"/>
      <c r="U459" s="1407"/>
      <c r="V459" s="1408"/>
      <c r="W459" s="1380">
        <v>0</v>
      </c>
      <c r="X459" s="1381"/>
      <c r="Y459" s="1382"/>
      <c r="Z459" s="311"/>
      <c r="AA459" s="311"/>
      <c r="AB459" s="311"/>
      <c r="AC459" s="311"/>
      <c r="AD459" s="311"/>
      <c r="AE459" s="311"/>
      <c r="AF459" s="311"/>
      <c r="AG459" s="311"/>
      <c r="AH459" s="311"/>
      <c r="AI459" s="311"/>
      <c r="AJ459" s="41"/>
      <c r="AK459" s="41"/>
      <c r="AL459" s="41"/>
    </row>
    <row r="460" spans="1:38" ht="12.95" customHeight="1">
      <c r="A460" s="41"/>
      <c r="B460" s="41"/>
      <c r="C460" s="41"/>
      <c r="D460" s="1406" t="s">
        <v>228</v>
      </c>
      <c r="E460" s="1407"/>
      <c r="F460" s="1407"/>
      <c r="G460" s="1407"/>
      <c r="H460" s="1407"/>
      <c r="I460" s="1407"/>
      <c r="J460" s="1407"/>
      <c r="K460" s="1407"/>
      <c r="L460" s="1407"/>
      <c r="M460" s="1407"/>
      <c r="N460" s="1407"/>
      <c r="O460" s="1407"/>
      <c r="P460" s="1407"/>
      <c r="Q460" s="1407"/>
      <c r="R460" s="1407"/>
      <c r="S460" s="1407"/>
      <c r="T460" s="1407"/>
      <c r="U460" s="1407"/>
      <c r="V460" s="1408"/>
      <c r="W460" s="1380">
        <v>0</v>
      </c>
      <c r="X460" s="1381"/>
      <c r="Y460" s="1382"/>
      <c r="Z460" s="311"/>
      <c r="AA460" s="311"/>
      <c r="AB460" s="311"/>
      <c r="AC460" s="311"/>
      <c r="AD460" s="311"/>
      <c r="AE460" s="311"/>
      <c r="AF460" s="311"/>
      <c r="AG460" s="311"/>
      <c r="AH460" s="311"/>
      <c r="AI460" s="311"/>
      <c r="AJ460" s="41"/>
      <c r="AK460" s="41"/>
      <c r="AL460" s="41"/>
    </row>
    <row r="461" spans="1:38" ht="12.95" customHeight="1">
      <c r="A461" s="41"/>
      <c r="B461" s="41"/>
      <c r="C461" s="41"/>
      <c r="D461" s="1406" t="s">
        <v>230</v>
      </c>
      <c r="E461" s="1407"/>
      <c r="F461" s="1407"/>
      <c r="G461" s="1407"/>
      <c r="H461" s="1407"/>
      <c r="I461" s="1407"/>
      <c r="J461" s="1407"/>
      <c r="K461" s="1407"/>
      <c r="L461" s="1407"/>
      <c r="M461" s="1407"/>
      <c r="N461" s="1407"/>
      <c r="O461" s="1407"/>
      <c r="P461" s="1407"/>
      <c r="Q461" s="1407"/>
      <c r="R461" s="1407"/>
      <c r="S461" s="1407"/>
      <c r="T461" s="1407"/>
      <c r="U461" s="1407"/>
      <c r="V461" s="1408"/>
      <c r="W461" s="1380">
        <v>0</v>
      </c>
      <c r="X461" s="1381"/>
      <c r="Y461" s="1382"/>
      <c r="Z461" s="311"/>
      <c r="AA461" s="311"/>
      <c r="AB461" s="311"/>
      <c r="AC461" s="311"/>
      <c r="AD461" s="311"/>
      <c r="AE461" s="311"/>
      <c r="AF461" s="311"/>
      <c r="AG461" s="311"/>
      <c r="AH461" s="311"/>
      <c r="AI461" s="311"/>
      <c r="AJ461" s="41"/>
      <c r="AK461" s="41"/>
      <c r="AL461" s="41"/>
    </row>
    <row r="462" spans="1:38" ht="12.95" customHeight="1">
      <c r="A462" s="41"/>
      <c r="B462" s="41"/>
      <c r="C462" s="41"/>
      <c r="D462" s="1416" t="s">
        <v>1155</v>
      </c>
      <c r="E462" s="1407"/>
      <c r="F462" s="1407"/>
      <c r="G462" s="1407"/>
      <c r="H462" s="1407"/>
      <c r="I462" s="1407"/>
      <c r="J462" s="1407"/>
      <c r="K462" s="1407"/>
      <c r="L462" s="1407"/>
      <c r="M462" s="1407"/>
      <c r="N462" s="1407"/>
      <c r="O462" s="1407"/>
      <c r="P462" s="1407"/>
      <c r="Q462" s="1407"/>
      <c r="R462" s="1407"/>
      <c r="S462" s="1407"/>
      <c r="T462" s="1407"/>
      <c r="U462" s="1407"/>
      <c r="V462" s="1408"/>
      <c r="W462" s="1380">
        <v>0</v>
      </c>
      <c r="X462" s="1381"/>
      <c r="Y462" s="1382"/>
      <c r="Z462" s="311"/>
      <c r="AA462" s="311"/>
      <c r="AB462" s="311"/>
      <c r="AC462" s="311"/>
      <c r="AD462" s="311"/>
      <c r="AE462" s="311"/>
      <c r="AF462" s="311"/>
      <c r="AG462" s="311"/>
      <c r="AH462" s="311"/>
      <c r="AI462" s="311"/>
      <c r="AJ462" s="41"/>
      <c r="AK462" s="41"/>
      <c r="AL462" s="41"/>
    </row>
    <row r="463" spans="1:38" ht="12.95" customHeight="1">
      <c r="A463" s="41"/>
      <c r="B463" s="41"/>
      <c r="C463" s="41"/>
      <c r="D463" s="1406" t="s">
        <v>234</v>
      </c>
      <c r="E463" s="1407"/>
      <c r="F463" s="1407"/>
      <c r="G463" s="1407"/>
      <c r="H463" s="1407"/>
      <c r="I463" s="1407"/>
      <c r="J463" s="1407"/>
      <c r="K463" s="1407"/>
      <c r="L463" s="1407"/>
      <c r="M463" s="1407"/>
      <c r="N463" s="1407"/>
      <c r="O463" s="1407"/>
      <c r="P463" s="1407"/>
      <c r="Q463" s="1407"/>
      <c r="R463" s="1407"/>
      <c r="S463" s="1407"/>
      <c r="T463" s="1407"/>
      <c r="U463" s="1407"/>
      <c r="V463" s="1408"/>
      <c r="W463" s="1380">
        <v>0</v>
      </c>
      <c r="X463" s="1381"/>
      <c r="Y463" s="1382"/>
      <c r="Z463" s="311"/>
      <c r="AA463" s="311"/>
      <c r="AB463" s="311"/>
      <c r="AC463" s="311"/>
      <c r="AD463" s="311"/>
      <c r="AE463" s="311"/>
      <c r="AF463" s="311"/>
      <c r="AG463" s="311"/>
      <c r="AH463" s="311"/>
      <c r="AI463" s="311"/>
      <c r="AJ463" s="41"/>
      <c r="AK463" s="41"/>
      <c r="AL463" s="41"/>
    </row>
    <row r="464" spans="1:38" ht="12.95" customHeight="1">
      <c r="A464" s="564"/>
      <c r="B464" s="564"/>
      <c r="C464" s="564"/>
      <c r="D464" s="1416" t="s">
        <v>1359</v>
      </c>
      <c r="E464" s="1457"/>
      <c r="F464" s="1457"/>
      <c r="G464" s="1457"/>
      <c r="H464" s="1457"/>
      <c r="I464" s="1457"/>
      <c r="J464" s="1457"/>
      <c r="K464" s="1457"/>
      <c r="L464" s="1457"/>
      <c r="M464" s="1457"/>
      <c r="N464" s="1457"/>
      <c r="O464" s="1457"/>
      <c r="P464" s="1457"/>
      <c r="Q464" s="1457"/>
      <c r="R464" s="1457"/>
      <c r="S464" s="1457"/>
      <c r="T464" s="1457"/>
      <c r="U464" s="1457"/>
      <c r="V464" s="1458"/>
      <c r="W464" s="1420">
        <v>0</v>
      </c>
      <c r="X464" s="1421"/>
      <c r="Y464" s="1422"/>
      <c r="Z464" s="565"/>
      <c r="AA464" s="565"/>
      <c r="AB464" s="565"/>
      <c r="AC464" s="565"/>
      <c r="AD464" s="566"/>
      <c r="AE464" s="566"/>
      <c r="AF464" s="566"/>
      <c r="AG464" s="566"/>
      <c r="AH464" s="566"/>
      <c r="AI464" s="566"/>
      <c r="AJ464" s="366"/>
    </row>
    <row r="465" spans="1:97" ht="12.95" customHeight="1">
      <c r="A465" s="41"/>
      <c r="B465" s="41"/>
      <c r="C465" s="41"/>
      <c r="D465" s="1406" t="s">
        <v>2346</v>
      </c>
      <c r="E465" s="1457"/>
      <c r="F465" s="1457"/>
      <c r="G465" s="1457"/>
      <c r="H465" s="1457"/>
      <c r="I465" s="1457"/>
      <c r="J465" s="1457"/>
      <c r="K465" s="1457"/>
      <c r="L465" s="1457"/>
      <c r="M465" s="1457"/>
      <c r="N465" s="1457"/>
      <c r="O465" s="1457"/>
      <c r="P465" s="1457"/>
      <c r="Q465" s="1457"/>
      <c r="R465" s="1457"/>
      <c r="S465" s="1457"/>
      <c r="T465" s="1457"/>
      <c r="U465" s="1457"/>
      <c r="V465" s="1458"/>
      <c r="W465" s="1420">
        <v>0</v>
      </c>
      <c r="X465" s="1421"/>
      <c r="Y465" s="1422"/>
      <c r="Z465" s="311"/>
      <c r="AA465" s="311"/>
      <c r="AB465" s="311"/>
      <c r="AC465" s="311"/>
      <c r="AD465" s="311"/>
      <c r="AE465" s="311"/>
      <c r="AF465" s="311"/>
      <c r="AG465" s="311"/>
      <c r="AH465" s="311"/>
      <c r="AI465" s="311"/>
      <c r="AJ465" s="41"/>
      <c r="AK465" s="41"/>
      <c r="AL465" s="41"/>
      <c r="AM465" s="564"/>
      <c r="AN465" s="564"/>
      <c r="AO465" s="564"/>
      <c r="AP465" s="564"/>
      <c r="AQ465" s="564"/>
      <c r="AR465" s="564"/>
      <c r="AS465" s="564"/>
      <c r="AT465" s="564"/>
      <c r="AU465" s="564"/>
      <c r="AV465" s="564"/>
      <c r="AW465" s="564"/>
      <c r="AX465" s="564"/>
      <c r="AY465" s="564"/>
      <c r="AZ465" s="564"/>
      <c r="BA465" s="564"/>
      <c r="BB465" s="564"/>
      <c r="BC465" s="564"/>
      <c r="BD465" s="564"/>
      <c r="BE465" s="564"/>
      <c r="BF465" s="564"/>
      <c r="BG465" s="564"/>
      <c r="BH465" s="564"/>
      <c r="BI465" s="564"/>
      <c r="BJ465" s="564"/>
      <c r="BK465" s="564"/>
      <c r="BL465" s="564"/>
      <c r="BM465" s="564"/>
      <c r="BN465" s="564"/>
      <c r="BO465" s="564"/>
      <c r="BP465" s="564"/>
      <c r="BQ465" s="564"/>
      <c r="BR465" s="564"/>
      <c r="BS465" s="564"/>
      <c r="BT465" s="564"/>
      <c r="BU465" s="564"/>
      <c r="BV465" s="564"/>
      <c r="BW465" s="564"/>
      <c r="BX465" s="564"/>
      <c r="BY465" s="564"/>
      <c r="BZ465" s="564"/>
      <c r="CA465" s="564"/>
      <c r="CB465" s="564"/>
      <c r="CC465" s="564"/>
      <c r="CD465" s="564"/>
      <c r="CE465" s="564"/>
      <c r="CF465" s="564"/>
      <c r="CG465" s="564"/>
      <c r="CH465" s="564"/>
      <c r="CI465" s="564"/>
      <c r="CJ465" s="564"/>
      <c r="CK465" s="564"/>
      <c r="CL465" s="564"/>
      <c r="CM465" s="564"/>
      <c r="CN465" s="564"/>
      <c r="CO465" s="564"/>
      <c r="CP465" s="564"/>
      <c r="CQ465" s="564"/>
      <c r="CR465" s="564"/>
      <c r="CS465" s="564"/>
    </row>
    <row r="466" spans="1:97" ht="12.95" customHeight="1">
      <c r="A466" s="41"/>
      <c r="B466" s="41"/>
      <c r="C466" s="41"/>
      <c r="D466" s="419" t="s">
        <v>297</v>
      </c>
      <c r="E466" s="420"/>
      <c r="F466" s="421"/>
      <c r="G466" s="1467"/>
      <c r="H466" s="1468"/>
      <c r="I466" s="1468"/>
      <c r="J466" s="1468"/>
      <c r="K466" s="1468"/>
      <c r="L466" s="1468"/>
      <c r="M466" s="1468"/>
      <c r="N466" s="1468"/>
      <c r="O466" s="1468"/>
      <c r="P466" s="1468"/>
      <c r="Q466" s="1468"/>
      <c r="R466" s="1468"/>
      <c r="S466" s="1468"/>
      <c r="T466" s="1468"/>
      <c r="U466" s="1468"/>
      <c r="V466" s="1469"/>
      <c r="W466" s="1380">
        <v>0</v>
      </c>
      <c r="X466" s="1381"/>
      <c r="Y466" s="1382"/>
      <c r="Z466" s="311"/>
      <c r="AA466" s="311"/>
      <c r="AB466" s="311"/>
      <c r="AC466" s="311"/>
      <c r="AD466" s="311"/>
      <c r="AE466" s="311"/>
      <c r="AF466" s="311"/>
      <c r="AG466" s="311"/>
      <c r="AH466" s="311"/>
      <c r="AI466" s="311"/>
      <c r="AJ466" s="41"/>
      <c r="AK466" s="41"/>
      <c r="AL466" s="41"/>
    </row>
    <row r="467" spans="1:97" ht="12.95" customHeight="1">
      <c r="A467" s="41"/>
      <c r="B467" s="41"/>
      <c r="C467" s="41"/>
      <c r="D467" s="959" t="s">
        <v>1360</v>
      </c>
      <c r="E467" s="960"/>
      <c r="F467" s="960"/>
      <c r="G467" s="960"/>
      <c r="H467" s="960"/>
      <c r="I467" s="960"/>
      <c r="J467" s="960"/>
      <c r="K467" s="960"/>
      <c r="L467" s="960"/>
      <c r="M467" s="960"/>
      <c r="N467" s="960"/>
      <c r="O467" s="960"/>
      <c r="P467" s="960"/>
      <c r="Q467" s="960"/>
      <c r="R467" s="960"/>
      <c r="S467" s="960"/>
      <c r="T467" s="960"/>
      <c r="U467" s="960"/>
      <c r="V467" s="960"/>
      <c r="W467" s="960"/>
      <c r="X467" s="960"/>
      <c r="Y467" s="960"/>
      <c r="Z467" s="311"/>
      <c r="AA467" s="311"/>
      <c r="AB467" s="311"/>
      <c r="AC467" s="311"/>
      <c r="AD467" s="311"/>
      <c r="AE467" s="311"/>
      <c r="AF467" s="311"/>
      <c r="AG467" s="311"/>
      <c r="AH467" s="311"/>
      <c r="AI467" s="311"/>
      <c r="AJ467" s="41"/>
      <c r="AK467" s="41"/>
      <c r="AL467" s="41"/>
    </row>
    <row r="468" spans="1:97" ht="12.95" customHeight="1">
      <c r="A468" s="41"/>
      <c r="B468" s="41"/>
      <c r="C468" s="41"/>
      <c r="D468" s="1546"/>
      <c r="E468" s="1546"/>
      <c r="F468" s="1546"/>
      <c r="G468" s="1546"/>
      <c r="H468" s="1546"/>
      <c r="I468" s="1546"/>
      <c r="J468" s="1546"/>
      <c r="K468" s="1546"/>
      <c r="L468" s="1546"/>
      <c r="M468" s="1546"/>
      <c r="N468" s="1546"/>
      <c r="O468" s="1546"/>
      <c r="P468" s="1546"/>
      <c r="Q468" s="1546"/>
      <c r="R468" s="1546"/>
      <c r="S468" s="1546"/>
      <c r="T468" s="1546"/>
      <c r="U468" s="1546"/>
      <c r="V468" s="1546"/>
      <c r="W468" s="1546"/>
      <c r="X468" s="1546"/>
      <c r="Y468" s="1546"/>
      <c r="Z468" s="311"/>
      <c r="AA468" s="311"/>
      <c r="AB468" s="311"/>
      <c r="AC468" s="311"/>
      <c r="AD468" s="311"/>
      <c r="AE468" s="311"/>
      <c r="AF468" s="311"/>
      <c r="AG468" s="311"/>
      <c r="AH468" s="311"/>
      <c r="AI468" s="311"/>
      <c r="AJ468" s="41"/>
      <c r="AK468" s="41"/>
      <c r="AL468" s="41"/>
      <c r="AM468" s="43"/>
      <c r="AN468" s="43"/>
      <c r="AO468" s="43"/>
      <c r="AP468" s="43"/>
      <c r="AQ468" s="43"/>
      <c r="AR468" s="43"/>
      <c r="AS468" s="43"/>
      <c r="AT468" s="43"/>
      <c r="AU468" s="43"/>
      <c r="AV468" s="43"/>
      <c r="AW468" s="43"/>
      <c r="AX468" s="43"/>
      <c r="AY468" s="43"/>
      <c r="AZ468" s="43"/>
      <c r="BA468" s="43"/>
      <c r="BB468" s="43"/>
      <c r="BC468" s="43"/>
      <c r="BD468" s="43"/>
      <c r="BE468" s="43"/>
      <c r="BF468" s="43"/>
      <c r="BG468" s="43"/>
      <c r="BH468" s="43"/>
      <c r="BI468" s="43"/>
      <c r="BJ468" s="43"/>
      <c r="BK468" s="43"/>
      <c r="BL468" s="43"/>
      <c r="BM468" s="43"/>
      <c r="BN468" s="43"/>
      <c r="BO468" s="43"/>
      <c r="BP468" s="43"/>
      <c r="BQ468" s="43"/>
      <c r="BR468" s="43"/>
      <c r="BS468" s="43"/>
      <c r="BT468" s="43"/>
      <c r="BU468" s="43"/>
      <c r="BV468" s="43"/>
      <c r="BW468" s="43"/>
      <c r="BX468" s="43"/>
      <c r="BY468" s="43"/>
      <c r="BZ468" s="43"/>
      <c r="CA468" s="43"/>
      <c r="CB468" s="43"/>
      <c r="CC468" s="43"/>
      <c r="CD468" s="43"/>
      <c r="CE468" s="43"/>
      <c r="CF468" s="43"/>
      <c r="CG468" s="43"/>
      <c r="CH468" s="43"/>
      <c r="CI468" s="43"/>
      <c r="CJ468" s="43"/>
      <c r="CK468" s="43"/>
      <c r="CL468" s="43"/>
      <c r="CM468" s="43"/>
      <c r="CN468" s="43"/>
      <c r="CO468" s="43"/>
      <c r="CP468" s="43"/>
      <c r="CQ468" s="43"/>
      <c r="CR468" s="43"/>
      <c r="CS468" s="43"/>
    </row>
    <row r="469" spans="1:97" ht="12.95" customHeight="1">
      <c r="A469" s="41"/>
      <c r="B469" s="41"/>
      <c r="C469" s="41"/>
      <c r="D469" s="1547"/>
      <c r="E469" s="1547"/>
      <c r="F469" s="1547"/>
      <c r="G469" s="1547"/>
      <c r="H469" s="1547"/>
      <c r="I469" s="1547"/>
      <c r="J469" s="1547"/>
      <c r="K469" s="1547"/>
      <c r="L469" s="1547"/>
      <c r="M469" s="1547"/>
      <c r="N469" s="1547"/>
      <c r="O469" s="1547"/>
      <c r="P469" s="1547"/>
      <c r="Q469" s="1547"/>
      <c r="R469" s="1547"/>
      <c r="S469" s="1547"/>
      <c r="T469" s="1547"/>
      <c r="U469" s="1547"/>
      <c r="V469" s="1547"/>
      <c r="W469" s="1547"/>
      <c r="X469" s="1547"/>
      <c r="Y469" s="1547"/>
      <c r="Z469" s="311"/>
      <c r="AA469" s="311"/>
      <c r="AB469" s="311"/>
      <c r="AC469" s="311"/>
      <c r="AD469" s="311"/>
      <c r="AE469" s="311"/>
      <c r="AF469" s="311"/>
      <c r="AG469" s="311"/>
      <c r="AH469" s="311"/>
      <c r="AI469" s="311"/>
      <c r="AJ469" s="41"/>
      <c r="AK469" s="41"/>
      <c r="AL469" s="41"/>
      <c r="AM469" s="41"/>
      <c r="AN469" s="41"/>
      <c r="AO469" s="41"/>
      <c r="AP469" s="41"/>
      <c r="AQ469" s="41"/>
      <c r="AR469" s="41"/>
      <c r="AS469" s="41"/>
      <c r="AT469" s="41"/>
      <c r="AU469" s="41"/>
      <c r="AV469" s="41"/>
      <c r="AW469" s="41"/>
      <c r="AX469" s="41"/>
      <c r="AY469" s="41"/>
      <c r="AZ469" s="41"/>
      <c r="BA469" s="41"/>
      <c r="BB469" s="41"/>
      <c r="BC469" s="41"/>
      <c r="BD469" s="41"/>
      <c r="BE469" s="41"/>
      <c r="BF469" s="41"/>
      <c r="BG469" s="41"/>
      <c r="BH469" s="41"/>
      <c r="BI469" s="41"/>
      <c r="BJ469" s="41"/>
      <c r="BK469" s="41"/>
      <c r="BL469" s="41"/>
      <c r="BM469" s="41"/>
      <c r="BN469" s="41"/>
      <c r="BO469" s="41"/>
      <c r="BP469" s="41"/>
      <c r="BQ469" s="41"/>
      <c r="BR469" s="41"/>
      <c r="BS469" s="41"/>
      <c r="BT469" s="41"/>
      <c r="BU469" s="41"/>
      <c r="BV469" s="41"/>
      <c r="BW469" s="41"/>
      <c r="BX469" s="41"/>
      <c r="BY469" s="41"/>
      <c r="BZ469" s="41"/>
      <c r="CA469" s="41"/>
      <c r="CB469" s="41"/>
      <c r="CC469" s="41"/>
      <c r="CD469" s="41"/>
      <c r="CE469" s="41"/>
      <c r="CF469" s="41"/>
      <c r="CG469" s="41"/>
      <c r="CH469" s="41"/>
      <c r="CI469" s="41"/>
      <c r="CJ469" s="41"/>
      <c r="CK469" s="41"/>
      <c r="CL469" s="41"/>
      <c r="CM469" s="41"/>
      <c r="CN469" s="41"/>
      <c r="CO469" s="41"/>
      <c r="CP469" s="41"/>
      <c r="CQ469" s="41"/>
      <c r="CR469" s="41"/>
      <c r="CS469" s="41"/>
    </row>
    <row r="470" spans="1:97" ht="12.95" customHeight="1">
      <c r="A470" s="41"/>
      <c r="B470" s="41"/>
      <c r="C470" s="41"/>
      <c r="D470" s="1547"/>
      <c r="E470" s="1547"/>
      <c r="F470" s="1547"/>
      <c r="G470" s="1547"/>
      <c r="H470" s="1547"/>
      <c r="I470" s="1547"/>
      <c r="J470" s="1547"/>
      <c r="K470" s="1547"/>
      <c r="L470" s="1547"/>
      <c r="M470" s="1547"/>
      <c r="N470" s="1547"/>
      <c r="O470" s="1547"/>
      <c r="P470" s="1547"/>
      <c r="Q470" s="1547"/>
      <c r="R470" s="1547"/>
      <c r="S470" s="1547"/>
      <c r="T470" s="1547"/>
      <c r="U470" s="1547"/>
      <c r="V470" s="1547"/>
      <c r="W470" s="1547"/>
      <c r="X470" s="1547"/>
      <c r="Y470" s="1547"/>
      <c r="Z470" s="311"/>
      <c r="AA470" s="311"/>
      <c r="AB470" s="311"/>
      <c r="AC470" s="311"/>
      <c r="AD470" s="311"/>
      <c r="AE470" s="311"/>
      <c r="AF470" s="311"/>
      <c r="AG470" s="311"/>
      <c r="AH470" s="311"/>
      <c r="AI470" s="311"/>
      <c r="AJ470" s="41"/>
      <c r="AK470" s="41"/>
      <c r="AL470" s="41"/>
      <c r="AM470" s="41"/>
      <c r="AN470" s="41"/>
      <c r="AO470" s="41"/>
      <c r="AP470" s="41"/>
      <c r="AQ470" s="41"/>
      <c r="AR470" s="41"/>
      <c r="AS470" s="41"/>
      <c r="AT470" s="41"/>
      <c r="AU470" s="41"/>
      <c r="AV470" s="41"/>
      <c r="AW470" s="41"/>
      <c r="AX470" s="41"/>
      <c r="AY470" s="41"/>
      <c r="AZ470" s="41"/>
      <c r="BA470" s="41"/>
      <c r="BB470" s="41"/>
      <c r="BC470" s="41"/>
      <c r="BD470" s="41"/>
      <c r="BE470" s="41"/>
      <c r="BF470" s="41"/>
      <c r="BG470" s="41"/>
      <c r="BH470" s="41"/>
      <c r="BI470" s="41"/>
      <c r="BJ470" s="41"/>
      <c r="BK470" s="41"/>
      <c r="BL470" s="41"/>
      <c r="BM470" s="41"/>
      <c r="BN470" s="41"/>
      <c r="BO470" s="41"/>
      <c r="BP470" s="41"/>
      <c r="BQ470" s="41"/>
      <c r="BR470" s="41"/>
      <c r="BS470" s="41"/>
      <c r="BT470" s="41"/>
      <c r="BU470" s="41"/>
      <c r="BV470" s="41"/>
      <c r="BW470" s="41"/>
      <c r="BX470" s="41"/>
      <c r="BY470" s="41"/>
      <c r="BZ470" s="41"/>
      <c r="CA470" s="41"/>
      <c r="CB470" s="41"/>
      <c r="CC470" s="41"/>
      <c r="CD470" s="41"/>
      <c r="CE470" s="41"/>
      <c r="CF470" s="41"/>
      <c r="CG470" s="41"/>
      <c r="CH470" s="41"/>
      <c r="CI470" s="41"/>
      <c r="CJ470" s="41"/>
      <c r="CK470" s="41"/>
      <c r="CL470" s="41"/>
      <c r="CM470" s="41"/>
      <c r="CN470" s="41"/>
      <c r="CO470" s="41"/>
      <c r="CP470" s="41"/>
      <c r="CQ470" s="41"/>
      <c r="CR470" s="41"/>
      <c r="CS470" s="41"/>
    </row>
    <row r="471" spans="1:97" ht="12.95" customHeight="1">
      <c r="A471" s="41"/>
      <c r="B471" s="41"/>
      <c r="C471" s="41"/>
      <c r="D471" s="311"/>
      <c r="E471" s="311"/>
      <c r="F471" s="311"/>
      <c r="G471" s="311"/>
      <c r="H471" s="311"/>
      <c r="I471" s="311"/>
      <c r="J471" s="311"/>
      <c r="K471" s="311"/>
      <c r="L471" s="311"/>
      <c r="M471" s="311"/>
      <c r="N471" s="311"/>
      <c r="O471" s="311"/>
      <c r="P471" s="311"/>
      <c r="Q471" s="311"/>
      <c r="R471" s="311"/>
      <c r="S471" s="311"/>
      <c r="T471" s="311"/>
      <c r="U471" s="311"/>
      <c r="V471" s="311"/>
      <c r="W471" s="311"/>
      <c r="X471" s="311"/>
      <c r="Y471" s="311"/>
      <c r="Z471" s="311"/>
      <c r="AA471" s="311"/>
      <c r="AB471" s="311"/>
      <c r="AC471" s="311"/>
      <c r="AD471" s="311"/>
      <c r="AE471" s="311"/>
      <c r="AF471" s="311"/>
      <c r="AG471" s="311"/>
      <c r="AH471" s="311"/>
      <c r="AI471" s="311"/>
      <c r="AJ471" s="41"/>
      <c r="AK471" s="41"/>
      <c r="AL471" s="41"/>
      <c r="AM471" s="41"/>
      <c r="AN471" s="41"/>
      <c r="AO471" s="41"/>
      <c r="AP471" s="41"/>
      <c r="AQ471" s="41"/>
      <c r="AR471" s="41"/>
      <c r="AS471" s="41"/>
      <c r="AT471" s="41"/>
      <c r="AU471" s="41"/>
      <c r="AV471" s="41"/>
      <c r="AW471" s="41"/>
      <c r="AX471" s="41"/>
      <c r="AY471" s="41"/>
      <c r="AZ471" s="41"/>
      <c r="BA471" s="41"/>
      <c r="BB471" s="41"/>
      <c r="BC471" s="41"/>
      <c r="BD471" s="41"/>
      <c r="BE471" s="41"/>
      <c r="BF471" s="41"/>
      <c r="BG471" s="41"/>
      <c r="BH471" s="41"/>
      <c r="BI471" s="41"/>
      <c r="BJ471" s="41"/>
      <c r="BK471" s="41"/>
      <c r="BL471" s="41"/>
      <c r="BM471" s="41"/>
      <c r="BN471" s="41"/>
      <c r="BO471" s="41"/>
      <c r="BP471" s="41"/>
      <c r="BQ471" s="41"/>
      <c r="BR471" s="41"/>
      <c r="BS471" s="41"/>
      <c r="BT471" s="41"/>
      <c r="BU471" s="41"/>
      <c r="BV471" s="41"/>
      <c r="BW471" s="41"/>
      <c r="BX471" s="41"/>
      <c r="BY471" s="41"/>
      <c r="BZ471" s="41"/>
      <c r="CA471" s="41"/>
      <c r="CB471" s="41"/>
      <c r="CC471" s="41"/>
      <c r="CD471" s="41"/>
      <c r="CE471" s="41"/>
      <c r="CF471" s="41"/>
      <c r="CG471" s="41"/>
      <c r="CH471" s="41"/>
      <c r="CI471" s="41"/>
      <c r="CJ471" s="41"/>
      <c r="CK471" s="41"/>
      <c r="CL471" s="41"/>
      <c r="CM471" s="41"/>
      <c r="CN471" s="41"/>
      <c r="CO471" s="41"/>
      <c r="CP471" s="41"/>
      <c r="CQ471" s="41"/>
      <c r="CR471" s="41"/>
      <c r="CS471" s="41"/>
    </row>
    <row r="472" spans="1:97" ht="12.95" customHeight="1">
      <c r="A472" s="41"/>
      <c r="B472" s="41"/>
      <c r="C472" s="41"/>
      <c r="D472" s="313"/>
      <c r="E472" s="313"/>
      <c r="F472" s="313"/>
      <c r="G472" s="313"/>
      <c r="H472" s="313"/>
      <c r="I472" s="313"/>
      <c r="J472" s="313"/>
      <c r="K472" s="313"/>
      <c r="L472" s="313"/>
      <c r="M472" s="313"/>
      <c r="N472" s="313"/>
      <c r="O472" s="313"/>
      <c r="P472" s="313"/>
      <c r="Q472" s="313"/>
      <c r="R472" s="313"/>
      <c r="S472" s="313"/>
      <c r="T472" s="313"/>
      <c r="U472" s="313"/>
      <c r="V472" s="313"/>
      <c r="W472" s="313"/>
      <c r="X472" s="313"/>
      <c r="Y472" s="313"/>
      <c r="Z472" s="313"/>
      <c r="AA472" s="313"/>
      <c r="AB472" s="313"/>
      <c r="AC472" s="313"/>
      <c r="AD472" s="313"/>
      <c r="AE472" s="313"/>
      <c r="AF472" s="313"/>
      <c r="AG472" s="313"/>
      <c r="AH472" s="313"/>
      <c r="AI472" s="313"/>
      <c r="AJ472" s="41"/>
      <c r="AK472" s="41"/>
      <c r="AL472" s="41"/>
      <c r="AM472" s="41"/>
      <c r="AN472" s="41"/>
      <c r="AO472" s="41"/>
      <c r="AP472" s="41"/>
      <c r="AQ472" s="41"/>
      <c r="AR472" s="41"/>
      <c r="AS472" s="41"/>
      <c r="AT472" s="41"/>
      <c r="AU472" s="41"/>
      <c r="AV472" s="41"/>
      <c r="AW472" s="41"/>
      <c r="AX472" s="41"/>
      <c r="AY472" s="41"/>
      <c r="AZ472" s="41"/>
      <c r="BA472" s="41"/>
      <c r="BB472" s="41"/>
      <c r="BC472" s="41"/>
      <c r="BD472" s="41"/>
      <c r="BE472" s="41"/>
      <c r="BF472" s="41"/>
      <c r="BG472" s="41"/>
      <c r="BH472" s="41"/>
      <c r="BI472" s="41"/>
      <c r="BJ472" s="41"/>
      <c r="BK472" s="41"/>
      <c r="BL472" s="41"/>
      <c r="BM472" s="41"/>
      <c r="BN472" s="41"/>
      <c r="BO472" s="41"/>
      <c r="BP472" s="41"/>
      <c r="BQ472" s="41"/>
      <c r="BR472" s="41"/>
      <c r="BS472" s="41"/>
      <c r="BT472" s="41"/>
      <c r="BU472" s="41"/>
      <c r="BV472" s="41"/>
      <c r="BW472" s="41"/>
      <c r="BX472" s="41"/>
      <c r="BY472" s="41"/>
      <c r="BZ472" s="41"/>
      <c r="CA472" s="41"/>
      <c r="CB472" s="41"/>
      <c r="CC472" s="41"/>
      <c r="CD472" s="41"/>
      <c r="CE472" s="41"/>
      <c r="CF472" s="41"/>
      <c r="CG472" s="41"/>
      <c r="CH472" s="41"/>
      <c r="CI472" s="41"/>
      <c r="CJ472" s="41"/>
      <c r="CK472" s="41"/>
      <c r="CL472" s="41"/>
      <c r="CM472" s="41"/>
      <c r="CN472" s="41"/>
      <c r="CO472" s="41"/>
      <c r="CP472" s="41"/>
      <c r="CQ472" s="41"/>
      <c r="CR472" s="41"/>
      <c r="CS472" s="41"/>
    </row>
    <row r="473" spans="1:97" ht="12.95" customHeight="1">
      <c r="A473" s="1284" t="s">
        <v>1072</v>
      </c>
      <c r="B473" s="1284"/>
      <c r="C473" s="1284"/>
      <c r="D473" s="1284"/>
      <c r="E473" s="1284"/>
      <c r="F473" s="1284"/>
      <c r="G473" s="1284"/>
      <c r="H473" s="1284"/>
      <c r="I473" s="1284"/>
      <c r="J473" s="1284"/>
      <c r="K473" s="1284"/>
      <c r="L473" s="1284"/>
      <c r="M473" s="1284"/>
      <c r="N473" s="1284"/>
      <c r="O473" s="1284"/>
      <c r="P473" s="1284"/>
      <c r="Q473" s="1284"/>
      <c r="R473" s="1284"/>
      <c r="S473" s="1284"/>
      <c r="T473" s="1284"/>
      <c r="U473" s="1284"/>
      <c r="V473" s="1284"/>
      <c r="W473" s="1284"/>
      <c r="X473" s="1284"/>
      <c r="Y473" s="1284"/>
      <c r="Z473" s="1284"/>
      <c r="AA473" s="1284"/>
      <c r="AB473" s="1284"/>
      <c r="AC473" s="1284"/>
      <c r="AD473" s="1284"/>
      <c r="AE473" s="1284"/>
      <c r="AF473" s="1284"/>
      <c r="AG473" s="1284"/>
      <c r="AH473" s="1284"/>
      <c r="AI473" s="1284"/>
      <c r="AJ473" s="1284"/>
      <c r="AK473" s="1284"/>
      <c r="AL473" s="1284"/>
      <c r="AM473" s="41"/>
      <c r="AN473" s="41"/>
      <c r="AO473" s="41"/>
      <c r="AP473" s="41"/>
      <c r="AQ473" s="41"/>
      <c r="AR473" s="41"/>
      <c r="AS473" s="41"/>
      <c r="AT473" s="41"/>
      <c r="AU473" s="41"/>
      <c r="AV473" s="41"/>
      <c r="AW473" s="41"/>
      <c r="AX473" s="41"/>
      <c r="AY473" s="41"/>
      <c r="AZ473" s="41"/>
      <c r="BA473" s="41"/>
      <c r="BB473" s="41"/>
      <c r="BC473" s="41"/>
      <c r="BD473" s="41"/>
      <c r="BE473" s="41"/>
      <c r="BF473" s="41"/>
      <c r="BG473" s="41"/>
      <c r="BH473" s="41"/>
      <c r="BI473" s="41"/>
      <c r="BJ473" s="41"/>
      <c r="BK473" s="41"/>
      <c r="BL473" s="41"/>
      <c r="BM473" s="41"/>
      <c r="BN473" s="41"/>
      <c r="BO473" s="41"/>
      <c r="BP473" s="41"/>
      <c r="BQ473" s="41"/>
      <c r="BR473" s="41"/>
      <c r="BS473" s="41"/>
      <c r="BT473" s="41"/>
      <c r="BU473" s="41"/>
      <c r="BV473" s="41"/>
      <c r="BW473" s="41"/>
      <c r="BX473" s="41"/>
      <c r="BY473" s="41"/>
      <c r="BZ473" s="41"/>
      <c r="CA473" s="41"/>
      <c r="CB473" s="41"/>
      <c r="CC473" s="41"/>
      <c r="CD473" s="41"/>
      <c r="CE473" s="41"/>
      <c r="CF473" s="41"/>
      <c r="CG473" s="41"/>
      <c r="CH473" s="41"/>
      <c r="CI473" s="41"/>
      <c r="CJ473" s="41"/>
      <c r="CK473" s="41"/>
      <c r="CL473" s="41"/>
      <c r="CM473" s="41"/>
      <c r="CN473" s="41"/>
      <c r="CO473" s="41"/>
      <c r="CP473" s="41"/>
      <c r="CQ473" s="41"/>
      <c r="CR473" s="41"/>
      <c r="CS473" s="41"/>
    </row>
    <row r="474" spans="1:97" ht="12.95" customHeight="1" thickBot="1">
      <c r="A474" s="1285"/>
      <c r="B474" s="1285"/>
      <c r="C474" s="1285"/>
      <c r="D474" s="1285"/>
      <c r="E474" s="1285"/>
      <c r="F474" s="1285"/>
      <c r="G474" s="1285"/>
      <c r="H474" s="1285"/>
      <c r="I474" s="1285"/>
      <c r="J474" s="1285"/>
      <c r="K474" s="1285"/>
      <c r="L474" s="1285"/>
      <c r="M474" s="1285"/>
      <c r="N474" s="1285"/>
      <c r="O474" s="1285"/>
      <c r="P474" s="1285"/>
      <c r="Q474" s="1285"/>
      <c r="R474" s="1285"/>
      <c r="S474" s="1285"/>
      <c r="T474" s="1285"/>
      <c r="U474" s="1285"/>
      <c r="V474" s="1285"/>
      <c r="W474" s="1285"/>
      <c r="X474" s="1285"/>
      <c r="Y474" s="1285"/>
      <c r="Z474" s="1285"/>
      <c r="AA474" s="1285"/>
      <c r="AB474" s="1285"/>
      <c r="AC474" s="1285"/>
      <c r="AD474" s="1285"/>
      <c r="AE474" s="1285"/>
      <c r="AF474" s="1285"/>
      <c r="AG474" s="1285"/>
      <c r="AH474" s="1285"/>
      <c r="AI474" s="1285"/>
      <c r="AJ474" s="1285"/>
      <c r="AK474" s="1285"/>
      <c r="AL474" s="1285"/>
      <c r="AM474" s="41"/>
      <c r="AN474" s="41"/>
      <c r="AO474" s="41"/>
      <c r="AP474" s="41"/>
      <c r="AQ474" s="41"/>
      <c r="AR474" s="41"/>
      <c r="AS474" s="41"/>
      <c r="AT474" s="41"/>
      <c r="AU474" s="41"/>
      <c r="AV474" s="41"/>
      <c r="AW474" s="41"/>
      <c r="AX474" s="41"/>
      <c r="AY474" s="41"/>
      <c r="AZ474" s="41"/>
      <c r="BA474" s="41"/>
      <c r="BB474" s="41"/>
      <c r="BC474" s="41"/>
      <c r="BD474" s="41"/>
      <c r="BE474" s="41"/>
      <c r="BF474" s="41"/>
      <c r="BG474" s="41"/>
      <c r="BH474" s="41"/>
      <c r="BI474" s="41"/>
      <c r="BJ474" s="41"/>
      <c r="BK474" s="41"/>
      <c r="BL474" s="41"/>
      <c r="BM474" s="41"/>
      <c r="BN474" s="41"/>
      <c r="BO474" s="41"/>
      <c r="BP474" s="41"/>
      <c r="BQ474" s="41"/>
      <c r="BR474" s="41"/>
      <c r="BS474" s="41"/>
      <c r="BT474" s="41"/>
      <c r="BU474" s="41"/>
      <c r="BV474" s="41"/>
      <c r="BW474" s="41"/>
      <c r="BX474" s="41"/>
      <c r="BY474" s="41"/>
      <c r="BZ474" s="41"/>
      <c r="CA474" s="41"/>
      <c r="CB474" s="41"/>
      <c r="CC474" s="41"/>
      <c r="CD474" s="41"/>
      <c r="CE474" s="41"/>
      <c r="CF474" s="41"/>
      <c r="CG474" s="41"/>
      <c r="CH474" s="41"/>
      <c r="CI474" s="41"/>
      <c r="CJ474" s="41"/>
      <c r="CK474" s="41"/>
      <c r="CL474" s="41"/>
      <c r="CM474" s="41"/>
      <c r="CN474" s="41"/>
      <c r="CO474" s="41"/>
      <c r="CP474" s="41"/>
      <c r="CQ474" s="41"/>
      <c r="CR474" s="41"/>
      <c r="CS474" s="41"/>
    </row>
    <row r="475" spans="1:97" ht="12.95" customHeight="1" thickTop="1">
      <c r="AM475" s="41"/>
      <c r="AN475" s="41"/>
      <c r="AO475" s="41"/>
      <c r="AP475" s="41"/>
      <c r="AQ475" s="41"/>
      <c r="AR475" s="41"/>
      <c r="AS475" s="41"/>
      <c r="AT475" s="41"/>
      <c r="AU475" s="41"/>
      <c r="AV475" s="41"/>
      <c r="AW475" s="41"/>
      <c r="AX475" s="41"/>
      <c r="AY475" s="41"/>
      <c r="AZ475" s="41"/>
      <c r="BA475" s="41"/>
      <c r="BB475" s="41"/>
      <c r="BC475" s="41"/>
      <c r="BD475" s="41"/>
      <c r="BE475" s="41"/>
      <c r="BF475" s="41"/>
      <c r="BG475" s="41"/>
      <c r="BH475" s="41"/>
      <c r="BI475" s="41"/>
      <c r="BJ475" s="41"/>
      <c r="BK475" s="41"/>
      <c r="BL475" s="41"/>
      <c r="BM475" s="41"/>
      <c r="BN475" s="41"/>
      <c r="BO475" s="41"/>
      <c r="BP475" s="41"/>
      <c r="BQ475" s="41"/>
      <c r="BR475" s="41"/>
      <c r="BS475" s="41"/>
      <c r="BT475" s="41"/>
      <c r="BU475" s="41"/>
      <c r="BV475" s="41"/>
      <c r="BW475" s="41"/>
      <c r="BX475" s="41"/>
      <c r="BY475" s="41"/>
      <c r="BZ475" s="41"/>
      <c r="CA475" s="41"/>
      <c r="CB475" s="41"/>
      <c r="CC475" s="41"/>
      <c r="CD475" s="41"/>
      <c r="CE475" s="41"/>
      <c r="CF475" s="41"/>
      <c r="CG475" s="41"/>
      <c r="CH475" s="41"/>
      <c r="CI475" s="41"/>
      <c r="CJ475" s="41"/>
      <c r="CK475" s="41"/>
      <c r="CL475" s="41"/>
      <c r="CM475" s="41"/>
      <c r="CN475" s="41"/>
      <c r="CO475" s="41"/>
      <c r="CP475" s="41"/>
      <c r="CQ475" s="41"/>
      <c r="CR475" s="41"/>
      <c r="CS475" s="41"/>
    </row>
    <row r="476" spans="1:97" ht="12.95" customHeight="1">
      <c r="A476" s="3" t="s">
        <v>688</v>
      </c>
      <c r="C476" s="3" t="s">
        <v>1071</v>
      </c>
      <c r="AM476" s="41"/>
      <c r="AN476" s="41"/>
      <c r="AO476" s="41"/>
      <c r="AP476" s="41"/>
      <c r="AQ476" s="41"/>
      <c r="AR476" s="41"/>
      <c r="AS476" s="41"/>
      <c r="AT476" s="41"/>
      <c r="AU476" s="41"/>
      <c r="AV476" s="41"/>
      <c r="AW476" s="41"/>
      <c r="AX476" s="41"/>
      <c r="AY476" s="41"/>
      <c r="AZ476" s="41"/>
      <c r="BA476" s="41"/>
      <c r="BB476" s="41"/>
      <c r="BC476" s="41"/>
      <c r="BD476" s="41"/>
      <c r="BE476" s="41"/>
      <c r="BF476" s="41"/>
      <c r="BG476" s="41"/>
      <c r="BH476" s="41"/>
      <c r="BI476" s="41"/>
      <c r="BJ476" s="41"/>
      <c r="BK476" s="41"/>
      <c r="BL476" s="41"/>
      <c r="BM476" s="41"/>
      <c r="BN476" s="41"/>
      <c r="BO476" s="41"/>
      <c r="BP476" s="41"/>
      <c r="BQ476" s="41"/>
      <c r="BR476" s="41"/>
      <c r="BS476" s="41"/>
      <c r="BT476" s="41"/>
      <c r="BU476" s="41"/>
      <c r="BV476" s="41"/>
      <c r="BW476" s="41"/>
      <c r="BX476" s="41"/>
      <c r="BY476" s="41"/>
      <c r="BZ476" s="41"/>
      <c r="CA476" s="41"/>
      <c r="CB476" s="41"/>
      <c r="CC476" s="41"/>
      <c r="CD476" s="41"/>
      <c r="CE476" s="41"/>
      <c r="CF476" s="41"/>
      <c r="CG476" s="41"/>
      <c r="CH476" s="41"/>
      <c r="CI476" s="41"/>
      <c r="CJ476" s="41"/>
      <c r="CK476" s="41"/>
      <c r="CL476" s="41"/>
      <c r="CM476" s="41"/>
      <c r="CN476" s="41"/>
      <c r="CO476" s="41"/>
      <c r="CP476" s="41"/>
      <c r="CQ476" s="41"/>
      <c r="CR476" s="41"/>
      <c r="CS476" s="41"/>
    </row>
    <row r="477" spans="1:97" ht="12.95" customHeight="1">
      <c r="B477" s="3"/>
      <c r="C477" s="3"/>
      <c r="D477" s="3"/>
      <c r="AM477" s="41"/>
      <c r="AN477" s="41"/>
      <c r="AO477" s="41"/>
      <c r="AP477" s="41"/>
      <c r="AQ477" s="41"/>
      <c r="AR477" s="41"/>
      <c r="AS477" s="41"/>
      <c r="AT477" s="41"/>
      <c r="AU477" s="41"/>
      <c r="AV477" s="41"/>
      <c r="AW477" s="41"/>
      <c r="AX477" s="41"/>
      <c r="AY477" s="41"/>
      <c r="AZ477" s="41"/>
      <c r="BA477" s="41"/>
      <c r="BB477" s="41"/>
      <c r="BC477" s="41"/>
      <c r="BD477" s="41"/>
      <c r="BE477" s="41"/>
      <c r="BF477" s="41"/>
      <c r="BG477" s="41"/>
      <c r="BH477" s="41"/>
      <c r="BI477" s="41"/>
      <c r="BJ477" s="41"/>
      <c r="BK477" s="41"/>
      <c r="BL477" s="41"/>
      <c r="BM477" s="41"/>
      <c r="BN477" s="41"/>
      <c r="BO477" s="41"/>
      <c r="BP477" s="41"/>
      <c r="BQ477" s="41"/>
      <c r="BR477" s="41"/>
      <c r="BS477" s="41"/>
      <c r="BT477" s="41"/>
      <c r="BU477" s="41"/>
      <c r="BV477" s="41"/>
      <c r="BW477" s="41"/>
      <c r="BX477" s="41"/>
      <c r="BY477" s="41"/>
      <c r="BZ477" s="41"/>
      <c r="CA477" s="41"/>
      <c r="CB477" s="41"/>
      <c r="CC477" s="41"/>
      <c r="CD477" s="41"/>
      <c r="CE477" s="41"/>
      <c r="CF477" s="41"/>
      <c r="CG477" s="41"/>
      <c r="CH477" s="41"/>
      <c r="CI477" s="41"/>
      <c r="CJ477" s="41"/>
      <c r="CK477" s="41"/>
      <c r="CL477" s="41"/>
      <c r="CM477" s="41"/>
      <c r="CN477" s="41"/>
      <c r="CO477" s="41"/>
      <c r="CP477" s="41"/>
      <c r="CQ477" s="41"/>
      <c r="CR477" s="41"/>
      <c r="CS477" s="41"/>
    </row>
    <row r="478" spans="1:97" ht="12.95" customHeight="1">
      <c r="B478" s="8"/>
      <c r="C478" s="9"/>
      <c r="D478" s="9"/>
      <c r="E478" s="9"/>
      <c r="F478" s="9"/>
      <c r="G478" s="9"/>
      <c r="H478" s="9"/>
      <c r="I478" s="9"/>
      <c r="J478" s="9"/>
      <c r="K478" s="9"/>
      <c r="L478" s="9"/>
      <c r="M478" s="9"/>
      <c r="N478" s="9"/>
      <c r="O478" s="9"/>
      <c r="P478" s="52"/>
      <c r="Q478" s="1384" t="s">
        <v>252</v>
      </c>
      <c r="R478" s="1385"/>
      <c r="S478" s="1385"/>
      <c r="T478" s="1385"/>
      <c r="U478" s="1385"/>
      <c r="V478" s="1385"/>
      <c r="W478" s="1385"/>
      <c r="X478" s="1385"/>
      <c r="Y478" s="1385"/>
      <c r="Z478" s="1385"/>
      <c r="AA478" s="1385"/>
      <c r="AB478" s="1385"/>
      <c r="AC478" s="1385"/>
      <c r="AD478" s="1385"/>
      <c r="AE478" s="1385"/>
      <c r="AF478" s="1385"/>
      <c r="AG478" s="1385"/>
      <c r="AH478" s="1385"/>
      <c r="AI478" s="1385"/>
      <c r="AJ478" s="1385"/>
      <c r="AK478" s="1386"/>
      <c r="AM478" s="41"/>
      <c r="AN478" s="41"/>
      <c r="AO478" s="41"/>
      <c r="AP478" s="41"/>
      <c r="AQ478" s="41"/>
      <c r="AR478" s="41"/>
      <c r="AS478" s="41"/>
      <c r="AT478" s="41"/>
      <c r="AU478" s="41"/>
      <c r="AV478" s="41"/>
      <c r="AW478" s="41"/>
      <c r="AX478" s="41"/>
      <c r="AY478" s="41"/>
      <c r="AZ478" s="41"/>
      <c r="BA478" s="41"/>
      <c r="BB478" s="41"/>
      <c r="BC478" s="41"/>
      <c r="BD478" s="41"/>
      <c r="BE478" s="41"/>
      <c r="BF478" s="41"/>
      <c r="BG478" s="41"/>
      <c r="BH478" s="41"/>
      <c r="BI478" s="41"/>
      <c r="BJ478" s="41"/>
      <c r="BK478" s="41"/>
      <c r="BL478" s="41"/>
      <c r="BM478" s="41"/>
      <c r="BN478" s="41"/>
      <c r="BO478" s="41"/>
      <c r="BP478" s="41"/>
      <c r="BQ478" s="41"/>
      <c r="BR478" s="41"/>
      <c r="BS478" s="41"/>
      <c r="BT478" s="41"/>
      <c r="BU478" s="41"/>
      <c r="BV478" s="41"/>
      <c r="BW478" s="41"/>
      <c r="BX478" s="41"/>
      <c r="BY478" s="41"/>
      <c r="BZ478" s="41"/>
      <c r="CA478" s="41"/>
      <c r="CB478" s="41"/>
      <c r="CC478" s="41"/>
      <c r="CD478" s="41"/>
      <c r="CE478" s="41"/>
      <c r="CF478" s="41"/>
      <c r="CG478" s="41"/>
      <c r="CH478" s="41"/>
      <c r="CI478" s="41"/>
      <c r="CJ478" s="41"/>
      <c r="CK478" s="41"/>
      <c r="CL478" s="41"/>
      <c r="CM478" s="41"/>
      <c r="CN478" s="41"/>
      <c r="CO478" s="41"/>
      <c r="CP478" s="41"/>
      <c r="CQ478" s="41"/>
      <c r="CR478" s="41"/>
      <c r="CS478" s="41"/>
    </row>
    <row r="479" spans="1:97" ht="12.95" customHeight="1">
      <c r="B479" s="8" t="s">
        <v>253</v>
      </c>
      <c r="C479" s="9"/>
      <c r="D479" s="9"/>
      <c r="E479" s="9"/>
      <c r="F479" s="9"/>
      <c r="G479" s="9"/>
      <c r="H479" s="9"/>
      <c r="I479" s="9"/>
      <c r="J479" s="9"/>
      <c r="K479" s="9"/>
      <c r="L479" s="9"/>
      <c r="M479" s="9"/>
      <c r="N479" s="9"/>
      <c r="O479" s="9"/>
      <c r="P479" s="9"/>
      <c r="Q479" s="1165"/>
      <c r="R479" s="1087"/>
      <c r="S479" s="1087"/>
      <c r="T479" s="1087"/>
      <c r="U479" s="1087"/>
      <c r="V479" s="1087"/>
      <c r="W479" s="1087"/>
      <c r="X479" s="1087"/>
      <c r="Y479" s="1087"/>
      <c r="Z479" s="1087"/>
      <c r="AA479" s="1087"/>
      <c r="AB479" s="1087"/>
      <c r="AC479" s="1087"/>
      <c r="AD479" s="1087"/>
      <c r="AE479" s="1087"/>
      <c r="AF479" s="1087"/>
      <c r="AG479" s="1087"/>
      <c r="AH479" s="1087"/>
      <c r="AI479" s="1087"/>
      <c r="AJ479" s="1087"/>
      <c r="AK479" s="1166"/>
      <c r="AM479" s="41"/>
      <c r="AN479" s="41"/>
      <c r="AO479" s="41"/>
      <c r="AP479" s="41"/>
      <c r="AQ479" s="41"/>
      <c r="AR479" s="41"/>
      <c r="AS479" s="41"/>
      <c r="AT479" s="41"/>
      <c r="AU479" s="41"/>
      <c r="AV479" s="41"/>
      <c r="AW479" s="41"/>
      <c r="AX479" s="41"/>
      <c r="AY479" s="41"/>
      <c r="AZ479" s="41"/>
      <c r="BA479" s="41"/>
      <c r="BB479" s="41"/>
      <c r="BC479" s="41"/>
      <c r="BD479" s="41"/>
      <c r="BE479" s="41"/>
      <c r="BF479" s="41"/>
      <c r="BG479" s="41"/>
      <c r="BH479" s="41"/>
      <c r="BI479" s="41"/>
      <c r="BJ479" s="41"/>
      <c r="BK479" s="41"/>
      <c r="BL479" s="41"/>
      <c r="BM479" s="41"/>
      <c r="BN479" s="41"/>
      <c r="BO479" s="41"/>
      <c r="BP479" s="41"/>
      <c r="BQ479" s="41"/>
      <c r="BR479" s="41"/>
      <c r="BS479" s="41"/>
      <c r="BT479" s="41"/>
      <c r="BU479" s="41"/>
      <c r="BV479" s="41"/>
      <c r="BW479" s="41"/>
      <c r="BX479" s="41"/>
      <c r="BY479" s="41"/>
      <c r="BZ479" s="41"/>
      <c r="CA479" s="41"/>
      <c r="CB479" s="41"/>
      <c r="CC479" s="41"/>
      <c r="CD479" s="41"/>
      <c r="CE479" s="41"/>
      <c r="CF479" s="41"/>
      <c r="CG479" s="41"/>
      <c r="CH479" s="41"/>
      <c r="CI479" s="41"/>
      <c r="CJ479" s="41"/>
      <c r="CK479" s="41"/>
      <c r="CL479" s="41"/>
      <c r="CM479" s="41"/>
      <c r="CN479" s="41"/>
      <c r="CO479" s="41"/>
      <c r="CP479" s="41"/>
      <c r="CQ479" s="41"/>
      <c r="CR479" s="41"/>
      <c r="CS479" s="41"/>
    </row>
    <row r="480" spans="1:97" ht="12.95" customHeight="1">
      <c r="B480" s="8" t="s">
        <v>254</v>
      </c>
      <c r="C480" s="9"/>
      <c r="D480" s="9"/>
      <c r="E480" s="9"/>
      <c r="F480" s="9"/>
      <c r="G480" s="9"/>
      <c r="H480" s="9"/>
      <c r="I480" s="9"/>
      <c r="J480" s="9"/>
      <c r="K480" s="9"/>
      <c r="L480" s="9"/>
      <c r="M480" s="9"/>
      <c r="N480" s="9"/>
      <c r="O480" s="9"/>
      <c r="P480" s="9"/>
      <c r="Q480" s="1165" t="s">
        <v>2424</v>
      </c>
      <c r="R480" s="1087"/>
      <c r="S480" s="1087"/>
      <c r="T480" s="1087"/>
      <c r="U480" s="1087"/>
      <c r="V480" s="1087"/>
      <c r="W480" s="1087"/>
      <c r="X480" s="1087"/>
      <c r="Y480" s="1087"/>
      <c r="Z480" s="1087"/>
      <c r="AA480" s="1087"/>
      <c r="AB480" s="1087"/>
      <c r="AC480" s="1087"/>
      <c r="AD480" s="1087"/>
      <c r="AE480" s="1087"/>
      <c r="AF480" s="1087"/>
      <c r="AG480" s="1087"/>
      <c r="AH480" s="1087"/>
      <c r="AI480" s="1087"/>
      <c r="AJ480" s="1087"/>
      <c r="AK480" s="1166"/>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row>
    <row r="481" spans="1:97" ht="12.95" customHeight="1">
      <c r="B481" s="8" t="s">
        <v>255</v>
      </c>
      <c r="C481" s="9"/>
      <c r="D481" s="9"/>
      <c r="E481" s="9"/>
      <c r="F481" s="9"/>
      <c r="G481" s="9"/>
      <c r="H481" s="9"/>
      <c r="I481" s="9"/>
      <c r="J481" s="9"/>
      <c r="K481" s="9"/>
      <c r="L481" s="9"/>
      <c r="M481" s="9"/>
      <c r="N481" s="9"/>
      <c r="O481" s="9"/>
      <c r="P481" s="9"/>
      <c r="Q481" s="1165" t="s">
        <v>2424</v>
      </c>
      <c r="R481" s="1087"/>
      <c r="S481" s="1087"/>
      <c r="T481" s="1087"/>
      <c r="U481" s="1087"/>
      <c r="V481" s="1087"/>
      <c r="W481" s="1087"/>
      <c r="X481" s="1087"/>
      <c r="Y481" s="1087"/>
      <c r="Z481" s="1087"/>
      <c r="AA481" s="1087"/>
      <c r="AB481" s="1087"/>
      <c r="AC481" s="1087"/>
      <c r="AD481" s="1087"/>
      <c r="AE481" s="1087"/>
      <c r="AF481" s="1087"/>
      <c r="AG481" s="1087"/>
      <c r="AH481" s="1087"/>
      <c r="AI481" s="1087"/>
      <c r="AJ481" s="1087"/>
      <c r="AK481" s="1166"/>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row>
    <row r="482" spans="1:97" ht="12.95" customHeight="1">
      <c r="B482" s="1409" t="s">
        <v>256</v>
      </c>
      <c r="C482" s="1410"/>
      <c r="D482" s="1410"/>
      <c r="E482" s="1410"/>
      <c r="F482" s="1410"/>
      <c r="G482" s="1410"/>
      <c r="H482" s="1410"/>
      <c r="I482" s="1410"/>
      <c r="J482" s="1410"/>
      <c r="K482" s="1410"/>
      <c r="L482" s="1410"/>
      <c r="M482" s="1410"/>
      <c r="N482" s="1410"/>
      <c r="O482" s="1410"/>
      <c r="P482" s="1411"/>
      <c r="Q482" s="1476" t="s">
        <v>510</v>
      </c>
      <c r="R482" s="1477"/>
      <c r="S482" s="1480" t="s">
        <v>57</v>
      </c>
      <c r="T482" s="1481"/>
      <c r="U482" s="1481"/>
      <c r="V482" s="1481"/>
      <c r="W482" s="1481"/>
      <c r="X482" s="1481"/>
      <c r="Y482" s="1481"/>
      <c r="Z482" s="1481"/>
      <c r="AA482" s="1481"/>
      <c r="AB482" s="1481"/>
      <c r="AC482" s="1481"/>
      <c r="AD482" s="1481"/>
      <c r="AE482" s="1481"/>
      <c r="AF482" s="1481"/>
      <c r="AG482" s="1481"/>
      <c r="AH482" s="1481"/>
      <c r="AI482" s="1481"/>
      <c r="AJ482" s="1481"/>
      <c r="AK482" s="1482"/>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row>
    <row r="483" spans="1:97" ht="12.95" customHeight="1">
      <c r="B483" s="1412"/>
      <c r="C483" s="1413"/>
      <c r="D483" s="1413"/>
      <c r="E483" s="1413"/>
      <c r="F483" s="1413"/>
      <c r="G483" s="1413"/>
      <c r="H483" s="1413"/>
      <c r="I483" s="1413"/>
      <c r="J483" s="1413"/>
      <c r="K483" s="1413"/>
      <c r="L483" s="1413"/>
      <c r="M483" s="1413"/>
      <c r="N483" s="1413"/>
      <c r="O483" s="1413"/>
      <c r="P483" s="1414"/>
      <c r="Q483" s="1478"/>
      <c r="R483" s="1479"/>
      <c r="S483" s="1483"/>
      <c r="T483" s="1484"/>
      <c r="U483" s="1484"/>
      <c r="V483" s="1484"/>
      <c r="W483" s="1484"/>
      <c r="X483" s="1484"/>
      <c r="Y483" s="1484"/>
      <c r="Z483" s="1484"/>
      <c r="AA483" s="1484"/>
      <c r="AB483" s="1484"/>
      <c r="AC483" s="1484"/>
      <c r="AD483" s="1484"/>
      <c r="AE483" s="1484"/>
      <c r="AF483" s="1484"/>
      <c r="AG483" s="1484"/>
      <c r="AH483" s="1484"/>
      <c r="AI483" s="1484"/>
      <c r="AJ483" s="1484"/>
      <c r="AK483" s="1485"/>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row>
    <row r="484" spans="1:97" ht="12.95" customHeight="1">
      <c r="B484" s="840" t="s">
        <v>2334</v>
      </c>
      <c r="C484" s="821"/>
      <c r="D484" s="821"/>
      <c r="E484" s="821"/>
      <c r="F484" s="821"/>
      <c r="G484" s="821"/>
      <c r="H484" s="821"/>
      <c r="I484" s="821"/>
      <c r="J484" s="821"/>
      <c r="K484" s="821"/>
      <c r="L484" s="821"/>
      <c r="M484" s="821"/>
      <c r="N484" s="821"/>
      <c r="O484" s="821"/>
      <c r="P484" s="821"/>
      <c r="Q484" s="1486" t="s">
        <v>510</v>
      </c>
      <c r="R484" s="1487"/>
      <c r="S484" s="1487"/>
      <c r="T484" s="1487"/>
      <c r="U484" s="1487"/>
      <c r="V484" s="1487"/>
      <c r="W484" s="1487"/>
      <c r="X484" s="1487"/>
      <c r="Y484" s="1487"/>
      <c r="Z484" s="1487"/>
      <c r="AA484" s="1487"/>
      <c r="AB484" s="1487"/>
      <c r="AC484" s="1487"/>
      <c r="AD484" s="1487"/>
      <c r="AE484" s="1487"/>
      <c r="AF484" s="1487"/>
      <c r="AG484" s="1487"/>
      <c r="AH484" s="1487"/>
      <c r="AI484" s="1487"/>
      <c r="AJ484" s="1487"/>
      <c r="AK484" s="1488"/>
      <c r="AM484" s="41"/>
      <c r="AN484" s="41"/>
      <c r="AO484" s="41"/>
      <c r="AP484" s="41"/>
      <c r="AQ484" s="41"/>
      <c r="AR484" s="41"/>
      <c r="AS484" s="41"/>
      <c r="AT484" s="41"/>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row>
    <row r="485" spans="1:97" ht="12.95" customHeight="1">
      <c r="B485" s="8" t="s">
        <v>257</v>
      </c>
      <c r="C485" s="9"/>
      <c r="D485" s="9"/>
      <c r="E485" s="9"/>
      <c r="F485" s="9"/>
      <c r="G485" s="9"/>
      <c r="H485" s="9"/>
      <c r="I485" s="9"/>
      <c r="J485" s="9"/>
      <c r="K485" s="9"/>
      <c r="L485" s="9"/>
      <c r="M485" s="9"/>
      <c r="N485" s="9"/>
      <c r="O485" s="9"/>
      <c r="P485" s="9"/>
      <c r="Q485" s="1165" t="s">
        <v>2425</v>
      </c>
      <c r="R485" s="1087"/>
      <c r="S485" s="1087"/>
      <c r="T485" s="1087"/>
      <c r="U485" s="1087"/>
      <c r="V485" s="1087"/>
      <c r="W485" s="1087"/>
      <c r="X485" s="1087"/>
      <c r="Y485" s="1087"/>
      <c r="Z485" s="1087"/>
      <c r="AA485" s="1087"/>
      <c r="AB485" s="1087"/>
      <c r="AC485" s="1087"/>
      <c r="AD485" s="1087"/>
      <c r="AE485" s="1087"/>
      <c r="AF485" s="1087"/>
      <c r="AG485" s="1087"/>
      <c r="AH485" s="1087"/>
      <c r="AI485" s="1087"/>
      <c r="AJ485" s="1087"/>
      <c r="AK485" s="1166"/>
      <c r="AM485" s="41"/>
      <c r="AN485" s="41"/>
      <c r="AO485" s="41"/>
      <c r="AP485" s="41"/>
      <c r="AQ485" s="41"/>
      <c r="AR485" s="41"/>
      <c r="AS485" s="41"/>
      <c r="AT485" s="41"/>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row>
    <row r="486" spans="1:97" ht="12.95" customHeight="1">
      <c r="B486" s="8" t="s">
        <v>258</v>
      </c>
      <c r="C486" s="9"/>
      <c r="D486" s="9"/>
      <c r="E486" s="9"/>
      <c r="F486" s="9"/>
      <c r="G486" s="9"/>
      <c r="H486" s="9"/>
      <c r="I486" s="9"/>
      <c r="J486" s="9"/>
      <c r="K486" s="9"/>
      <c r="L486" s="9"/>
      <c r="M486" s="9"/>
      <c r="N486" s="9"/>
      <c r="O486" s="9"/>
      <c r="P486" s="9"/>
      <c r="Q486" s="1165" t="s">
        <v>2426</v>
      </c>
      <c r="R486" s="1087"/>
      <c r="S486" s="1087"/>
      <c r="T486" s="1087"/>
      <c r="U486" s="1087"/>
      <c r="V486" s="1087"/>
      <c r="W486" s="1087"/>
      <c r="X486" s="1087"/>
      <c r="Y486" s="1087"/>
      <c r="Z486" s="1087"/>
      <c r="AA486" s="1087"/>
      <c r="AB486" s="1087"/>
      <c r="AC486" s="1087"/>
      <c r="AD486" s="1087"/>
      <c r="AE486" s="1087"/>
      <c r="AF486" s="1087"/>
      <c r="AG486" s="1087"/>
      <c r="AH486" s="1087"/>
      <c r="AI486" s="1087"/>
      <c r="AJ486" s="1087"/>
      <c r="AK486" s="1166"/>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row>
    <row r="487" spans="1:97" ht="12.95" customHeight="1">
      <c r="B487" s="214" t="s">
        <v>2076</v>
      </c>
      <c r="C487" s="9"/>
      <c r="D487" s="9"/>
      <c r="E487" s="9"/>
      <c r="F487" s="9"/>
      <c r="G487" s="9"/>
      <c r="H487" s="9"/>
      <c r="I487" s="9"/>
      <c r="J487" s="9"/>
      <c r="K487" s="9"/>
      <c r="L487" s="9"/>
      <c r="M487" s="9"/>
      <c r="N487" s="9"/>
      <c r="O487" s="9"/>
      <c r="P487" s="9"/>
      <c r="Q487" s="1165" t="s">
        <v>2427</v>
      </c>
      <c r="R487" s="1087"/>
      <c r="S487" s="1087"/>
      <c r="T487" s="1087"/>
      <c r="U487" s="1087"/>
      <c r="V487" s="1087"/>
      <c r="W487" s="1087"/>
      <c r="X487" s="1087"/>
      <c r="Y487" s="1087"/>
      <c r="Z487" s="1087"/>
      <c r="AA487" s="1087"/>
      <c r="AB487" s="1087"/>
      <c r="AC487" s="1087"/>
      <c r="AD487" s="1087"/>
      <c r="AE487" s="1087"/>
      <c r="AF487" s="1087"/>
      <c r="AG487" s="1087"/>
      <c r="AH487" s="1087"/>
      <c r="AI487" s="1087"/>
      <c r="AJ487" s="1087"/>
      <c r="AK487" s="1166"/>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row>
    <row r="488" spans="1:97" ht="12.95" customHeight="1">
      <c r="B488" s="214" t="s">
        <v>2077</v>
      </c>
      <c r="C488" s="9"/>
      <c r="D488" s="9"/>
      <c r="E488" s="9"/>
      <c r="F488" s="9"/>
      <c r="G488" s="9"/>
      <c r="H488" s="9"/>
      <c r="I488" s="9"/>
      <c r="J488" s="9"/>
      <c r="K488" s="9"/>
      <c r="L488" s="9"/>
      <c r="M488" s="1050">
        <v>0</v>
      </c>
      <c r="N488" s="1051"/>
      <c r="O488" s="1051"/>
      <c r="P488" s="1052"/>
      <c r="Q488" s="214" t="s">
        <v>2078</v>
      </c>
      <c r="R488" s="9"/>
      <c r="S488" s="9"/>
      <c r="T488" s="9"/>
      <c r="U488" s="9"/>
      <c r="V488" s="9"/>
      <c r="W488" s="9"/>
      <c r="X488" s="9"/>
      <c r="Y488" s="9"/>
      <c r="Z488" s="9"/>
      <c r="AA488" s="9"/>
      <c r="AB488" s="9"/>
      <c r="AC488" s="9"/>
      <c r="AD488" s="9"/>
      <c r="AE488" s="9"/>
      <c r="AF488" s="9"/>
      <c r="AG488" s="9"/>
      <c r="AH488" s="1050">
        <v>52</v>
      </c>
      <c r="AI488" s="1051"/>
      <c r="AJ488" s="1051"/>
      <c r="AK488" s="1052"/>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row>
    <row r="489" spans="1:97" ht="12.95" customHeight="1">
      <c r="Q489" s="12"/>
      <c r="R489" s="12"/>
      <c r="S489" s="12"/>
      <c r="T489" s="12"/>
      <c r="U489" s="12"/>
      <c r="V489" s="12"/>
      <c r="W489" s="12"/>
      <c r="X489" s="12"/>
      <c r="Y489" s="12"/>
      <c r="Z489" s="12"/>
      <c r="AA489" s="12"/>
      <c r="AB489" s="12"/>
      <c r="AC489" s="12"/>
      <c r="AD489" s="12"/>
      <c r="AE489" s="12"/>
      <c r="AF489" s="12"/>
      <c r="AG489" s="12"/>
      <c r="AH489" s="12"/>
      <c r="AI489" s="12"/>
      <c r="AJ489" s="12"/>
      <c r="AK489" s="12"/>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row>
    <row r="490" spans="1:97" ht="12.95" customHeight="1">
      <c r="A490" s="3" t="s">
        <v>8</v>
      </c>
      <c r="C490" s="3" t="s">
        <v>259</v>
      </c>
      <c r="Q490" s="12"/>
      <c r="R490" s="12"/>
      <c r="S490" s="12"/>
      <c r="T490" s="12"/>
      <c r="U490" s="12"/>
      <c r="V490" s="12"/>
      <c r="W490" s="12"/>
      <c r="X490" s="12"/>
      <c r="Y490" s="12"/>
      <c r="Z490" s="12"/>
      <c r="AA490" s="12"/>
      <c r="AB490" s="12"/>
      <c r="AC490" s="12"/>
      <c r="AD490" s="12"/>
      <c r="AE490" s="12"/>
      <c r="AF490" s="12"/>
      <c r="AG490" s="12"/>
      <c r="AH490" s="12"/>
      <c r="AI490" s="12"/>
      <c r="AJ490" s="12"/>
      <c r="AK490" s="12"/>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row>
    <row r="491" spans="1:97" ht="12.95" customHeight="1">
      <c r="Q491" s="12"/>
      <c r="R491" s="12"/>
      <c r="S491" s="12"/>
      <c r="T491" s="12"/>
      <c r="U491" s="12"/>
      <c r="V491" s="12"/>
      <c r="W491" s="12"/>
      <c r="X491" s="12"/>
      <c r="Y491" s="12"/>
      <c r="Z491" s="12"/>
      <c r="AA491" s="12"/>
      <c r="AB491" s="12"/>
      <c r="AC491" s="12"/>
      <c r="AD491" s="12"/>
      <c r="AE491" s="12"/>
      <c r="AF491" s="12"/>
      <c r="AG491" s="12"/>
      <c r="AH491" s="12"/>
      <c r="AI491" s="12"/>
      <c r="AJ491" s="12"/>
      <c r="AK491" s="12"/>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row>
    <row r="492" spans="1:97" ht="12.95" customHeight="1">
      <c r="B492" s="6"/>
      <c r="C492" s="7"/>
      <c r="D492" s="205"/>
      <c r="E492" s="7"/>
      <c r="F492" s="7"/>
      <c r="G492" s="7"/>
      <c r="H492" s="7"/>
      <c r="I492" s="7"/>
      <c r="J492" s="7"/>
      <c r="K492" s="7"/>
      <c r="L492" s="7"/>
      <c r="M492" s="7"/>
      <c r="N492" s="7"/>
      <c r="O492" s="7"/>
      <c r="P492" s="7"/>
      <c r="Q492" s="7"/>
      <c r="R492" s="7"/>
      <c r="S492" s="7"/>
      <c r="T492" s="7"/>
      <c r="U492" s="7"/>
      <c r="V492" s="7"/>
      <c r="W492" s="7"/>
      <c r="X492" s="7"/>
      <c r="Y492" s="7"/>
      <c r="Z492" s="7"/>
      <c r="AA492" s="7"/>
      <c r="AB492" s="64"/>
      <c r="AC492" s="1384" t="s">
        <v>260</v>
      </c>
      <c r="AD492" s="1385"/>
      <c r="AE492" s="1385"/>
      <c r="AF492" s="1385"/>
      <c r="AG492" s="1385"/>
      <c r="AH492" s="1385"/>
      <c r="AI492" s="1385"/>
      <c r="AJ492" s="1385"/>
      <c r="AK492" s="1386"/>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row>
    <row r="493" spans="1:97" ht="12.95" customHeight="1">
      <c r="B493" s="53"/>
      <c r="C493" s="54"/>
      <c r="D493" s="54"/>
      <c r="E493" s="54"/>
      <c r="F493" s="54"/>
      <c r="G493" s="54"/>
      <c r="H493" s="54"/>
      <c r="I493" s="54"/>
      <c r="J493" s="54"/>
      <c r="K493" s="54"/>
      <c r="L493" s="54"/>
      <c r="M493" s="54"/>
      <c r="N493" s="54"/>
      <c r="O493" s="54"/>
      <c r="P493" s="54"/>
      <c r="Q493" s="54"/>
      <c r="R493" s="54"/>
      <c r="S493" s="54"/>
      <c r="T493" s="54"/>
      <c r="U493" s="54"/>
      <c r="V493" s="54"/>
      <c r="W493" s="54"/>
      <c r="X493" s="54"/>
      <c r="Y493" s="54"/>
      <c r="Z493" s="54"/>
      <c r="AA493" s="54"/>
      <c r="AB493" s="55"/>
      <c r="AC493" s="1384" t="s">
        <v>261</v>
      </c>
      <c r="AD493" s="1385"/>
      <c r="AE493" s="1385"/>
      <c r="AF493" s="1385"/>
      <c r="AG493" s="56" t="s">
        <v>262</v>
      </c>
      <c r="AH493" s="1385" t="s">
        <v>263</v>
      </c>
      <c r="AI493" s="1385"/>
      <c r="AJ493" s="1385"/>
      <c r="AK493" s="1386"/>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row>
    <row r="494" spans="1:97" ht="12.95" customHeight="1">
      <c r="B494" s="1071" t="s">
        <v>264</v>
      </c>
      <c r="C494" s="1072"/>
      <c r="D494" s="1072"/>
      <c r="E494" s="1072"/>
      <c r="F494" s="1072"/>
      <c r="G494" s="1072"/>
      <c r="H494" s="1073"/>
      <c r="I494" s="7" t="s">
        <v>706</v>
      </c>
      <c r="J494" s="7"/>
      <c r="K494" s="7"/>
      <c r="L494" s="7"/>
      <c r="M494" s="7"/>
      <c r="N494" s="7"/>
      <c r="O494" s="7"/>
      <c r="P494" s="7"/>
      <c r="Q494" s="7"/>
      <c r="R494" s="7"/>
      <c r="S494" s="7"/>
      <c r="T494" s="7"/>
      <c r="U494" s="7"/>
      <c r="V494" s="7"/>
      <c r="W494" s="7"/>
      <c r="AC494" s="1383">
        <v>6</v>
      </c>
      <c r="AD494" s="1115"/>
      <c r="AE494" s="1115"/>
      <c r="AF494" s="1115"/>
      <c r="AG494" s="18" t="s">
        <v>262</v>
      </c>
      <c r="AH494" s="1101">
        <v>2023</v>
      </c>
      <c r="AI494" s="1101"/>
      <c r="AJ494" s="1101"/>
      <c r="AK494" s="1168"/>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row>
    <row r="495" spans="1:97" ht="12.95" customHeight="1">
      <c r="B495" s="1074"/>
      <c r="C495" s="1075"/>
      <c r="D495" s="1075"/>
      <c r="E495" s="1075"/>
      <c r="F495" s="1075"/>
      <c r="G495" s="1075"/>
      <c r="H495" s="1076"/>
      <c r="I495" s="54" t="s">
        <v>707</v>
      </c>
      <c r="J495" s="54"/>
      <c r="K495" s="54"/>
      <c r="L495" s="54"/>
      <c r="M495" s="54"/>
      <c r="N495" s="54"/>
      <c r="O495" s="54"/>
      <c r="P495" s="54"/>
      <c r="Q495" s="54"/>
      <c r="R495" s="54"/>
      <c r="S495" s="54"/>
      <c r="T495" s="54"/>
      <c r="U495" s="54"/>
      <c r="V495" s="54"/>
      <c r="W495" s="54"/>
      <c r="X495" s="54"/>
      <c r="Y495" s="54"/>
      <c r="Z495" s="54"/>
      <c r="AA495" s="54"/>
      <c r="AB495" s="54"/>
      <c r="AC495" s="1383" t="s">
        <v>132</v>
      </c>
      <c r="AD495" s="1115"/>
      <c r="AE495" s="1115"/>
      <c r="AF495" s="1115"/>
      <c r="AG495" s="47" t="s">
        <v>262</v>
      </c>
      <c r="AH495" s="1101"/>
      <c r="AI495" s="1101"/>
      <c r="AJ495" s="1101"/>
      <c r="AK495" s="1168"/>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row>
    <row r="496" spans="1:97" ht="12.95" customHeight="1">
      <c r="B496" s="1071" t="s">
        <v>708</v>
      </c>
      <c r="C496" s="1072"/>
      <c r="D496" s="1072"/>
      <c r="E496" s="1072"/>
      <c r="F496" s="1072"/>
      <c r="G496" s="1072"/>
      <c r="H496" s="1073"/>
      <c r="I496" s="7" t="s">
        <v>709</v>
      </c>
      <c r="J496" s="7"/>
      <c r="K496" s="7"/>
      <c r="L496" s="7"/>
      <c r="M496" s="7"/>
      <c r="N496" s="7"/>
      <c r="O496" s="7"/>
      <c r="P496" s="7"/>
      <c r="Q496" s="7"/>
      <c r="R496" s="7"/>
      <c r="S496" s="7"/>
      <c r="T496" s="7"/>
      <c r="U496" s="7"/>
      <c r="V496" s="7"/>
      <c r="W496" s="7"/>
      <c r="AC496" s="1383">
        <v>6</v>
      </c>
      <c r="AD496" s="1115"/>
      <c r="AE496" s="1115"/>
      <c r="AF496" s="1115"/>
      <c r="AG496" s="18" t="s">
        <v>262</v>
      </c>
      <c r="AH496" s="1101">
        <v>2023</v>
      </c>
      <c r="AI496" s="1101"/>
      <c r="AJ496" s="1101"/>
      <c r="AK496" s="1168"/>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row>
    <row r="497" spans="2:97" ht="12.95" customHeight="1">
      <c r="B497" s="1074"/>
      <c r="C497" s="1075"/>
      <c r="D497" s="1075"/>
      <c r="E497" s="1075"/>
      <c r="F497" s="1075"/>
      <c r="G497" s="1075"/>
      <c r="H497" s="1076"/>
      <c r="I497" t="s">
        <v>710</v>
      </c>
      <c r="AC497" s="1383" t="s">
        <v>132</v>
      </c>
      <c r="AD497" s="1115"/>
      <c r="AE497" s="1115"/>
      <c r="AF497" s="1115"/>
      <c r="AG497" s="18" t="s">
        <v>262</v>
      </c>
      <c r="AH497" s="1101"/>
      <c r="AI497" s="1101"/>
      <c r="AJ497" s="1101"/>
      <c r="AK497" s="1168"/>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row>
    <row r="498" spans="2:97" ht="12.95" customHeight="1">
      <c r="B498" s="1074"/>
      <c r="C498" s="1075"/>
      <c r="D498" s="1075"/>
      <c r="E498" s="1075"/>
      <c r="F498" s="1075"/>
      <c r="G498" s="1075"/>
      <c r="H498" s="1076"/>
      <c r="I498" t="s">
        <v>711</v>
      </c>
      <c r="AC498" s="1383">
        <v>6</v>
      </c>
      <c r="AD498" s="1115"/>
      <c r="AE498" s="1115"/>
      <c r="AF498" s="1115"/>
      <c r="AG498" s="18" t="s">
        <v>262</v>
      </c>
      <c r="AH498" s="1101">
        <v>2023</v>
      </c>
      <c r="AI498" s="1101"/>
      <c r="AJ498" s="1101"/>
      <c r="AK498" s="1168"/>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row>
    <row r="499" spans="2:97" ht="12.95" customHeight="1">
      <c r="B499" s="1074"/>
      <c r="C499" s="1075"/>
      <c r="D499" s="1075"/>
      <c r="E499" s="1075"/>
      <c r="F499" s="1075"/>
      <c r="G499" s="1075"/>
      <c r="H499" s="1076"/>
      <c r="I499" t="s">
        <v>712</v>
      </c>
      <c r="AC499" s="1383" t="s">
        <v>132</v>
      </c>
      <c r="AD499" s="1115"/>
      <c r="AE499" s="1115"/>
      <c r="AF499" s="1115"/>
      <c r="AG499" s="18" t="s">
        <v>262</v>
      </c>
      <c r="AH499" s="1101"/>
      <c r="AI499" s="1101"/>
      <c r="AJ499" s="1101"/>
      <c r="AK499" s="1168"/>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row>
    <row r="500" spans="2:97" ht="12.95" customHeight="1">
      <c r="B500" s="1074"/>
      <c r="C500" s="1075"/>
      <c r="D500" s="1075"/>
      <c r="E500" s="1075"/>
      <c r="F500" s="1075"/>
      <c r="G500" s="1075"/>
      <c r="H500" s="1076"/>
      <c r="I500" s="41" t="s">
        <v>713</v>
      </c>
      <c r="AC500" s="1222" t="s">
        <v>132</v>
      </c>
      <c r="AD500" s="1223"/>
      <c r="AE500" s="1223"/>
      <c r="AF500" s="1223"/>
      <c r="AG500" s="18" t="s">
        <v>262</v>
      </c>
      <c r="AH500" s="1101"/>
      <c r="AI500" s="1101"/>
      <c r="AJ500" s="1101"/>
      <c r="AK500" s="1168"/>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row>
    <row r="501" spans="2:97" ht="12.95" customHeight="1">
      <c r="B501" s="1074"/>
      <c r="C501" s="1075"/>
      <c r="D501" s="1075"/>
      <c r="E501" s="1075"/>
      <c r="F501" s="1075"/>
      <c r="G501" s="1075"/>
      <c r="H501" s="1076"/>
      <c r="I501" s="414" t="s">
        <v>297</v>
      </c>
      <c r="J501" s="54"/>
      <c r="K501" s="54"/>
      <c r="L501" s="1427" t="s">
        <v>592</v>
      </c>
      <c r="M501" s="1424"/>
      <c r="N501" s="1424"/>
      <c r="O501" s="1424"/>
      <c r="P501" s="1424"/>
      <c r="Q501" s="1424"/>
      <c r="R501" s="1424"/>
      <c r="S501" s="1424"/>
      <c r="T501" s="1424"/>
      <c r="U501" s="1424"/>
      <c r="V501" s="1424"/>
      <c r="W501" s="1424"/>
      <c r="X501" s="1424"/>
      <c r="Y501" s="1424"/>
      <c r="Z501" s="1424"/>
      <c r="AA501" s="1424"/>
      <c r="AB501" s="1466"/>
      <c r="AC501" s="1428" t="s">
        <v>132</v>
      </c>
      <c r="AD501" s="1290"/>
      <c r="AE501" s="1290"/>
      <c r="AF501" s="1290"/>
      <c r="AG501" s="47" t="s">
        <v>262</v>
      </c>
      <c r="AH501" s="1101"/>
      <c r="AI501" s="1101"/>
      <c r="AJ501" s="1101"/>
      <c r="AK501" s="1168"/>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row>
    <row r="502" spans="2:97" ht="12.95" customHeight="1">
      <c r="B502" s="1074"/>
      <c r="C502" s="1075"/>
      <c r="D502" s="1075"/>
      <c r="E502" s="1075"/>
      <c r="F502" s="1075"/>
      <c r="G502" s="1075"/>
      <c r="H502" s="1076"/>
      <c r="I502" s="41" t="s">
        <v>2079</v>
      </c>
      <c r="AC502" s="1395" t="s">
        <v>116</v>
      </c>
      <c r="AD502" s="1395"/>
      <c r="AE502" s="1395"/>
      <c r="AF502" s="1395"/>
      <c r="AG502" s="18"/>
      <c r="AH502" s="1018"/>
      <c r="AI502" s="1018"/>
      <c r="AJ502" s="1018"/>
      <c r="AK502" s="1396"/>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row>
    <row r="503" spans="2:97" ht="12.95" customHeight="1">
      <c r="B503" s="1074"/>
      <c r="C503" s="1075"/>
      <c r="D503" s="1075"/>
      <c r="E503" s="1075"/>
      <c r="F503" s="1075"/>
      <c r="G503" s="1075"/>
      <c r="H503" s="1076"/>
      <c r="I503" t="s">
        <v>2080</v>
      </c>
      <c r="AC503" s="1222">
        <v>1</v>
      </c>
      <c r="AD503" s="1223"/>
      <c r="AE503" s="1223"/>
      <c r="AF503" s="1224"/>
      <c r="AG503" s="18"/>
      <c r="AH503" s="1018"/>
      <c r="AI503" s="1018"/>
      <c r="AJ503" s="1018"/>
      <c r="AK503" s="1396"/>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row>
    <row r="504" spans="2:97" ht="12.95" customHeight="1">
      <c r="B504" s="1074"/>
      <c r="C504" s="1075"/>
      <c r="D504" s="1075"/>
      <c r="E504" s="1075"/>
      <c r="F504" s="1075"/>
      <c r="G504" s="1075"/>
      <c r="H504" s="1076"/>
      <c r="I504" t="s">
        <v>2081</v>
      </c>
      <c r="AC504" s="841"/>
      <c r="AD504" s="842"/>
      <c r="AE504" s="842"/>
      <c r="AF504" s="843"/>
      <c r="AG504" s="18"/>
      <c r="AH504" s="1"/>
      <c r="AI504" s="1"/>
      <c r="AJ504" s="1"/>
      <c r="AK504" s="844"/>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row>
    <row r="505" spans="2:97" ht="12.95" customHeight="1">
      <c r="B505" s="1074"/>
      <c r="C505" s="1075"/>
      <c r="D505" s="1075"/>
      <c r="E505" s="1075"/>
      <c r="F505" s="1075"/>
      <c r="G505" s="1075"/>
      <c r="H505" s="1076"/>
      <c r="I505" s="845" t="s">
        <v>2082</v>
      </c>
      <c r="J505" s="54"/>
      <c r="K505" s="54"/>
      <c r="L505" s="54"/>
      <c r="M505" s="54"/>
      <c r="N505" s="54"/>
      <c r="O505" s="54"/>
      <c r="P505" s="54"/>
      <c r="Q505" s="54"/>
      <c r="R505" s="54"/>
      <c r="S505" s="54"/>
      <c r="T505" s="54"/>
      <c r="U505" s="54"/>
      <c r="V505" s="54"/>
      <c r="W505" s="54"/>
      <c r="X505" s="54"/>
      <c r="Y505" s="54"/>
      <c r="Z505" s="54"/>
      <c r="AA505" s="54"/>
      <c r="AB505" s="54"/>
      <c r="AC505" s="1471">
        <v>0.1</v>
      </c>
      <c r="AD505" s="1472"/>
      <c r="AE505" s="1472"/>
      <c r="AF505" s="1473"/>
      <c r="AG505" s="47"/>
      <c r="AH505" s="1448"/>
      <c r="AI505" s="1448"/>
      <c r="AJ505" s="1448"/>
      <c r="AK505" s="1449"/>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row>
    <row r="506" spans="2:97" ht="12.95" customHeight="1">
      <c r="B506" s="1071" t="s">
        <v>714</v>
      </c>
      <c r="C506" s="1072"/>
      <c r="D506" s="1072"/>
      <c r="E506" s="1072"/>
      <c r="F506" s="1072"/>
      <c r="G506" s="1072"/>
      <c r="H506" s="1073"/>
      <c r="I506" s="7" t="s">
        <v>715</v>
      </c>
      <c r="J506" s="7"/>
      <c r="K506" s="7"/>
      <c r="L506" s="7"/>
      <c r="M506" s="7"/>
      <c r="N506" s="7"/>
      <c r="O506" s="7"/>
      <c r="P506" s="7"/>
      <c r="Q506" s="7"/>
      <c r="R506" s="7"/>
      <c r="S506" s="7"/>
      <c r="T506" s="7"/>
      <c r="U506" s="7"/>
      <c r="V506" s="7"/>
      <c r="W506" s="7"/>
      <c r="AC506" s="1383" t="s">
        <v>132</v>
      </c>
      <c r="AD506" s="1115"/>
      <c r="AE506" s="1115"/>
      <c r="AF506" s="1115"/>
      <c r="AG506" s="18" t="s">
        <v>262</v>
      </c>
      <c r="AH506" s="1101"/>
      <c r="AI506" s="1101"/>
      <c r="AJ506" s="1101"/>
      <c r="AK506" s="1168"/>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row>
    <row r="507" spans="2:97" ht="12.95" customHeight="1">
      <c r="B507" s="1074"/>
      <c r="C507" s="1075"/>
      <c r="D507" s="1075"/>
      <c r="E507" s="1075"/>
      <c r="F507" s="1075"/>
      <c r="G507" s="1075"/>
      <c r="H507" s="1076"/>
      <c r="I507" t="s">
        <v>716</v>
      </c>
      <c r="AC507" s="1383">
        <v>7</v>
      </c>
      <c r="AD507" s="1115"/>
      <c r="AE507" s="1115"/>
      <c r="AF507" s="1115"/>
      <c r="AG507" s="18" t="s">
        <v>262</v>
      </c>
      <c r="AH507" s="1101">
        <v>2023</v>
      </c>
      <c r="AI507" s="1101"/>
      <c r="AJ507" s="1101"/>
      <c r="AK507" s="1168"/>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row>
    <row r="508" spans="2:97" ht="12.95" customHeight="1">
      <c r="B508" s="1074"/>
      <c r="C508" s="1075"/>
      <c r="D508" s="1075"/>
      <c r="E508" s="1075"/>
      <c r="F508" s="1075"/>
      <c r="G508" s="1075"/>
      <c r="H508" s="1076"/>
      <c r="I508" s="54" t="s">
        <v>717</v>
      </c>
      <c r="J508" s="54"/>
      <c r="K508" s="54"/>
      <c r="L508" s="54"/>
      <c r="M508" s="54"/>
      <c r="N508" s="54"/>
      <c r="O508" s="54"/>
      <c r="P508" s="54"/>
      <c r="Q508" s="54"/>
      <c r="R508" s="54"/>
      <c r="S508" s="54"/>
      <c r="T508" s="54"/>
      <c r="U508" s="54"/>
      <c r="V508" s="54"/>
      <c r="W508" s="54"/>
      <c r="X508" s="54"/>
      <c r="Y508" s="54"/>
      <c r="Z508" s="54"/>
      <c r="AA508" s="54"/>
      <c r="AB508" s="54"/>
      <c r="AC508" s="1383">
        <v>5</v>
      </c>
      <c r="AD508" s="1115"/>
      <c r="AE508" s="1115"/>
      <c r="AF508" s="1115"/>
      <c r="AG508" s="47" t="s">
        <v>262</v>
      </c>
      <c r="AH508" s="1101">
        <v>2024</v>
      </c>
      <c r="AI508" s="1101"/>
      <c r="AJ508" s="1101"/>
      <c r="AK508" s="1168"/>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row>
    <row r="509" spans="2:97" ht="12.95" customHeight="1">
      <c r="B509" s="1071" t="s">
        <v>718</v>
      </c>
      <c r="C509" s="1072"/>
      <c r="D509" s="1072"/>
      <c r="E509" s="1072"/>
      <c r="F509" s="1072"/>
      <c r="G509" s="1072"/>
      <c r="H509" s="1073"/>
      <c r="I509" s="7" t="s">
        <v>715</v>
      </c>
      <c r="J509" s="7"/>
      <c r="K509" s="7"/>
      <c r="L509" s="7"/>
      <c r="M509" s="7"/>
      <c r="N509" s="7"/>
      <c r="O509" s="7"/>
      <c r="P509" s="7"/>
      <c r="Q509" s="7"/>
      <c r="R509" s="7"/>
      <c r="S509" s="7"/>
      <c r="T509" s="7"/>
      <c r="U509" s="7"/>
      <c r="V509" s="7"/>
      <c r="W509" s="7"/>
      <c r="X509" s="7"/>
      <c r="Y509" s="7"/>
      <c r="Z509" s="7"/>
      <c r="AA509" s="7"/>
      <c r="AB509" s="7"/>
      <c r="AC509" s="1275" t="s">
        <v>132</v>
      </c>
      <c r="AD509" s="1276"/>
      <c r="AE509" s="1276"/>
      <c r="AF509" s="1276"/>
      <c r="AG509" s="230" t="s">
        <v>262</v>
      </c>
      <c r="AH509" s="1101"/>
      <c r="AI509" s="1101"/>
      <c r="AJ509" s="1101"/>
      <c r="AK509" s="1168"/>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row>
    <row r="510" spans="2:97" ht="12.95" customHeight="1">
      <c r="B510" s="1074"/>
      <c r="C510" s="1075"/>
      <c r="D510" s="1075"/>
      <c r="E510" s="1075"/>
      <c r="F510" s="1075"/>
      <c r="G510" s="1075"/>
      <c r="H510" s="1076"/>
      <c r="I510" t="s">
        <v>716</v>
      </c>
      <c r="AC510" s="1383" t="s">
        <v>132</v>
      </c>
      <c r="AD510" s="1115"/>
      <c r="AE510" s="1115"/>
      <c r="AF510" s="1115"/>
      <c r="AG510" s="18" t="s">
        <v>262</v>
      </c>
      <c r="AH510" s="1101"/>
      <c r="AI510" s="1101"/>
      <c r="AJ510" s="1101"/>
      <c r="AK510" s="1168"/>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row>
    <row r="511" spans="2:97" ht="12.95" customHeight="1">
      <c r="B511" s="1077"/>
      <c r="C511" s="1078"/>
      <c r="D511" s="1078"/>
      <c r="E511" s="1078"/>
      <c r="F511" s="1078"/>
      <c r="G511" s="1078"/>
      <c r="H511" s="1079"/>
      <c r="I511" s="54" t="s">
        <v>717</v>
      </c>
      <c r="J511" s="54"/>
      <c r="K511" s="54"/>
      <c r="L511" s="54"/>
      <c r="M511" s="54"/>
      <c r="N511" s="54"/>
      <c r="O511" s="54"/>
      <c r="P511" s="54"/>
      <c r="Q511" s="54"/>
      <c r="R511" s="54"/>
      <c r="S511" s="54"/>
      <c r="T511" s="54"/>
      <c r="U511" s="54"/>
      <c r="V511" s="54"/>
      <c r="W511" s="54"/>
      <c r="X511" s="54"/>
      <c r="Y511" s="54"/>
      <c r="Z511" s="54"/>
      <c r="AA511" s="54"/>
      <c r="AB511" s="54"/>
      <c r="AC511" s="1383" t="s">
        <v>132</v>
      </c>
      <c r="AD511" s="1115"/>
      <c r="AE511" s="1115"/>
      <c r="AF511" s="1115"/>
      <c r="AG511" s="47" t="s">
        <v>262</v>
      </c>
      <c r="AH511" s="1101"/>
      <c r="AI511" s="1101"/>
      <c r="AJ511" s="1101"/>
      <c r="AK511" s="1168"/>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row>
    <row r="512" spans="2:97" ht="12.95" customHeight="1">
      <c r="B512" s="1071" t="s">
        <v>719</v>
      </c>
      <c r="C512" s="1072"/>
      <c r="D512" s="1072"/>
      <c r="E512" s="1072"/>
      <c r="F512" s="1072"/>
      <c r="G512" s="1072"/>
      <c r="H512" s="1073"/>
      <c r="I512" s="6" t="s">
        <v>720</v>
      </c>
      <c r="J512" s="7"/>
      <c r="K512" s="7"/>
      <c r="L512" s="7"/>
      <c r="M512" s="7"/>
      <c r="N512" s="7"/>
      <c r="O512" s="1427" t="s">
        <v>2428</v>
      </c>
      <c r="P512" s="1424"/>
      <c r="Q512" s="1424"/>
      <c r="R512" s="1424"/>
      <c r="S512" s="1424"/>
      <c r="T512" s="1424"/>
      <c r="U512" s="1424"/>
      <c r="V512" s="1424"/>
      <c r="W512" s="1424"/>
      <c r="X512" s="1424"/>
      <c r="Y512" s="1424"/>
      <c r="Z512" s="1424"/>
      <c r="AA512" s="1424"/>
      <c r="AB512" s="64"/>
      <c r="AC512" s="1275" t="s">
        <v>132</v>
      </c>
      <c r="AD512" s="1276"/>
      <c r="AE512" s="1276"/>
      <c r="AF512" s="1276"/>
      <c r="AG512" s="230" t="s">
        <v>262</v>
      </c>
      <c r="AH512" s="1101"/>
      <c r="AI512" s="1101"/>
      <c r="AJ512" s="1101"/>
      <c r="AK512" s="1168"/>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row>
    <row r="513" spans="2:97" ht="12.95" customHeight="1">
      <c r="B513" s="1074"/>
      <c r="C513" s="1075"/>
      <c r="D513" s="1075"/>
      <c r="E513" s="1075"/>
      <c r="F513" s="1075"/>
      <c r="G513" s="1075"/>
      <c r="H513" s="1076"/>
      <c r="I513" s="204" t="s">
        <v>721</v>
      </c>
      <c r="AB513" s="71"/>
      <c r="AC513" s="1383" t="s">
        <v>132</v>
      </c>
      <c r="AD513" s="1115"/>
      <c r="AE513" s="1115"/>
      <c r="AF513" s="1115"/>
      <c r="AG513" s="18" t="s">
        <v>262</v>
      </c>
      <c r="AH513" s="1101"/>
      <c r="AI513" s="1101"/>
      <c r="AJ513" s="1101"/>
      <c r="AK513" s="1168"/>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row>
    <row r="514" spans="2:97" ht="12.95" customHeight="1">
      <c r="B514" s="1074"/>
      <c r="C514" s="1075"/>
      <c r="D514" s="1075"/>
      <c r="E514" s="1075"/>
      <c r="F514" s="1075"/>
      <c r="G514" s="1075"/>
      <c r="H514" s="1076"/>
      <c r="I514" s="53" t="s">
        <v>722</v>
      </c>
      <c r="J514" s="54"/>
      <c r="K514" s="54"/>
      <c r="L514" s="54"/>
      <c r="M514" s="54"/>
      <c r="N514" s="54"/>
      <c r="O514" s="54"/>
      <c r="P514" s="54"/>
      <c r="Q514" s="54"/>
      <c r="R514" s="54"/>
      <c r="S514" s="54"/>
      <c r="T514" s="54"/>
      <c r="U514" s="54"/>
      <c r="V514" s="54"/>
      <c r="W514" s="54"/>
      <c r="X514" s="54"/>
      <c r="Y514" s="54"/>
      <c r="Z514" s="54"/>
      <c r="AA514" s="54"/>
      <c r="AB514" s="55"/>
      <c r="AC514" s="1383">
        <v>11</v>
      </c>
      <c r="AD514" s="1115"/>
      <c r="AE514" s="1115"/>
      <c r="AF514" s="1115"/>
      <c r="AG514" s="47" t="s">
        <v>262</v>
      </c>
      <c r="AH514" s="1101">
        <v>2020</v>
      </c>
      <c r="AI514" s="1101"/>
      <c r="AJ514" s="1101"/>
      <c r="AK514" s="1168"/>
      <c r="AM514" s="41"/>
      <c r="AN514" s="41"/>
      <c r="AO514" s="41"/>
      <c r="AP514" s="41"/>
      <c r="AQ514" s="41"/>
      <c r="AR514" s="41"/>
      <c r="AS514" s="41"/>
      <c r="AT514" s="41"/>
      <c r="AU514" s="41"/>
      <c r="AV514" s="41"/>
      <c r="AW514" s="41"/>
      <c r="AX514" s="41"/>
      <c r="AY514" s="41"/>
      <c r="AZ514" s="41" t="s">
        <v>2071</v>
      </c>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row>
    <row r="515" spans="2:97" ht="12.95" customHeight="1">
      <c r="B515" s="1074"/>
      <c r="C515" s="1075"/>
      <c r="D515" s="1075"/>
      <c r="E515" s="1075"/>
      <c r="F515" s="1075"/>
      <c r="G515" s="1075"/>
      <c r="H515" s="1076"/>
      <c r="I515" s="7" t="s">
        <v>723</v>
      </c>
      <c r="J515" s="7"/>
      <c r="K515" s="7"/>
      <c r="L515" s="7"/>
      <c r="M515" s="7"/>
      <c r="N515" s="7"/>
      <c r="O515" s="1427"/>
      <c r="P515" s="1424"/>
      <c r="Q515" s="1424"/>
      <c r="R515" s="1424"/>
      <c r="S515" s="1424"/>
      <c r="T515" s="1424"/>
      <c r="U515" s="1424"/>
      <c r="V515" s="1424"/>
      <c r="W515" s="1424"/>
      <c r="X515" s="1424"/>
      <c r="Y515" s="1424"/>
      <c r="Z515" s="1424"/>
      <c r="AA515" s="1424"/>
      <c r="AC515" s="1383" t="s">
        <v>132</v>
      </c>
      <c r="AD515" s="1115"/>
      <c r="AE515" s="1115"/>
      <c r="AF515" s="1115"/>
      <c r="AG515" s="18" t="s">
        <v>262</v>
      </c>
      <c r="AH515" s="1101"/>
      <c r="AI515" s="1101"/>
      <c r="AJ515" s="1101"/>
      <c r="AK515" s="1168"/>
      <c r="AM515" s="41"/>
      <c r="AN515" s="41"/>
      <c r="AO515" s="41"/>
      <c r="AP515" s="41"/>
      <c r="AQ515" s="41"/>
      <c r="AR515" s="41"/>
      <c r="AS515" s="41"/>
      <c r="AT515" s="41"/>
      <c r="AU515" s="41"/>
      <c r="AV515" s="41"/>
      <c r="AW515" s="41"/>
      <c r="AX515" s="41"/>
      <c r="AY515" s="41"/>
      <c r="AZ515" s="41" t="s">
        <v>2286</v>
      </c>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row>
    <row r="516" spans="2:97" ht="12.95" customHeight="1">
      <c r="B516" s="1074"/>
      <c r="C516" s="1075"/>
      <c r="D516" s="1075"/>
      <c r="E516" s="1075"/>
      <c r="F516" s="1075"/>
      <c r="G516" s="1075"/>
      <c r="H516" s="1076"/>
      <c r="I516" t="s">
        <v>721</v>
      </c>
      <c r="AC516" s="1383" t="s">
        <v>132</v>
      </c>
      <c r="AD516" s="1115"/>
      <c r="AE516" s="1115"/>
      <c r="AF516" s="1115"/>
      <c r="AG516" s="18" t="s">
        <v>262</v>
      </c>
      <c r="AH516" s="1101"/>
      <c r="AI516" s="1101"/>
      <c r="AJ516" s="1101"/>
      <c r="AK516" s="1168"/>
      <c r="AM516" s="41"/>
      <c r="AN516" s="41"/>
      <c r="AO516" s="41"/>
      <c r="AP516" s="41"/>
      <c r="AQ516" s="41"/>
      <c r="AR516" s="41"/>
      <c r="AS516" s="41"/>
      <c r="AT516" s="41"/>
      <c r="AU516" s="41"/>
      <c r="AV516" s="41"/>
      <c r="AW516" s="41"/>
      <c r="AX516" s="41"/>
      <c r="AY516" s="41"/>
      <c r="AZ516" s="41" t="s">
        <v>2287</v>
      </c>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row>
    <row r="517" spans="2:97" ht="12.95" customHeight="1">
      <c r="B517" s="1074"/>
      <c r="C517" s="1075"/>
      <c r="D517" s="1075"/>
      <c r="E517" s="1075"/>
      <c r="F517" s="1075"/>
      <c r="G517" s="1075"/>
      <c r="H517" s="1076"/>
      <c r="I517" s="54" t="s">
        <v>722</v>
      </c>
      <c r="J517" s="54"/>
      <c r="K517" s="54"/>
      <c r="L517" s="54"/>
      <c r="M517" s="54"/>
      <c r="N517" s="54"/>
      <c r="O517" s="54"/>
      <c r="P517" s="54"/>
      <c r="Q517" s="54"/>
      <c r="R517" s="54"/>
      <c r="S517" s="54"/>
      <c r="T517" s="54"/>
      <c r="U517" s="54"/>
      <c r="V517" s="54"/>
      <c r="W517" s="54"/>
      <c r="X517" s="54"/>
      <c r="Y517" s="54"/>
      <c r="Z517" s="54"/>
      <c r="AA517" s="54"/>
      <c r="AB517" s="54"/>
      <c r="AC517" s="1383" t="s">
        <v>132</v>
      </c>
      <c r="AD517" s="1115"/>
      <c r="AE517" s="1115"/>
      <c r="AF517" s="1115"/>
      <c r="AG517" s="47" t="s">
        <v>262</v>
      </c>
      <c r="AH517" s="1101"/>
      <c r="AI517" s="1101"/>
      <c r="AJ517" s="1101"/>
      <c r="AK517" s="1168"/>
      <c r="AM517" s="41"/>
      <c r="AN517" s="41"/>
      <c r="AO517" s="41"/>
      <c r="AP517" s="41"/>
      <c r="AQ517" s="41"/>
      <c r="AR517" s="41"/>
      <c r="AS517" s="41"/>
      <c r="AT517" s="41"/>
      <c r="AU517" s="41"/>
      <c r="AV517" s="41"/>
      <c r="AW517" s="41"/>
      <c r="AX517" s="41"/>
      <c r="AY517" s="41"/>
      <c r="AZ517" s="41" t="s">
        <v>2288</v>
      </c>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row>
    <row r="518" spans="2:97" ht="12.95" customHeight="1">
      <c r="B518" s="1074"/>
      <c r="C518" s="1075"/>
      <c r="D518" s="1075"/>
      <c r="E518" s="1075"/>
      <c r="F518" s="1075"/>
      <c r="G518" s="1075"/>
      <c r="H518" s="1076"/>
      <c r="I518" s="7" t="s">
        <v>723</v>
      </c>
      <c r="J518" s="7"/>
      <c r="K518" s="7"/>
      <c r="L518" s="7"/>
      <c r="M518" s="7"/>
      <c r="N518" s="7"/>
      <c r="O518" s="1427" t="s">
        <v>592</v>
      </c>
      <c r="P518" s="1424"/>
      <c r="Q518" s="1424"/>
      <c r="R518" s="1424"/>
      <c r="S518" s="1424"/>
      <c r="T518" s="1424"/>
      <c r="U518" s="1424"/>
      <c r="V518" s="1424"/>
      <c r="W518" s="1424"/>
      <c r="X518" s="1424"/>
      <c r="Y518" s="1424"/>
      <c r="Z518" s="1424"/>
      <c r="AA518" s="1424"/>
      <c r="AC518" s="1383" t="s">
        <v>132</v>
      </c>
      <c r="AD518" s="1115"/>
      <c r="AE518" s="1115"/>
      <c r="AF518" s="1115"/>
      <c r="AG518" s="18" t="s">
        <v>262</v>
      </c>
      <c r="AH518" s="1101"/>
      <c r="AI518" s="1101"/>
      <c r="AJ518" s="1101"/>
      <c r="AK518" s="1168"/>
      <c r="AM518" s="41"/>
      <c r="AN518" s="41"/>
      <c r="AO518" s="41"/>
      <c r="AP518" s="41"/>
      <c r="AQ518" s="41"/>
      <c r="AR518" s="41"/>
      <c r="AS518" s="41"/>
      <c r="AT518" s="41"/>
      <c r="AU518" s="41"/>
      <c r="AV518" s="41"/>
      <c r="AW518" s="41"/>
      <c r="AX518" s="41"/>
      <c r="AY518" s="41"/>
      <c r="AZ518" s="41" t="s">
        <v>2289</v>
      </c>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row>
    <row r="519" spans="2:97" ht="12.95" customHeight="1">
      <c r="B519" s="1074"/>
      <c r="C519" s="1075"/>
      <c r="D519" s="1075"/>
      <c r="E519" s="1075"/>
      <c r="F519" s="1075"/>
      <c r="G519" s="1075"/>
      <c r="H519" s="1076"/>
      <c r="I519" t="s">
        <v>721</v>
      </c>
      <c r="AC519" s="1383" t="s">
        <v>132</v>
      </c>
      <c r="AD519" s="1115"/>
      <c r="AE519" s="1115"/>
      <c r="AF519" s="1115"/>
      <c r="AG519" s="18" t="s">
        <v>262</v>
      </c>
      <c r="AH519" s="1101"/>
      <c r="AI519" s="1101"/>
      <c r="AJ519" s="1101"/>
      <c r="AK519" s="1168"/>
      <c r="AM519" s="41"/>
      <c r="AN519" s="41"/>
      <c r="AO519" s="41"/>
      <c r="AP519" s="41"/>
      <c r="AQ519" s="41"/>
      <c r="AR519" s="41"/>
      <c r="AS519" s="41"/>
      <c r="AT519" s="41"/>
      <c r="AU519" s="41"/>
      <c r="AV519" s="41"/>
      <c r="AW519" s="41"/>
      <c r="AX519" s="41"/>
      <c r="AY519" s="41"/>
      <c r="AZ519" s="41" t="s">
        <v>2290</v>
      </c>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row>
    <row r="520" spans="2:97" ht="12.95" customHeight="1">
      <c r="B520" s="1074"/>
      <c r="C520" s="1075"/>
      <c r="D520" s="1075"/>
      <c r="E520" s="1075"/>
      <c r="F520" s="1075"/>
      <c r="G520" s="1075"/>
      <c r="H520" s="1076"/>
      <c r="I520" s="54" t="s">
        <v>722</v>
      </c>
      <c r="J520" s="54"/>
      <c r="K520" s="54"/>
      <c r="L520" s="54"/>
      <c r="M520" s="54"/>
      <c r="N520" s="54"/>
      <c r="O520" s="54"/>
      <c r="P520" s="54"/>
      <c r="Q520" s="54"/>
      <c r="R520" s="54"/>
      <c r="S520" s="54"/>
      <c r="T520" s="54"/>
      <c r="U520" s="54"/>
      <c r="V520" s="54"/>
      <c r="W520" s="54"/>
      <c r="X520" s="54"/>
      <c r="Y520" s="54"/>
      <c r="Z520" s="54"/>
      <c r="AA520" s="54"/>
      <c r="AB520" s="54"/>
      <c r="AC520" s="1383" t="s">
        <v>132</v>
      </c>
      <c r="AD520" s="1115"/>
      <c r="AE520" s="1115"/>
      <c r="AF520" s="1115"/>
      <c r="AG520" s="47" t="s">
        <v>262</v>
      </c>
      <c r="AH520" s="1101"/>
      <c r="AI520" s="1101"/>
      <c r="AJ520" s="1101"/>
      <c r="AK520" s="1168"/>
      <c r="AM520" s="41"/>
      <c r="AN520" s="41"/>
      <c r="AO520" s="41"/>
      <c r="AP520" s="41"/>
      <c r="AQ520" s="41"/>
      <c r="AR520" s="41"/>
      <c r="AS520" s="41"/>
      <c r="AT520" s="41"/>
      <c r="AU520" s="41"/>
      <c r="AV520" s="41"/>
      <c r="AW520" s="41"/>
      <c r="AX520" s="41"/>
      <c r="AY520" s="41"/>
      <c r="AZ520" s="41" t="s">
        <v>2291</v>
      </c>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row>
    <row r="521" spans="2:97" ht="12.95" customHeight="1">
      <c r="B521" s="1074"/>
      <c r="C521" s="1075"/>
      <c r="D521" s="1075"/>
      <c r="E521" s="1075"/>
      <c r="F521" s="1075"/>
      <c r="G521" s="1075"/>
      <c r="H521" s="1076"/>
      <c r="I521" s="7" t="s">
        <v>723</v>
      </c>
      <c r="J521" s="7"/>
      <c r="K521" s="7"/>
      <c r="L521" s="7"/>
      <c r="M521" s="7"/>
      <c r="N521" s="7"/>
      <c r="O521" s="1427" t="s">
        <v>592</v>
      </c>
      <c r="P521" s="1424"/>
      <c r="Q521" s="1424"/>
      <c r="R521" s="1424"/>
      <c r="S521" s="1424"/>
      <c r="T521" s="1424"/>
      <c r="U521" s="1424"/>
      <c r="V521" s="1424"/>
      <c r="W521" s="1424"/>
      <c r="X521" s="1424"/>
      <c r="Y521" s="1424"/>
      <c r="Z521" s="1424"/>
      <c r="AA521" s="1424"/>
      <c r="AC521" s="1383" t="s">
        <v>132</v>
      </c>
      <c r="AD521" s="1115"/>
      <c r="AE521" s="1115"/>
      <c r="AF521" s="1115"/>
      <c r="AG521" s="18" t="s">
        <v>262</v>
      </c>
      <c r="AH521" s="1101"/>
      <c r="AI521" s="1101"/>
      <c r="AJ521" s="1101"/>
      <c r="AK521" s="1168"/>
      <c r="AM521" s="41"/>
      <c r="AN521" s="41"/>
      <c r="AO521" s="41"/>
      <c r="AP521" s="41"/>
      <c r="AQ521" s="41"/>
      <c r="AR521" s="41"/>
      <c r="AS521" s="41"/>
      <c r="AT521" s="41"/>
      <c r="AU521" s="41"/>
      <c r="AV521" s="41"/>
      <c r="AW521" s="41"/>
      <c r="AX521" s="41"/>
      <c r="AY521" s="41"/>
      <c r="AZ521" s="41" t="s">
        <v>2292</v>
      </c>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row>
    <row r="522" spans="2:97" ht="12.95" customHeight="1">
      <c r="B522" s="1074"/>
      <c r="C522" s="1075"/>
      <c r="D522" s="1075"/>
      <c r="E522" s="1075"/>
      <c r="F522" s="1075"/>
      <c r="G522" s="1075"/>
      <c r="H522" s="1076"/>
      <c r="I522" t="s">
        <v>721</v>
      </c>
      <c r="AC522" s="1383" t="s">
        <v>132</v>
      </c>
      <c r="AD522" s="1115"/>
      <c r="AE522" s="1115"/>
      <c r="AF522" s="1115"/>
      <c r="AG522" s="18" t="s">
        <v>262</v>
      </c>
      <c r="AH522" s="1101"/>
      <c r="AI522" s="1101"/>
      <c r="AJ522" s="1101"/>
      <c r="AK522" s="1168"/>
      <c r="AM522" s="41"/>
      <c r="AN522" s="41"/>
      <c r="AO522" s="41"/>
      <c r="AP522" s="41"/>
      <c r="AQ522" s="41"/>
      <c r="AR522" s="41"/>
      <c r="AS522" s="41"/>
      <c r="AT522" s="41"/>
      <c r="AU522" s="41"/>
      <c r="AV522" s="41"/>
      <c r="AW522" s="41"/>
      <c r="AX522" s="41"/>
      <c r="AY522" s="41"/>
      <c r="AZ522" s="41" t="s">
        <v>2293</v>
      </c>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row>
    <row r="523" spans="2:97" ht="12.95" customHeight="1">
      <c r="B523" s="1074"/>
      <c r="C523" s="1075"/>
      <c r="D523" s="1075"/>
      <c r="E523" s="1075"/>
      <c r="F523" s="1075"/>
      <c r="G523" s="1075"/>
      <c r="H523" s="1076"/>
      <c r="I523" s="54" t="s">
        <v>722</v>
      </c>
      <c r="J523" s="54"/>
      <c r="K523" s="54"/>
      <c r="L523" s="54"/>
      <c r="M523" s="54"/>
      <c r="N523" s="54"/>
      <c r="O523" s="54"/>
      <c r="P523" s="54"/>
      <c r="Q523" s="54"/>
      <c r="R523" s="54"/>
      <c r="S523" s="54"/>
      <c r="T523" s="54"/>
      <c r="U523" s="54"/>
      <c r="V523" s="54"/>
      <c r="W523" s="54"/>
      <c r="X523" s="54"/>
      <c r="Y523" s="54"/>
      <c r="Z523" s="54"/>
      <c r="AA523" s="54"/>
      <c r="AB523" s="54"/>
      <c r="AC523" s="1383" t="s">
        <v>132</v>
      </c>
      <c r="AD523" s="1115"/>
      <c r="AE523" s="1115"/>
      <c r="AF523" s="1115"/>
      <c r="AG523" s="47" t="s">
        <v>262</v>
      </c>
      <c r="AH523" s="1101"/>
      <c r="AI523" s="1101"/>
      <c r="AJ523" s="1101"/>
      <c r="AK523" s="1168"/>
      <c r="AM523" s="41"/>
      <c r="AN523" s="41"/>
      <c r="AO523" s="41"/>
      <c r="AP523" s="41"/>
      <c r="AQ523" s="41"/>
      <c r="AR523" s="41"/>
      <c r="AS523" s="41"/>
      <c r="AT523" s="41"/>
      <c r="AU523" s="41"/>
      <c r="AV523" s="41"/>
      <c r="AW523" s="41"/>
      <c r="AX523" s="41"/>
      <c r="AY523" s="41"/>
      <c r="AZ523" s="41" t="s">
        <v>2294</v>
      </c>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row>
    <row r="524" spans="2:97" ht="12.95" customHeight="1">
      <c r="B524" s="1074"/>
      <c r="C524" s="1075"/>
      <c r="D524" s="1075"/>
      <c r="E524" s="1075"/>
      <c r="F524" s="1075"/>
      <c r="G524" s="1075"/>
      <c r="H524" s="1076"/>
      <c r="I524" s="7" t="s">
        <v>723</v>
      </c>
      <c r="J524" s="7"/>
      <c r="K524" s="7"/>
      <c r="L524" s="7"/>
      <c r="M524" s="7"/>
      <c r="N524" s="7"/>
      <c r="O524" s="1427" t="s">
        <v>592</v>
      </c>
      <c r="P524" s="1424"/>
      <c r="Q524" s="1424"/>
      <c r="R524" s="1424"/>
      <c r="S524" s="1424"/>
      <c r="T524" s="1424"/>
      <c r="U524" s="1424"/>
      <c r="V524" s="1424"/>
      <c r="W524" s="1424"/>
      <c r="X524" s="1424"/>
      <c r="Y524" s="1424"/>
      <c r="Z524" s="1424"/>
      <c r="AA524" s="1424"/>
      <c r="AC524" s="1383" t="s">
        <v>132</v>
      </c>
      <c r="AD524" s="1115"/>
      <c r="AE524" s="1115"/>
      <c r="AF524" s="1115"/>
      <c r="AG524" s="18" t="s">
        <v>262</v>
      </c>
      <c r="AH524" s="1101"/>
      <c r="AI524" s="1101"/>
      <c r="AJ524" s="1101"/>
      <c r="AK524" s="1168"/>
      <c r="AM524" s="41"/>
      <c r="AN524" s="41"/>
      <c r="AO524" s="41"/>
      <c r="AP524" s="41"/>
      <c r="AQ524" s="41"/>
      <c r="AR524" s="41"/>
      <c r="AS524" s="41"/>
      <c r="AT524" s="41"/>
      <c r="AU524" s="41"/>
      <c r="AV524" s="41"/>
      <c r="AW524" s="41"/>
      <c r="AX524" s="41"/>
      <c r="AY524" s="41"/>
      <c r="AZ524" s="41" t="s">
        <v>2295</v>
      </c>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row>
    <row r="525" spans="2:97" ht="12.95" customHeight="1">
      <c r="B525" s="1074"/>
      <c r="C525" s="1075"/>
      <c r="D525" s="1075"/>
      <c r="E525" s="1075"/>
      <c r="F525" s="1075"/>
      <c r="G525" s="1075"/>
      <c r="H525" s="1076"/>
      <c r="I525" t="s">
        <v>721</v>
      </c>
      <c r="AC525" s="1383" t="s">
        <v>132</v>
      </c>
      <c r="AD525" s="1115"/>
      <c r="AE525" s="1115"/>
      <c r="AF525" s="1115"/>
      <c r="AG525" s="47" t="s">
        <v>262</v>
      </c>
      <c r="AH525" s="1101"/>
      <c r="AI525" s="1101"/>
      <c r="AJ525" s="1101"/>
      <c r="AK525" s="1168"/>
      <c r="AM525" s="41"/>
      <c r="AN525" s="41"/>
      <c r="AO525" s="41"/>
      <c r="AP525" s="41"/>
      <c r="AQ525" s="41"/>
      <c r="AR525" s="41"/>
      <c r="AS525" s="41"/>
      <c r="AT525" s="41"/>
      <c r="AU525" s="41"/>
      <c r="AV525" s="41"/>
      <c r="AW525" s="41"/>
      <c r="AX525" s="41"/>
      <c r="AY525" s="41"/>
      <c r="AZ525" s="41" t="s">
        <v>2296</v>
      </c>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row>
    <row r="526" spans="2:97" ht="12.95" customHeight="1">
      <c r="B526" s="1074"/>
      <c r="C526" s="1075"/>
      <c r="D526" s="1075"/>
      <c r="E526" s="1075"/>
      <c r="F526" s="1075"/>
      <c r="G526" s="1075"/>
      <c r="H526" s="1076"/>
      <c r="I526" s="54" t="s">
        <v>722</v>
      </c>
      <c r="J526" s="54"/>
      <c r="K526" s="54"/>
      <c r="L526" s="54"/>
      <c r="M526" s="54"/>
      <c r="N526" s="54"/>
      <c r="O526" s="54"/>
      <c r="P526" s="54"/>
      <c r="Q526" s="54"/>
      <c r="R526" s="54"/>
      <c r="S526" s="54"/>
      <c r="T526" s="54"/>
      <c r="U526" s="54"/>
      <c r="V526" s="54"/>
      <c r="W526" s="54"/>
      <c r="X526" s="54"/>
      <c r="Y526" s="54"/>
      <c r="Z526" s="54"/>
      <c r="AA526" s="54"/>
      <c r="AB526" s="54"/>
      <c r="AC526" s="1383" t="s">
        <v>132</v>
      </c>
      <c r="AD526" s="1115"/>
      <c r="AE526" s="1115"/>
      <c r="AF526" s="1115"/>
      <c r="AG526" s="18" t="s">
        <v>262</v>
      </c>
      <c r="AH526" s="1101"/>
      <c r="AI526" s="1101"/>
      <c r="AJ526" s="1101"/>
      <c r="AK526" s="1168"/>
      <c r="AM526" s="41"/>
      <c r="AN526" s="41"/>
      <c r="AO526" s="41"/>
      <c r="AP526" s="41"/>
      <c r="AQ526" s="41"/>
      <c r="AR526" s="41"/>
      <c r="AS526" s="41"/>
      <c r="AT526" s="41"/>
      <c r="AU526" s="41"/>
      <c r="AV526" s="41"/>
      <c r="AW526" s="41"/>
      <c r="AX526" s="41"/>
      <c r="AY526" s="41"/>
      <c r="AZ526" s="41" t="s">
        <v>2297</v>
      </c>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row>
    <row r="527" spans="2:97" ht="12.95" customHeight="1">
      <c r="B527" s="1074"/>
      <c r="C527" s="1075"/>
      <c r="D527" s="1075"/>
      <c r="E527" s="1075"/>
      <c r="F527" s="1075"/>
      <c r="G527" s="1075"/>
      <c r="H527" s="1076"/>
      <c r="I527" s="7" t="s">
        <v>723</v>
      </c>
      <c r="J527" s="7"/>
      <c r="K527" s="7"/>
      <c r="L527" s="7"/>
      <c r="M527" s="7"/>
      <c r="N527" s="7"/>
      <c r="O527" s="1427" t="s">
        <v>592</v>
      </c>
      <c r="P527" s="1424"/>
      <c r="Q527" s="1424"/>
      <c r="R527" s="1424"/>
      <c r="S527" s="1424"/>
      <c r="T527" s="1424"/>
      <c r="U527" s="1424"/>
      <c r="V527" s="1424"/>
      <c r="W527" s="1424"/>
      <c r="X527" s="1424"/>
      <c r="Y527" s="1424"/>
      <c r="Z527" s="1424"/>
      <c r="AA527" s="1424"/>
      <c r="AC527" s="1383" t="s">
        <v>132</v>
      </c>
      <c r="AD527" s="1115"/>
      <c r="AE527" s="1115"/>
      <c r="AF527" s="1115"/>
      <c r="AG527" s="47" t="s">
        <v>262</v>
      </c>
      <c r="AH527" s="1101"/>
      <c r="AI527" s="1101"/>
      <c r="AJ527" s="1101"/>
      <c r="AK527" s="1168"/>
      <c r="AM527" s="41"/>
      <c r="AN527" s="41"/>
      <c r="AO527" s="41"/>
      <c r="AP527" s="41"/>
      <c r="AQ527" s="41"/>
      <c r="AR527" s="41"/>
      <c r="AS527" s="41"/>
      <c r="AT527" s="41"/>
      <c r="AU527" s="41"/>
      <c r="AV527" s="41"/>
      <c r="AW527" s="41"/>
      <c r="AX527" s="41"/>
      <c r="AY527" s="41"/>
      <c r="AZ527" s="41" t="s">
        <v>2298</v>
      </c>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row>
    <row r="528" spans="2:97" ht="12.95" customHeight="1">
      <c r="B528" s="1074"/>
      <c r="C528" s="1075"/>
      <c r="D528" s="1075"/>
      <c r="E528" s="1075"/>
      <c r="F528" s="1075"/>
      <c r="G528" s="1075"/>
      <c r="H528" s="1076"/>
      <c r="I528" t="s">
        <v>721</v>
      </c>
      <c r="AC528" s="1383" t="s">
        <v>132</v>
      </c>
      <c r="AD528" s="1115"/>
      <c r="AE528" s="1115"/>
      <c r="AF528" s="1115"/>
      <c r="AG528" s="18" t="s">
        <v>262</v>
      </c>
      <c r="AH528" s="1101"/>
      <c r="AI528" s="1101"/>
      <c r="AJ528" s="1101"/>
      <c r="AK528" s="1168"/>
      <c r="AM528" s="41"/>
      <c r="AN528" s="41"/>
      <c r="AO528" s="41"/>
      <c r="AP528" s="41"/>
      <c r="AQ528" s="41"/>
      <c r="AR528" s="41"/>
      <c r="AS528" s="41"/>
      <c r="AT528" s="41"/>
      <c r="AU528" s="41"/>
      <c r="AV528" s="41"/>
      <c r="AW528" s="41"/>
      <c r="AX528" s="41"/>
      <c r="AY528" s="41"/>
      <c r="AZ528" s="41" t="s">
        <v>2299</v>
      </c>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row>
    <row r="529" spans="1:97" ht="12.95" customHeight="1">
      <c r="B529" s="1074"/>
      <c r="C529" s="1075"/>
      <c r="D529" s="1075"/>
      <c r="E529" s="1075"/>
      <c r="F529" s="1075"/>
      <c r="G529" s="1075"/>
      <c r="H529" s="1076"/>
      <c r="I529" s="54" t="s">
        <v>722</v>
      </c>
      <c r="J529" s="54"/>
      <c r="K529" s="54"/>
      <c r="L529" s="54"/>
      <c r="M529" s="54"/>
      <c r="N529" s="54"/>
      <c r="O529" s="54"/>
      <c r="P529" s="54"/>
      <c r="Q529" s="54"/>
      <c r="R529" s="54"/>
      <c r="S529" s="54"/>
      <c r="T529" s="54"/>
      <c r="U529" s="54"/>
      <c r="V529" s="54"/>
      <c r="W529" s="54"/>
      <c r="X529" s="54"/>
      <c r="Y529" s="54"/>
      <c r="Z529" s="54"/>
      <c r="AA529" s="54"/>
      <c r="AB529" s="54"/>
      <c r="AC529" s="1383" t="s">
        <v>132</v>
      </c>
      <c r="AD529" s="1115"/>
      <c r="AE529" s="1115"/>
      <c r="AF529" s="1115"/>
      <c r="AG529" s="47" t="s">
        <v>262</v>
      </c>
      <c r="AH529" s="1101"/>
      <c r="AI529" s="1101"/>
      <c r="AJ529" s="1101"/>
      <c r="AK529" s="1168"/>
      <c r="AM529" s="41"/>
      <c r="AN529" s="41"/>
      <c r="AO529" s="41"/>
      <c r="AP529" s="41"/>
      <c r="AQ529" s="41"/>
      <c r="AR529" s="41"/>
      <c r="AS529" s="41"/>
      <c r="AT529" s="41"/>
      <c r="AU529" s="41"/>
      <c r="AV529" s="41"/>
      <c r="AW529" s="41"/>
      <c r="AX529" s="41"/>
      <c r="AY529" s="41"/>
      <c r="AZ529" s="41" t="s">
        <v>2300</v>
      </c>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row>
    <row r="530" spans="1:97" ht="12.95" customHeight="1">
      <c r="B530" s="1074"/>
      <c r="C530" s="1075"/>
      <c r="D530" s="1075"/>
      <c r="E530" s="1075"/>
      <c r="F530" s="1075"/>
      <c r="G530" s="1075"/>
      <c r="H530" s="1076"/>
      <c r="I530" s="7" t="s">
        <v>770</v>
      </c>
      <c r="J530" s="7"/>
      <c r="K530" s="7"/>
      <c r="L530" s="7"/>
      <c r="M530" s="7"/>
      <c r="N530" s="7"/>
      <c r="O530" s="7"/>
      <c r="P530" s="7"/>
      <c r="Q530" s="7"/>
      <c r="R530" s="7"/>
      <c r="S530" s="7"/>
      <c r="T530" s="7"/>
      <c r="U530" s="7"/>
      <c r="V530" s="7"/>
      <c r="W530" s="7"/>
      <c r="AC530" s="1383">
        <v>5</v>
      </c>
      <c r="AD530" s="1115"/>
      <c r="AE530" s="1115"/>
      <c r="AF530" s="1115"/>
      <c r="AG530" s="47" t="s">
        <v>262</v>
      </c>
      <c r="AH530" s="1101">
        <v>2024</v>
      </c>
      <c r="AI530" s="1101"/>
      <c r="AJ530" s="1101"/>
      <c r="AK530" s="1168"/>
      <c r="AM530" s="41"/>
      <c r="AN530" s="41"/>
      <c r="AO530" s="41"/>
      <c r="AP530" s="41"/>
      <c r="AQ530" s="41"/>
      <c r="AR530" s="41"/>
      <c r="AS530" s="41"/>
      <c r="AT530" s="41"/>
      <c r="AU530" s="41"/>
      <c r="AV530" s="41"/>
      <c r="AW530" s="41"/>
      <c r="AX530" s="41"/>
      <c r="AY530" s="41"/>
      <c r="AZ530" s="41" t="s">
        <v>2301</v>
      </c>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row>
    <row r="531" spans="1:97" ht="12.95" customHeight="1">
      <c r="B531" s="1074"/>
      <c r="C531" s="1075"/>
      <c r="D531" s="1075"/>
      <c r="E531" s="1075"/>
      <c r="F531" s="1075"/>
      <c r="G531" s="1075"/>
      <c r="H531" s="1076"/>
      <c r="I531" t="s">
        <v>771</v>
      </c>
      <c r="AC531" s="1383">
        <v>5</v>
      </c>
      <c r="AD531" s="1115"/>
      <c r="AE531" s="1115"/>
      <c r="AF531" s="1115"/>
      <c r="AG531" s="18" t="s">
        <v>262</v>
      </c>
      <c r="AH531" s="1101">
        <v>2024</v>
      </c>
      <c r="AI531" s="1101"/>
      <c r="AJ531" s="1101"/>
      <c r="AK531" s="1168"/>
      <c r="AM531" s="41"/>
      <c r="AN531" s="41"/>
      <c r="AO531" s="41"/>
      <c r="AP531" s="41"/>
      <c r="AQ531" s="41"/>
      <c r="AR531" s="41"/>
      <c r="AS531" s="41"/>
      <c r="AT531" s="41"/>
      <c r="AU531" s="41"/>
      <c r="AV531" s="41"/>
      <c r="AW531" s="41"/>
      <c r="AX531" s="41"/>
      <c r="AY531" s="41"/>
      <c r="AZ531" s="41" t="s">
        <v>2302</v>
      </c>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row>
    <row r="532" spans="1:97" ht="12.95" customHeight="1">
      <c r="B532" s="1074"/>
      <c r="C532" s="1075"/>
      <c r="D532" s="1075"/>
      <c r="E532" s="1075"/>
      <c r="F532" s="1075"/>
      <c r="G532" s="1075"/>
      <c r="H532" s="1076"/>
      <c r="I532" t="s">
        <v>772</v>
      </c>
      <c r="AC532" s="1383">
        <v>10</v>
      </c>
      <c r="AD532" s="1115"/>
      <c r="AE532" s="1115"/>
      <c r="AF532" s="1115"/>
      <c r="AG532" s="47" t="s">
        <v>262</v>
      </c>
      <c r="AH532" s="1101">
        <v>2025</v>
      </c>
      <c r="AI532" s="1101"/>
      <c r="AJ532" s="1101"/>
      <c r="AK532" s="1168"/>
      <c r="AM532" s="41"/>
      <c r="AN532" s="41"/>
      <c r="AO532" s="41"/>
      <c r="AP532" s="41"/>
      <c r="AQ532" s="41"/>
      <c r="AR532" s="41"/>
      <c r="AS532" s="41"/>
      <c r="AT532" s="41"/>
      <c r="AU532" s="41"/>
      <c r="AV532" s="41"/>
      <c r="AW532" s="41"/>
      <c r="AX532" s="41"/>
      <c r="AY532" s="41"/>
      <c r="AZ532" s="41" t="s">
        <v>2303</v>
      </c>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row>
    <row r="533" spans="1:97" ht="12.95" customHeight="1">
      <c r="B533" s="1074"/>
      <c r="C533" s="1075"/>
      <c r="D533" s="1075"/>
      <c r="E533" s="1075"/>
      <c r="F533" s="1075"/>
      <c r="G533" s="1075"/>
      <c r="H533" s="1076"/>
      <c r="I533" t="s">
        <v>773</v>
      </c>
      <c r="AC533" s="1383">
        <v>10</v>
      </c>
      <c r="AD533" s="1115"/>
      <c r="AE533" s="1115"/>
      <c r="AF533" s="1115"/>
      <c r="AG533" s="47" t="s">
        <v>262</v>
      </c>
      <c r="AH533" s="1101">
        <v>2025</v>
      </c>
      <c r="AI533" s="1101"/>
      <c r="AJ533" s="1101"/>
      <c r="AK533" s="1168"/>
      <c r="AM533" s="41"/>
      <c r="AN533" s="41"/>
      <c r="AO533" s="41"/>
      <c r="AP533" s="41"/>
      <c r="AQ533" s="41"/>
      <c r="AR533" s="41"/>
      <c r="AS533" s="41"/>
      <c r="AT533" s="41"/>
      <c r="AU533" s="41"/>
      <c r="AV533" s="41"/>
      <c r="AW533" s="41"/>
      <c r="AX533" s="41"/>
      <c r="AY533" s="41"/>
      <c r="AZ533" s="41" t="s">
        <v>2304</v>
      </c>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row>
    <row r="534" spans="1:97" ht="12.95" customHeight="1">
      <c r="B534" s="1077"/>
      <c r="C534" s="1078"/>
      <c r="D534" s="1078"/>
      <c r="E534" s="1078"/>
      <c r="F534" s="1078"/>
      <c r="G534" s="1078"/>
      <c r="H534" s="1079"/>
      <c r="I534" s="54" t="s">
        <v>1426</v>
      </c>
      <c r="J534" s="54"/>
      <c r="K534" s="54"/>
      <c r="L534" s="54"/>
      <c r="M534" s="54"/>
      <c r="N534" s="54"/>
      <c r="O534" s="54"/>
      <c r="P534" s="54"/>
      <c r="Q534" s="54"/>
      <c r="R534" s="54"/>
      <c r="S534" s="54"/>
      <c r="T534" s="54"/>
      <c r="U534" s="54"/>
      <c r="V534" s="54"/>
      <c r="W534" s="54"/>
      <c r="X534" s="54"/>
      <c r="Y534" s="54"/>
      <c r="Z534" s="54"/>
      <c r="AA534" s="54"/>
      <c r="AB534" s="54"/>
      <c r="AC534" s="1383">
        <v>12</v>
      </c>
      <c r="AD534" s="1115"/>
      <c r="AE534" s="1115"/>
      <c r="AF534" s="1115"/>
      <c r="AG534" s="47" t="s">
        <v>262</v>
      </c>
      <c r="AH534" s="1101">
        <v>2025</v>
      </c>
      <c r="AI534" s="1101"/>
      <c r="AJ534" s="1101"/>
      <c r="AK534" s="1168"/>
      <c r="AM534" s="41"/>
      <c r="AN534" s="41"/>
      <c r="AO534" s="41"/>
      <c r="AP534" s="41"/>
      <c r="AQ534" s="41"/>
      <c r="AR534" s="41"/>
      <c r="AS534" s="41"/>
      <c r="AT534" s="41"/>
      <c r="AU534" s="41"/>
      <c r="AV534" s="41"/>
      <c r="AW534" s="41"/>
      <c r="AX534" s="41"/>
      <c r="AY534" s="41"/>
      <c r="AZ534" s="41" t="s">
        <v>2305</v>
      </c>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row>
    <row r="535" spans="1:97" ht="12.95" customHeight="1">
      <c r="AO535" s="41"/>
      <c r="AP535" s="41"/>
      <c r="AQ535" s="41"/>
      <c r="AR535" s="41"/>
      <c r="AS535" s="41"/>
      <c r="AT535" s="41"/>
      <c r="AU535" s="41"/>
      <c r="AV535" s="41"/>
      <c r="AW535" s="41"/>
      <c r="AX535" s="41"/>
      <c r="AY535" s="41"/>
      <c r="AZ535" s="41" t="s">
        <v>2306</v>
      </c>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row>
    <row r="536" spans="1:97" ht="12.95" customHeight="1">
      <c r="A536" s="966" t="s">
        <v>526</v>
      </c>
      <c r="B536" s="966"/>
      <c r="C536" s="966"/>
      <c r="D536" s="966"/>
      <c r="E536" s="966"/>
      <c r="F536" s="966"/>
      <c r="G536" s="966"/>
      <c r="H536" s="966"/>
      <c r="I536" s="966"/>
      <c r="J536" s="966"/>
      <c r="K536" s="966"/>
      <c r="L536" s="966"/>
      <c r="M536" s="966"/>
      <c r="N536" s="966"/>
      <c r="O536" s="966"/>
      <c r="P536" s="966"/>
      <c r="Q536" s="966"/>
      <c r="R536" s="966"/>
      <c r="S536" s="966"/>
      <c r="T536" s="966"/>
      <c r="U536" s="966"/>
      <c r="V536" s="966"/>
      <c r="W536" s="966"/>
      <c r="X536" s="966"/>
      <c r="Y536" s="966"/>
      <c r="Z536" s="966"/>
      <c r="AA536" s="966"/>
      <c r="AB536" s="966"/>
      <c r="AC536" s="966"/>
      <c r="AD536" s="966"/>
      <c r="AE536" s="966"/>
      <c r="AF536" s="966"/>
      <c r="AG536" s="966"/>
      <c r="AH536" s="966"/>
      <c r="AI536" s="966"/>
      <c r="AJ536" s="966"/>
      <c r="AK536" s="966"/>
      <c r="AL536" s="966"/>
      <c r="AM536" s="966"/>
      <c r="AN536" s="966"/>
      <c r="AO536" s="966"/>
      <c r="AP536" s="966"/>
      <c r="AQ536" s="966"/>
      <c r="AR536" s="966"/>
      <c r="AS536" s="966"/>
      <c r="AT536" s="41"/>
      <c r="AU536" s="41"/>
      <c r="AV536" s="41"/>
      <c r="AW536" s="41"/>
      <c r="AX536" s="41"/>
      <c r="AY536" s="41"/>
      <c r="AZ536" s="41" t="s">
        <v>2307</v>
      </c>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row>
    <row r="537" spans="1:97" ht="12.95" customHeight="1">
      <c r="A537" s="966"/>
      <c r="B537" s="966"/>
      <c r="C537" s="966"/>
      <c r="D537" s="966"/>
      <c r="E537" s="966"/>
      <c r="F537" s="966"/>
      <c r="G537" s="966"/>
      <c r="H537" s="966"/>
      <c r="I537" s="966"/>
      <c r="J537" s="966"/>
      <c r="K537" s="966"/>
      <c r="L537" s="966"/>
      <c r="M537" s="966"/>
      <c r="N537" s="966"/>
      <c r="O537" s="966"/>
      <c r="P537" s="966"/>
      <c r="Q537" s="966"/>
      <c r="R537" s="966"/>
      <c r="S537" s="966"/>
      <c r="T537" s="966"/>
      <c r="U537" s="966"/>
      <c r="V537" s="966"/>
      <c r="W537" s="966"/>
      <c r="X537" s="966"/>
      <c r="Y537" s="966"/>
      <c r="Z537" s="966"/>
      <c r="AA537" s="966"/>
      <c r="AB537" s="966"/>
      <c r="AC537" s="966"/>
      <c r="AD537" s="966"/>
      <c r="AE537" s="966"/>
      <c r="AF537" s="966"/>
      <c r="AG537" s="966"/>
      <c r="AH537" s="966"/>
      <c r="AI537" s="966"/>
      <c r="AJ537" s="966"/>
      <c r="AK537" s="966"/>
      <c r="AL537" s="966"/>
      <c r="AM537" s="966"/>
      <c r="AN537" s="966"/>
      <c r="AO537" s="966"/>
      <c r="AP537" s="966"/>
      <c r="AQ537" s="966"/>
      <c r="AR537" s="966"/>
      <c r="AS537" s="966"/>
      <c r="AT537" s="41"/>
      <c r="AU537" s="41"/>
      <c r="AV537" s="41"/>
      <c r="AW537" s="41"/>
      <c r="AX537" s="41"/>
      <c r="AY537" s="41"/>
      <c r="AZ537" s="41" t="s">
        <v>2308</v>
      </c>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row>
    <row r="538" spans="1:97" ht="12.95" customHeight="1">
      <c r="AT538" s="41"/>
      <c r="AU538" s="41"/>
      <c r="AV538" s="41"/>
      <c r="AW538" s="41"/>
      <c r="AX538" s="41"/>
      <c r="AY538" s="41"/>
      <c r="AZ538" s="41" t="s">
        <v>2309</v>
      </c>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row>
    <row r="539" spans="1:97" ht="12.95" customHeight="1">
      <c r="A539" s="3" t="s">
        <v>688</v>
      </c>
      <c r="B539" s="3"/>
      <c r="C539" s="3" t="s">
        <v>774</v>
      </c>
      <c r="AT539" s="41"/>
      <c r="AU539" s="41"/>
      <c r="AV539" s="41"/>
      <c r="AW539" s="41"/>
      <c r="AX539" s="41"/>
      <c r="AY539" s="41"/>
      <c r="AZ539" t="s">
        <v>2310</v>
      </c>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row>
    <row r="540" spans="1:97" ht="12.95" customHeight="1">
      <c r="A540" s="3"/>
      <c r="B540" s="3"/>
      <c r="C540" s="3"/>
      <c r="AT540" s="41"/>
      <c r="AU540" s="41"/>
      <c r="AV540" s="41"/>
      <c r="AW540" s="41"/>
      <c r="AX540" s="41"/>
      <c r="AY540" s="41"/>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row>
    <row r="541" spans="1:97" ht="12.95" customHeight="1">
      <c r="A541" s="3"/>
      <c r="B541" s="3"/>
      <c r="C541" s="3"/>
      <c r="D541" s="3" t="s">
        <v>2242</v>
      </c>
      <c r="AT541" s="41"/>
      <c r="AU541" s="41"/>
      <c r="AV541" s="41"/>
      <c r="AW541" s="41"/>
      <c r="AX541" s="41"/>
      <c r="AY541" s="41"/>
      <c r="AZ541" s="41"/>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row>
    <row r="542" spans="1:97" ht="12.95" customHeight="1">
      <c r="B542" s="846"/>
      <c r="AT542" s="41"/>
      <c r="AU542" s="41"/>
      <c r="AV542" s="41"/>
      <c r="AW542" s="41"/>
      <c r="AX542" s="41"/>
      <c r="AY542" s="41"/>
      <c r="AZ542" s="41"/>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c r="CH542" s="41"/>
      <c r="CI542" s="41"/>
      <c r="CJ542" s="41"/>
      <c r="CK542" s="41"/>
      <c r="CL542" s="41"/>
      <c r="CM542" s="41"/>
      <c r="CN542" s="41"/>
      <c r="CO542" s="41"/>
      <c r="CP542" s="41"/>
      <c r="CQ542" s="41"/>
      <c r="CR542" s="41"/>
      <c r="CS542" s="41"/>
    </row>
    <row r="543" spans="1:97" ht="12.95" customHeight="1">
      <c r="B543" s="1071" t="s">
        <v>2311</v>
      </c>
      <c r="C543" s="1072"/>
      <c r="D543" s="1072"/>
      <c r="E543" s="1072"/>
      <c r="F543" s="1072"/>
      <c r="G543" s="1072"/>
      <c r="H543" s="1072"/>
      <c r="I543" s="1072"/>
      <c r="J543" s="1072"/>
      <c r="K543" s="1072"/>
      <c r="L543" s="1072"/>
      <c r="M543" s="1123" t="s">
        <v>2285</v>
      </c>
      <c r="N543" s="1123"/>
      <c r="O543" s="1123"/>
      <c r="P543" s="1123"/>
      <c r="Q543" s="1071" t="s">
        <v>468</v>
      </c>
      <c r="R543" s="1072"/>
      <c r="S543" s="1073"/>
      <c r="T543" s="1071" t="s">
        <v>2083</v>
      </c>
      <c r="U543" s="1072"/>
      <c r="V543" s="1073"/>
      <c r="W543" s="1071" t="s">
        <v>775</v>
      </c>
      <c r="X543" s="1072"/>
      <c r="Y543" s="1073"/>
      <c r="Z543" s="1071" t="s">
        <v>2085</v>
      </c>
      <c r="AA543" s="1072"/>
      <c r="AB543" s="1072"/>
      <c r="AC543" s="1072"/>
      <c r="AD543" s="1073"/>
      <c r="AE543" s="1071" t="s">
        <v>2084</v>
      </c>
      <c r="AF543" s="1072"/>
      <c r="AG543" s="1072"/>
      <c r="AH543" s="1073"/>
      <c r="AI543" s="1071" t="s">
        <v>2086</v>
      </c>
      <c r="AJ543" s="1072"/>
      <c r="AK543" s="1072"/>
      <c r="AL543" s="1073"/>
      <c r="AM543" s="1071" t="s">
        <v>776</v>
      </c>
      <c r="AN543" s="1072"/>
      <c r="AO543" s="1072"/>
      <c r="AP543" s="1072"/>
      <c r="AQ543" s="1072"/>
      <c r="AR543" s="1072"/>
      <c r="AS543" s="1073"/>
      <c r="AT543" s="41"/>
      <c r="AU543" s="41"/>
      <c r="AV543" s="41"/>
      <c r="AW543" s="41"/>
      <c r="AX543" s="41"/>
      <c r="AY543" s="41"/>
      <c r="AZ543" s="41"/>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c r="CH543" s="41"/>
      <c r="CI543" s="41"/>
      <c r="CJ543" s="41"/>
      <c r="CK543" s="41"/>
      <c r="CL543" s="41"/>
      <c r="CM543" s="41"/>
      <c r="CN543" s="41"/>
      <c r="CO543" s="41"/>
      <c r="CP543" s="41"/>
      <c r="CQ543" s="41"/>
      <c r="CR543" s="41"/>
      <c r="CS543" s="41"/>
    </row>
    <row r="544" spans="1:97" ht="12.95" customHeight="1">
      <c r="B544" s="1074"/>
      <c r="C544" s="1075"/>
      <c r="D544" s="1075"/>
      <c r="E544" s="1075"/>
      <c r="F544" s="1075"/>
      <c r="G544" s="1075"/>
      <c r="H544" s="1075"/>
      <c r="I544" s="1075"/>
      <c r="J544" s="1075"/>
      <c r="K544" s="1075"/>
      <c r="L544" s="1075"/>
      <c r="M544" s="1123"/>
      <c r="N544" s="1123"/>
      <c r="O544" s="1123"/>
      <c r="P544" s="1123"/>
      <c r="Q544" s="1074"/>
      <c r="R544" s="1075"/>
      <c r="S544" s="1076"/>
      <c r="T544" s="1074"/>
      <c r="U544" s="1075"/>
      <c r="V544" s="1076"/>
      <c r="W544" s="1074"/>
      <c r="X544" s="1075"/>
      <c r="Y544" s="1076"/>
      <c r="Z544" s="1074"/>
      <c r="AA544" s="1075"/>
      <c r="AB544" s="1075"/>
      <c r="AC544" s="1075"/>
      <c r="AD544" s="1076"/>
      <c r="AE544" s="1074"/>
      <c r="AF544" s="1075"/>
      <c r="AG544" s="1075"/>
      <c r="AH544" s="1076"/>
      <c r="AI544" s="1074"/>
      <c r="AJ544" s="1075"/>
      <c r="AK544" s="1075"/>
      <c r="AL544" s="1076"/>
      <c r="AM544" s="1074"/>
      <c r="AN544" s="1075"/>
      <c r="AO544" s="1075"/>
      <c r="AP544" s="1075"/>
      <c r="AQ544" s="1075"/>
      <c r="AR544" s="1075"/>
      <c r="AS544" s="1076"/>
      <c r="AT544" s="41"/>
      <c r="AU544" s="41"/>
      <c r="AV544" s="41"/>
      <c r="AW544" s="41"/>
      <c r="AX544" s="41"/>
      <c r="AY544" s="41"/>
      <c r="AZ544" s="41"/>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c r="CH544" s="41"/>
      <c r="CI544" s="41"/>
      <c r="CJ544" s="41"/>
      <c r="CK544" s="41"/>
      <c r="CL544" s="41"/>
      <c r="CM544" s="41"/>
      <c r="CN544" s="41"/>
      <c r="CO544" s="41"/>
      <c r="CP544" s="41"/>
      <c r="CQ544" s="41"/>
      <c r="CR544" s="41"/>
      <c r="CS544" s="41"/>
    </row>
    <row r="545" spans="1:97" ht="12.95" customHeight="1">
      <c r="B545" s="1077"/>
      <c r="C545" s="1078"/>
      <c r="D545" s="1078"/>
      <c r="E545" s="1078"/>
      <c r="F545" s="1078"/>
      <c r="G545" s="1078"/>
      <c r="H545" s="1078"/>
      <c r="I545" s="1078"/>
      <c r="J545" s="1078"/>
      <c r="K545" s="1078"/>
      <c r="L545" s="1078"/>
      <c r="M545" s="1123"/>
      <c r="N545" s="1123"/>
      <c r="O545" s="1123"/>
      <c r="P545" s="1123"/>
      <c r="Q545" s="1077"/>
      <c r="R545" s="1078"/>
      <c r="S545" s="1079"/>
      <c r="T545" s="1077"/>
      <c r="U545" s="1078"/>
      <c r="V545" s="1079"/>
      <c r="W545" s="1077"/>
      <c r="X545" s="1078"/>
      <c r="Y545" s="1079"/>
      <c r="Z545" s="1077"/>
      <c r="AA545" s="1078"/>
      <c r="AB545" s="1078"/>
      <c r="AC545" s="1078"/>
      <c r="AD545" s="1079"/>
      <c r="AE545" s="1077"/>
      <c r="AF545" s="1078"/>
      <c r="AG545" s="1078"/>
      <c r="AH545" s="1079"/>
      <c r="AI545" s="1077"/>
      <c r="AJ545" s="1078"/>
      <c r="AK545" s="1078"/>
      <c r="AL545" s="1079"/>
      <c r="AM545" s="1077"/>
      <c r="AN545" s="1078"/>
      <c r="AO545" s="1078"/>
      <c r="AP545" s="1078"/>
      <c r="AQ545" s="1078"/>
      <c r="AR545" s="1078"/>
      <c r="AS545" s="1079"/>
      <c r="AT545" s="41"/>
      <c r="AU545" s="41"/>
      <c r="AV545" s="41"/>
      <c r="AW545" s="41"/>
      <c r="AX545" s="41"/>
      <c r="AY545" s="41"/>
      <c r="AZ545" s="41"/>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c r="CH545" s="41"/>
      <c r="CI545" s="41"/>
      <c r="CJ545" s="41"/>
      <c r="CK545" s="41"/>
      <c r="CL545" s="41"/>
      <c r="CM545" s="41"/>
      <c r="CN545" s="41"/>
      <c r="CO545" s="41"/>
      <c r="CP545" s="41"/>
      <c r="CQ545" s="41"/>
      <c r="CR545" s="41"/>
      <c r="CS545" s="41"/>
    </row>
    <row r="546" spans="1:97" ht="12.95" customHeight="1">
      <c r="B546" s="57" t="s">
        <v>943</v>
      </c>
      <c r="C546" s="1083" t="s">
        <v>2445</v>
      </c>
      <c r="D546" s="1083"/>
      <c r="E546" s="1083"/>
      <c r="F546" s="1083"/>
      <c r="G546" s="1083"/>
      <c r="H546" s="1083"/>
      <c r="I546" s="1083"/>
      <c r="J546" s="1083"/>
      <c r="K546" s="1083"/>
      <c r="L546" s="1083"/>
      <c r="M546" s="1084" t="s">
        <v>2300</v>
      </c>
      <c r="N546" s="1084"/>
      <c r="O546" s="1084"/>
      <c r="P546" s="1084"/>
      <c r="Q546" s="1089">
        <v>23</v>
      </c>
      <c r="R546" s="1089"/>
      <c r="S546" s="1090"/>
      <c r="T546" s="1088">
        <v>23</v>
      </c>
      <c r="U546" s="1089"/>
      <c r="V546" s="1090"/>
      <c r="W546" s="1433">
        <v>7.5999999999999998E-2</v>
      </c>
      <c r="X546" s="1434"/>
      <c r="Y546" s="1435"/>
      <c r="Z546" s="1436" t="s">
        <v>2446</v>
      </c>
      <c r="AA546" s="1436"/>
      <c r="AB546" s="1436"/>
      <c r="AC546" s="1436"/>
      <c r="AD546" s="1436"/>
      <c r="AE546" s="1437">
        <v>1</v>
      </c>
      <c r="AF546" s="1438"/>
      <c r="AG546" s="1438"/>
      <c r="AH546" s="1439"/>
      <c r="AI546" s="1430"/>
      <c r="AJ546" s="1431"/>
      <c r="AK546" s="1431"/>
      <c r="AL546" s="1432"/>
      <c r="AM546" s="1144">
        <v>19275375</v>
      </c>
      <c r="AN546" s="1145"/>
      <c r="AO546" s="1145"/>
      <c r="AP546" s="1145"/>
      <c r="AQ546" s="1145"/>
      <c r="AR546" s="1145"/>
      <c r="AS546" s="1146"/>
      <c r="AT546" s="952"/>
      <c r="AU546" s="41"/>
      <c r="AV546" s="41"/>
      <c r="AW546" s="41"/>
      <c r="AX546" s="41"/>
      <c r="AY546" s="41"/>
      <c r="AZ546" s="41"/>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c r="CH546" s="41"/>
      <c r="CI546" s="41"/>
      <c r="CJ546" s="41"/>
      <c r="CK546" s="41"/>
      <c r="CL546" s="41"/>
      <c r="CM546" s="41"/>
      <c r="CN546" s="41"/>
      <c r="CO546" s="41"/>
      <c r="CP546" s="41"/>
      <c r="CQ546" s="41"/>
      <c r="CR546" s="41"/>
      <c r="CS546" s="41"/>
    </row>
    <row r="547" spans="1:97" ht="12.95" customHeight="1">
      <c r="B547" s="58" t="s">
        <v>944</v>
      </c>
      <c r="C547" s="1083" t="s">
        <v>2447</v>
      </c>
      <c r="D547" s="1083"/>
      <c r="E547" s="1083"/>
      <c r="F547" s="1083"/>
      <c r="G547" s="1083"/>
      <c r="H547" s="1083"/>
      <c r="I547" s="1083"/>
      <c r="J547" s="1083"/>
      <c r="K547" s="1083"/>
      <c r="L547" s="1083"/>
      <c r="M547" s="1084" t="s">
        <v>2297</v>
      </c>
      <c r="N547" s="1084"/>
      <c r="O547" s="1084"/>
      <c r="P547" s="1084"/>
      <c r="Q547" s="1088">
        <v>23</v>
      </c>
      <c r="R547" s="1089"/>
      <c r="S547" s="1090"/>
      <c r="T547" s="1088">
        <v>23</v>
      </c>
      <c r="U547" s="1089"/>
      <c r="V547" s="1090"/>
      <c r="W547" s="1433">
        <v>0.03</v>
      </c>
      <c r="X547" s="1434"/>
      <c r="Y547" s="1435"/>
      <c r="Z547" s="1436" t="s">
        <v>2446</v>
      </c>
      <c r="AA547" s="1436"/>
      <c r="AB547" s="1436"/>
      <c r="AC547" s="1436"/>
      <c r="AD547" s="1436"/>
      <c r="AE547" s="1437">
        <v>2</v>
      </c>
      <c r="AF547" s="1438"/>
      <c r="AG547" s="1438"/>
      <c r="AH547" s="1439"/>
      <c r="AI547" s="1430"/>
      <c r="AJ547" s="1431"/>
      <c r="AK547" s="1431"/>
      <c r="AL547" s="1432"/>
      <c r="AM547" s="1144">
        <v>3759124</v>
      </c>
      <c r="AN547" s="1145"/>
      <c r="AO547" s="1145"/>
      <c r="AP547" s="1145"/>
      <c r="AQ547" s="1145"/>
      <c r="AR547" s="1145"/>
      <c r="AS547" s="1146"/>
      <c r="AT547" s="953" t="str">
        <f t="shared" ref="AT547:AT557" si="0">IF(AND(NOT(C546=""),C547="",NOT(C548="")),"!","")</f>
        <v/>
      </c>
      <c r="AU547" s="41"/>
      <c r="AV547" s="41"/>
      <c r="AW547" s="41"/>
      <c r="AX547" s="41"/>
      <c r="AY547" s="41"/>
      <c r="AZ547" s="41"/>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c r="CH547" s="41"/>
      <c r="CI547" s="41"/>
      <c r="CJ547" s="41"/>
      <c r="CK547" s="41"/>
      <c r="CL547" s="41"/>
      <c r="CM547" s="41"/>
      <c r="CN547" s="41"/>
      <c r="CO547" s="41"/>
      <c r="CP547" s="41"/>
      <c r="CQ547" s="41"/>
      <c r="CR547" s="41"/>
      <c r="CS547" s="41"/>
    </row>
    <row r="548" spans="1:97" ht="12.95" customHeight="1">
      <c r="B548" s="58" t="s">
        <v>950</v>
      </c>
      <c r="C548" s="1083" t="s">
        <v>2448</v>
      </c>
      <c r="D548" s="1083"/>
      <c r="E548" s="1083"/>
      <c r="F548" s="1083"/>
      <c r="G548" s="1083"/>
      <c r="H548" s="1083"/>
      <c r="I548" s="1083"/>
      <c r="J548" s="1083"/>
      <c r="K548" s="1083"/>
      <c r="L548" s="1083"/>
      <c r="M548" s="1084" t="s">
        <v>2287</v>
      </c>
      <c r="N548" s="1084"/>
      <c r="O548" s="1084"/>
      <c r="P548" s="1084"/>
      <c r="Q548" s="1088"/>
      <c r="R548" s="1089"/>
      <c r="S548" s="1090"/>
      <c r="T548" s="1088"/>
      <c r="U548" s="1089"/>
      <c r="V548" s="1090"/>
      <c r="W548" s="1433"/>
      <c r="X548" s="1434"/>
      <c r="Y548" s="1435"/>
      <c r="Z548" s="1436" t="s">
        <v>2071</v>
      </c>
      <c r="AA548" s="1436"/>
      <c r="AB548" s="1436"/>
      <c r="AC548" s="1436"/>
      <c r="AD548" s="1436"/>
      <c r="AE548" s="1437"/>
      <c r="AF548" s="1438"/>
      <c r="AG548" s="1438"/>
      <c r="AH548" s="1439"/>
      <c r="AI548" s="1430"/>
      <c r="AJ548" s="1431"/>
      <c r="AK548" s="1431"/>
      <c r="AL548" s="1432"/>
      <c r="AM548" s="1144">
        <f>2276022-1</f>
        <v>2276021</v>
      </c>
      <c r="AN548" s="1145"/>
      <c r="AO548" s="1145"/>
      <c r="AP548" s="1145"/>
      <c r="AQ548" s="1145"/>
      <c r="AR548" s="1145"/>
      <c r="AS548" s="1146"/>
      <c r="AT548" s="953" t="str">
        <f t="shared" si="0"/>
        <v/>
      </c>
      <c r="AU548" s="41"/>
      <c r="AV548" s="41"/>
      <c r="AW548" s="41"/>
      <c r="AX548" s="41"/>
      <c r="AY548" s="41"/>
      <c r="AZ548" s="41"/>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c r="CH548" s="41"/>
      <c r="CI548" s="41"/>
      <c r="CJ548" s="41"/>
      <c r="CK548" s="41"/>
      <c r="CL548" s="41"/>
      <c r="CM548" s="41"/>
      <c r="CN548" s="41"/>
      <c r="CO548" s="41"/>
      <c r="CP548" s="41"/>
      <c r="CQ548" s="41"/>
      <c r="CR548" s="41"/>
      <c r="CS548" s="41"/>
    </row>
    <row r="549" spans="1:97" ht="12.95" customHeight="1">
      <c r="B549" s="58" t="s">
        <v>459</v>
      </c>
      <c r="C549" s="1083" t="s">
        <v>2466</v>
      </c>
      <c r="D549" s="1083"/>
      <c r="E549" s="1083"/>
      <c r="F549" s="1083"/>
      <c r="G549" s="1083"/>
      <c r="H549" s="1083"/>
      <c r="I549" s="1083"/>
      <c r="J549" s="1083"/>
      <c r="K549" s="1083"/>
      <c r="L549" s="1083"/>
      <c r="M549" s="1084" t="s">
        <v>2292</v>
      </c>
      <c r="N549" s="1084"/>
      <c r="O549" s="1084"/>
      <c r="P549" s="1084"/>
      <c r="Q549" s="1088"/>
      <c r="R549" s="1089"/>
      <c r="S549" s="1090"/>
      <c r="T549" s="1088"/>
      <c r="U549" s="1089"/>
      <c r="V549" s="1090"/>
      <c r="W549" s="1433"/>
      <c r="X549" s="1434"/>
      <c r="Y549" s="1435"/>
      <c r="Z549" s="1436" t="s">
        <v>2071</v>
      </c>
      <c r="AA549" s="1436"/>
      <c r="AB549" s="1436"/>
      <c r="AC549" s="1436"/>
      <c r="AD549" s="1436"/>
      <c r="AE549" s="1437"/>
      <c r="AF549" s="1438"/>
      <c r="AG549" s="1438"/>
      <c r="AH549" s="1439"/>
      <c r="AI549" s="1430"/>
      <c r="AJ549" s="1431"/>
      <c r="AK549" s="1431"/>
      <c r="AL549" s="1432"/>
      <c r="AM549" s="1144">
        <f>3803188-212500</f>
        <v>3590688</v>
      </c>
      <c r="AN549" s="1145"/>
      <c r="AO549" s="1145"/>
      <c r="AP549" s="1145"/>
      <c r="AQ549" s="1145"/>
      <c r="AR549" s="1145"/>
      <c r="AS549" s="1146"/>
      <c r="AT549" s="953" t="str">
        <f t="shared" si="0"/>
        <v/>
      </c>
      <c r="AU549" s="41"/>
      <c r="AV549" s="41"/>
      <c r="AW549" s="41"/>
      <c r="AX549" s="41"/>
      <c r="AY549" s="41"/>
      <c r="AZ549" s="41"/>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c r="CH549" s="41"/>
      <c r="CI549" s="41"/>
      <c r="CJ549" s="41"/>
      <c r="CK549" s="41"/>
      <c r="CL549" s="41"/>
      <c r="CM549" s="41"/>
      <c r="CN549" s="41"/>
      <c r="CO549" s="41"/>
      <c r="CP549" s="41"/>
      <c r="CQ549" s="41"/>
      <c r="CR549" s="41"/>
      <c r="CS549" s="41"/>
    </row>
    <row r="550" spans="1:97" ht="12.95" customHeight="1">
      <c r="B550" s="58" t="s">
        <v>182</v>
      </c>
      <c r="C550" s="1083"/>
      <c r="D550" s="1083"/>
      <c r="E550" s="1083"/>
      <c r="F550" s="1083"/>
      <c r="G550" s="1083"/>
      <c r="H550" s="1083"/>
      <c r="I550" s="1083"/>
      <c r="J550" s="1083"/>
      <c r="K550" s="1083"/>
      <c r="L550" s="1083"/>
      <c r="M550" s="1084" t="s">
        <v>2071</v>
      </c>
      <c r="N550" s="1084"/>
      <c r="O550" s="1084"/>
      <c r="P550" s="1084"/>
      <c r="Q550" s="1088"/>
      <c r="R550" s="1089"/>
      <c r="S550" s="1090"/>
      <c r="T550" s="1088"/>
      <c r="U550" s="1089"/>
      <c r="V550" s="1090"/>
      <c r="W550" s="1433"/>
      <c r="X550" s="1434"/>
      <c r="Y550" s="1435"/>
      <c r="Z550" s="1436" t="s">
        <v>2071</v>
      </c>
      <c r="AA550" s="1436"/>
      <c r="AB550" s="1436"/>
      <c r="AC550" s="1436"/>
      <c r="AD550" s="1436"/>
      <c r="AE550" s="1437"/>
      <c r="AF550" s="1438"/>
      <c r="AG550" s="1438"/>
      <c r="AH550" s="1439"/>
      <c r="AI550" s="1430"/>
      <c r="AJ550" s="1431"/>
      <c r="AK550" s="1431"/>
      <c r="AL550" s="1432"/>
      <c r="AM550" s="1144"/>
      <c r="AN550" s="1145"/>
      <c r="AO550" s="1145"/>
      <c r="AP550" s="1145"/>
      <c r="AQ550" s="1145"/>
      <c r="AR550" s="1145"/>
      <c r="AS550" s="1146"/>
      <c r="AT550" s="953" t="str">
        <f t="shared" si="0"/>
        <v/>
      </c>
      <c r="AU550" s="41"/>
      <c r="AV550" s="41"/>
      <c r="AW550" s="41"/>
      <c r="AX550" s="41"/>
      <c r="AY550" s="41"/>
      <c r="AZ550" s="41"/>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c r="CH550" s="41"/>
      <c r="CI550" s="41"/>
      <c r="CJ550" s="41"/>
      <c r="CK550" s="41"/>
      <c r="CL550" s="41"/>
      <c r="CM550" s="41"/>
      <c r="CN550" s="41"/>
      <c r="CO550" s="41"/>
      <c r="CP550" s="41"/>
      <c r="CQ550" s="41"/>
      <c r="CR550" s="41"/>
      <c r="CS550" s="41"/>
    </row>
    <row r="551" spans="1:97" ht="12.95" customHeight="1">
      <c r="B551" s="58" t="s">
        <v>462</v>
      </c>
      <c r="C551" s="1083"/>
      <c r="D551" s="1083"/>
      <c r="E551" s="1083"/>
      <c r="F551" s="1083"/>
      <c r="G551" s="1083"/>
      <c r="H551" s="1083"/>
      <c r="I551" s="1083"/>
      <c r="J551" s="1083"/>
      <c r="K551" s="1083"/>
      <c r="L551" s="1083"/>
      <c r="M551" s="1084" t="s">
        <v>2071</v>
      </c>
      <c r="N551" s="1084"/>
      <c r="O551" s="1084"/>
      <c r="P551" s="1084"/>
      <c r="Q551" s="1088"/>
      <c r="R551" s="1089"/>
      <c r="S551" s="1090"/>
      <c r="T551" s="1088"/>
      <c r="U551" s="1089"/>
      <c r="V551" s="1090"/>
      <c r="W551" s="1433"/>
      <c r="X551" s="1434"/>
      <c r="Y551" s="1435"/>
      <c r="Z551" s="1436" t="s">
        <v>2071</v>
      </c>
      <c r="AA551" s="1436"/>
      <c r="AB551" s="1436"/>
      <c r="AC551" s="1436"/>
      <c r="AD551" s="1436"/>
      <c r="AE551" s="1437"/>
      <c r="AF551" s="1438"/>
      <c r="AG551" s="1438"/>
      <c r="AH551" s="1439"/>
      <c r="AI551" s="1430"/>
      <c r="AJ551" s="1431"/>
      <c r="AK551" s="1431"/>
      <c r="AL551" s="1432"/>
      <c r="AM551" s="1144"/>
      <c r="AN551" s="1145"/>
      <c r="AO551" s="1145"/>
      <c r="AP551" s="1145"/>
      <c r="AQ551" s="1145"/>
      <c r="AR551" s="1145"/>
      <c r="AS551" s="1146"/>
      <c r="AT551" s="953" t="str">
        <f>IF(AND(NOT(C550=""),C551="",NOT(C552="")),"!","")</f>
        <v/>
      </c>
      <c r="AU551" s="41"/>
      <c r="AV551" s="41"/>
      <c r="AW551" s="41"/>
      <c r="AX551" s="41"/>
      <c r="AY551" s="41"/>
      <c r="AZ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c r="CH551" s="41"/>
      <c r="CI551" s="41"/>
      <c r="CJ551" s="41"/>
      <c r="CK551" s="41"/>
      <c r="CL551" s="41"/>
      <c r="CM551" s="41"/>
      <c r="CN551" s="41"/>
      <c r="CO551" s="41"/>
      <c r="CP551" s="41"/>
      <c r="CQ551" s="41"/>
      <c r="CR551" s="41"/>
      <c r="CS551" s="41"/>
    </row>
    <row r="552" spans="1:97" ht="12.95" customHeight="1">
      <c r="B552" s="58" t="s">
        <v>777</v>
      </c>
      <c r="C552" s="1083"/>
      <c r="D552" s="1083"/>
      <c r="E552" s="1083"/>
      <c r="F552" s="1083"/>
      <c r="G552" s="1083"/>
      <c r="H552" s="1083"/>
      <c r="I552" s="1083"/>
      <c r="J552" s="1083"/>
      <c r="K552" s="1083"/>
      <c r="L552" s="1083"/>
      <c r="M552" s="1084" t="s">
        <v>2071</v>
      </c>
      <c r="N552" s="1084"/>
      <c r="O552" s="1084"/>
      <c r="P552" s="1084"/>
      <c r="Q552" s="1088"/>
      <c r="R552" s="1089"/>
      <c r="S552" s="1090"/>
      <c r="T552" s="1088"/>
      <c r="U552" s="1089"/>
      <c r="V552" s="1090"/>
      <c r="W552" s="1433"/>
      <c r="X552" s="1434"/>
      <c r="Y552" s="1435"/>
      <c r="Z552" s="1436" t="s">
        <v>2071</v>
      </c>
      <c r="AA552" s="1436"/>
      <c r="AB552" s="1436"/>
      <c r="AC552" s="1436"/>
      <c r="AD552" s="1436"/>
      <c r="AE552" s="1437"/>
      <c r="AF552" s="1438"/>
      <c r="AG552" s="1438"/>
      <c r="AH552" s="1439"/>
      <c r="AI552" s="1430"/>
      <c r="AJ552" s="1431"/>
      <c r="AK552" s="1431"/>
      <c r="AL552" s="1432"/>
      <c r="AM552" s="1144"/>
      <c r="AN552" s="1145"/>
      <c r="AO552" s="1145"/>
      <c r="AP552" s="1145"/>
      <c r="AQ552" s="1145"/>
      <c r="AR552" s="1145"/>
      <c r="AS552" s="1146"/>
      <c r="AT552" s="953" t="str">
        <f t="shared" si="0"/>
        <v/>
      </c>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c r="CH552" s="41"/>
      <c r="CI552" s="41"/>
      <c r="CJ552" s="41"/>
      <c r="CK552" s="41"/>
      <c r="CL552" s="41"/>
      <c r="CM552" s="41"/>
      <c r="CN552" s="41"/>
      <c r="CO552" s="41"/>
      <c r="CP552" s="41"/>
      <c r="CQ552" s="41"/>
      <c r="CR552" s="41"/>
      <c r="CS552" s="41"/>
    </row>
    <row r="553" spans="1:97" ht="12.95" customHeight="1">
      <c r="B553" s="58" t="s">
        <v>778</v>
      </c>
      <c r="C553" s="1083"/>
      <c r="D553" s="1083"/>
      <c r="E553" s="1083"/>
      <c r="F553" s="1083"/>
      <c r="G553" s="1083"/>
      <c r="H553" s="1083"/>
      <c r="I553" s="1083"/>
      <c r="J553" s="1083"/>
      <c r="K553" s="1083"/>
      <c r="L553" s="1083"/>
      <c r="M553" s="1084" t="s">
        <v>2071</v>
      </c>
      <c r="N553" s="1084"/>
      <c r="O553" s="1084"/>
      <c r="P553" s="1084"/>
      <c r="Q553" s="1088"/>
      <c r="R553" s="1089"/>
      <c r="S553" s="1090"/>
      <c r="T553" s="1088"/>
      <c r="U553" s="1089"/>
      <c r="V553" s="1090"/>
      <c r="W553" s="1433"/>
      <c r="X553" s="1434"/>
      <c r="Y553" s="1435"/>
      <c r="Z553" s="1436" t="s">
        <v>2071</v>
      </c>
      <c r="AA553" s="1436"/>
      <c r="AB553" s="1436"/>
      <c r="AC553" s="1436"/>
      <c r="AD553" s="1436"/>
      <c r="AE553" s="1437"/>
      <c r="AF553" s="1438"/>
      <c r="AG553" s="1438"/>
      <c r="AH553" s="1439"/>
      <c r="AI553" s="1430"/>
      <c r="AJ553" s="1431"/>
      <c r="AK553" s="1431"/>
      <c r="AL553" s="1432"/>
      <c r="AM553" s="1144"/>
      <c r="AN553" s="1145"/>
      <c r="AO553" s="1145"/>
      <c r="AP553" s="1145"/>
      <c r="AQ553" s="1145"/>
      <c r="AR553" s="1145"/>
      <c r="AS553" s="1146"/>
      <c r="AT553" s="953" t="str">
        <f t="shared" si="0"/>
        <v/>
      </c>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row>
    <row r="554" spans="1:97" ht="12.95" customHeight="1">
      <c r="B554" s="58" t="s">
        <v>576</v>
      </c>
      <c r="C554" s="1083"/>
      <c r="D554" s="1083"/>
      <c r="E554" s="1083"/>
      <c r="F554" s="1083"/>
      <c r="G554" s="1083"/>
      <c r="H554" s="1083"/>
      <c r="I554" s="1083"/>
      <c r="J554" s="1083"/>
      <c r="K554" s="1083"/>
      <c r="L554" s="1083"/>
      <c r="M554" s="1084" t="s">
        <v>2071</v>
      </c>
      <c r="N554" s="1084"/>
      <c r="O554" s="1084"/>
      <c r="P554" s="1084"/>
      <c r="Q554" s="1088"/>
      <c r="R554" s="1089"/>
      <c r="S554" s="1090"/>
      <c r="T554" s="1088"/>
      <c r="U554" s="1089"/>
      <c r="V554" s="1090"/>
      <c r="W554" s="1433"/>
      <c r="X554" s="1434"/>
      <c r="Y554" s="1435"/>
      <c r="Z554" s="1436" t="s">
        <v>2071</v>
      </c>
      <c r="AA554" s="1436"/>
      <c r="AB554" s="1436"/>
      <c r="AC554" s="1436"/>
      <c r="AD554" s="1436"/>
      <c r="AE554" s="1437"/>
      <c r="AF554" s="1438"/>
      <c r="AG554" s="1438"/>
      <c r="AH554" s="1439"/>
      <c r="AI554" s="1430"/>
      <c r="AJ554" s="1431"/>
      <c r="AK554" s="1431"/>
      <c r="AL554" s="1432"/>
      <c r="AM554" s="1144"/>
      <c r="AN554" s="1145"/>
      <c r="AO554" s="1145"/>
      <c r="AP554" s="1145"/>
      <c r="AQ554" s="1145"/>
      <c r="AR554" s="1145"/>
      <c r="AS554" s="1146"/>
      <c r="AT554" s="953" t="str">
        <f t="shared" si="0"/>
        <v/>
      </c>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row>
    <row r="555" spans="1:97" ht="12.95" customHeight="1">
      <c r="B555" s="58" t="s">
        <v>185</v>
      </c>
      <c r="C555" s="1083"/>
      <c r="D555" s="1083"/>
      <c r="E555" s="1083"/>
      <c r="F555" s="1083"/>
      <c r="G555" s="1083"/>
      <c r="H555" s="1083"/>
      <c r="I555" s="1083"/>
      <c r="J555" s="1083"/>
      <c r="K555" s="1083"/>
      <c r="L555" s="1083"/>
      <c r="M555" s="1084" t="s">
        <v>2071</v>
      </c>
      <c r="N555" s="1084"/>
      <c r="O555" s="1084"/>
      <c r="P555" s="1084"/>
      <c r="Q555" s="1088"/>
      <c r="R555" s="1089"/>
      <c r="S555" s="1090"/>
      <c r="T555" s="1088"/>
      <c r="U555" s="1089"/>
      <c r="V555" s="1090"/>
      <c r="W555" s="1433"/>
      <c r="X555" s="1434"/>
      <c r="Y555" s="1435"/>
      <c r="Z555" s="1436" t="s">
        <v>2071</v>
      </c>
      <c r="AA555" s="1436"/>
      <c r="AB555" s="1436"/>
      <c r="AC555" s="1436"/>
      <c r="AD555" s="1436"/>
      <c r="AE555" s="1437"/>
      <c r="AF555" s="1438"/>
      <c r="AG555" s="1438"/>
      <c r="AH555" s="1439"/>
      <c r="AI555" s="1430"/>
      <c r="AJ555" s="1431"/>
      <c r="AK555" s="1431"/>
      <c r="AL555" s="1432"/>
      <c r="AM555" s="1144"/>
      <c r="AN555" s="1145"/>
      <c r="AO555" s="1145"/>
      <c r="AP555" s="1145"/>
      <c r="AQ555" s="1145"/>
      <c r="AR555" s="1145"/>
      <c r="AS555" s="1146"/>
      <c r="AT555" s="953" t="str">
        <f t="shared" si="0"/>
        <v/>
      </c>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row>
    <row r="556" spans="1:97" ht="12.95" customHeight="1">
      <c r="B556" s="58" t="s">
        <v>36</v>
      </c>
      <c r="C556" s="1083"/>
      <c r="D556" s="1083"/>
      <c r="E556" s="1083"/>
      <c r="F556" s="1083"/>
      <c r="G556" s="1083"/>
      <c r="H556" s="1083"/>
      <c r="I556" s="1083"/>
      <c r="J556" s="1083"/>
      <c r="K556" s="1083"/>
      <c r="L556" s="1083"/>
      <c r="M556" s="1084" t="s">
        <v>2071</v>
      </c>
      <c r="N556" s="1084"/>
      <c r="O556" s="1084"/>
      <c r="P556" s="1084"/>
      <c r="Q556" s="1088"/>
      <c r="R556" s="1089"/>
      <c r="S556" s="1090"/>
      <c r="T556" s="1088"/>
      <c r="U556" s="1089"/>
      <c r="V556" s="1090"/>
      <c r="W556" s="1433"/>
      <c r="X556" s="1434"/>
      <c r="Y556" s="1435"/>
      <c r="Z556" s="1436" t="s">
        <v>2071</v>
      </c>
      <c r="AA556" s="1436"/>
      <c r="AB556" s="1436"/>
      <c r="AC556" s="1436"/>
      <c r="AD556" s="1436"/>
      <c r="AE556" s="1437"/>
      <c r="AF556" s="1438"/>
      <c r="AG556" s="1438"/>
      <c r="AH556" s="1439"/>
      <c r="AI556" s="1430"/>
      <c r="AJ556" s="1431"/>
      <c r="AK556" s="1431"/>
      <c r="AL556" s="1432"/>
      <c r="AM556" s="1144"/>
      <c r="AN556" s="1145"/>
      <c r="AO556" s="1145"/>
      <c r="AP556" s="1145"/>
      <c r="AQ556" s="1145"/>
      <c r="AR556" s="1145"/>
      <c r="AS556" s="1146"/>
      <c r="AT556" s="953" t="str">
        <f t="shared" si="0"/>
        <v/>
      </c>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row>
    <row r="557" spans="1:97" ht="12.95" customHeight="1">
      <c r="B557" s="58" t="s">
        <v>37</v>
      </c>
      <c r="C557" s="1083"/>
      <c r="D557" s="1083"/>
      <c r="E557" s="1083"/>
      <c r="F557" s="1083"/>
      <c r="G557" s="1083"/>
      <c r="H557" s="1083"/>
      <c r="I557" s="1083"/>
      <c r="J557" s="1083"/>
      <c r="K557" s="1083"/>
      <c r="L557" s="1083"/>
      <c r="M557" s="1084" t="s">
        <v>2071</v>
      </c>
      <c r="N557" s="1084"/>
      <c r="O557" s="1084"/>
      <c r="P557" s="1084"/>
      <c r="Q557" s="1088"/>
      <c r="R557" s="1089"/>
      <c r="S557" s="1090"/>
      <c r="T557" s="1088"/>
      <c r="U557" s="1089"/>
      <c r="V557" s="1090"/>
      <c r="W557" s="1433"/>
      <c r="X557" s="1434"/>
      <c r="Y557" s="1435"/>
      <c r="Z557" s="1436" t="s">
        <v>2071</v>
      </c>
      <c r="AA557" s="1436"/>
      <c r="AB557" s="1436"/>
      <c r="AC557" s="1436"/>
      <c r="AD557" s="1436"/>
      <c r="AE557" s="1437"/>
      <c r="AF557" s="1438"/>
      <c r="AG557" s="1438"/>
      <c r="AH557" s="1439"/>
      <c r="AI557" s="1430"/>
      <c r="AJ557" s="1431"/>
      <c r="AK557" s="1431"/>
      <c r="AL557" s="1432"/>
      <c r="AM557" s="1144"/>
      <c r="AN557" s="1145"/>
      <c r="AO557" s="1145"/>
      <c r="AP557" s="1145"/>
      <c r="AQ557" s="1145"/>
      <c r="AR557" s="1145"/>
      <c r="AS557" s="1146"/>
      <c r="AT557" s="953" t="str">
        <f t="shared" si="0"/>
        <v/>
      </c>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row>
    <row r="558" spans="1:97" ht="12.95" customHeight="1">
      <c r="B558" s="1091" t="s">
        <v>381</v>
      </c>
      <c r="C558" s="1092"/>
      <c r="D558" s="1092"/>
      <c r="E558" s="1092"/>
      <c r="F558" s="1092"/>
      <c r="G558" s="1092"/>
      <c r="H558" s="1092"/>
      <c r="I558" s="1092"/>
      <c r="J558" s="1092"/>
      <c r="K558" s="1092"/>
      <c r="L558" s="1092"/>
      <c r="M558" s="1092"/>
      <c r="N558" s="1092"/>
      <c r="O558" s="1092"/>
      <c r="P558" s="1092"/>
      <c r="Q558" s="1092"/>
      <c r="R558" s="1092"/>
      <c r="S558" s="1092"/>
      <c r="T558" s="1092"/>
      <c r="U558" s="1093"/>
      <c r="V558" s="1092"/>
      <c r="W558" s="1092"/>
      <c r="X558" s="1092"/>
      <c r="Y558" s="1092"/>
      <c r="Z558" s="1092"/>
      <c r="AA558" s="1092"/>
      <c r="AB558" s="1092"/>
      <c r="AC558" s="1092"/>
      <c r="AD558" s="1092"/>
      <c r="AE558" s="1092"/>
      <c r="AF558" s="1092"/>
      <c r="AG558" s="1092"/>
      <c r="AH558" s="1092"/>
      <c r="AI558" s="1092"/>
      <c r="AJ558" s="1092"/>
      <c r="AK558" s="1092"/>
      <c r="AL558" s="1094"/>
      <c r="AM558" s="1150">
        <f>SUM(AM546:AS557)</f>
        <v>28901208</v>
      </c>
      <c r="AN558" s="1151"/>
      <c r="AO558" s="1151"/>
      <c r="AP558" s="1151"/>
      <c r="AQ558" s="1151"/>
      <c r="AR558" s="1151"/>
      <c r="AS558" s="1152"/>
      <c r="AT558" s="41"/>
      <c r="AU558" s="41"/>
      <c r="AV558" s="41"/>
      <c r="AW558" s="41"/>
      <c r="AX558" s="41"/>
      <c r="AY558" s="41"/>
      <c r="AZ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row>
    <row r="559" spans="1:97" ht="12.95" customHeight="1">
      <c r="B559" s="62"/>
      <c r="C559" s="62"/>
      <c r="D559" s="62"/>
      <c r="E559" s="62"/>
      <c r="F559" s="62"/>
      <c r="G559" s="62"/>
      <c r="H559" s="62"/>
      <c r="I559" s="62"/>
      <c r="J559" s="62"/>
      <c r="K559" s="62"/>
      <c r="L559" s="62"/>
      <c r="M559" s="62"/>
      <c r="N559" s="62"/>
      <c r="O559" s="62"/>
      <c r="P559" s="62"/>
      <c r="Q559" s="62"/>
      <c r="R559" s="62"/>
      <c r="S559" s="62"/>
      <c r="T559" s="62"/>
      <c r="U559" s="62"/>
      <c r="V559" s="62"/>
      <c r="W559" s="62"/>
      <c r="X559" s="62"/>
      <c r="Y559" s="62"/>
      <c r="Z559" s="62"/>
      <c r="AA559" s="62"/>
      <c r="AB559" s="62"/>
      <c r="AC559" s="62"/>
      <c r="AD559" s="62"/>
      <c r="AE559" s="276"/>
      <c r="AF559" s="276"/>
      <c r="AG559" s="276"/>
      <c r="AH559" s="276"/>
      <c r="AI559" s="276"/>
      <c r="AJ559" s="276"/>
      <c r="AK559" s="276"/>
      <c r="AM559" s="41"/>
      <c r="AN559" s="41"/>
      <c r="AO559" s="41"/>
      <c r="AP559" s="41"/>
      <c r="AQ559" s="41"/>
      <c r="AR559" s="41"/>
      <c r="AS559" s="41"/>
      <c r="AT559" s="41"/>
      <c r="AU559" s="41"/>
      <c r="AV559" s="41"/>
      <c r="AW559" s="41"/>
      <c r="AX559" s="41"/>
      <c r="AY559" s="41"/>
      <c r="AZ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row>
    <row r="560" spans="1:97" ht="12.95" customHeight="1">
      <c r="A560" s="61" t="s">
        <v>943</v>
      </c>
      <c r="B560" t="s">
        <v>90</v>
      </c>
      <c r="G560" s="1292" t="str">
        <f>C546</f>
        <v>US Bank Construction Loan</v>
      </c>
      <c r="H560" s="1292"/>
      <c r="I560" s="1292"/>
      <c r="J560" s="1292"/>
      <c r="K560" s="1292"/>
      <c r="L560" s="1292"/>
      <c r="M560" s="1292"/>
      <c r="N560" s="1292"/>
      <c r="O560" s="1292"/>
      <c r="P560" s="1292"/>
      <c r="Q560" s="1292"/>
      <c r="R560" s="1292"/>
      <c r="S560" s="12"/>
      <c r="T560" s="61" t="s">
        <v>944</v>
      </c>
      <c r="U560" t="s">
        <v>90</v>
      </c>
      <c r="Z560" s="1292" t="str">
        <f>C547</f>
        <v>Homekey Loan</v>
      </c>
      <c r="AA560" s="1292"/>
      <c r="AB560" s="1292"/>
      <c r="AC560" s="1292"/>
      <c r="AD560" s="1292"/>
      <c r="AE560" s="1292"/>
      <c r="AF560" s="1292"/>
      <c r="AG560" s="1292"/>
      <c r="AH560" s="1292"/>
      <c r="AI560" s="1292"/>
      <c r="AJ560" s="1292"/>
      <c r="AK560" s="1292"/>
      <c r="AM560" s="41"/>
      <c r="AN560" s="41"/>
      <c r="AO560" s="41"/>
      <c r="AP560" s="41"/>
      <c r="AQ560" s="41"/>
      <c r="AR560" s="41"/>
      <c r="AS560" s="41"/>
      <c r="AT560" s="41"/>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row>
    <row r="561" spans="1:97" ht="12.95" customHeight="1">
      <c r="A561" s="4"/>
      <c r="B561" t="s">
        <v>396</v>
      </c>
      <c r="G561" s="1085" t="s">
        <v>2451</v>
      </c>
      <c r="H561" s="1085"/>
      <c r="I561" s="1085"/>
      <c r="J561" s="1085"/>
      <c r="K561" s="1085"/>
      <c r="L561" s="1085"/>
      <c r="M561" s="1085"/>
      <c r="N561" s="1085"/>
      <c r="O561" s="1085"/>
      <c r="P561" s="1085"/>
      <c r="Q561" s="1085"/>
      <c r="R561" s="1085"/>
      <c r="S561" s="12"/>
      <c r="T561" s="4"/>
      <c r="U561" t="s">
        <v>396</v>
      </c>
      <c r="Z561" s="1086" t="s">
        <v>2373</v>
      </c>
      <c r="AA561" s="1085"/>
      <c r="AB561" s="1085"/>
      <c r="AC561" s="1085"/>
      <c r="AD561" s="1085"/>
      <c r="AE561" s="1085"/>
      <c r="AF561" s="1085"/>
      <c r="AG561" s="1085"/>
      <c r="AH561" s="1085"/>
      <c r="AI561" s="1085"/>
      <c r="AJ561" s="1085"/>
      <c r="AK561" s="1085"/>
      <c r="AM561" s="41"/>
      <c r="AN561" s="41"/>
      <c r="AO561" s="41"/>
      <c r="AP561" s="41"/>
      <c r="AQ561" s="41"/>
      <c r="AR561" s="41"/>
      <c r="AS561" s="41"/>
      <c r="AT561" s="41"/>
      <c r="AU561" s="41"/>
      <c r="AV561" s="41"/>
      <c r="AW561" s="41"/>
      <c r="AX561" s="41"/>
      <c r="AY561" s="41"/>
      <c r="AZ561" s="41"/>
      <c r="BA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row>
    <row r="562" spans="1:97" ht="12.95" customHeight="1">
      <c r="A562" s="4"/>
      <c r="B562" t="s">
        <v>458</v>
      </c>
      <c r="G562" s="1085" t="s">
        <v>2452</v>
      </c>
      <c r="H562" s="1085"/>
      <c r="I562" s="1085"/>
      <c r="J562" s="1085"/>
      <c r="K562" s="1085"/>
      <c r="L562" s="1085"/>
      <c r="M562" s="1085"/>
      <c r="N562" s="1085"/>
      <c r="O562" s="1085"/>
      <c r="P562" s="1085"/>
      <c r="Q562" s="1085"/>
      <c r="R562" s="1085"/>
      <c r="T562" s="4"/>
      <c r="U562" t="s">
        <v>458</v>
      </c>
      <c r="Z562" s="1122" t="s">
        <v>419</v>
      </c>
      <c r="AA562" s="1087"/>
      <c r="AB562" s="1087"/>
      <c r="AC562" s="1087"/>
      <c r="AD562" s="1087"/>
      <c r="AE562" s="1087"/>
      <c r="AF562" s="1087"/>
      <c r="AG562" s="1087"/>
      <c r="AH562" s="1087"/>
      <c r="AI562" s="1087"/>
      <c r="AJ562" s="1087"/>
      <c r="AK562" s="1087"/>
      <c r="AM562" s="41"/>
      <c r="AN562" s="41"/>
      <c r="AO562" s="41"/>
      <c r="AP562" s="41"/>
      <c r="AQ562" s="41"/>
      <c r="AR562" s="41"/>
      <c r="AS562" s="41"/>
      <c r="AT562" s="41"/>
      <c r="AU562" s="41"/>
      <c r="AV562" s="41"/>
      <c r="AW562" s="41"/>
      <c r="AX562" s="41"/>
      <c r="AY562" s="41"/>
      <c r="AZ562" s="41"/>
      <c r="BA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row>
    <row r="563" spans="1:97" ht="12.95" customHeight="1">
      <c r="A563" s="4"/>
      <c r="B563" t="s">
        <v>873</v>
      </c>
      <c r="G563" s="1085" t="s">
        <v>2453</v>
      </c>
      <c r="H563" s="1085"/>
      <c r="I563" s="1085"/>
      <c r="J563" s="1085"/>
      <c r="K563" s="1085"/>
      <c r="L563" s="1085"/>
      <c r="M563" s="1085"/>
      <c r="N563" s="1085"/>
      <c r="O563" s="1085"/>
      <c r="P563" s="1085"/>
      <c r="Q563" s="1085"/>
      <c r="R563" s="1085"/>
      <c r="S563" s="12"/>
      <c r="T563" s="4"/>
      <c r="U563" t="s">
        <v>873</v>
      </c>
      <c r="Z563" s="1122" t="s">
        <v>2374</v>
      </c>
      <c r="AA563" s="1087"/>
      <c r="AB563" s="1087"/>
      <c r="AC563" s="1087"/>
      <c r="AD563" s="1087"/>
      <c r="AE563" s="1087"/>
      <c r="AF563" s="1087"/>
      <c r="AG563" s="1087"/>
      <c r="AH563" s="1087"/>
      <c r="AI563" s="1087"/>
      <c r="AJ563" s="1087"/>
      <c r="AK563" s="1087"/>
      <c r="AM563" s="41"/>
      <c r="AN563" s="41"/>
      <c r="AO563" s="41"/>
      <c r="AP563" s="41"/>
      <c r="AQ563" s="41"/>
      <c r="AR563" s="41"/>
      <c r="AS563" s="41"/>
      <c r="AT563" s="41"/>
      <c r="AU563" s="41"/>
      <c r="AV563" s="41"/>
      <c r="AW563" s="41"/>
      <c r="AX563" s="41"/>
      <c r="AY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row>
    <row r="564" spans="1:97" ht="12.95" customHeight="1">
      <c r="A564" s="4"/>
      <c r="B564" t="s">
        <v>685</v>
      </c>
      <c r="G564" s="1112" t="s">
        <v>2454</v>
      </c>
      <c r="H564" s="1111"/>
      <c r="I564" s="1111"/>
      <c r="J564" s="1111"/>
      <c r="K564" s="1111"/>
      <c r="L564" s="1111"/>
      <c r="O564" s="42" t="s">
        <v>858</v>
      </c>
      <c r="P564" s="1282"/>
      <c r="Q564" s="1282"/>
      <c r="R564" s="1282"/>
      <c r="S564" s="14"/>
      <c r="T564" s="4"/>
      <c r="U564" t="s">
        <v>685</v>
      </c>
      <c r="Z564" s="1112" t="s">
        <v>2456</v>
      </c>
      <c r="AA564" s="1111"/>
      <c r="AB564" s="1111"/>
      <c r="AC564" s="1111"/>
      <c r="AD564" s="1111"/>
      <c r="AE564" s="1111"/>
      <c r="AH564" s="42" t="s">
        <v>858</v>
      </c>
      <c r="AI564" s="1282"/>
      <c r="AJ564" s="1282"/>
      <c r="AK564" s="1282"/>
      <c r="AM564" s="41"/>
      <c r="AN564" s="41"/>
      <c r="AO564" s="41"/>
      <c r="AP564" s="41"/>
      <c r="AQ564" s="41"/>
      <c r="AR564" s="41"/>
      <c r="AS564" s="41"/>
      <c r="AT564" s="41"/>
      <c r="AU564" s="41"/>
      <c r="AV564" s="41"/>
      <c r="AW564" s="41"/>
      <c r="AX564" s="41"/>
      <c r="AY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row>
    <row r="565" spans="1:97" ht="12.95" customHeight="1">
      <c r="A565" s="4"/>
      <c r="B565" t="s">
        <v>874</v>
      </c>
      <c r="H565" s="1086" t="s">
        <v>2455</v>
      </c>
      <c r="I565" s="1085"/>
      <c r="J565" s="1085"/>
      <c r="K565" s="1085"/>
      <c r="L565" s="1085"/>
      <c r="M565" s="1085"/>
      <c r="N565" s="1085"/>
      <c r="O565" s="1085"/>
      <c r="P565" s="1085"/>
      <c r="Q565" s="1085"/>
      <c r="R565" s="1085"/>
      <c r="S565" s="12"/>
      <c r="T565" s="4"/>
      <c r="U565" t="s">
        <v>874</v>
      </c>
      <c r="AA565" s="1086" t="s">
        <v>2457</v>
      </c>
      <c r="AB565" s="1085"/>
      <c r="AC565" s="1085"/>
      <c r="AD565" s="1085"/>
      <c r="AE565" s="1085"/>
      <c r="AF565" s="1085"/>
      <c r="AG565" s="1085"/>
      <c r="AH565" s="1085"/>
      <c r="AI565" s="1085"/>
      <c r="AJ565" s="1085"/>
      <c r="AK565" s="1085"/>
      <c r="AM565" s="41"/>
      <c r="AN565" s="41"/>
      <c r="AO565" s="41"/>
      <c r="AP565" s="41"/>
      <c r="AQ565" s="41"/>
      <c r="AR565" s="41"/>
      <c r="AS565" s="41"/>
      <c r="AT565" s="41"/>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row>
    <row r="566" spans="1:97" ht="12.95" customHeight="1">
      <c r="A566" s="4"/>
      <c r="B566" t="s">
        <v>876</v>
      </c>
      <c r="N566" s="1113" t="s">
        <v>116</v>
      </c>
      <c r="O566" s="1113"/>
      <c r="T566" s="4"/>
      <c r="U566" t="s">
        <v>876</v>
      </c>
      <c r="AG566" s="1113" t="s">
        <v>116</v>
      </c>
      <c r="AH566" s="1113"/>
      <c r="AM566" s="41"/>
      <c r="AN566" s="41"/>
      <c r="AO566" s="41"/>
      <c r="AP566" s="41"/>
      <c r="AQ566" s="41"/>
      <c r="AR566" s="41"/>
      <c r="AS566" s="41"/>
      <c r="AT566" s="41"/>
      <c r="AU566" s="41"/>
      <c r="AV566" s="41"/>
      <c r="AW566" s="41"/>
      <c r="AX566" s="41"/>
      <c r="AY566" s="41"/>
      <c r="AZ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row>
    <row r="567" spans="1:97" ht="12.95" customHeight="1">
      <c r="AM567" s="41"/>
      <c r="AN567" s="41"/>
      <c r="AO567" s="41"/>
      <c r="AP567" s="41"/>
      <c r="AQ567" s="41"/>
      <c r="AR567" s="41"/>
      <c r="AS567" s="41"/>
      <c r="AT567" s="41"/>
      <c r="AU567" s="41"/>
      <c r="AV567" s="41"/>
      <c r="AW567" s="41"/>
      <c r="AX567" s="41"/>
      <c r="AY567" s="41"/>
      <c r="AZ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row>
    <row r="568" spans="1:97" ht="12.95" customHeight="1">
      <c r="A568" s="61" t="s">
        <v>950</v>
      </c>
      <c r="B568" t="s">
        <v>90</v>
      </c>
      <c r="G568" s="1292" t="str">
        <f>C548</f>
        <v xml:space="preserve">Costs Deferred until Conversion </v>
      </c>
      <c r="H568" s="1292"/>
      <c r="I568" s="1292"/>
      <c r="J568" s="1292"/>
      <c r="K568" s="1292"/>
      <c r="L568" s="1292"/>
      <c r="M568" s="1292"/>
      <c r="N568" s="1292"/>
      <c r="O568" s="1292"/>
      <c r="P568" s="1292"/>
      <c r="Q568" s="1292"/>
      <c r="R568" s="1292"/>
      <c r="T568" s="61" t="s">
        <v>459</v>
      </c>
      <c r="U568" t="s">
        <v>90</v>
      </c>
      <c r="Z568" s="1292" t="str">
        <f>C549</f>
        <v>Limited Partner Equity</v>
      </c>
      <c r="AA568" s="1292"/>
      <c r="AB568" s="1292"/>
      <c r="AC568" s="1292"/>
      <c r="AD568" s="1292"/>
      <c r="AE568" s="1292"/>
      <c r="AF568" s="1292"/>
      <c r="AG568" s="1292"/>
      <c r="AH568" s="1292"/>
      <c r="AI568" s="1292"/>
      <c r="AJ568" s="1292"/>
      <c r="AK568" s="1292"/>
      <c r="AM568" s="41"/>
      <c r="AN568" s="41"/>
      <c r="AO568" s="41"/>
      <c r="AP568" s="41"/>
      <c r="AQ568" s="41"/>
      <c r="AR568" s="41"/>
      <c r="AS568" s="41"/>
      <c r="AT568" s="41"/>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row>
    <row r="569" spans="1:97" ht="12.95" customHeight="1">
      <c r="A569" s="4"/>
      <c r="B569" t="s">
        <v>396</v>
      </c>
      <c r="G569" s="1085" t="s">
        <v>2371</v>
      </c>
      <c r="H569" s="1085"/>
      <c r="I569" s="1085"/>
      <c r="J569" s="1085"/>
      <c r="K569" s="1085"/>
      <c r="L569" s="1085"/>
      <c r="M569" s="1085"/>
      <c r="N569" s="1085"/>
      <c r="O569" s="1085"/>
      <c r="P569" s="1085"/>
      <c r="Q569" s="1085"/>
      <c r="R569" s="1085"/>
      <c r="T569" s="4"/>
      <c r="U569" t="s">
        <v>396</v>
      </c>
      <c r="Z569" s="1085"/>
      <c r="AA569" s="1085"/>
      <c r="AB569" s="1085"/>
      <c r="AC569" s="1085"/>
      <c r="AD569" s="1085"/>
      <c r="AE569" s="1085"/>
      <c r="AF569" s="1085"/>
      <c r="AG569" s="1085"/>
      <c r="AH569" s="1085"/>
      <c r="AI569" s="1085"/>
      <c r="AJ569" s="1085"/>
      <c r="AK569" s="1085"/>
      <c r="AM569" s="41"/>
      <c r="AN569" s="41"/>
      <c r="AO569" s="41"/>
      <c r="AP569" s="41"/>
      <c r="AQ569" s="41"/>
      <c r="AR569" s="41"/>
      <c r="AS569" s="41"/>
      <c r="AT569" s="41"/>
      <c r="AU569" s="41"/>
      <c r="AV569" s="41"/>
      <c r="AW569" s="41"/>
      <c r="AX569" s="41"/>
      <c r="AY569" s="41"/>
      <c r="AZ569" s="41"/>
      <c r="BA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row>
    <row r="570" spans="1:97" ht="12.95" customHeight="1">
      <c r="A570" s="4"/>
      <c r="B570" t="s">
        <v>458</v>
      </c>
      <c r="G570" s="1087" t="s">
        <v>419</v>
      </c>
      <c r="H570" s="1087"/>
      <c r="I570" s="1087"/>
      <c r="J570" s="1087"/>
      <c r="K570" s="1087"/>
      <c r="L570" s="1087"/>
      <c r="M570" s="1087"/>
      <c r="N570" s="1087"/>
      <c r="O570" s="1087"/>
      <c r="P570" s="1087"/>
      <c r="Q570" s="1087"/>
      <c r="R570" s="1087"/>
      <c r="T570" s="4"/>
      <c r="U570" t="s">
        <v>458</v>
      </c>
      <c r="Z570" s="1087"/>
      <c r="AA570" s="1087"/>
      <c r="AB570" s="1087"/>
      <c r="AC570" s="1087"/>
      <c r="AD570" s="1087"/>
      <c r="AE570" s="1087"/>
      <c r="AF570" s="1087"/>
      <c r="AG570" s="1087"/>
      <c r="AH570" s="1087"/>
      <c r="AI570" s="1087"/>
      <c r="AJ570" s="1087"/>
      <c r="AK570" s="1087"/>
      <c r="AM570" s="41"/>
      <c r="AN570" s="41"/>
      <c r="AO570" s="41"/>
      <c r="AP570" s="41"/>
      <c r="AQ570" s="41"/>
      <c r="AR570" s="41"/>
      <c r="AS570" s="41"/>
      <c r="AT570" s="41"/>
      <c r="AU570" s="41"/>
      <c r="AV570" s="41"/>
      <c r="AW570" s="41"/>
      <c r="AX570" s="41"/>
      <c r="AY570" s="41"/>
      <c r="AZ570" s="41"/>
      <c r="BA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row>
    <row r="571" spans="1:97" ht="12.95" customHeight="1">
      <c r="A571" s="4"/>
      <c r="B571" t="s">
        <v>873</v>
      </c>
      <c r="G571" s="1087" t="s">
        <v>2374</v>
      </c>
      <c r="H571" s="1087"/>
      <c r="I571" s="1087"/>
      <c r="J571" s="1087"/>
      <c r="K571" s="1087"/>
      <c r="L571" s="1087"/>
      <c r="M571" s="1087"/>
      <c r="N571" s="1087"/>
      <c r="O571" s="1087"/>
      <c r="P571" s="1087"/>
      <c r="Q571" s="1087"/>
      <c r="R571" s="1087"/>
      <c r="T571" s="4"/>
      <c r="U571" t="s">
        <v>873</v>
      </c>
      <c r="Z571" s="1087"/>
      <c r="AA571" s="1087"/>
      <c r="AB571" s="1087"/>
      <c r="AC571" s="1087"/>
      <c r="AD571" s="1087"/>
      <c r="AE571" s="1087"/>
      <c r="AF571" s="1087"/>
      <c r="AG571" s="1087"/>
      <c r="AH571" s="1087"/>
      <c r="AI571" s="1087"/>
      <c r="AJ571" s="1087"/>
      <c r="AK571" s="1087"/>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row>
    <row r="572" spans="1:97" ht="12.95" customHeight="1">
      <c r="A572" s="4"/>
      <c r="B572" t="s">
        <v>685</v>
      </c>
      <c r="G572" s="1112" t="s">
        <v>2456</v>
      </c>
      <c r="H572" s="1111"/>
      <c r="I572" s="1111"/>
      <c r="J572" s="1111"/>
      <c r="K572" s="1111"/>
      <c r="L572" s="1111"/>
      <c r="O572" s="42" t="s">
        <v>858</v>
      </c>
      <c r="P572" s="1282"/>
      <c r="Q572" s="1282"/>
      <c r="R572" s="1282"/>
      <c r="T572" s="4"/>
      <c r="U572" t="s">
        <v>685</v>
      </c>
      <c r="Z572" s="1111"/>
      <c r="AA572" s="1111"/>
      <c r="AB572" s="1111"/>
      <c r="AC572" s="1111"/>
      <c r="AD572" s="1111"/>
      <c r="AE572" s="1111"/>
      <c r="AH572" s="42" t="s">
        <v>858</v>
      </c>
      <c r="AI572" s="1282"/>
      <c r="AJ572" s="1282"/>
      <c r="AK572" s="1282"/>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row>
    <row r="573" spans="1:97" ht="12.95" customHeight="1">
      <c r="A573" s="4"/>
      <c r="B573" t="s">
        <v>874</v>
      </c>
      <c r="H573" s="1086" t="s">
        <v>2458</v>
      </c>
      <c r="I573" s="1085"/>
      <c r="J573" s="1085"/>
      <c r="K573" s="1085"/>
      <c r="L573" s="1085"/>
      <c r="M573" s="1085"/>
      <c r="N573" s="1085"/>
      <c r="O573" s="1085"/>
      <c r="P573" s="1085"/>
      <c r="Q573" s="1085"/>
      <c r="R573" s="1085"/>
      <c r="T573" s="4"/>
      <c r="U573" t="s">
        <v>874</v>
      </c>
      <c r="AA573" s="1085"/>
      <c r="AB573" s="1085"/>
      <c r="AC573" s="1085"/>
      <c r="AD573" s="1085"/>
      <c r="AE573" s="1085"/>
      <c r="AF573" s="1085"/>
      <c r="AG573" s="1085"/>
      <c r="AH573" s="1085"/>
      <c r="AI573" s="1085"/>
      <c r="AJ573" s="1085"/>
      <c r="AK573" s="1085"/>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row>
    <row r="574" spans="1:97" ht="12.95" customHeight="1">
      <c r="A574" s="4"/>
      <c r="B574" t="s">
        <v>876</v>
      </c>
      <c r="N574" s="1101" t="s">
        <v>116</v>
      </c>
      <c r="O574" s="1101"/>
      <c r="T574" s="4"/>
      <c r="U574" t="s">
        <v>876</v>
      </c>
      <c r="AG574" s="1101" t="s">
        <v>510</v>
      </c>
      <c r="AH574" s="1101"/>
      <c r="AM574" s="41"/>
      <c r="AN574" s="41"/>
      <c r="AO574" s="41"/>
      <c r="AP574" s="41"/>
      <c r="AQ574" s="41"/>
      <c r="AR574" s="41"/>
      <c r="AS574" s="41"/>
      <c r="AT574" s="41"/>
      <c r="AU574" s="41"/>
      <c r="AV574" s="41"/>
      <c r="AW574" s="41"/>
      <c r="AX574" s="41"/>
      <c r="AY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row>
    <row r="575" spans="1:97" ht="12.95" customHeight="1">
      <c r="AM575" s="41"/>
      <c r="AN575" s="41"/>
      <c r="AO575" s="41"/>
      <c r="AP575" s="41"/>
      <c r="AQ575" s="41"/>
      <c r="AR575" s="41"/>
      <c r="AS575" s="41"/>
      <c r="AT575" s="41"/>
      <c r="AU575" s="41"/>
      <c r="AV575" s="41"/>
      <c r="AW575" s="41"/>
      <c r="AX575" s="41"/>
      <c r="AY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row>
    <row r="576" spans="1:97" ht="12.95" customHeight="1">
      <c r="A576" s="61" t="s">
        <v>182</v>
      </c>
      <c r="B576" t="s">
        <v>90</v>
      </c>
      <c r="G576" s="1292">
        <f>C550</f>
        <v>0</v>
      </c>
      <c r="H576" s="1292"/>
      <c r="I576" s="1292"/>
      <c r="J576" s="1292"/>
      <c r="K576" s="1292"/>
      <c r="L576" s="1292"/>
      <c r="M576" s="1292"/>
      <c r="N576" s="1292"/>
      <c r="O576" s="1292"/>
      <c r="P576" s="1292"/>
      <c r="Q576" s="1292"/>
      <c r="R576" s="1292"/>
      <c r="T576" s="61" t="s">
        <v>462</v>
      </c>
      <c r="U576" t="s">
        <v>90</v>
      </c>
      <c r="Z576" s="1292">
        <f>C551</f>
        <v>0</v>
      </c>
      <c r="AA576" s="1292"/>
      <c r="AB576" s="1292"/>
      <c r="AC576" s="1292"/>
      <c r="AD576" s="1292"/>
      <c r="AE576" s="1292"/>
      <c r="AF576" s="1292"/>
      <c r="AG576" s="1292"/>
      <c r="AH576" s="1292"/>
      <c r="AI576" s="1292"/>
      <c r="AJ576" s="1292"/>
      <c r="AK576" s="1292"/>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row>
    <row r="577" spans="1:126" ht="12.95" customHeight="1">
      <c r="A577" s="4"/>
      <c r="B577" t="s">
        <v>396</v>
      </c>
      <c r="G577" s="1085"/>
      <c r="H577" s="1085"/>
      <c r="I577" s="1085"/>
      <c r="J577" s="1085"/>
      <c r="K577" s="1085"/>
      <c r="L577" s="1085"/>
      <c r="M577" s="1085"/>
      <c r="N577" s="1085"/>
      <c r="O577" s="1085"/>
      <c r="P577" s="1085"/>
      <c r="Q577" s="1085"/>
      <c r="R577" s="1085"/>
      <c r="T577" s="4"/>
      <c r="U577" t="s">
        <v>396</v>
      </c>
      <c r="Z577" s="1085"/>
      <c r="AA577" s="1085"/>
      <c r="AB577" s="1085"/>
      <c r="AC577" s="1085"/>
      <c r="AD577" s="1085"/>
      <c r="AE577" s="1085"/>
      <c r="AF577" s="1085"/>
      <c r="AG577" s="1085"/>
      <c r="AH577" s="1085"/>
      <c r="AI577" s="1085"/>
      <c r="AJ577" s="1085"/>
      <c r="AK577" s="1085"/>
      <c r="AM577" s="41"/>
      <c r="AN577" s="41"/>
      <c r="AO577" s="41"/>
      <c r="AP577" s="41"/>
      <c r="AQ577" s="41"/>
      <c r="AR577" s="41"/>
      <c r="AS577" s="41"/>
      <c r="AT577" s="41"/>
      <c r="AU577" s="41"/>
      <c r="AV577" s="41"/>
      <c r="AW577" s="41"/>
      <c r="AX577" s="41"/>
      <c r="AY577" s="41"/>
      <c r="AZ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row>
    <row r="578" spans="1:126" ht="12.95" customHeight="1">
      <c r="A578" s="4"/>
      <c r="B578" t="s">
        <v>458</v>
      </c>
      <c r="G578" s="1085"/>
      <c r="H578" s="1085"/>
      <c r="I578" s="1085"/>
      <c r="J578" s="1085"/>
      <c r="K578" s="1085"/>
      <c r="L578" s="1085"/>
      <c r="M578" s="1085"/>
      <c r="N578" s="1085"/>
      <c r="O578" s="1085"/>
      <c r="P578" s="1085"/>
      <c r="Q578" s="1085"/>
      <c r="R578" s="1085"/>
      <c r="T578" s="4"/>
      <c r="U578" t="s">
        <v>458</v>
      </c>
      <c r="Z578" s="1087"/>
      <c r="AA578" s="1087"/>
      <c r="AB578" s="1087"/>
      <c r="AC578" s="1087"/>
      <c r="AD578" s="1087"/>
      <c r="AE578" s="1087"/>
      <c r="AF578" s="1087"/>
      <c r="AG578" s="1087"/>
      <c r="AH578" s="1087"/>
      <c r="AI578" s="1087"/>
      <c r="AJ578" s="1087"/>
      <c r="AK578" s="1087"/>
      <c r="AM578" s="41"/>
      <c r="AN578" s="41"/>
      <c r="AO578" s="41"/>
      <c r="AP578" s="41"/>
      <c r="AQ578" s="41"/>
      <c r="AR578" s="41"/>
      <c r="AS578" s="41"/>
      <c r="AT578" s="41"/>
      <c r="AU578" s="41"/>
      <c r="AV578" s="41"/>
      <c r="AW578" s="41"/>
      <c r="AX578" s="41"/>
      <c r="AY578" s="41"/>
      <c r="AZ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row>
    <row r="579" spans="1:126" ht="12.95" customHeight="1">
      <c r="A579" s="4"/>
      <c r="B579" t="s">
        <v>873</v>
      </c>
      <c r="G579" s="1085"/>
      <c r="H579" s="1085"/>
      <c r="I579" s="1085"/>
      <c r="J579" s="1085"/>
      <c r="K579" s="1085"/>
      <c r="L579" s="1085"/>
      <c r="M579" s="1085"/>
      <c r="N579" s="1085"/>
      <c r="O579" s="1085"/>
      <c r="P579" s="1085"/>
      <c r="Q579" s="1085"/>
      <c r="R579" s="1085"/>
      <c r="T579" s="4"/>
      <c r="U579" t="s">
        <v>873</v>
      </c>
      <c r="Z579" s="1087"/>
      <c r="AA579" s="1087"/>
      <c r="AB579" s="1087"/>
      <c r="AC579" s="1087"/>
      <c r="AD579" s="1087"/>
      <c r="AE579" s="1087"/>
      <c r="AF579" s="1087"/>
      <c r="AG579" s="1087"/>
      <c r="AH579" s="1087"/>
      <c r="AI579" s="1087"/>
      <c r="AJ579" s="1087"/>
      <c r="AK579" s="1087"/>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row>
    <row r="580" spans="1:126" ht="12.95" customHeight="1">
      <c r="A580" s="4"/>
      <c r="B580" t="s">
        <v>685</v>
      </c>
      <c r="G580" s="1111"/>
      <c r="H580" s="1111"/>
      <c r="I580" s="1111"/>
      <c r="J580" s="1111"/>
      <c r="K580" s="1111"/>
      <c r="L580" s="1111"/>
      <c r="O580" s="42" t="s">
        <v>858</v>
      </c>
      <c r="P580" s="1282"/>
      <c r="Q580" s="1282"/>
      <c r="R580" s="1282"/>
      <c r="T580" s="4"/>
      <c r="U580" t="s">
        <v>685</v>
      </c>
      <c r="Z580" s="1111"/>
      <c r="AA580" s="1111"/>
      <c r="AB580" s="1111"/>
      <c r="AC580" s="1111"/>
      <c r="AD580" s="1111"/>
      <c r="AE580" s="1111"/>
      <c r="AH580" s="42" t="s">
        <v>858</v>
      </c>
      <c r="AI580" s="1282"/>
      <c r="AJ580" s="1282"/>
      <c r="AK580" s="1282"/>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row>
    <row r="581" spans="1:126" ht="12.95" customHeight="1">
      <c r="A581" s="4"/>
      <c r="B581" t="s">
        <v>874</v>
      </c>
      <c r="H581" s="1085"/>
      <c r="I581" s="1085"/>
      <c r="J581" s="1085"/>
      <c r="K581" s="1085"/>
      <c r="L581" s="1085"/>
      <c r="M581" s="1085"/>
      <c r="N581" s="1085"/>
      <c r="O581" s="1085"/>
      <c r="P581" s="1085"/>
      <c r="Q581" s="1085"/>
      <c r="R581" s="1085"/>
      <c r="T581" s="4"/>
      <c r="U581" t="s">
        <v>874</v>
      </c>
      <c r="AA581" s="1085"/>
      <c r="AB581" s="1085"/>
      <c r="AC581" s="1085"/>
      <c r="AD581" s="1085"/>
      <c r="AE581" s="1085"/>
      <c r="AF581" s="1085"/>
      <c r="AG581" s="1085"/>
      <c r="AH581" s="1085"/>
      <c r="AI581" s="1085"/>
      <c r="AJ581" s="1085"/>
      <c r="AK581" s="1085"/>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row>
    <row r="582" spans="1:126" ht="12.95" customHeight="1">
      <c r="A582" s="4"/>
      <c r="B582" t="s">
        <v>876</v>
      </c>
      <c r="N582" s="1101" t="s">
        <v>510</v>
      </c>
      <c r="O582" s="1101"/>
      <c r="T582" s="4"/>
      <c r="U582" t="s">
        <v>876</v>
      </c>
      <c r="AG582" s="1101" t="s">
        <v>510</v>
      </c>
      <c r="AH582" s="1101"/>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row>
    <row r="583" spans="1:126" ht="12.95" customHeight="1">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row>
    <row r="584" spans="1:126" ht="12.95" customHeight="1">
      <c r="A584" s="61" t="s">
        <v>777</v>
      </c>
      <c r="B584" t="s">
        <v>90</v>
      </c>
      <c r="G584" s="1292">
        <f>C552</f>
        <v>0</v>
      </c>
      <c r="H584" s="1292"/>
      <c r="I584" s="1292"/>
      <c r="J584" s="1292"/>
      <c r="K584" s="1292"/>
      <c r="L584" s="1292"/>
      <c r="M584" s="1292"/>
      <c r="N584" s="1292"/>
      <c r="O584" s="1292"/>
      <c r="P584" s="1292"/>
      <c r="Q584" s="1292"/>
      <c r="R584" s="1292"/>
      <c r="T584" s="61" t="s">
        <v>778</v>
      </c>
      <c r="U584" t="s">
        <v>90</v>
      </c>
      <c r="Z584" s="1292">
        <f>C553</f>
        <v>0</v>
      </c>
      <c r="AA584" s="1292"/>
      <c r="AB584" s="1292"/>
      <c r="AC584" s="1292"/>
      <c r="AD584" s="1292"/>
      <c r="AE584" s="1292"/>
      <c r="AF584" s="1292"/>
      <c r="AG584" s="1292"/>
      <c r="AH584" s="1292"/>
      <c r="AI584" s="1292"/>
      <c r="AJ584" s="1292"/>
      <c r="AK584" s="1292"/>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row>
    <row r="585" spans="1:126" ht="12.95" customHeight="1">
      <c r="A585" s="4"/>
      <c r="B585" t="s">
        <v>396</v>
      </c>
      <c r="G585" s="1085"/>
      <c r="H585" s="1085"/>
      <c r="I585" s="1085"/>
      <c r="J585" s="1085"/>
      <c r="K585" s="1085"/>
      <c r="L585" s="1085"/>
      <c r="M585" s="1085"/>
      <c r="N585" s="1085"/>
      <c r="O585" s="1085"/>
      <c r="P585" s="1085"/>
      <c r="Q585" s="1085"/>
      <c r="R585" s="1085"/>
      <c r="T585" s="4"/>
      <c r="U585" t="s">
        <v>396</v>
      </c>
      <c r="Z585" s="1085"/>
      <c r="AA585" s="1085"/>
      <c r="AB585" s="1085"/>
      <c r="AC585" s="1085"/>
      <c r="AD585" s="1085"/>
      <c r="AE585" s="1085"/>
      <c r="AF585" s="1085"/>
      <c r="AG585" s="1085"/>
      <c r="AH585" s="1085"/>
      <c r="AI585" s="1085"/>
      <c r="AJ585" s="1085"/>
      <c r="AK585" s="1085"/>
      <c r="AN585" s="41"/>
      <c r="AO585" s="41"/>
      <c r="AP585" s="41"/>
      <c r="AQ585" s="41"/>
      <c r="AR585" s="41"/>
      <c r="AS585" s="41"/>
      <c r="AT585" s="41"/>
      <c r="AU585" s="41"/>
      <c r="AV585" s="41"/>
      <c r="AW585" s="41"/>
      <c r="AX585" s="41"/>
      <c r="AY585" s="41"/>
      <c r="AZ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row>
    <row r="586" spans="1:126" s="5" customFormat="1" ht="12.95" customHeight="1">
      <c r="A586" s="4"/>
      <c r="B586" t="s">
        <v>458</v>
      </c>
      <c r="C586"/>
      <c r="D586"/>
      <c r="E586"/>
      <c r="F586"/>
      <c r="G586" s="1085"/>
      <c r="H586" s="1085"/>
      <c r="I586" s="1085"/>
      <c r="J586" s="1085"/>
      <c r="K586" s="1085"/>
      <c r="L586" s="1085"/>
      <c r="M586" s="1085"/>
      <c r="N586" s="1085"/>
      <c r="O586" s="1085"/>
      <c r="P586" s="1085"/>
      <c r="Q586" s="1085"/>
      <c r="R586" s="1085"/>
      <c r="S586"/>
      <c r="T586" s="4"/>
      <c r="U586" t="s">
        <v>458</v>
      </c>
      <c r="V586"/>
      <c r="W586"/>
      <c r="X586"/>
      <c r="Y586"/>
      <c r="Z586" s="1087"/>
      <c r="AA586" s="1087"/>
      <c r="AB586" s="1087"/>
      <c r="AC586" s="1087"/>
      <c r="AD586" s="1087"/>
      <c r="AE586" s="1087"/>
      <c r="AF586" s="1087"/>
      <c r="AG586" s="1087"/>
      <c r="AH586" s="1087"/>
      <c r="AI586" s="1087"/>
      <c r="AJ586" s="1087"/>
      <c r="AK586" s="1087"/>
      <c r="AL586"/>
      <c r="AN586" s="41"/>
      <c r="AO586" s="41"/>
      <c r="AP586" s="41"/>
      <c r="AQ586" s="41"/>
      <c r="AR586" s="41"/>
      <c r="AS586" s="41"/>
      <c r="AT586" s="41"/>
      <c r="AU586" s="41"/>
      <c r="AV586" s="41"/>
      <c r="AW586" s="41"/>
      <c r="AX586" s="41"/>
      <c r="AY586" s="41"/>
      <c r="AZ586" s="41"/>
      <c r="BA586" s="41"/>
      <c r="BB586" s="41"/>
      <c r="BC586" s="41"/>
      <c r="BD586" s="41"/>
      <c r="BE586" s="41"/>
      <c r="BF586" s="41"/>
      <c r="BG586" s="41"/>
      <c r="BH586" s="41"/>
      <c r="BI586" s="41"/>
      <c r="BN586" s="41" t="s">
        <v>903</v>
      </c>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row>
    <row r="587" spans="1:126" s="5" customFormat="1" ht="12.95" customHeight="1">
      <c r="A587" s="4"/>
      <c r="B587" t="s">
        <v>873</v>
      </c>
      <c r="C587"/>
      <c r="D587"/>
      <c r="E587"/>
      <c r="F587"/>
      <c r="G587" s="1085"/>
      <c r="H587" s="1085"/>
      <c r="I587" s="1085"/>
      <c r="J587" s="1085"/>
      <c r="K587" s="1085"/>
      <c r="L587" s="1085"/>
      <c r="M587" s="1085"/>
      <c r="N587" s="1085"/>
      <c r="O587" s="1085"/>
      <c r="P587" s="1085"/>
      <c r="Q587" s="1085"/>
      <c r="R587" s="1085"/>
      <c r="S587"/>
      <c r="T587" s="4"/>
      <c r="U587" t="s">
        <v>873</v>
      </c>
      <c r="V587"/>
      <c r="W587"/>
      <c r="X587"/>
      <c r="Y587"/>
      <c r="Z587" s="1087"/>
      <c r="AA587" s="1087"/>
      <c r="AB587" s="1087"/>
      <c r="AC587" s="1087"/>
      <c r="AD587" s="1087"/>
      <c r="AE587" s="1087"/>
      <c r="AF587" s="1087"/>
      <c r="AG587" s="1087"/>
      <c r="AH587" s="1087"/>
      <c r="AI587" s="1087"/>
      <c r="AJ587" s="1087"/>
      <c r="AK587" s="1087"/>
      <c r="AL587"/>
      <c r="AM587" s="41"/>
      <c r="AN587" s="41"/>
      <c r="AO587" s="41"/>
      <c r="AP587" s="41"/>
      <c r="AQ587" s="41"/>
      <c r="AR587" s="41"/>
      <c r="AS587" s="41"/>
      <c r="AT587" s="41"/>
      <c r="AU587" s="41"/>
      <c r="AV587" s="41"/>
      <c r="AW587" s="41"/>
      <c r="AX587" s="41"/>
      <c r="AY587" s="41"/>
      <c r="AZ587" s="41"/>
      <c r="BN587" s="847" t="s">
        <v>447</v>
      </c>
      <c r="BO587" s="847"/>
      <c r="BP587" s="847"/>
      <c r="BQ587" s="177"/>
      <c r="BR587" s="848"/>
      <c r="BS587" s="847" t="s">
        <v>470</v>
      </c>
      <c r="BT587" s="847"/>
      <c r="BU587" s="847"/>
      <c r="BV587" s="177"/>
      <c r="BW587" s="848"/>
      <c r="BX587" s="848" t="s">
        <v>816</v>
      </c>
      <c r="BY587" s="847"/>
      <c r="BZ587" s="847"/>
      <c r="CA587" s="847"/>
      <c r="CB587" s="847"/>
      <c r="CC587" s="847" t="s">
        <v>817</v>
      </c>
      <c r="CD587" s="847"/>
      <c r="CE587" s="847"/>
      <c r="CF587" s="847"/>
      <c r="CG587" s="847"/>
      <c r="CH587" s="847" t="s">
        <v>828</v>
      </c>
      <c r="CI587" s="847"/>
      <c r="CJ587" s="847"/>
      <c r="CK587" s="847"/>
      <c r="CL587" s="847"/>
      <c r="CM587" s="847" t="s">
        <v>365</v>
      </c>
      <c r="CN587" s="847"/>
      <c r="CO587" s="847"/>
      <c r="CP587" s="177"/>
      <c r="CQ587" s="848"/>
      <c r="CS587" s="41" t="s">
        <v>924</v>
      </c>
      <c r="CT587" s="41"/>
      <c r="CU587" s="41"/>
      <c r="CV587" s="41"/>
      <c r="CW587" s="41"/>
      <c r="CX587" s="41"/>
      <c r="CY587" s="41"/>
      <c r="CZ587" s="41"/>
      <c r="DA587" s="41"/>
      <c r="DB587" s="41"/>
      <c r="DC587" s="41"/>
      <c r="DD587" s="41"/>
      <c r="DE587" s="41"/>
      <c r="DF587" s="41"/>
      <c r="DG587" s="41"/>
      <c r="DH587" s="41"/>
      <c r="DI587" s="41"/>
      <c r="DJ587" s="41"/>
      <c r="DK587" s="41"/>
      <c r="DL587" s="41"/>
      <c r="DM587" s="41"/>
      <c r="DN587" s="41"/>
      <c r="DO587" s="41"/>
      <c r="DP587" s="41"/>
      <c r="DQ587" s="41"/>
      <c r="DR587" s="41"/>
      <c r="DS587" s="41"/>
      <c r="DT587" s="41"/>
      <c r="DU587" s="41"/>
      <c r="DV587" s="41"/>
    </row>
    <row r="588" spans="1:126" s="5" customFormat="1" ht="12.95" customHeight="1">
      <c r="A588" s="4"/>
      <c r="B588" t="s">
        <v>685</v>
      </c>
      <c r="C588"/>
      <c r="D588"/>
      <c r="E588"/>
      <c r="F588"/>
      <c r="G588" s="1111"/>
      <c r="H588" s="1111"/>
      <c r="I588" s="1111"/>
      <c r="J588" s="1111"/>
      <c r="K588" s="1111"/>
      <c r="L588" s="1111"/>
      <c r="M588"/>
      <c r="N588"/>
      <c r="O588" s="42" t="s">
        <v>858</v>
      </c>
      <c r="P588" s="1282"/>
      <c r="Q588" s="1282"/>
      <c r="R588" s="1282"/>
      <c r="S588"/>
      <c r="T588" s="4"/>
      <c r="U588" t="s">
        <v>685</v>
      </c>
      <c r="V588"/>
      <c r="W588"/>
      <c r="X588"/>
      <c r="Y588"/>
      <c r="Z588" s="1111"/>
      <c r="AA588" s="1111"/>
      <c r="AB588" s="1111"/>
      <c r="AC588" s="1111"/>
      <c r="AD588" s="1111"/>
      <c r="AE588" s="1111"/>
      <c r="AF588"/>
      <c r="AG588"/>
      <c r="AH588" s="42" t="s">
        <v>858</v>
      </c>
      <c r="AI588" s="1282"/>
      <c r="AJ588" s="1282"/>
      <c r="AK588" s="1282"/>
      <c r="AL588"/>
      <c r="AZ588" s="5" t="s">
        <v>469</v>
      </c>
      <c r="BA588" s="41"/>
      <c r="BB588" s="41"/>
      <c r="BC588" s="41"/>
      <c r="BD588" s="41"/>
      <c r="BE588" s="214" t="s">
        <v>372</v>
      </c>
      <c r="BF588" s="215"/>
      <c r="BG588" s="1240"/>
      <c r="BH588" s="1243"/>
      <c r="BI588" s="214" t="s">
        <v>373</v>
      </c>
      <c r="BJ588" s="215"/>
      <c r="BK588" s="1240"/>
      <c r="BL588" s="1243"/>
      <c r="BN588" s="1240">
        <f t="shared" ref="BN588:BN612" si="1">IF(B692="SRO/Studio",G692,0)</f>
        <v>8</v>
      </c>
      <c r="BO588" s="1241"/>
      <c r="BP588" s="1241"/>
      <c r="BQ588" s="1241"/>
      <c r="BR588" s="1242"/>
      <c r="BS588" s="1240">
        <f t="shared" ref="BS588:BS612" si="2">IF(B692="1 Bedroom",G692,0)</f>
        <v>0</v>
      </c>
      <c r="BT588" s="1241"/>
      <c r="BU588" s="1241"/>
      <c r="BV588" s="1241"/>
      <c r="BW588" s="1243"/>
      <c r="BX588" s="1240">
        <f t="shared" ref="BX588:BX612" si="3">IF(B692="2 Bedrooms",G692,0)</f>
        <v>0</v>
      </c>
      <c r="BY588" s="1241"/>
      <c r="BZ588" s="1241"/>
      <c r="CA588" s="1241"/>
      <c r="CB588" s="1243"/>
      <c r="CC588" s="1240">
        <f t="shared" ref="CC588:CC612" si="4">IF(B692="3 Bedrooms",G692,0)</f>
        <v>0</v>
      </c>
      <c r="CD588" s="1241"/>
      <c r="CE588" s="1241"/>
      <c r="CF588" s="1241"/>
      <c r="CG588" s="1243"/>
      <c r="CH588" s="1240">
        <f t="shared" ref="CH588:CH612" si="5">IF(B692="4 Bedrooms",G692,0)</f>
        <v>0</v>
      </c>
      <c r="CI588" s="1241"/>
      <c r="CJ588" s="1241"/>
      <c r="CK588" s="1241"/>
      <c r="CL588" s="1243"/>
      <c r="CM588" s="1492">
        <f t="shared" ref="CM588:CM612" si="6">IF(B692="5 Bedrooms",G692,0)</f>
        <v>0</v>
      </c>
      <c r="CN588" s="1493"/>
      <c r="CO588" s="1493"/>
      <c r="CP588" s="1493"/>
      <c r="CQ588" s="1242"/>
      <c r="CS588" s="847" t="s">
        <v>447</v>
      </c>
      <c r="CT588" s="847"/>
      <c r="CU588" s="847"/>
      <c r="CV588" s="847"/>
      <c r="CW588" s="847"/>
      <c r="CX588" s="847" t="s">
        <v>470</v>
      </c>
      <c r="CY588" s="847"/>
      <c r="CZ588" s="177"/>
      <c r="DA588" s="178"/>
      <c r="DB588" s="848"/>
      <c r="DC588" s="847" t="s">
        <v>816</v>
      </c>
      <c r="DD588" s="847"/>
      <c r="DE588" s="847"/>
      <c r="DF588" s="847"/>
      <c r="DG588" s="847"/>
      <c r="DH588" s="847" t="s">
        <v>817</v>
      </c>
      <c r="DI588" s="847"/>
      <c r="DJ588" s="847"/>
      <c r="DK588" s="847"/>
      <c r="DL588" s="847"/>
      <c r="DM588" s="847" t="s">
        <v>828</v>
      </c>
      <c r="DN588" s="847"/>
      <c r="DO588" s="847"/>
      <c r="DP588" s="847"/>
      <c r="DQ588" s="847"/>
      <c r="DR588" s="847" t="s">
        <v>365</v>
      </c>
      <c r="DS588" s="847"/>
      <c r="DT588" s="847"/>
      <c r="DU588" s="847"/>
      <c r="DV588" s="847"/>
    </row>
    <row r="589" spans="1:126" s="5" customFormat="1" ht="12.95" customHeight="1">
      <c r="A589" s="4"/>
      <c r="B589" t="s">
        <v>874</v>
      </c>
      <c r="C589"/>
      <c r="D589"/>
      <c r="E589"/>
      <c r="F589"/>
      <c r="G589"/>
      <c r="H589" s="1085"/>
      <c r="I589" s="1085"/>
      <c r="J589" s="1085"/>
      <c r="K589" s="1085"/>
      <c r="L589" s="1085"/>
      <c r="M589" s="1085"/>
      <c r="N589" s="1085"/>
      <c r="O589" s="1085"/>
      <c r="P589" s="1085"/>
      <c r="Q589" s="1085"/>
      <c r="R589" s="1085"/>
      <c r="S589"/>
      <c r="T589" s="4"/>
      <c r="U589" t="s">
        <v>874</v>
      </c>
      <c r="V589"/>
      <c r="W589"/>
      <c r="X589"/>
      <c r="Y589"/>
      <c r="Z589"/>
      <c r="AA589" s="1085"/>
      <c r="AB589" s="1085"/>
      <c r="AC589" s="1085"/>
      <c r="AD589" s="1085"/>
      <c r="AE589" s="1085"/>
      <c r="AF589" s="1085"/>
      <c r="AG589" s="1085"/>
      <c r="AH589" s="1085"/>
      <c r="AI589" s="1085"/>
      <c r="AJ589" s="1085"/>
      <c r="AK589" s="1085"/>
      <c r="AL589"/>
      <c r="AZ589" s="5" t="s">
        <v>470</v>
      </c>
      <c r="BA589" s="41"/>
      <c r="BB589" s="41"/>
      <c r="BC589" s="41"/>
      <c r="BD589" s="41"/>
      <c r="BE589" s="1244">
        <f>IF(AND(AH692&lt;=0.5,AH692&gt;=0.36),1,0)</f>
        <v>0</v>
      </c>
      <c r="BF589" s="1245"/>
      <c r="BG589" s="1240">
        <f t="shared" ref="BG589:BG613" si="7">IF(BE589=1,G692,0)</f>
        <v>0</v>
      </c>
      <c r="BH589" s="1243"/>
      <c r="BI589" s="1244">
        <f>IF(AND(AH692&lt;=0.35,AH692&gt;0),1,0)</f>
        <v>1</v>
      </c>
      <c r="BJ589" s="1245"/>
      <c r="BK589" s="1240">
        <f t="shared" ref="BK589:BK613" si="8">IF(BI589=1,G692,0)</f>
        <v>8</v>
      </c>
      <c r="BL589" s="1243"/>
      <c r="BN589" s="1240">
        <f t="shared" si="1"/>
        <v>0</v>
      </c>
      <c r="BO589" s="1241"/>
      <c r="BP589" s="1241"/>
      <c r="BQ589" s="1241"/>
      <c r="BR589" s="1242"/>
      <c r="BS589" s="1240">
        <f t="shared" si="2"/>
        <v>0</v>
      </c>
      <c r="BT589" s="1241"/>
      <c r="BU589" s="1241"/>
      <c r="BV589" s="1241"/>
      <c r="BW589" s="1243"/>
      <c r="BX589" s="1240">
        <f t="shared" si="3"/>
        <v>1</v>
      </c>
      <c r="BY589" s="1241"/>
      <c r="BZ589" s="1241"/>
      <c r="CA589" s="1241"/>
      <c r="CB589" s="1243"/>
      <c r="CC589" s="1240">
        <f t="shared" si="4"/>
        <v>0</v>
      </c>
      <c r="CD589" s="1241"/>
      <c r="CE589" s="1241"/>
      <c r="CF589" s="1241"/>
      <c r="CG589" s="1243"/>
      <c r="CH589" s="1240">
        <f t="shared" si="5"/>
        <v>0</v>
      </c>
      <c r="CI589" s="1241"/>
      <c r="CJ589" s="1241"/>
      <c r="CK589" s="1241"/>
      <c r="CL589" s="1243"/>
      <c r="CM589" s="1240">
        <f t="shared" si="6"/>
        <v>0</v>
      </c>
      <c r="CN589" s="1241"/>
      <c r="CO589" s="1241"/>
      <c r="CP589" s="1241"/>
      <c r="CQ589" s="1243"/>
      <c r="CS589" s="1489">
        <f>IF(AND(B692="SRO/Studio",AH692&lt;=0.3),G692,0)</f>
        <v>8</v>
      </c>
      <c r="CT589" s="1490"/>
      <c r="CU589" s="1490"/>
      <c r="CV589" s="1490"/>
      <c r="CW589" s="1491"/>
      <c r="CX589" s="1489">
        <f>IF(AND(B692="1 Bedroom",AH692&lt;=0.3),G692,0)</f>
        <v>0</v>
      </c>
      <c r="CY589" s="1490"/>
      <c r="CZ589" s="1490"/>
      <c r="DA589" s="1490"/>
      <c r="DB589" s="1491"/>
      <c r="DC589" s="1489">
        <f>IF(AND(B692="2 Bedrooms",AH692&lt;=0.3),G692,0)</f>
        <v>0</v>
      </c>
      <c r="DD589" s="1490"/>
      <c r="DE589" s="1490"/>
      <c r="DF589" s="1490"/>
      <c r="DG589" s="1491"/>
      <c r="DH589" s="1489">
        <f>IF(AND(B692="3 Bedrooms",AH692&lt;=0.3),G692,0)</f>
        <v>0</v>
      </c>
      <c r="DI589" s="1490"/>
      <c r="DJ589" s="1490"/>
      <c r="DK589" s="1490"/>
      <c r="DL589" s="1491"/>
      <c r="DM589" s="1489">
        <f>IF(AND(B692="4 Bedrooms",AH692&lt;=0.3),G692,0)</f>
        <v>0</v>
      </c>
      <c r="DN589" s="1490"/>
      <c r="DO589" s="1490"/>
      <c r="DP589" s="1490"/>
      <c r="DQ589" s="1491"/>
      <c r="DR589" s="1489">
        <f>IF(AND(B692="5 Bedrooms",AH692&lt;=0.3),G692,0)</f>
        <v>0</v>
      </c>
      <c r="DS589" s="1490"/>
      <c r="DT589" s="1490"/>
      <c r="DU589" s="1490"/>
      <c r="DV589" s="1491"/>
    </row>
    <row r="590" spans="1:126" s="5" customFormat="1" ht="12.95" customHeight="1">
      <c r="A590" s="4"/>
      <c r="B590" t="s">
        <v>876</v>
      </c>
      <c r="C590"/>
      <c r="D590"/>
      <c r="E590"/>
      <c r="F590"/>
      <c r="G590"/>
      <c r="H590"/>
      <c r="I590"/>
      <c r="J590"/>
      <c r="K590"/>
      <c r="L590"/>
      <c r="M590"/>
      <c r="N590" s="1101" t="s">
        <v>510</v>
      </c>
      <c r="O590" s="1101"/>
      <c r="P590"/>
      <c r="Q590"/>
      <c r="R590"/>
      <c r="S590"/>
      <c r="T590" s="4"/>
      <c r="U590" t="s">
        <v>876</v>
      </c>
      <c r="V590"/>
      <c r="W590"/>
      <c r="X590"/>
      <c r="Y590"/>
      <c r="Z590"/>
      <c r="AA590"/>
      <c r="AB590"/>
      <c r="AC590"/>
      <c r="AD590"/>
      <c r="AE590"/>
      <c r="AF590"/>
      <c r="AG590" s="1101" t="s">
        <v>510</v>
      </c>
      <c r="AH590" s="1101"/>
      <c r="AI590"/>
      <c r="AJ590"/>
      <c r="AK590"/>
      <c r="AL590"/>
      <c r="AZ590" s="5" t="s">
        <v>816</v>
      </c>
      <c r="BA590" s="41"/>
      <c r="BB590" s="41"/>
      <c r="BC590" s="41"/>
      <c r="BD590" s="41"/>
      <c r="BE590" s="1244">
        <f t="shared" ref="BE590:BE613" si="9">IF(AND(AH693&lt;=0.5,AH693&gt;=0.36),1,0)</f>
        <v>0</v>
      </c>
      <c r="BF590" s="1245"/>
      <c r="BG590" s="1240">
        <f t="shared" si="7"/>
        <v>0</v>
      </c>
      <c r="BH590" s="1243"/>
      <c r="BI590" s="1244">
        <f t="shared" ref="BI590:BI613" si="10">IF(AND(AH693&lt;=0.35,AH693&gt;0),1,0)</f>
        <v>1</v>
      </c>
      <c r="BJ590" s="1245"/>
      <c r="BK590" s="1240">
        <f t="shared" si="8"/>
        <v>1</v>
      </c>
      <c r="BL590" s="1243"/>
      <c r="BN590" s="1240">
        <f t="shared" si="1"/>
        <v>0</v>
      </c>
      <c r="BO590" s="1241"/>
      <c r="BP590" s="1241"/>
      <c r="BQ590" s="1241"/>
      <c r="BR590" s="1242"/>
      <c r="BS590" s="1240">
        <f t="shared" si="2"/>
        <v>0</v>
      </c>
      <c r="BT590" s="1241"/>
      <c r="BU590" s="1241"/>
      <c r="BV590" s="1241"/>
      <c r="BW590" s="1243"/>
      <c r="BX590" s="1240">
        <f t="shared" si="3"/>
        <v>1</v>
      </c>
      <c r="BY590" s="1241"/>
      <c r="BZ590" s="1241"/>
      <c r="CA590" s="1241"/>
      <c r="CB590" s="1243"/>
      <c r="CC590" s="1240">
        <f t="shared" si="4"/>
        <v>0</v>
      </c>
      <c r="CD590" s="1241"/>
      <c r="CE590" s="1241"/>
      <c r="CF590" s="1241"/>
      <c r="CG590" s="1243"/>
      <c r="CH590" s="1240">
        <f t="shared" si="5"/>
        <v>0</v>
      </c>
      <c r="CI590" s="1241"/>
      <c r="CJ590" s="1241"/>
      <c r="CK590" s="1241"/>
      <c r="CL590" s="1243"/>
      <c r="CM590" s="1240">
        <f t="shared" si="6"/>
        <v>0</v>
      </c>
      <c r="CN590" s="1241"/>
      <c r="CO590" s="1241"/>
      <c r="CP590" s="1241"/>
      <c r="CQ590" s="1243"/>
      <c r="CS590" s="1489">
        <f t="shared" ref="CS590:CS613" si="11">IF(AND(B693="SRO/Studio",AH693&lt;=0.3),G693,0)</f>
        <v>0</v>
      </c>
      <c r="CT590" s="1490"/>
      <c r="CU590" s="1490"/>
      <c r="CV590" s="1490"/>
      <c r="CW590" s="1491"/>
      <c r="CX590" s="1489">
        <f t="shared" ref="CX590:CX613" si="12">IF(AND(B693="1 Bedroom",AH693&lt;=0.3),G693,0)</f>
        <v>0</v>
      </c>
      <c r="CY590" s="1490"/>
      <c r="CZ590" s="1490"/>
      <c r="DA590" s="1490"/>
      <c r="DB590" s="1491"/>
      <c r="DC590" s="1489">
        <f t="shared" ref="DC590:DC613" si="13">IF(AND(B693="2 Bedrooms",AH693&lt;=0.3),G693,0)</f>
        <v>1</v>
      </c>
      <c r="DD590" s="1490"/>
      <c r="DE590" s="1490"/>
      <c r="DF590" s="1490"/>
      <c r="DG590" s="1491"/>
      <c r="DH590" s="1489">
        <f t="shared" ref="DH590:DH613" si="14">IF(AND(B693="3 Bedrooms",AH693&lt;=0.3),G693,0)</f>
        <v>0</v>
      </c>
      <c r="DI590" s="1490"/>
      <c r="DJ590" s="1490"/>
      <c r="DK590" s="1490"/>
      <c r="DL590" s="1491"/>
      <c r="DM590" s="1489">
        <f t="shared" ref="DM590:DM613" si="15">IF(AND(B693="4 Bedrooms",AH693&lt;=0.3),G693,0)</f>
        <v>0</v>
      </c>
      <c r="DN590" s="1490"/>
      <c r="DO590" s="1490"/>
      <c r="DP590" s="1490"/>
      <c r="DQ590" s="1491"/>
      <c r="DR590" s="1489">
        <f t="shared" ref="DR590:DR613" si="16">IF(AND(B693="5 Bedrooms",AH693&lt;=0.3),G693,0)</f>
        <v>0</v>
      </c>
      <c r="DS590" s="1490"/>
      <c r="DT590" s="1490"/>
      <c r="DU590" s="1490"/>
      <c r="DV590" s="1491"/>
    </row>
    <row r="591" spans="1:126" ht="12.95" customHeight="1">
      <c r="AZ591" s="5" t="s">
        <v>817</v>
      </c>
      <c r="BA591" s="41"/>
      <c r="BB591" s="41"/>
      <c r="BC591" s="41"/>
      <c r="BD591" s="41"/>
      <c r="BE591" s="1244">
        <f t="shared" si="9"/>
        <v>1</v>
      </c>
      <c r="BF591" s="1245"/>
      <c r="BG591" s="1240">
        <f t="shared" si="7"/>
        <v>1</v>
      </c>
      <c r="BH591" s="1243"/>
      <c r="BI591" s="1244">
        <f t="shared" si="10"/>
        <v>0</v>
      </c>
      <c r="BJ591" s="1245"/>
      <c r="BK591" s="1240">
        <f t="shared" si="8"/>
        <v>0</v>
      </c>
      <c r="BL591" s="1243"/>
      <c r="BN591" s="1240">
        <f t="shared" si="1"/>
        <v>3</v>
      </c>
      <c r="BO591" s="1241"/>
      <c r="BP591" s="1241"/>
      <c r="BQ591" s="1241"/>
      <c r="BR591" s="1242"/>
      <c r="BS591" s="1240">
        <f t="shared" si="2"/>
        <v>0</v>
      </c>
      <c r="BT591" s="1241"/>
      <c r="BU591" s="1241"/>
      <c r="BV591" s="1241"/>
      <c r="BW591" s="1243"/>
      <c r="BX591" s="1240">
        <f t="shared" si="3"/>
        <v>0</v>
      </c>
      <c r="BY591" s="1241"/>
      <c r="BZ591" s="1241"/>
      <c r="CA591" s="1241"/>
      <c r="CB591" s="1243"/>
      <c r="CC591" s="1240">
        <f t="shared" si="4"/>
        <v>0</v>
      </c>
      <c r="CD591" s="1241"/>
      <c r="CE591" s="1241"/>
      <c r="CF591" s="1241"/>
      <c r="CG591" s="1243"/>
      <c r="CH591" s="1240">
        <f t="shared" si="5"/>
        <v>0</v>
      </c>
      <c r="CI591" s="1241"/>
      <c r="CJ591" s="1241"/>
      <c r="CK591" s="1241"/>
      <c r="CL591" s="1243"/>
      <c r="CM591" s="1240">
        <f t="shared" si="6"/>
        <v>0</v>
      </c>
      <c r="CN591" s="1241"/>
      <c r="CO591" s="1241"/>
      <c r="CP591" s="1241"/>
      <c r="CQ591" s="1243"/>
      <c r="CS591" s="1489">
        <f t="shared" si="11"/>
        <v>0</v>
      </c>
      <c r="CT591" s="1490"/>
      <c r="CU591" s="1490"/>
      <c r="CV591" s="1490"/>
      <c r="CW591" s="1491"/>
      <c r="CX591" s="1489">
        <f t="shared" si="12"/>
        <v>0</v>
      </c>
      <c r="CY591" s="1490"/>
      <c r="CZ591" s="1490"/>
      <c r="DA591" s="1490"/>
      <c r="DB591" s="1491"/>
      <c r="DC591" s="1489">
        <f t="shared" si="13"/>
        <v>0</v>
      </c>
      <c r="DD591" s="1490"/>
      <c r="DE591" s="1490"/>
      <c r="DF591" s="1490"/>
      <c r="DG591" s="1491"/>
      <c r="DH591" s="1489">
        <f t="shared" si="14"/>
        <v>0</v>
      </c>
      <c r="DI591" s="1490"/>
      <c r="DJ591" s="1490"/>
      <c r="DK591" s="1490"/>
      <c r="DL591" s="1491"/>
      <c r="DM591" s="1489">
        <f t="shared" si="15"/>
        <v>0</v>
      </c>
      <c r="DN591" s="1490"/>
      <c r="DO591" s="1490"/>
      <c r="DP591" s="1490"/>
      <c r="DQ591" s="1491"/>
      <c r="DR591" s="1489">
        <f t="shared" si="16"/>
        <v>0</v>
      </c>
      <c r="DS591" s="1490"/>
      <c r="DT591" s="1490"/>
      <c r="DU591" s="1490"/>
      <c r="DV591" s="1491"/>
    </row>
    <row r="592" spans="1:126" ht="12.95" customHeight="1">
      <c r="A592" s="61" t="s">
        <v>576</v>
      </c>
      <c r="B592" t="s">
        <v>90</v>
      </c>
      <c r="G592" s="1292">
        <f>C554</f>
        <v>0</v>
      </c>
      <c r="H592" s="1292"/>
      <c r="I592" s="1292"/>
      <c r="J592" s="1292"/>
      <c r="K592" s="1292"/>
      <c r="L592" s="1292"/>
      <c r="M592" s="1292"/>
      <c r="N592" s="1292"/>
      <c r="O592" s="1292"/>
      <c r="P592" s="1292"/>
      <c r="Q592" s="1292"/>
      <c r="R592" s="1292"/>
      <c r="T592" s="61" t="s">
        <v>185</v>
      </c>
      <c r="U592" t="s">
        <v>90</v>
      </c>
      <c r="Z592" s="1292">
        <f>C555</f>
        <v>0</v>
      </c>
      <c r="AA592" s="1292"/>
      <c r="AB592" s="1292"/>
      <c r="AC592" s="1292"/>
      <c r="AD592" s="1292"/>
      <c r="AE592" s="1292"/>
      <c r="AF592" s="1292"/>
      <c r="AG592" s="1292"/>
      <c r="AH592" s="1292"/>
      <c r="AI592" s="1292"/>
      <c r="AJ592" s="1292"/>
      <c r="AK592" s="1292"/>
      <c r="AZ592" s="5" t="s">
        <v>818</v>
      </c>
      <c r="BA592" s="41"/>
      <c r="BB592" s="41"/>
      <c r="BC592" s="41"/>
      <c r="BD592" s="41"/>
      <c r="BE592" s="1244">
        <f t="shared" si="9"/>
        <v>0</v>
      </c>
      <c r="BF592" s="1245"/>
      <c r="BG592" s="1240">
        <f t="shared" si="7"/>
        <v>0</v>
      </c>
      <c r="BH592" s="1243"/>
      <c r="BI592" s="1244">
        <f t="shared" si="10"/>
        <v>1</v>
      </c>
      <c r="BJ592" s="1245"/>
      <c r="BK592" s="1240">
        <f t="shared" si="8"/>
        <v>3</v>
      </c>
      <c r="BL592" s="1243"/>
      <c r="BN592" s="1240">
        <f t="shared" si="1"/>
        <v>0</v>
      </c>
      <c r="BO592" s="1241"/>
      <c r="BP592" s="1241"/>
      <c r="BQ592" s="1241"/>
      <c r="BR592" s="1242"/>
      <c r="BS592" s="1240">
        <f t="shared" si="2"/>
        <v>2</v>
      </c>
      <c r="BT592" s="1241"/>
      <c r="BU592" s="1241"/>
      <c r="BV592" s="1241"/>
      <c r="BW592" s="1243"/>
      <c r="BX592" s="1240">
        <f t="shared" si="3"/>
        <v>0</v>
      </c>
      <c r="BY592" s="1241"/>
      <c r="BZ592" s="1241"/>
      <c r="CA592" s="1241"/>
      <c r="CB592" s="1243"/>
      <c r="CC592" s="1240">
        <f t="shared" si="4"/>
        <v>0</v>
      </c>
      <c r="CD592" s="1241"/>
      <c r="CE592" s="1241"/>
      <c r="CF592" s="1241"/>
      <c r="CG592" s="1243"/>
      <c r="CH592" s="1240">
        <f t="shared" si="5"/>
        <v>0</v>
      </c>
      <c r="CI592" s="1241"/>
      <c r="CJ592" s="1241"/>
      <c r="CK592" s="1241"/>
      <c r="CL592" s="1243"/>
      <c r="CM592" s="1240">
        <f t="shared" si="6"/>
        <v>0</v>
      </c>
      <c r="CN592" s="1241"/>
      <c r="CO592" s="1241"/>
      <c r="CP592" s="1241"/>
      <c r="CQ592" s="1243"/>
      <c r="CS592" s="1489">
        <f t="shared" si="11"/>
        <v>3</v>
      </c>
      <c r="CT592" s="1490"/>
      <c r="CU592" s="1490"/>
      <c r="CV592" s="1490"/>
      <c r="CW592" s="1491"/>
      <c r="CX592" s="1489">
        <f t="shared" si="12"/>
        <v>0</v>
      </c>
      <c r="CY592" s="1490"/>
      <c r="CZ592" s="1490"/>
      <c r="DA592" s="1490"/>
      <c r="DB592" s="1491"/>
      <c r="DC592" s="1489">
        <f t="shared" si="13"/>
        <v>0</v>
      </c>
      <c r="DD592" s="1490"/>
      <c r="DE592" s="1490"/>
      <c r="DF592" s="1490"/>
      <c r="DG592" s="1491"/>
      <c r="DH592" s="1489">
        <f t="shared" si="14"/>
        <v>0</v>
      </c>
      <c r="DI592" s="1490"/>
      <c r="DJ592" s="1490"/>
      <c r="DK592" s="1490"/>
      <c r="DL592" s="1491"/>
      <c r="DM592" s="1489">
        <f t="shared" si="15"/>
        <v>0</v>
      </c>
      <c r="DN592" s="1490"/>
      <c r="DO592" s="1490"/>
      <c r="DP592" s="1490"/>
      <c r="DQ592" s="1491"/>
      <c r="DR592" s="1489">
        <f t="shared" si="16"/>
        <v>0</v>
      </c>
      <c r="DS592" s="1490"/>
      <c r="DT592" s="1490"/>
      <c r="DU592" s="1490"/>
      <c r="DV592" s="1491"/>
    </row>
    <row r="593" spans="1:126" ht="12.95" customHeight="1">
      <c r="A593" s="4"/>
      <c r="B593" t="s">
        <v>396</v>
      </c>
      <c r="G593" s="1085"/>
      <c r="H593" s="1085"/>
      <c r="I593" s="1085"/>
      <c r="J593" s="1085"/>
      <c r="K593" s="1085"/>
      <c r="L593" s="1085"/>
      <c r="M593" s="1085"/>
      <c r="N593" s="1085"/>
      <c r="O593" s="1085"/>
      <c r="P593" s="1085"/>
      <c r="Q593" s="1085"/>
      <c r="R593" s="1085"/>
      <c r="T593" s="4"/>
      <c r="U593" t="s">
        <v>396</v>
      </c>
      <c r="Z593" s="1085"/>
      <c r="AA593" s="1085"/>
      <c r="AB593" s="1085"/>
      <c r="AC593" s="1085"/>
      <c r="AD593" s="1085"/>
      <c r="AE593" s="1085"/>
      <c r="AF593" s="1085"/>
      <c r="AG593" s="1085"/>
      <c r="AH593" s="1085"/>
      <c r="AI593" s="1085"/>
      <c r="AJ593" s="1085"/>
      <c r="AK593" s="1085"/>
      <c r="AZ593" s="5" t="s">
        <v>365</v>
      </c>
      <c r="BA593" s="41"/>
      <c r="BB593" s="41"/>
      <c r="BC593" s="41"/>
      <c r="BD593" s="41"/>
      <c r="BE593" s="1244">
        <f t="shared" si="9"/>
        <v>0</v>
      </c>
      <c r="BF593" s="1245"/>
      <c r="BG593" s="1240">
        <f t="shared" si="7"/>
        <v>0</v>
      </c>
      <c r="BH593" s="1243"/>
      <c r="BI593" s="1244">
        <f t="shared" si="10"/>
        <v>1</v>
      </c>
      <c r="BJ593" s="1245"/>
      <c r="BK593" s="1240">
        <f t="shared" si="8"/>
        <v>2</v>
      </c>
      <c r="BL593" s="1243"/>
      <c r="BN593" s="1240">
        <f t="shared" si="1"/>
        <v>0</v>
      </c>
      <c r="BO593" s="1241"/>
      <c r="BP593" s="1241"/>
      <c r="BQ593" s="1241"/>
      <c r="BR593" s="1242"/>
      <c r="BS593" s="1240">
        <f t="shared" si="2"/>
        <v>0</v>
      </c>
      <c r="BT593" s="1241"/>
      <c r="BU593" s="1241"/>
      <c r="BV593" s="1241"/>
      <c r="BW593" s="1243"/>
      <c r="BX593" s="1240">
        <f t="shared" si="3"/>
        <v>0</v>
      </c>
      <c r="BY593" s="1241"/>
      <c r="BZ593" s="1241"/>
      <c r="CA593" s="1241"/>
      <c r="CB593" s="1243"/>
      <c r="CC593" s="1240">
        <f t="shared" si="4"/>
        <v>1</v>
      </c>
      <c r="CD593" s="1241"/>
      <c r="CE593" s="1241"/>
      <c r="CF593" s="1241"/>
      <c r="CG593" s="1243"/>
      <c r="CH593" s="1240">
        <f t="shared" si="5"/>
        <v>0</v>
      </c>
      <c r="CI593" s="1241"/>
      <c r="CJ593" s="1241"/>
      <c r="CK593" s="1241"/>
      <c r="CL593" s="1243"/>
      <c r="CM593" s="1240">
        <f t="shared" si="6"/>
        <v>0</v>
      </c>
      <c r="CN593" s="1241"/>
      <c r="CO593" s="1241"/>
      <c r="CP593" s="1241"/>
      <c r="CQ593" s="1243"/>
      <c r="CS593" s="1489">
        <f t="shared" si="11"/>
        <v>0</v>
      </c>
      <c r="CT593" s="1490"/>
      <c r="CU593" s="1490"/>
      <c r="CV593" s="1490"/>
      <c r="CW593" s="1491"/>
      <c r="CX593" s="1489">
        <f t="shared" si="12"/>
        <v>2</v>
      </c>
      <c r="CY593" s="1490"/>
      <c r="CZ593" s="1490"/>
      <c r="DA593" s="1490"/>
      <c r="DB593" s="1491"/>
      <c r="DC593" s="1489">
        <f t="shared" si="13"/>
        <v>0</v>
      </c>
      <c r="DD593" s="1490"/>
      <c r="DE593" s="1490"/>
      <c r="DF593" s="1490"/>
      <c r="DG593" s="1491"/>
      <c r="DH593" s="1489">
        <f t="shared" si="14"/>
        <v>0</v>
      </c>
      <c r="DI593" s="1490"/>
      <c r="DJ593" s="1490"/>
      <c r="DK593" s="1490"/>
      <c r="DL593" s="1491"/>
      <c r="DM593" s="1489">
        <f t="shared" si="15"/>
        <v>0</v>
      </c>
      <c r="DN593" s="1490"/>
      <c r="DO593" s="1490"/>
      <c r="DP593" s="1490"/>
      <c r="DQ593" s="1491"/>
      <c r="DR593" s="1489">
        <f t="shared" si="16"/>
        <v>0</v>
      </c>
      <c r="DS593" s="1490"/>
      <c r="DT593" s="1490"/>
      <c r="DU593" s="1490"/>
      <c r="DV593" s="1491"/>
    </row>
    <row r="594" spans="1:126" ht="12.95" customHeight="1">
      <c r="A594" s="4"/>
      <c r="B594" t="s">
        <v>458</v>
      </c>
      <c r="G594" s="1085"/>
      <c r="H594" s="1085"/>
      <c r="I594" s="1085"/>
      <c r="J594" s="1085"/>
      <c r="K594" s="1085"/>
      <c r="L594" s="1085"/>
      <c r="M594" s="1085"/>
      <c r="N594" s="1085"/>
      <c r="O594" s="1085"/>
      <c r="P594" s="1085"/>
      <c r="Q594" s="1085"/>
      <c r="R594" s="1085"/>
      <c r="T594" s="4"/>
      <c r="U594" t="s">
        <v>458</v>
      </c>
      <c r="Z594" s="1087"/>
      <c r="AA594" s="1087"/>
      <c r="AB594" s="1087"/>
      <c r="AC594" s="1087"/>
      <c r="AD594" s="1087"/>
      <c r="AE594" s="1087"/>
      <c r="AF594" s="1087"/>
      <c r="AG594" s="1087"/>
      <c r="AH594" s="1087"/>
      <c r="AI594" s="1087"/>
      <c r="AJ594" s="1087"/>
      <c r="AK594" s="1087"/>
      <c r="AZ594" s="41"/>
      <c r="BA594" s="41"/>
      <c r="BB594" s="41"/>
      <c r="BC594" s="41"/>
      <c r="BD594" s="41"/>
      <c r="BE594" s="1244">
        <f t="shared" si="9"/>
        <v>0</v>
      </c>
      <c r="BF594" s="1245"/>
      <c r="BG594" s="1240">
        <f t="shared" si="7"/>
        <v>0</v>
      </c>
      <c r="BH594" s="1243"/>
      <c r="BI594" s="1244">
        <f t="shared" si="10"/>
        <v>1</v>
      </c>
      <c r="BJ594" s="1245"/>
      <c r="BK594" s="1240">
        <f t="shared" si="8"/>
        <v>1</v>
      </c>
      <c r="BL594" s="1243"/>
      <c r="BN594" s="1240">
        <f t="shared" si="1"/>
        <v>1</v>
      </c>
      <c r="BO594" s="1241"/>
      <c r="BP594" s="1241"/>
      <c r="BQ594" s="1241"/>
      <c r="BR594" s="1242"/>
      <c r="BS594" s="1240">
        <f t="shared" si="2"/>
        <v>0</v>
      </c>
      <c r="BT594" s="1241"/>
      <c r="BU594" s="1241"/>
      <c r="BV594" s="1241"/>
      <c r="BW594" s="1243"/>
      <c r="BX594" s="1240">
        <f t="shared" si="3"/>
        <v>0</v>
      </c>
      <c r="BY594" s="1241"/>
      <c r="BZ594" s="1241"/>
      <c r="CA594" s="1241"/>
      <c r="CB594" s="1243"/>
      <c r="CC594" s="1240">
        <f t="shared" si="4"/>
        <v>0</v>
      </c>
      <c r="CD594" s="1241"/>
      <c r="CE594" s="1241"/>
      <c r="CF594" s="1241"/>
      <c r="CG594" s="1243"/>
      <c r="CH594" s="1240">
        <f t="shared" si="5"/>
        <v>0</v>
      </c>
      <c r="CI594" s="1241"/>
      <c r="CJ594" s="1241"/>
      <c r="CK594" s="1241"/>
      <c r="CL594" s="1243"/>
      <c r="CM594" s="1240">
        <f t="shared" si="6"/>
        <v>0</v>
      </c>
      <c r="CN594" s="1241"/>
      <c r="CO594" s="1241"/>
      <c r="CP594" s="1241"/>
      <c r="CQ594" s="1243"/>
      <c r="CS594" s="1489">
        <f t="shared" si="11"/>
        <v>0</v>
      </c>
      <c r="CT594" s="1490"/>
      <c r="CU594" s="1490"/>
      <c r="CV594" s="1490"/>
      <c r="CW594" s="1491"/>
      <c r="CX594" s="1489">
        <f t="shared" si="12"/>
        <v>0</v>
      </c>
      <c r="CY594" s="1490"/>
      <c r="CZ594" s="1490"/>
      <c r="DA594" s="1490"/>
      <c r="DB594" s="1491"/>
      <c r="DC594" s="1489">
        <f t="shared" si="13"/>
        <v>0</v>
      </c>
      <c r="DD594" s="1490"/>
      <c r="DE594" s="1490"/>
      <c r="DF594" s="1490"/>
      <c r="DG594" s="1491"/>
      <c r="DH594" s="1489">
        <f t="shared" si="14"/>
        <v>1</v>
      </c>
      <c r="DI594" s="1490"/>
      <c r="DJ594" s="1490"/>
      <c r="DK594" s="1490"/>
      <c r="DL594" s="1491"/>
      <c r="DM594" s="1489">
        <f t="shared" si="15"/>
        <v>0</v>
      </c>
      <c r="DN594" s="1490"/>
      <c r="DO594" s="1490"/>
      <c r="DP594" s="1490"/>
      <c r="DQ594" s="1491"/>
      <c r="DR594" s="1489">
        <f t="shared" si="16"/>
        <v>0</v>
      </c>
      <c r="DS594" s="1490"/>
      <c r="DT594" s="1490"/>
      <c r="DU594" s="1490"/>
      <c r="DV594" s="1491"/>
    </row>
    <row r="595" spans="1:126" ht="12.95" customHeight="1">
      <c r="A595" s="4"/>
      <c r="B595" t="s">
        <v>873</v>
      </c>
      <c r="G595" s="1085"/>
      <c r="H595" s="1085"/>
      <c r="I595" s="1085"/>
      <c r="J595" s="1085"/>
      <c r="K595" s="1085"/>
      <c r="L595" s="1085"/>
      <c r="M595" s="1085"/>
      <c r="N595" s="1085"/>
      <c r="O595" s="1085"/>
      <c r="P595" s="1085"/>
      <c r="Q595" s="1085"/>
      <c r="R595" s="1085"/>
      <c r="T595" s="4"/>
      <c r="U595" t="s">
        <v>873</v>
      </c>
      <c r="Z595" s="1087"/>
      <c r="AA595" s="1087"/>
      <c r="AB595" s="1087"/>
      <c r="AC595" s="1087"/>
      <c r="AD595" s="1087"/>
      <c r="AE595" s="1087"/>
      <c r="AF595" s="1087"/>
      <c r="AG595" s="1087"/>
      <c r="AH595" s="1087"/>
      <c r="AI595" s="1087"/>
      <c r="AJ595" s="1087"/>
      <c r="AK595" s="1087"/>
      <c r="AZ595" s="41"/>
      <c r="BA595" s="41"/>
      <c r="BB595" s="41"/>
      <c r="BC595" s="41"/>
      <c r="BD595" s="41"/>
      <c r="BE595" s="1244">
        <f t="shared" si="9"/>
        <v>1</v>
      </c>
      <c r="BF595" s="1245"/>
      <c r="BG595" s="1240">
        <f t="shared" si="7"/>
        <v>1</v>
      </c>
      <c r="BH595" s="1243"/>
      <c r="BI595" s="1244">
        <f t="shared" si="10"/>
        <v>0</v>
      </c>
      <c r="BJ595" s="1245"/>
      <c r="BK595" s="1240">
        <f t="shared" si="8"/>
        <v>0</v>
      </c>
      <c r="BL595" s="1243"/>
      <c r="BN595" s="1240">
        <f t="shared" si="1"/>
        <v>0</v>
      </c>
      <c r="BO595" s="1241"/>
      <c r="BP595" s="1241"/>
      <c r="BQ595" s="1241"/>
      <c r="BR595" s="1242"/>
      <c r="BS595" s="1240">
        <f t="shared" si="2"/>
        <v>1</v>
      </c>
      <c r="BT595" s="1241"/>
      <c r="BU595" s="1241"/>
      <c r="BV595" s="1241"/>
      <c r="BW595" s="1243"/>
      <c r="BX595" s="1240">
        <f t="shared" si="3"/>
        <v>0</v>
      </c>
      <c r="BY595" s="1241"/>
      <c r="BZ595" s="1241"/>
      <c r="CA595" s="1241"/>
      <c r="CB595" s="1243"/>
      <c r="CC595" s="1240">
        <f t="shared" si="4"/>
        <v>0</v>
      </c>
      <c r="CD595" s="1241"/>
      <c r="CE595" s="1241"/>
      <c r="CF595" s="1241"/>
      <c r="CG595" s="1243"/>
      <c r="CH595" s="1240">
        <f t="shared" si="5"/>
        <v>0</v>
      </c>
      <c r="CI595" s="1241"/>
      <c r="CJ595" s="1241"/>
      <c r="CK595" s="1241"/>
      <c r="CL595" s="1243"/>
      <c r="CM595" s="1240">
        <f t="shared" si="6"/>
        <v>0</v>
      </c>
      <c r="CN595" s="1241"/>
      <c r="CO595" s="1241"/>
      <c r="CP595" s="1241"/>
      <c r="CQ595" s="1243"/>
      <c r="CS595" s="1489">
        <f t="shared" si="11"/>
        <v>0</v>
      </c>
      <c r="CT595" s="1490"/>
      <c r="CU595" s="1490"/>
      <c r="CV595" s="1490"/>
      <c r="CW595" s="1491"/>
      <c r="CX595" s="1489">
        <f t="shared" si="12"/>
        <v>0</v>
      </c>
      <c r="CY595" s="1490"/>
      <c r="CZ595" s="1490"/>
      <c r="DA595" s="1490"/>
      <c r="DB595" s="1491"/>
      <c r="DC595" s="1489">
        <f t="shared" si="13"/>
        <v>0</v>
      </c>
      <c r="DD595" s="1490"/>
      <c r="DE595" s="1490"/>
      <c r="DF595" s="1490"/>
      <c r="DG595" s="1491"/>
      <c r="DH595" s="1489">
        <f t="shared" si="14"/>
        <v>0</v>
      </c>
      <c r="DI595" s="1490"/>
      <c r="DJ595" s="1490"/>
      <c r="DK595" s="1490"/>
      <c r="DL595" s="1491"/>
      <c r="DM595" s="1489">
        <f t="shared" si="15"/>
        <v>0</v>
      </c>
      <c r="DN595" s="1490"/>
      <c r="DO595" s="1490"/>
      <c r="DP595" s="1490"/>
      <c r="DQ595" s="1491"/>
      <c r="DR595" s="1489">
        <f t="shared" si="16"/>
        <v>0</v>
      </c>
      <c r="DS595" s="1490"/>
      <c r="DT595" s="1490"/>
      <c r="DU595" s="1490"/>
      <c r="DV595" s="1491"/>
    </row>
    <row r="596" spans="1:126" ht="12.95" customHeight="1">
      <c r="A596" s="4"/>
      <c r="B596" t="s">
        <v>685</v>
      </c>
      <c r="G596" s="1111"/>
      <c r="H596" s="1111"/>
      <c r="I596" s="1111"/>
      <c r="J596" s="1111"/>
      <c r="K596" s="1111"/>
      <c r="L596" s="1111"/>
      <c r="O596" s="42" t="s">
        <v>858</v>
      </c>
      <c r="P596" s="1282"/>
      <c r="Q596" s="1282"/>
      <c r="R596" s="1282"/>
      <c r="T596" s="4"/>
      <c r="U596" t="s">
        <v>685</v>
      </c>
      <c r="Z596" s="1111"/>
      <c r="AA596" s="1111"/>
      <c r="AB596" s="1111"/>
      <c r="AC596" s="1111"/>
      <c r="AD596" s="1111"/>
      <c r="AE596" s="1111"/>
      <c r="AH596" s="42" t="s">
        <v>858</v>
      </c>
      <c r="AI596" s="1282"/>
      <c r="AJ596" s="1282"/>
      <c r="AK596" s="1282"/>
      <c r="AZ596" s="41"/>
      <c r="BA596" s="41"/>
      <c r="BB596" s="41"/>
      <c r="BC596" s="41"/>
      <c r="BD596" s="41"/>
      <c r="BE596" s="1244">
        <f t="shared" si="9"/>
        <v>1</v>
      </c>
      <c r="BF596" s="1245"/>
      <c r="BG596" s="1240">
        <f t="shared" si="7"/>
        <v>1</v>
      </c>
      <c r="BH596" s="1243"/>
      <c r="BI596" s="1244">
        <f t="shared" si="10"/>
        <v>0</v>
      </c>
      <c r="BJ596" s="1245"/>
      <c r="BK596" s="1240">
        <f t="shared" si="8"/>
        <v>0</v>
      </c>
      <c r="BL596" s="1243"/>
      <c r="BN596" s="1240">
        <f t="shared" si="1"/>
        <v>0</v>
      </c>
      <c r="BO596" s="1241"/>
      <c r="BP596" s="1241"/>
      <c r="BQ596" s="1241"/>
      <c r="BR596" s="1242"/>
      <c r="BS596" s="1240">
        <f t="shared" si="2"/>
        <v>0</v>
      </c>
      <c r="BT596" s="1241"/>
      <c r="BU596" s="1241"/>
      <c r="BV596" s="1241"/>
      <c r="BW596" s="1243"/>
      <c r="BX596" s="1240">
        <f t="shared" si="3"/>
        <v>0</v>
      </c>
      <c r="BY596" s="1241"/>
      <c r="BZ596" s="1241"/>
      <c r="CA596" s="1241"/>
      <c r="CB596" s="1243"/>
      <c r="CC596" s="1240">
        <f t="shared" si="4"/>
        <v>1</v>
      </c>
      <c r="CD596" s="1241"/>
      <c r="CE596" s="1241"/>
      <c r="CF596" s="1241"/>
      <c r="CG596" s="1243"/>
      <c r="CH596" s="1240">
        <f t="shared" si="5"/>
        <v>0</v>
      </c>
      <c r="CI596" s="1241"/>
      <c r="CJ596" s="1241"/>
      <c r="CK596" s="1241"/>
      <c r="CL596" s="1243"/>
      <c r="CM596" s="1240">
        <f t="shared" si="6"/>
        <v>0</v>
      </c>
      <c r="CN596" s="1241"/>
      <c r="CO596" s="1241"/>
      <c r="CP596" s="1241"/>
      <c r="CQ596" s="1243"/>
      <c r="CS596" s="1489">
        <f t="shared" si="11"/>
        <v>0</v>
      </c>
      <c r="CT596" s="1490"/>
      <c r="CU596" s="1490"/>
      <c r="CV596" s="1490"/>
      <c r="CW596" s="1491"/>
      <c r="CX596" s="1489">
        <f t="shared" si="12"/>
        <v>0</v>
      </c>
      <c r="CY596" s="1490"/>
      <c r="CZ596" s="1490"/>
      <c r="DA596" s="1490"/>
      <c r="DB596" s="1491"/>
      <c r="DC596" s="1489">
        <f t="shared" si="13"/>
        <v>0</v>
      </c>
      <c r="DD596" s="1490"/>
      <c r="DE596" s="1490"/>
      <c r="DF596" s="1490"/>
      <c r="DG596" s="1491"/>
      <c r="DH596" s="1489">
        <f t="shared" si="14"/>
        <v>0</v>
      </c>
      <c r="DI596" s="1490"/>
      <c r="DJ596" s="1490"/>
      <c r="DK596" s="1490"/>
      <c r="DL596" s="1491"/>
      <c r="DM596" s="1489">
        <f t="shared" si="15"/>
        <v>0</v>
      </c>
      <c r="DN596" s="1490"/>
      <c r="DO596" s="1490"/>
      <c r="DP596" s="1490"/>
      <c r="DQ596" s="1491"/>
      <c r="DR596" s="1489">
        <f t="shared" si="16"/>
        <v>0</v>
      </c>
      <c r="DS596" s="1490"/>
      <c r="DT596" s="1490"/>
      <c r="DU596" s="1490"/>
      <c r="DV596" s="1491"/>
    </row>
    <row r="597" spans="1:126" s="5" customFormat="1" ht="12.95" customHeight="1">
      <c r="A597" s="4"/>
      <c r="B597" t="s">
        <v>874</v>
      </c>
      <c r="C597"/>
      <c r="D597"/>
      <c r="E597"/>
      <c r="F597"/>
      <c r="G597"/>
      <c r="H597" s="1085"/>
      <c r="I597" s="1085"/>
      <c r="J597" s="1085"/>
      <c r="K597" s="1085"/>
      <c r="L597" s="1085"/>
      <c r="M597" s="1085"/>
      <c r="N597" s="1085"/>
      <c r="O597" s="1085"/>
      <c r="P597" s="1085"/>
      <c r="Q597" s="1085"/>
      <c r="R597" s="1085"/>
      <c r="S597"/>
      <c r="T597" s="4"/>
      <c r="U597" t="s">
        <v>874</v>
      </c>
      <c r="V597"/>
      <c r="W597"/>
      <c r="X597"/>
      <c r="Y597"/>
      <c r="Z597"/>
      <c r="AA597" s="1085"/>
      <c r="AB597" s="1085"/>
      <c r="AC597" s="1085"/>
      <c r="AD597" s="1085"/>
      <c r="AE597" s="1085"/>
      <c r="AF597" s="1085"/>
      <c r="AG597" s="1085"/>
      <c r="AH597" s="1085"/>
      <c r="AI597" s="1085"/>
      <c r="AJ597" s="1085"/>
      <c r="AK597" s="1085"/>
      <c r="AL597"/>
      <c r="AZ597" s="41"/>
      <c r="BA597" s="41"/>
      <c r="BB597" s="41"/>
      <c r="BC597" s="41"/>
      <c r="BD597" s="41"/>
      <c r="BE597" s="1244">
        <f t="shared" si="9"/>
        <v>1</v>
      </c>
      <c r="BF597" s="1245"/>
      <c r="BG597" s="1240">
        <f t="shared" si="7"/>
        <v>1</v>
      </c>
      <c r="BH597" s="1243"/>
      <c r="BI597" s="1244">
        <f t="shared" si="10"/>
        <v>0</v>
      </c>
      <c r="BJ597" s="1245"/>
      <c r="BK597" s="1240">
        <f t="shared" si="8"/>
        <v>0</v>
      </c>
      <c r="BL597" s="1243"/>
      <c r="BN597" s="1240">
        <f t="shared" si="1"/>
        <v>0</v>
      </c>
      <c r="BO597" s="1241"/>
      <c r="BP597" s="1241"/>
      <c r="BQ597" s="1241"/>
      <c r="BR597" s="1242"/>
      <c r="BS597" s="1240">
        <f t="shared" si="2"/>
        <v>0</v>
      </c>
      <c r="BT597" s="1241"/>
      <c r="BU597" s="1241"/>
      <c r="BV597" s="1241"/>
      <c r="BW597" s="1243"/>
      <c r="BX597" s="1240">
        <f t="shared" si="3"/>
        <v>1</v>
      </c>
      <c r="BY597" s="1241"/>
      <c r="BZ597" s="1241"/>
      <c r="CA597" s="1241"/>
      <c r="CB597" s="1243"/>
      <c r="CC597" s="1240">
        <f t="shared" si="4"/>
        <v>0</v>
      </c>
      <c r="CD597" s="1241"/>
      <c r="CE597" s="1241"/>
      <c r="CF597" s="1241"/>
      <c r="CG597" s="1243"/>
      <c r="CH597" s="1240">
        <f t="shared" si="5"/>
        <v>0</v>
      </c>
      <c r="CI597" s="1241"/>
      <c r="CJ597" s="1241"/>
      <c r="CK597" s="1241"/>
      <c r="CL597" s="1243"/>
      <c r="CM597" s="1240">
        <f t="shared" si="6"/>
        <v>0</v>
      </c>
      <c r="CN597" s="1241"/>
      <c r="CO597" s="1241"/>
      <c r="CP597" s="1241"/>
      <c r="CQ597" s="1243"/>
      <c r="CS597" s="1489">
        <f t="shared" si="11"/>
        <v>0</v>
      </c>
      <c r="CT597" s="1490"/>
      <c r="CU597" s="1490"/>
      <c r="CV597" s="1490"/>
      <c r="CW597" s="1491"/>
      <c r="CX597" s="1489">
        <f t="shared" si="12"/>
        <v>0</v>
      </c>
      <c r="CY597" s="1490"/>
      <c r="CZ597" s="1490"/>
      <c r="DA597" s="1490"/>
      <c r="DB597" s="1491"/>
      <c r="DC597" s="1489">
        <f t="shared" si="13"/>
        <v>0</v>
      </c>
      <c r="DD597" s="1490"/>
      <c r="DE597" s="1490"/>
      <c r="DF597" s="1490"/>
      <c r="DG597" s="1491"/>
      <c r="DH597" s="1489">
        <f t="shared" si="14"/>
        <v>0</v>
      </c>
      <c r="DI597" s="1490"/>
      <c r="DJ597" s="1490"/>
      <c r="DK597" s="1490"/>
      <c r="DL597" s="1491"/>
      <c r="DM597" s="1489">
        <f t="shared" si="15"/>
        <v>0</v>
      </c>
      <c r="DN597" s="1490"/>
      <c r="DO597" s="1490"/>
      <c r="DP597" s="1490"/>
      <c r="DQ597" s="1491"/>
      <c r="DR597" s="1489">
        <f t="shared" si="16"/>
        <v>0</v>
      </c>
      <c r="DS597" s="1490"/>
      <c r="DT597" s="1490"/>
      <c r="DU597" s="1490"/>
      <c r="DV597" s="1491"/>
    </row>
    <row r="598" spans="1:126" s="5" customFormat="1" ht="12.95" customHeight="1">
      <c r="A598" s="4"/>
      <c r="B598" t="s">
        <v>876</v>
      </c>
      <c r="C598"/>
      <c r="D598"/>
      <c r="E598"/>
      <c r="F598"/>
      <c r="G598"/>
      <c r="H598"/>
      <c r="I598"/>
      <c r="J598"/>
      <c r="K598"/>
      <c r="L598"/>
      <c r="M598"/>
      <c r="N598" s="1101" t="s">
        <v>510</v>
      </c>
      <c r="O598" s="1101"/>
      <c r="P598"/>
      <c r="Q598"/>
      <c r="R598"/>
      <c r="S598"/>
      <c r="T598" s="4"/>
      <c r="U598" t="s">
        <v>876</v>
      </c>
      <c r="V598"/>
      <c r="W598"/>
      <c r="X598"/>
      <c r="Y598"/>
      <c r="Z598"/>
      <c r="AA598"/>
      <c r="AB598"/>
      <c r="AC598"/>
      <c r="AD598"/>
      <c r="AE598"/>
      <c r="AF598"/>
      <c r="AG598" s="1101" t="s">
        <v>510</v>
      </c>
      <c r="AH598" s="1101"/>
      <c r="AI598"/>
      <c r="AJ598"/>
      <c r="AK598"/>
      <c r="AL598"/>
      <c r="AZ598" s="41"/>
      <c r="BA598" s="41"/>
      <c r="BB598" s="41"/>
      <c r="BC598" s="41"/>
      <c r="BD598" s="41"/>
      <c r="BE598" s="1244">
        <f t="shared" si="9"/>
        <v>1</v>
      </c>
      <c r="BF598" s="1245"/>
      <c r="BG598" s="1240">
        <f t="shared" si="7"/>
        <v>1</v>
      </c>
      <c r="BH598" s="1243"/>
      <c r="BI598" s="1244">
        <f t="shared" si="10"/>
        <v>0</v>
      </c>
      <c r="BJ598" s="1245"/>
      <c r="BK598" s="1240">
        <f t="shared" si="8"/>
        <v>0</v>
      </c>
      <c r="BL598" s="1243"/>
      <c r="BN598" s="1240">
        <f t="shared" si="1"/>
        <v>0</v>
      </c>
      <c r="BO598" s="1241"/>
      <c r="BP598" s="1241"/>
      <c r="BQ598" s="1241"/>
      <c r="BR598" s="1242"/>
      <c r="BS598" s="1240">
        <f t="shared" si="2"/>
        <v>0</v>
      </c>
      <c r="BT598" s="1241"/>
      <c r="BU598" s="1241"/>
      <c r="BV598" s="1241"/>
      <c r="BW598" s="1243"/>
      <c r="BX598" s="1240">
        <f t="shared" si="3"/>
        <v>0</v>
      </c>
      <c r="BY598" s="1241"/>
      <c r="BZ598" s="1241"/>
      <c r="CA598" s="1241"/>
      <c r="CB598" s="1243"/>
      <c r="CC598" s="1240">
        <f t="shared" si="4"/>
        <v>1</v>
      </c>
      <c r="CD598" s="1241"/>
      <c r="CE598" s="1241"/>
      <c r="CF598" s="1241"/>
      <c r="CG598" s="1243"/>
      <c r="CH598" s="1240">
        <f t="shared" si="5"/>
        <v>0</v>
      </c>
      <c r="CI598" s="1241"/>
      <c r="CJ598" s="1241"/>
      <c r="CK598" s="1241"/>
      <c r="CL598" s="1243"/>
      <c r="CM598" s="1240">
        <f t="shared" si="6"/>
        <v>0</v>
      </c>
      <c r="CN598" s="1241"/>
      <c r="CO598" s="1241"/>
      <c r="CP598" s="1241"/>
      <c r="CQ598" s="1243"/>
      <c r="CS598" s="1489">
        <f t="shared" si="11"/>
        <v>0</v>
      </c>
      <c r="CT598" s="1490"/>
      <c r="CU598" s="1490"/>
      <c r="CV598" s="1490"/>
      <c r="CW598" s="1491"/>
      <c r="CX598" s="1489">
        <f t="shared" si="12"/>
        <v>0</v>
      </c>
      <c r="CY598" s="1490"/>
      <c r="CZ598" s="1490"/>
      <c r="DA598" s="1490"/>
      <c r="DB598" s="1491"/>
      <c r="DC598" s="1489">
        <f t="shared" si="13"/>
        <v>0</v>
      </c>
      <c r="DD598" s="1490"/>
      <c r="DE598" s="1490"/>
      <c r="DF598" s="1490"/>
      <c r="DG598" s="1491"/>
      <c r="DH598" s="1489">
        <f t="shared" si="14"/>
        <v>0</v>
      </c>
      <c r="DI598" s="1490"/>
      <c r="DJ598" s="1490"/>
      <c r="DK598" s="1490"/>
      <c r="DL598" s="1491"/>
      <c r="DM598" s="1489">
        <f t="shared" si="15"/>
        <v>0</v>
      </c>
      <c r="DN598" s="1490"/>
      <c r="DO598" s="1490"/>
      <c r="DP598" s="1490"/>
      <c r="DQ598" s="1491"/>
      <c r="DR598" s="1489">
        <f t="shared" si="16"/>
        <v>0</v>
      </c>
      <c r="DS598" s="1490"/>
      <c r="DT598" s="1490"/>
      <c r="DU598" s="1490"/>
      <c r="DV598" s="1491"/>
    </row>
    <row r="599" spans="1:126" s="5" customFormat="1" ht="12.95" customHeight="1">
      <c r="A599"/>
      <c r="B599"/>
      <c r="C599"/>
      <c r="D599"/>
      <c r="E599"/>
      <c r="F599"/>
      <c r="G599"/>
      <c r="H599"/>
      <c r="I599"/>
      <c r="J599"/>
      <c r="K599"/>
      <c r="L599"/>
      <c r="M599"/>
      <c r="N599"/>
      <c r="O599"/>
      <c r="P599"/>
      <c r="Q599"/>
      <c r="R599"/>
      <c r="S599"/>
      <c r="T599"/>
      <c r="U599"/>
      <c r="V599"/>
      <c r="W599"/>
      <c r="X599"/>
      <c r="Y599"/>
      <c r="Z599"/>
      <c r="AA599"/>
      <c r="AB599"/>
      <c r="AC599"/>
      <c r="AD599"/>
      <c r="AE599"/>
      <c r="AF599"/>
      <c r="AG599"/>
      <c r="AH599"/>
      <c r="AI599"/>
      <c r="AJ599"/>
      <c r="AK599"/>
      <c r="AL599"/>
      <c r="AZ599" s="41"/>
      <c r="BA599" s="41"/>
      <c r="BB599" s="41"/>
      <c r="BC599" s="41"/>
      <c r="BD599" s="41"/>
      <c r="BE599" s="1244">
        <f t="shared" si="9"/>
        <v>1</v>
      </c>
      <c r="BF599" s="1245"/>
      <c r="BG599" s="1240">
        <f t="shared" si="7"/>
        <v>1</v>
      </c>
      <c r="BH599" s="1243"/>
      <c r="BI599" s="1244">
        <f t="shared" si="10"/>
        <v>0</v>
      </c>
      <c r="BJ599" s="1245"/>
      <c r="BK599" s="1240">
        <f t="shared" si="8"/>
        <v>0</v>
      </c>
      <c r="BL599" s="1243"/>
      <c r="BN599" s="1240">
        <f t="shared" si="1"/>
        <v>0</v>
      </c>
      <c r="BO599" s="1241"/>
      <c r="BP599" s="1241"/>
      <c r="BQ599" s="1241"/>
      <c r="BR599" s="1242"/>
      <c r="BS599" s="1240">
        <f t="shared" si="2"/>
        <v>4</v>
      </c>
      <c r="BT599" s="1241"/>
      <c r="BU599" s="1241"/>
      <c r="BV599" s="1241"/>
      <c r="BW599" s="1243"/>
      <c r="BX599" s="1240">
        <f t="shared" si="3"/>
        <v>0</v>
      </c>
      <c r="BY599" s="1241"/>
      <c r="BZ599" s="1241"/>
      <c r="CA599" s="1241"/>
      <c r="CB599" s="1243"/>
      <c r="CC599" s="1240">
        <f t="shared" si="4"/>
        <v>0</v>
      </c>
      <c r="CD599" s="1241"/>
      <c r="CE599" s="1241"/>
      <c r="CF599" s="1241"/>
      <c r="CG599" s="1243"/>
      <c r="CH599" s="1240">
        <f t="shared" si="5"/>
        <v>0</v>
      </c>
      <c r="CI599" s="1241"/>
      <c r="CJ599" s="1241"/>
      <c r="CK599" s="1241"/>
      <c r="CL599" s="1243"/>
      <c r="CM599" s="1240">
        <f t="shared" si="6"/>
        <v>0</v>
      </c>
      <c r="CN599" s="1241"/>
      <c r="CO599" s="1241"/>
      <c r="CP599" s="1241"/>
      <c r="CQ599" s="1243"/>
      <c r="CS599" s="1489">
        <f t="shared" si="11"/>
        <v>0</v>
      </c>
      <c r="CT599" s="1490"/>
      <c r="CU599" s="1490"/>
      <c r="CV599" s="1490"/>
      <c r="CW599" s="1491"/>
      <c r="CX599" s="1489">
        <f t="shared" si="12"/>
        <v>0</v>
      </c>
      <c r="CY599" s="1490"/>
      <c r="CZ599" s="1490"/>
      <c r="DA599" s="1490"/>
      <c r="DB599" s="1491"/>
      <c r="DC599" s="1489">
        <f t="shared" si="13"/>
        <v>0</v>
      </c>
      <c r="DD599" s="1490"/>
      <c r="DE599" s="1490"/>
      <c r="DF599" s="1490"/>
      <c r="DG599" s="1491"/>
      <c r="DH599" s="1489">
        <f t="shared" si="14"/>
        <v>0</v>
      </c>
      <c r="DI599" s="1490"/>
      <c r="DJ599" s="1490"/>
      <c r="DK599" s="1490"/>
      <c r="DL599" s="1491"/>
      <c r="DM599" s="1489">
        <f t="shared" si="15"/>
        <v>0</v>
      </c>
      <c r="DN599" s="1490"/>
      <c r="DO599" s="1490"/>
      <c r="DP599" s="1490"/>
      <c r="DQ599" s="1491"/>
      <c r="DR599" s="1489">
        <f t="shared" si="16"/>
        <v>0</v>
      </c>
      <c r="DS599" s="1490"/>
      <c r="DT599" s="1490"/>
      <c r="DU599" s="1490"/>
      <c r="DV599" s="1491"/>
    </row>
    <row r="600" spans="1:126" ht="12.95" customHeight="1">
      <c r="A600" s="61" t="s">
        <v>36</v>
      </c>
      <c r="B600" t="s">
        <v>90</v>
      </c>
      <c r="G600" s="1292">
        <f>C556</f>
        <v>0</v>
      </c>
      <c r="H600" s="1292"/>
      <c r="I600" s="1292"/>
      <c r="J600" s="1292"/>
      <c r="K600" s="1292"/>
      <c r="L600" s="1292"/>
      <c r="M600" s="1292"/>
      <c r="N600" s="1292"/>
      <c r="O600" s="1292"/>
      <c r="P600" s="1292"/>
      <c r="Q600" s="1292"/>
      <c r="R600" s="1292"/>
      <c r="T600" s="61" t="s">
        <v>37</v>
      </c>
      <c r="U600" t="s">
        <v>90</v>
      </c>
      <c r="Z600" s="1292">
        <f>C557</f>
        <v>0</v>
      </c>
      <c r="AA600" s="1292"/>
      <c r="AB600" s="1292"/>
      <c r="AC600" s="1292"/>
      <c r="AD600" s="1292"/>
      <c r="AE600" s="1292"/>
      <c r="AF600" s="1292"/>
      <c r="AG600" s="1292"/>
      <c r="AH600" s="1292"/>
      <c r="AI600" s="1292"/>
      <c r="AJ600" s="1292"/>
      <c r="AK600" s="1292"/>
      <c r="AZ600" s="41"/>
      <c r="BA600" s="41"/>
      <c r="BB600" s="41"/>
      <c r="BC600" s="41"/>
      <c r="BD600" s="41"/>
      <c r="BE600" s="1244">
        <f t="shared" si="9"/>
        <v>0</v>
      </c>
      <c r="BF600" s="1245"/>
      <c r="BG600" s="1240">
        <f t="shared" si="7"/>
        <v>0</v>
      </c>
      <c r="BH600" s="1243"/>
      <c r="BI600" s="1244">
        <f t="shared" si="10"/>
        <v>0</v>
      </c>
      <c r="BJ600" s="1245"/>
      <c r="BK600" s="1240">
        <f t="shared" si="8"/>
        <v>0</v>
      </c>
      <c r="BL600" s="1243"/>
      <c r="BN600" s="1240">
        <f t="shared" si="1"/>
        <v>0</v>
      </c>
      <c r="BO600" s="1241"/>
      <c r="BP600" s="1241"/>
      <c r="BQ600" s="1241"/>
      <c r="BR600" s="1242"/>
      <c r="BS600" s="1240">
        <f t="shared" si="2"/>
        <v>0</v>
      </c>
      <c r="BT600" s="1241"/>
      <c r="BU600" s="1241"/>
      <c r="BV600" s="1241"/>
      <c r="BW600" s="1243"/>
      <c r="BX600" s="1240">
        <f t="shared" si="3"/>
        <v>7</v>
      </c>
      <c r="BY600" s="1241"/>
      <c r="BZ600" s="1241"/>
      <c r="CA600" s="1241"/>
      <c r="CB600" s="1243"/>
      <c r="CC600" s="1240">
        <f t="shared" si="4"/>
        <v>0</v>
      </c>
      <c r="CD600" s="1241"/>
      <c r="CE600" s="1241"/>
      <c r="CF600" s="1241"/>
      <c r="CG600" s="1243"/>
      <c r="CH600" s="1240">
        <f t="shared" si="5"/>
        <v>0</v>
      </c>
      <c r="CI600" s="1241"/>
      <c r="CJ600" s="1241"/>
      <c r="CK600" s="1241"/>
      <c r="CL600" s="1243"/>
      <c r="CM600" s="1240">
        <f t="shared" si="6"/>
        <v>0</v>
      </c>
      <c r="CN600" s="1241"/>
      <c r="CO600" s="1241"/>
      <c r="CP600" s="1241"/>
      <c r="CQ600" s="1243"/>
      <c r="CS600" s="1489">
        <f t="shared" si="11"/>
        <v>0</v>
      </c>
      <c r="CT600" s="1490"/>
      <c r="CU600" s="1490"/>
      <c r="CV600" s="1490"/>
      <c r="CW600" s="1491"/>
      <c r="CX600" s="1489">
        <f t="shared" si="12"/>
        <v>0</v>
      </c>
      <c r="CY600" s="1490"/>
      <c r="CZ600" s="1490"/>
      <c r="DA600" s="1490"/>
      <c r="DB600" s="1491"/>
      <c r="DC600" s="1489">
        <f t="shared" si="13"/>
        <v>0</v>
      </c>
      <c r="DD600" s="1490"/>
      <c r="DE600" s="1490"/>
      <c r="DF600" s="1490"/>
      <c r="DG600" s="1491"/>
      <c r="DH600" s="1489">
        <f t="shared" si="14"/>
        <v>0</v>
      </c>
      <c r="DI600" s="1490"/>
      <c r="DJ600" s="1490"/>
      <c r="DK600" s="1490"/>
      <c r="DL600" s="1491"/>
      <c r="DM600" s="1489">
        <f t="shared" si="15"/>
        <v>0</v>
      </c>
      <c r="DN600" s="1490"/>
      <c r="DO600" s="1490"/>
      <c r="DP600" s="1490"/>
      <c r="DQ600" s="1491"/>
      <c r="DR600" s="1489">
        <f t="shared" si="16"/>
        <v>0</v>
      </c>
      <c r="DS600" s="1490"/>
      <c r="DT600" s="1490"/>
      <c r="DU600" s="1490"/>
      <c r="DV600" s="1491"/>
    </row>
    <row r="601" spans="1:126" ht="12.95" customHeight="1">
      <c r="B601" t="s">
        <v>396</v>
      </c>
      <c r="G601" s="1085"/>
      <c r="H601" s="1085"/>
      <c r="I601" s="1085"/>
      <c r="J601" s="1085"/>
      <c r="K601" s="1085"/>
      <c r="L601" s="1085"/>
      <c r="M601" s="1085"/>
      <c r="N601" s="1085"/>
      <c r="O601" s="1085"/>
      <c r="P601" s="1085"/>
      <c r="Q601" s="1085"/>
      <c r="R601" s="1085"/>
      <c r="U601" t="s">
        <v>396</v>
      </c>
      <c r="Z601" s="1085"/>
      <c r="AA601" s="1085"/>
      <c r="AB601" s="1085"/>
      <c r="AC601" s="1085"/>
      <c r="AD601" s="1085"/>
      <c r="AE601" s="1085"/>
      <c r="AF601" s="1085"/>
      <c r="AG601" s="1085"/>
      <c r="AH601" s="1085"/>
      <c r="AI601" s="1085"/>
      <c r="AJ601" s="1085"/>
      <c r="AK601" s="1085"/>
      <c r="AZ601" s="41"/>
      <c r="BA601" s="41"/>
      <c r="BB601" s="41"/>
      <c r="BC601" s="41"/>
      <c r="BD601" s="41"/>
      <c r="BE601" s="1244">
        <f t="shared" si="9"/>
        <v>0</v>
      </c>
      <c r="BF601" s="1245"/>
      <c r="BG601" s="1240">
        <f t="shared" si="7"/>
        <v>0</v>
      </c>
      <c r="BH601" s="1243"/>
      <c r="BI601" s="1244">
        <f t="shared" si="10"/>
        <v>0</v>
      </c>
      <c r="BJ601" s="1245"/>
      <c r="BK601" s="1240">
        <f t="shared" si="8"/>
        <v>0</v>
      </c>
      <c r="BL601" s="1243"/>
      <c r="BN601" s="1240">
        <f t="shared" si="1"/>
        <v>0</v>
      </c>
      <c r="BO601" s="1241"/>
      <c r="BP601" s="1241"/>
      <c r="BQ601" s="1241"/>
      <c r="BR601" s="1242"/>
      <c r="BS601" s="1240">
        <f t="shared" si="2"/>
        <v>0</v>
      </c>
      <c r="BT601" s="1241"/>
      <c r="BU601" s="1241"/>
      <c r="BV601" s="1241"/>
      <c r="BW601" s="1243"/>
      <c r="BX601" s="1240">
        <f t="shared" si="3"/>
        <v>0</v>
      </c>
      <c r="BY601" s="1241"/>
      <c r="BZ601" s="1241"/>
      <c r="CA601" s="1241"/>
      <c r="CB601" s="1243"/>
      <c r="CC601" s="1240">
        <f t="shared" si="4"/>
        <v>6</v>
      </c>
      <c r="CD601" s="1241"/>
      <c r="CE601" s="1241"/>
      <c r="CF601" s="1241"/>
      <c r="CG601" s="1243"/>
      <c r="CH601" s="1240">
        <f t="shared" si="5"/>
        <v>0</v>
      </c>
      <c r="CI601" s="1241"/>
      <c r="CJ601" s="1241"/>
      <c r="CK601" s="1241"/>
      <c r="CL601" s="1243"/>
      <c r="CM601" s="1240">
        <f t="shared" si="6"/>
        <v>0</v>
      </c>
      <c r="CN601" s="1241"/>
      <c r="CO601" s="1241"/>
      <c r="CP601" s="1241"/>
      <c r="CQ601" s="1243"/>
      <c r="CS601" s="1489">
        <f t="shared" si="11"/>
        <v>0</v>
      </c>
      <c r="CT601" s="1490"/>
      <c r="CU601" s="1490"/>
      <c r="CV601" s="1490"/>
      <c r="CW601" s="1491"/>
      <c r="CX601" s="1489">
        <f t="shared" si="12"/>
        <v>0</v>
      </c>
      <c r="CY601" s="1490"/>
      <c r="CZ601" s="1490"/>
      <c r="DA601" s="1490"/>
      <c r="DB601" s="1491"/>
      <c r="DC601" s="1489">
        <f t="shared" si="13"/>
        <v>0</v>
      </c>
      <c r="DD601" s="1490"/>
      <c r="DE601" s="1490"/>
      <c r="DF601" s="1490"/>
      <c r="DG601" s="1491"/>
      <c r="DH601" s="1489">
        <f t="shared" si="14"/>
        <v>0</v>
      </c>
      <c r="DI601" s="1490"/>
      <c r="DJ601" s="1490"/>
      <c r="DK601" s="1490"/>
      <c r="DL601" s="1491"/>
      <c r="DM601" s="1489">
        <f t="shared" si="15"/>
        <v>0</v>
      </c>
      <c r="DN601" s="1490"/>
      <c r="DO601" s="1490"/>
      <c r="DP601" s="1490"/>
      <c r="DQ601" s="1491"/>
      <c r="DR601" s="1489">
        <f t="shared" si="16"/>
        <v>0</v>
      </c>
      <c r="DS601" s="1490"/>
      <c r="DT601" s="1490"/>
      <c r="DU601" s="1490"/>
      <c r="DV601" s="1491"/>
    </row>
    <row r="602" spans="1:126" ht="12.95" customHeight="1">
      <c r="B602" t="s">
        <v>458</v>
      </c>
      <c r="G602" s="1085"/>
      <c r="H602" s="1085"/>
      <c r="I602" s="1085"/>
      <c r="J602" s="1085"/>
      <c r="K602" s="1085"/>
      <c r="L602" s="1085"/>
      <c r="M602" s="1085"/>
      <c r="N602" s="1085"/>
      <c r="O602" s="1085"/>
      <c r="P602" s="1085"/>
      <c r="Q602" s="1085"/>
      <c r="R602" s="1085"/>
      <c r="U602" t="s">
        <v>458</v>
      </c>
      <c r="Z602" s="1087"/>
      <c r="AA602" s="1087"/>
      <c r="AB602" s="1087"/>
      <c r="AC602" s="1087"/>
      <c r="AD602" s="1087"/>
      <c r="AE602" s="1087"/>
      <c r="AF602" s="1087"/>
      <c r="AG602" s="1087"/>
      <c r="AH602" s="1087"/>
      <c r="AI602" s="1087"/>
      <c r="AJ602" s="1087"/>
      <c r="AK602" s="1087"/>
      <c r="AL602" s="306"/>
      <c r="BA602" s="41"/>
      <c r="BB602" s="41"/>
      <c r="BC602" s="41"/>
      <c r="BD602" s="41"/>
      <c r="BE602" s="1244">
        <f t="shared" si="9"/>
        <v>0</v>
      </c>
      <c r="BF602" s="1245"/>
      <c r="BG602" s="1240">
        <f t="shared" si="7"/>
        <v>0</v>
      </c>
      <c r="BH602" s="1243"/>
      <c r="BI602" s="1244">
        <f t="shared" si="10"/>
        <v>0</v>
      </c>
      <c r="BJ602" s="1245"/>
      <c r="BK602" s="1240">
        <f t="shared" si="8"/>
        <v>0</v>
      </c>
      <c r="BL602" s="1243"/>
      <c r="BN602" s="1240">
        <f t="shared" si="1"/>
        <v>0</v>
      </c>
      <c r="BO602" s="1241"/>
      <c r="BP602" s="1241"/>
      <c r="BQ602" s="1241"/>
      <c r="BR602" s="1242"/>
      <c r="BS602" s="1240">
        <f t="shared" si="2"/>
        <v>0</v>
      </c>
      <c r="BT602" s="1241"/>
      <c r="BU602" s="1241"/>
      <c r="BV602" s="1241"/>
      <c r="BW602" s="1243"/>
      <c r="BX602" s="1240">
        <f t="shared" si="3"/>
        <v>0</v>
      </c>
      <c r="BY602" s="1241"/>
      <c r="BZ602" s="1241"/>
      <c r="CA602" s="1241"/>
      <c r="CB602" s="1243"/>
      <c r="CC602" s="1240">
        <f t="shared" si="4"/>
        <v>0</v>
      </c>
      <c r="CD602" s="1241"/>
      <c r="CE602" s="1241"/>
      <c r="CF602" s="1241"/>
      <c r="CG602" s="1243"/>
      <c r="CH602" s="1240">
        <f t="shared" si="5"/>
        <v>0</v>
      </c>
      <c r="CI602" s="1241"/>
      <c r="CJ602" s="1241"/>
      <c r="CK602" s="1241"/>
      <c r="CL602" s="1243"/>
      <c r="CM602" s="1240">
        <f t="shared" si="6"/>
        <v>0</v>
      </c>
      <c r="CN602" s="1241"/>
      <c r="CO602" s="1241"/>
      <c r="CP602" s="1241"/>
      <c r="CQ602" s="1243"/>
      <c r="CS602" s="1489">
        <f t="shared" si="11"/>
        <v>0</v>
      </c>
      <c r="CT602" s="1490"/>
      <c r="CU602" s="1490"/>
      <c r="CV602" s="1490"/>
      <c r="CW602" s="1491"/>
      <c r="CX602" s="1489">
        <f t="shared" si="12"/>
        <v>0</v>
      </c>
      <c r="CY602" s="1490"/>
      <c r="CZ602" s="1490"/>
      <c r="DA602" s="1490"/>
      <c r="DB602" s="1491"/>
      <c r="DC602" s="1489">
        <f t="shared" si="13"/>
        <v>0</v>
      </c>
      <c r="DD602" s="1490"/>
      <c r="DE602" s="1490"/>
      <c r="DF602" s="1490"/>
      <c r="DG602" s="1491"/>
      <c r="DH602" s="1489">
        <f t="shared" si="14"/>
        <v>0</v>
      </c>
      <c r="DI602" s="1490"/>
      <c r="DJ602" s="1490"/>
      <c r="DK602" s="1490"/>
      <c r="DL602" s="1491"/>
      <c r="DM602" s="1489">
        <f t="shared" si="15"/>
        <v>0</v>
      </c>
      <c r="DN602" s="1490"/>
      <c r="DO602" s="1490"/>
      <c r="DP602" s="1490"/>
      <c r="DQ602" s="1491"/>
      <c r="DR602" s="1489">
        <f t="shared" si="16"/>
        <v>0</v>
      </c>
      <c r="DS602" s="1490"/>
      <c r="DT602" s="1490"/>
      <c r="DU602" s="1490"/>
      <c r="DV602" s="1491"/>
    </row>
    <row r="603" spans="1:126" ht="12.95" customHeight="1">
      <c r="B603" t="s">
        <v>873</v>
      </c>
      <c r="G603" s="1085"/>
      <c r="H603" s="1085"/>
      <c r="I603" s="1085"/>
      <c r="J603" s="1085"/>
      <c r="K603" s="1085"/>
      <c r="L603" s="1085"/>
      <c r="M603" s="1085"/>
      <c r="N603" s="1085"/>
      <c r="O603" s="1085"/>
      <c r="P603" s="1085"/>
      <c r="Q603" s="1085"/>
      <c r="R603" s="1085"/>
      <c r="U603" t="s">
        <v>873</v>
      </c>
      <c r="Z603" s="1087"/>
      <c r="AA603" s="1087"/>
      <c r="AB603" s="1087"/>
      <c r="AC603" s="1087"/>
      <c r="AD603" s="1087"/>
      <c r="AE603" s="1087"/>
      <c r="AF603" s="1087"/>
      <c r="AG603" s="1087"/>
      <c r="AH603" s="1087"/>
      <c r="AI603" s="1087"/>
      <c r="AJ603" s="1087"/>
      <c r="AK603" s="1087"/>
      <c r="AL603" s="306"/>
      <c r="BA603" s="41"/>
      <c r="BB603" s="41"/>
      <c r="BC603" s="41"/>
      <c r="BD603" s="41"/>
      <c r="BE603" s="1244">
        <f t="shared" si="9"/>
        <v>0</v>
      </c>
      <c r="BF603" s="1245"/>
      <c r="BG603" s="1240">
        <f t="shared" si="7"/>
        <v>0</v>
      </c>
      <c r="BH603" s="1243"/>
      <c r="BI603" s="1244">
        <f t="shared" si="10"/>
        <v>0</v>
      </c>
      <c r="BJ603" s="1245"/>
      <c r="BK603" s="1240">
        <f t="shared" si="8"/>
        <v>0</v>
      </c>
      <c r="BL603" s="1243"/>
      <c r="BN603" s="1240">
        <f t="shared" si="1"/>
        <v>0</v>
      </c>
      <c r="BO603" s="1241"/>
      <c r="BP603" s="1241"/>
      <c r="BQ603" s="1241"/>
      <c r="BR603" s="1242"/>
      <c r="BS603" s="1240">
        <f t="shared" si="2"/>
        <v>0</v>
      </c>
      <c r="BT603" s="1241"/>
      <c r="BU603" s="1241"/>
      <c r="BV603" s="1241"/>
      <c r="BW603" s="1243"/>
      <c r="BX603" s="1240">
        <f t="shared" si="3"/>
        <v>0</v>
      </c>
      <c r="BY603" s="1241"/>
      <c r="BZ603" s="1241"/>
      <c r="CA603" s="1241"/>
      <c r="CB603" s="1243"/>
      <c r="CC603" s="1240">
        <f t="shared" si="4"/>
        <v>0</v>
      </c>
      <c r="CD603" s="1241"/>
      <c r="CE603" s="1241"/>
      <c r="CF603" s="1241"/>
      <c r="CG603" s="1243"/>
      <c r="CH603" s="1240">
        <f t="shared" si="5"/>
        <v>0</v>
      </c>
      <c r="CI603" s="1241"/>
      <c r="CJ603" s="1241"/>
      <c r="CK603" s="1241"/>
      <c r="CL603" s="1243"/>
      <c r="CM603" s="1240">
        <f t="shared" si="6"/>
        <v>0</v>
      </c>
      <c r="CN603" s="1241"/>
      <c r="CO603" s="1241"/>
      <c r="CP603" s="1241"/>
      <c r="CQ603" s="1243"/>
      <c r="CS603" s="1489">
        <f t="shared" si="11"/>
        <v>0</v>
      </c>
      <c r="CT603" s="1490"/>
      <c r="CU603" s="1490"/>
      <c r="CV603" s="1490"/>
      <c r="CW603" s="1491"/>
      <c r="CX603" s="1489">
        <f t="shared" si="12"/>
        <v>0</v>
      </c>
      <c r="CY603" s="1490"/>
      <c r="CZ603" s="1490"/>
      <c r="DA603" s="1490"/>
      <c r="DB603" s="1491"/>
      <c r="DC603" s="1489">
        <f t="shared" si="13"/>
        <v>0</v>
      </c>
      <c r="DD603" s="1490"/>
      <c r="DE603" s="1490"/>
      <c r="DF603" s="1490"/>
      <c r="DG603" s="1491"/>
      <c r="DH603" s="1489">
        <f t="shared" si="14"/>
        <v>0</v>
      </c>
      <c r="DI603" s="1490"/>
      <c r="DJ603" s="1490"/>
      <c r="DK603" s="1490"/>
      <c r="DL603" s="1491"/>
      <c r="DM603" s="1489">
        <f t="shared" si="15"/>
        <v>0</v>
      </c>
      <c r="DN603" s="1490"/>
      <c r="DO603" s="1490"/>
      <c r="DP603" s="1490"/>
      <c r="DQ603" s="1491"/>
      <c r="DR603" s="1489">
        <f t="shared" si="16"/>
        <v>0</v>
      </c>
      <c r="DS603" s="1490"/>
      <c r="DT603" s="1490"/>
      <c r="DU603" s="1490"/>
      <c r="DV603" s="1491"/>
    </row>
    <row r="604" spans="1:126" ht="12.95" customHeight="1">
      <c r="B604" t="s">
        <v>685</v>
      </c>
      <c r="G604" s="1111"/>
      <c r="H604" s="1111"/>
      <c r="I604" s="1111"/>
      <c r="J604" s="1111"/>
      <c r="K604" s="1111"/>
      <c r="L604" s="1111"/>
      <c r="O604" s="42" t="s">
        <v>858</v>
      </c>
      <c r="P604" s="1282"/>
      <c r="Q604" s="1282"/>
      <c r="R604" s="1282"/>
      <c r="U604" t="s">
        <v>685</v>
      </c>
      <c r="Z604" s="1111"/>
      <c r="AA604" s="1111"/>
      <c r="AB604" s="1111"/>
      <c r="AC604" s="1111"/>
      <c r="AD604" s="1111"/>
      <c r="AE604" s="1111"/>
      <c r="AH604" s="42" t="s">
        <v>858</v>
      </c>
      <c r="AI604" s="1282"/>
      <c r="AJ604" s="1282"/>
      <c r="AK604" s="1282"/>
      <c r="AZ604" s="41"/>
      <c r="BA604" s="41"/>
      <c r="BB604" s="41"/>
      <c r="BC604" s="41"/>
      <c r="BD604" s="41"/>
      <c r="BE604" s="1244">
        <f t="shared" si="9"/>
        <v>0</v>
      </c>
      <c r="BF604" s="1245"/>
      <c r="BG604" s="1240">
        <f t="shared" si="7"/>
        <v>0</v>
      </c>
      <c r="BH604" s="1243"/>
      <c r="BI604" s="1244">
        <f t="shared" si="10"/>
        <v>0</v>
      </c>
      <c r="BJ604" s="1245"/>
      <c r="BK604" s="1240">
        <f t="shared" si="8"/>
        <v>0</v>
      </c>
      <c r="BL604" s="1243"/>
      <c r="BN604" s="1240">
        <f t="shared" si="1"/>
        <v>0</v>
      </c>
      <c r="BO604" s="1241"/>
      <c r="BP604" s="1241"/>
      <c r="BQ604" s="1241"/>
      <c r="BR604" s="1242"/>
      <c r="BS604" s="1240">
        <f t="shared" si="2"/>
        <v>0</v>
      </c>
      <c r="BT604" s="1241"/>
      <c r="BU604" s="1241"/>
      <c r="BV604" s="1241"/>
      <c r="BW604" s="1243"/>
      <c r="BX604" s="1240">
        <f t="shared" si="3"/>
        <v>0</v>
      </c>
      <c r="BY604" s="1241"/>
      <c r="BZ604" s="1241"/>
      <c r="CA604" s="1241"/>
      <c r="CB604" s="1243"/>
      <c r="CC604" s="1240">
        <f t="shared" si="4"/>
        <v>0</v>
      </c>
      <c r="CD604" s="1241"/>
      <c r="CE604" s="1241"/>
      <c r="CF604" s="1241"/>
      <c r="CG604" s="1243"/>
      <c r="CH604" s="1240">
        <f t="shared" si="5"/>
        <v>0</v>
      </c>
      <c r="CI604" s="1241"/>
      <c r="CJ604" s="1241"/>
      <c r="CK604" s="1241"/>
      <c r="CL604" s="1243"/>
      <c r="CM604" s="1240">
        <f t="shared" si="6"/>
        <v>0</v>
      </c>
      <c r="CN604" s="1241"/>
      <c r="CO604" s="1241"/>
      <c r="CP604" s="1241"/>
      <c r="CQ604" s="1243"/>
      <c r="CS604" s="1489">
        <f t="shared" si="11"/>
        <v>0</v>
      </c>
      <c r="CT604" s="1490"/>
      <c r="CU604" s="1490"/>
      <c r="CV604" s="1490"/>
      <c r="CW604" s="1491"/>
      <c r="CX604" s="1489">
        <f t="shared" si="12"/>
        <v>0</v>
      </c>
      <c r="CY604" s="1490"/>
      <c r="CZ604" s="1490"/>
      <c r="DA604" s="1490"/>
      <c r="DB604" s="1491"/>
      <c r="DC604" s="1489">
        <f t="shared" si="13"/>
        <v>0</v>
      </c>
      <c r="DD604" s="1490"/>
      <c r="DE604" s="1490"/>
      <c r="DF604" s="1490"/>
      <c r="DG604" s="1491"/>
      <c r="DH604" s="1489">
        <f t="shared" si="14"/>
        <v>0</v>
      </c>
      <c r="DI604" s="1490"/>
      <c r="DJ604" s="1490"/>
      <c r="DK604" s="1490"/>
      <c r="DL604" s="1491"/>
      <c r="DM604" s="1489">
        <f t="shared" si="15"/>
        <v>0</v>
      </c>
      <c r="DN604" s="1490"/>
      <c r="DO604" s="1490"/>
      <c r="DP604" s="1490"/>
      <c r="DQ604" s="1491"/>
      <c r="DR604" s="1489">
        <f t="shared" si="16"/>
        <v>0</v>
      </c>
      <c r="DS604" s="1490"/>
      <c r="DT604" s="1490"/>
      <c r="DU604" s="1490"/>
      <c r="DV604" s="1491"/>
    </row>
    <row r="605" spans="1:126" ht="12.95" customHeight="1">
      <c r="B605" t="s">
        <v>874</v>
      </c>
      <c r="H605" s="1085"/>
      <c r="I605" s="1085"/>
      <c r="J605" s="1085"/>
      <c r="K605" s="1085"/>
      <c r="L605" s="1085"/>
      <c r="M605" s="1085"/>
      <c r="N605" s="1085"/>
      <c r="O605" s="1085"/>
      <c r="P605" s="1085"/>
      <c r="Q605" s="1085"/>
      <c r="R605" s="1085"/>
      <c r="U605" t="s">
        <v>874</v>
      </c>
      <c r="AA605" s="1085"/>
      <c r="AB605" s="1085"/>
      <c r="AC605" s="1085"/>
      <c r="AD605" s="1085"/>
      <c r="AE605" s="1085"/>
      <c r="AF605" s="1085"/>
      <c r="AG605" s="1085"/>
      <c r="AH605" s="1085"/>
      <c r="AI605" s="1085"/>
      <c r="AJ605" s="1085"/>
      <c r="AK605" s="1085"/>
      <c r="AZ605" s="41"/>
      <c r="BA605" s="41"/>
      <c r="BB605" s="41"/>
      <c r="BC605" s="41"/>
      <c r="BD605" s="41"/>
      <c r="BE605" s="1244">
        <f t="shared" si="9"/>
        <v>0</v>
      </c>
      <c r="BF605" s="1245"/>
      <c r="BG605" s="1240">
        <f t="shared" si="7"/>
        <v>0</v>
      </c>
      <c r="BH605" s="1243"/>
      <c r="BI605" s="1244">
        <f t="shared" si="10"/>
        <v>0</v>
      </c>
      <c r="BJ605" s="1245"/>
      <c r="BK605" s="1240">
        <f t="shared" si="8"/>
        <v>0</v>
      </c>
      <c r="BL605" s="1243"/>
      <c r="BN605" s="1240">
        <f t="shared" si="1"/>
        <v>0</v>
      </c>
      <c r="BO605" s="1241"/>
      <c r="BP605" s="1241"/>
      <c r="BQ605" s="1241"/>
      <c r="BR605" s="1242"/>
      <c r="BS605" s="1240">
        <f t="shared" si="2"/>
        <v>0</v>
      </c>
      <c r="BT605" s="1241"/>
      <c r="BU605" s="1241"/>
      <c r="BV605" s="1241"/>
      <c r="BW605" s="1243"/>
      <c r="BX605" s="1240">
        <f t="shared" si="3"/>
        <v>0</v>
      </c>
      <c r="BY605" s="1241"/>
      <c r="BZ605" s="1241"/>
      <c r="CA605" s="1241"/>
      <c r="CB605" s="1243"/>
      <c r="CC605" s="1240">
        <f t="shared" si="4"/>
        <v>0</v>
      </c>
      <c r="CD605" s="1241"/>
      <c r="CE605" s="1241"/>
      <c r="CF605" s="1241"/>
      <c r="CG605" s="1243"/>
      <c r="CH605" s="1240">
        <f t="shared" si="5"/>
        <v>0</v>
      </c>
      <c r="CI605" s="1241"/>
      <c r="CJ605" s="1241"/>
      <c r="CK605" s="1241"/>
      <c r="CL605" s="1243"/>
      <c r="CM605" s="1240">
        <f t="shared" si="6"/>
        <v>0</v>
      </c>
      <c r="CN605" s="1241"/>
      <c r="CO605" s="1241"/>
      <c r="CP605" s="1241"/>
      <c r="CQ605" s="1243"/>
      <c r="CS605" s="1489">
        <f t="shared" si="11"/>
        <v>0</v>
      </c>
      <c r="CT605" s="1490"/>
      <c r="CU605" s="1490"/>
      <c r="CV605" s="1490"/>
      <c r="CW605" s="1491"/>
      <c r="CX605" s="1489">
        <f t="shared" si="12"/>
        <v>0</v>
      </c>
      <c r="CY605" s="1490"/>
      <c r="CZ605" s="1490"/>
      <c r="DA605" s="1490"/>
      <c r="DB605" s="1491"/>
      <c r="DC605" s="1489">
        <f t="shared" si="13"/>
        <v>0</v>
      </c>
      <c r="DD605" s="1490"/>
      <c r="DE605" s="1490"/>
      <c r="DF605" s="1490"/>
      <c r="DG605" s="1491"/>
      <c r="DH605" s="1489">
        <f t="shared" si="14"/>
        <v>0</v>
      </c>
      <c r="DI605" s="1490"/>
      <c r="DJ605" s="1490"/>
      <c r="DK605" s="1490"/>
      <c r="DL605" s="1491"/>
      <c r="DM605" s="1489">
        <f t="shared" si="15"/>
        <v>0</v>
      </c>
      <c r="DN605" s="1490"/>
      <c r="DO605" s="1490"/>
      <c r="DP605" s="1490"/>
      <c r="DQ605" s="1491"/>
      <c r="DR605" s="1489">
        <f t="shared" si="16"/>
        <v>0</v>
      </c>
      <c r="DS605" s="1490"/>
      <c r="DT605" s="1490"/>
      <c r="DU605" s="1490"/>
      <c r="DV605" s="1491"/>
    </row>
    <row r="606" spans="1:126" ht="12.95" customHeight="1">
      <c r="B606" t="s">
        <v>876</v>
      </c>
      <c r="N606" s="1113" t="s">
        <v>510</v>
      </c>
      <c r="O606" s="1113"/>
      <c r="U606" t="s">
        <v>876</v>
      </c>
      <c r="AG606" s="1113" t="s">
        <v>510</v>
      </c>
      <c r="AH606" s="1113"/>
      <c r="AZ606" s="41"/>
      <c r="BA606" s="41"/>
      <c r="BB606" s="41"/>
      <c r="BC606" s="41"/>
      <c r="BD606" s="41"/>
      <c r="BE606" s="1244">
        <f t="shared" si="9"/>
        <v>0</v>
      </c>
      <c r="BF606" s="1245"/>
      <c r="BG606" s="1240">
        <f t="shared" si="7"/>
        <v>0</v>
      </c>
      <c r="BH606" s="1243"/>
      <c r="BI606" s="1244">
        <f t="shared" si="10"/>
        <v>0</v>
      </c>
      <c r="BJ606" s="1245"/>
      <c r="BK606" s="1240">
        <f t="shared" si="8"/>
        <v>0</v>
      </c>
      <c r="BL606" s="1243"/>
      <c r="BN606" s="1240">
        <f t="shared" si="1"/>
        <v>0</v>
      </c>
      <c r="BO606" s="1241"/>
      <c r="BP606" s="1241"/>
      <c r="BQ606" s="1241"/>
      <c r="BR606" s="1242"/>
      <c r="BS606" s="1240">
        <f t="shared" si="2"/>
        <v>0</v>
      </c>
      <c r="BT606" s="1241"/>
      <c r="BU606" s="1241"/>
      <c r="BV606" s="1241"/>
      <c r="BW606" s="1243"/>
      <c r="BX606" s="1240">
        <f t="shared" si="3"/>
        <v>0</v>
      </c>
      <c r="BY606" s="1241"/>
      <c r="BZ606" s="1241"/>
      <c r="CA606" s="1241"/>
      <c r="CB606" s="1243"/>
      <c r="CC606" s="1240">
        <f t="shared" si="4"/>
        <v>0</v>
      </c>
      <c r="CD606" s="1241"/>
      <c r="CE606" s="1241"/>
      <c r="CF606" s="1241"/>
      <c r="CG606" s="1243"/>
      <c r="CH606" s="1240">
        <f t="shared" si="5"/>
        <v>0</v>
      </c>
      <c r="CI606" s="1241"/>
      <c r="CJ606" s="1241"/>
      <c r="CK606" s="1241"/>
      <c r="CL606" s="1243"/>
      <c r="CM606" s="1240">
        <f t="shared" si="6"/>
        <v>0</v>
      </c>
      <c r="CN606" s="1241"/>
      <c r="CO606" s="1241"/>
      <c r="CP606" s="1241"/>
      <c r="CQ606" s="1243"/>
      <c r="CS606" s="1489">
        <f t="shared" si="11"/>
        <v>0</v>
      </c>
      <c r="CT606" s="1490"/>
      <c r="CU606" s="1490"/>
      <c r="CV606" s="1490"/>
      <c r="CW606" s="1491"/>
      <c r="CX606" s="1489">
        <f t="shared" si="12"/>
        <v>0</v>
      </c>
      <c r="CY606" s="1490"/>
      <c r="CZ606" s="1490"/>
      <c r="DA606" s="1490"/>
      <c r="DB606" s="1491"/>
      <c r="DC606" s="1489">
        <f t="shared" si="13"/>
        <v>0</v>
      </c>
      <c r="DD606" s="1490"/>
      <c r="DE606" s="1490"/>
      <c r="DF606" s="1490"/>
      <c r="DG606" s="1491"/>
      <c r="DH606" s="1489">
        <f t="shared" si="14"/>
        <v>0</v>
      </c>
      <c r="DI606" s="1490"/>
      <c r="DJ606" s="1490"/>
      <c r="DK606" s="1490"/>
      <c r="DL606" s="1491"/>
      <c r="DM606" s="1489">
        <f t="shared" si="15"/>
        <v>0</v>
      </c>
      <c r="DN606" s="1490"/>
      <c r="DO606" s="1490"/>
      <c r="DP606" s="1490"/>
      <c r="DQ606" s="1491"/>
      <c r="DR606" s="1489">
        <f t="shared" si="16"/>
        <v>0</v>
      </c>
      <c r="DS606" s="1490"/>
      <c r="DT606" s="1490"/>
      <c r="DU606" s="1490"/>
      <c r="DV606" s="1491"/>
    </row>
    <row r="607" spans="1:126" ht="12.95" customHeight="1">
      <c r="AZ607" s="41"/>
      <c r="BA607" s="41"/>
      <c r="BB607" s="41"/>
      <c r="BC607" s="41"/>
      <c r="BD607" s="41"/>
      <c r="BE607" s="1244">
        <f t="shared" si="9"/>
        <v>0</v>
      </c>
      <c r="BF607" s="1245"/>
      <c r="BG607" s="1240">
        <f t="shared" si="7"/>
        <v>0</v>
      </c>
      <c r="BH607" s="1243"/>
      <c r="BI607" s="1244">
        <f t="shared" si="10"/>
        <v>0</v>
      </c>
      <c r="BJ607" s="1245"/>
      <c r="BK607" s="1240">
        <f t="shared" si="8"/>
        <v>0</v>
      </c>
      <c r="BL607" s="1243"/>
      <c r="BN607" s="1240">
        <f t="shared" si="1"/>
        <v>0</v>
      </c>
      <c r="BO607" s="1241"/>
      <c r="BP607" s="1241"/>
      <c r="BQ607" s="1241"/>
      <c r="BR607" s="1242"/>
      <c r="BS607" s="1240">
        <f t="shared" si="2"/>
        <v>0</v>
      </c>
      <c r="BT607" s="1241"/>
      <c r="BU607" s="1241"/>
      <c r="BV607" s="1241"/>
      <c r="BW607" s="1243"/>
      <c r="BX607" s="1240">
        <f t="shared" si="3"/>
        <v>0</v>
      </c>
      <c r="BY607" s="1241"/>
      <c r="BZ607" s="1241"/>
      <c r="CA607" s="1241"/>
      <c r="CB607" s="1243"/>
      <c r="CC607" s="1240">
        <f t="shared" si="4"/>
        <v>0</v>
      </c>
      <c r="CD607" s="1241"/>
      <c r="CE607" s="1241"/>
      <c r="CF607" s="1241"/>
      <c r="CG607" s="1243"/>
      <c r="CH607" s="1240">
        <f t="shared" si="5"/>
        <v>0</v>
      </c>
      <c r="CI607" s="1241"/>
      <c r="CJ607" s="1241"/>
      <c r="CK607" s="1241"/>
      <c r="CL607" s="1243"/>
      <c r="CM607" s="1240">
        <f t="shared" si="6"/>
        <v>0</v>
      </c>
      <c r="CN607" s="1241"/>
      <c r="CO607" s="1241"/>
      <c r="CP607" s="1241"/>
      <c r="CQ607" s="1243"/>
      <c r="CS607" s="1489">
        <f t="shared" si="11"/>
        <v>0</v>
      </c>
      <c r="CT607" s="1490"/>
      <c r="CU607" s="1490"/>
      <c r="CV607" s="1490"/>
      <c r="CW607" s="1491"/>
      <c r="CX607" s="1489">
        <f t="shared" si="12"/>
        <v>0</v>
      </c>
      <c r="CY607" s="1490"/>
      <c r="CZ607" s="1490"/>
      <c r="DA607" s="1490"/>
      <c r="DB607" s="1491"/>
      <c r="DC607" s="1489">
        <f t="shared" si="13"/>
        <v>0</v>
      </c>
      <c r="DD607" s="1490"/>
      <c r="DE607" s="1490"/>
      <c r="DF607" s="1490"/>
      <c r="DG607" s="1491"/>
      <c r="DH607" s="1489">
        <f t="shared" si="14"/>
        <v>0</v>
      </c>
      <c r="DI607" s="1490"/>
      <c r="DJ607" s="1490"/>
      <c r="DK607" s="1490"/>
      <c r="DL607" s="1491"/>
      <c r="DM607" s="1489">
        <f t="shared" si="15"/>
        <v>0</v>
      </c>
      <c r="DN607" s="1490"/>
      <c r="DO607" s="1490"/>
      <c r="DP607" s="1490"/>
      <c r="DQ607" s="1491"/>
      <c r="DR607" s="1489">
        <f t="shared" si="16"/>
        <v>0</v>
      </c>
      <c r="DS607" s="1490"/>
      <c r="DT607" s="1490"/>
      <c r="DU607" s="1490"/>
      <c r="DV607" s="1491"/>
    </row>
    <row r="608" spans="1:126" ht="12.95" customHeight="1">
      <c r="A608" s="966" t="s">
        <v>134</v>
      </c>
      <c r="B608" s="966"/>
      <c r="C608" s="966"/>
      <c r="D608" s="966"/>
      <c r="E608" s="966"/>
      <c r="F608" s="966"/>
      <c r="G608" s="966"/>
      <c r="H608" s="966"/>
      <c r="I608" s="966"/>
      <c r="J608" s="966"/>
      <c r="K608" s="966"/>
      <c r="L608" s="966"/>
      <c r="M608" s="966"/>
      <c r="N608" s="966"/>
      <c r="O608" s="966"/>
      <c r="P608" s="966"/>
      <c r="Q608" s="966"/>
      <c r="R608" s="966"/>
      <c r="S608" s="966"/>
      <c r="T608" s="966"/>
      <c r="U608" s="966"/>
      <c r="V608" s="966"/>
      <c r="W608" s="966"/>
      <c r="X608" s="966"/>
      <c r="Y608" s="966"/>
      <c r="Z608" s="966"/>
      <c r="AA608" s="966"/>
      <c r="AB608" s="966"/>
      <c r="AC608" s="966"/>
      <c r="AD608" s="966"/>
      <c r="AE608" s="966"/>
      <c r="AF608" s="966"/>
      <c r="AG608" s="966"/>
      <c r="AH608" s="966"/>
      <c r="AI608" s="966"/>
      <c r="AJ608" s="966"/>
      <c r="AK608" s="966"/>
      <c r="AL608" s="966"/>
      <c r="AM608" s="966"/>
      <c r="AN608" s="966"/>
      <c r="AO608" s="966"/>
      <c r="AP608" s="966"/>
      <c r="AQ608" s="966"/>
      <c r="AR608" s="966"/>
      <c r="AS608" s="966"/>
      <c r="AZ608" s="41"/>
      <c r="BA608" s="41"/>
      <c r="BB608" s="41"/>
      <c r="BC608" s="41"/>
      <c r="BD608" s="41"/>
      <c r="BE608" s="1244">
        <f t="shared" si="9"/>
        <v>0</v>
      </c>
      <c r="BF608" s="1245"/>
      <c r="BG608" s="1240">
        <f t="shared" si="7"/>
        <v>0</v>
      </c>
      <c r="BH608" s="1243"/>
      <c r="BI608" s="1244">
        <f t="shared" si="10"/>
        <v>0</v>
      </c>
      <c r="BJ608" s="1245"/>
      <c r="BK608" s="1240">
        <f t="shared" si="8"/>
        <v>0</v>
      </c>
      <c r="BL608" s="1243"/>
      <c r="BN608" s="1240">
        <f t="shared" si="1"/>
        <v>0</v>
      </c>
      <c r="BO608" s="1241"/>
      <c r="BP608" s="1241"/>
      <c r="BQ608" s="1241"/>
      <c r="BR608" s="1242"/>
      <c r="BS608" s="1240">
        <f t="shared" si="2"/>
        <v>0</v>
      </c>
      <c r="BT608" s="1241"/>
      <c r="BU608" s="1241"/>
      <c r="BV608" s="1241"/>
      <c r="BW608" s="1243"/>
      <c r="BX608" s="1240">
        <f t="shared" si="3"/>
        <v>0</v>
      </c>
      <c r="BY608" s="1241"/>
      <c r="BZ608" s="1241"/>
      <c r="CA608" s="1241"/>
      <c r="CB608" s="1243"/>
      <c r="CC608" s="1240">
        <f t="shared" si="4"/>
        <v>0</v>
      </c>
      <c r="CD608" s="1241"/>
      <c r="CE608" s="1241"/>
      <c r="CF608" s="1241"/>
      <c r="CG608" s="1243"/>
      <c r="CH608" s="1240">
        <f t="shared" si="5"/>
        <v>0</v>
      </c>
      <c r="CI608" s="1241"/>
      <c r="CJ608" s="1241"/>
      <c r="CK608" s="1241"/>
      <c r="CL608" s="1243"/>
      <c r="CM608" s="1240">
        <f t="shared" si="6"/>
        <v>0</v>
      </c>
      <c r="CN608" s="1241"/>
      <c r="CO608" s="1241"/>
      <c r="CP608" s="1241"/>
      <c r="CQ608" s="1243"/>
      <c r="CS608" s="1489">
        <f t="shared" si="11"/>
        <v>0</v>
      </c>
      <c r="CT608" s="1490"/>
      <c r="CU608" s="1490"/>
      <c r="CV608" s="1490"/>
      <c r="CW608" s="1491"/>
      <c r="CX608" s="1489">
        <f t="shared" si="12"/>
        <v>0</v>
      </c>
      <c r="CY608" s="1490"/>
      <c r="CZ608" s="1490"/>
      <c r="DA608" s="1490"/>
      <c r="DB608" s="1491"/>
      <c r="DC608" s="1489">
        <f t="shared" si="13"/>
        <v>0</v>
      </c>
      <c r="DD608" s="1490"/>
      <c r="DE608" s="1490"/>
      <c r="DF608" s="1490"/>
      <c r="DG608" s="1491"/>
      <c r="DH608" s="1489">
        <f t="shared" si="14"/>
        <v>0</v>
      </c>
      <c r="DI608" s="1490"/>
      <c r="DJ608" s="1490"/>
      <c r="DK608" s="1490"/>
      <c r="DL608" s="1491"/>
      <c r="DM608" s="1489">
        <f t="shared" si="15"/>
        <v>0</v>
      </c>
      <c r="DN608" s="1490"/>
      <c r="DO608" s="1490"/>
      <c r="DP608" s="1490"/>
      <c r="DQ608" s="1491"/>
      <c r="DR608" s="1489">
        <f t="shared" si="16"/>
        <v>0</v>
      </c>
      <c r="DS608" s="1490"/>
      <c r="DT608" s="1490"/>
      <c r="DU608" s="1490"/>
      <c r="DV608" s="1491"/>
    </row>
    <row r="609" spans="1:126" ht="12.95" customHeight="1">
      <c r="A609" s="966"/>
      <c r="B609" s="966"/>
      <c r="C609" s="966"/>
      <c r="D609" s="966"/>
      <c r="E609" s="966"/>
      <c r="F609" s="966"/>
      <c r="G609" s="966"/>
      <c r="H609" s="966"/>
      <c r="I609" s="966"/>
      <c r="J609" s="966"/>
      <c r="K609" s="966"/>
      <c r="L609" s="966"/>
      <c r="M609" s="966"/>
      <c r="N609" s="966"/>
      <c r="O609" s="966"/>
      <c r="P609" s="966"/>
      <c r="Q609" s="966"/>
      <c r="R609" s="966"/>
      <c r="S609" s="966"/>
      <c r="T609" s="966"/>
      <c r="U609" s="966"/>
      <c r="V609" s="966"/>
      <c r="W609" s="966"/>
      <c r="X609" s="966"/>
      <c r="Y609" s="966"/>
      <c r="Z609" s="966"/>
      <c r="AA609" s="966"/>
      <c r="AB609" s="966"/>
      <c r="AC609" s="966"/>
      <c r="AD609" s="966"/>
      <c r="AE609" s="966"/>
      <c r="AF609" s="966"/>
      <c r="AG609" s="966"/>
      <c r="AH609" s="966"/>
      <c r="AI609" s="966"/>
      <c r="AJ609" s="966"/>
      <c r="AK609" s="966"/>
      <c r="AL609" s="966"/>
      <c r="AM609" s="966"/>
      <c r="AN609" s="966"/>
      <c r="AO609" s="966"/>
      <c r="AP609" s="966"/>
      <c r="AQ609" s="966"/>
      <c r="AR609" s="966"/>
      <c r="AS609" s="966"/>
      <c r="AZ609" s="41"/>
      <c r="BA609" s="41"/>
      <c r="BB609" s="41"/>
      <c r="BC609" s="41"/>
      <c r="BD609" s="41"/>
      <c r="BE609" s="1244">
        <f t="shared" si="9"/>
        <v>0</v>
      </c>
      <c r="BF609" s="1245"/>
      <c r="BG609" s="1240">
        <f t="shared" si="7"/>
        <v>0</v>
      </c>
      <c r="BH609" s="1243"/>
      <c r="BI609" s="1244">
        <f t="shared" si="10"/>
        <v>0</v>
      </c>
      <c r="BJ609" s="1245"/>
      <c r="BK609" s="1240">
        <f t="shared" si="8"/>
        <v>0</v>
      </c>
      <c r="BL609" s="1243"/>
      <c r="BN609" s="1240">
        <f t="shared" si="1"/>
        <v>0</v>
      </c>
      <c r="BO609" s="1241"/>
      <c r="BP609" s="1241"/>
      <c r="BQ609" s="1241"/>
      <c r="BR609" s="1242"/>
      <c r="BS609" s="1240">
        <f t="shared" si="2"/>
        <v>0</v>
      </c>
      <c r="BT609" s="1241"/>
      <c r="BU609" s="1241"/>
      <c r="BV609" s="1241"/>
      <c r="BW609" s="1243"/>
      <c r="BX609" s="1240">
        <f t="shared" si="3"/>
        <v>0</v>
      </c>
      <c r="BY609" s="1241"/>
      <c r="BZ609" s="1241"/>
      <c r="CA609" s="1241"/>
      <c r="CB609" s="1243"/>
      <c r="CC609" s="1240">
        <f t="shared" si="4"/>
        <v>0</v>
      </c>
      <c r="CD609" s="1241"/>
      <c r="CE609" s="1241"/>
      <c r="CF609" s="1241"/>
      <c r="CG609" s="1243"/>
      <c r="CH609" s="1240">
        <f t="shared" si="5"/>
        <v>0</v>
      </c>
      <c r="CI609" s="1241"/>
      <c r="CJ609" s="1241"/>
      <c r="CK609" s="1241"/>
      <c r="CL609" s="1243"/>
      <c r="CM609" s="1240">
        <f t="shared" si="6"/>
        <v>0</v>
      </c>
      <c r="CN609" s="1241"/>
      <c r="CO609" s="1241"/>
      <c r="CP609" s="1241"/>
      <c r="CQ609" s="1243"/>
      <c r="CS609" s="1489">
        <f t="shared" si="11"/>
        <v>0</v>
      </c>
      <c r="CT609" s="1490"/>
      <c r="CU609" s="1490"/>
      <c r="CV609" s="1490"/>
      <c r="CW609" s="1491"/>
      <c r="CX609" s="1489">
        <f t="shared" si="12"/>
        <v>0</v>
      </c>
      <c r="CY609" s="1490"/>
      <c r="CZ609" s="1490"/>
      <c r="DA609" s="1490"/>
      <c r="DB609" s="1491"/>
      <c r="DC609" s="1489">
        <f t="shared" si="13"/>
        <v>0</v>
      </c>
      <c r="DD609" s="1490"/>
      <c r="DE609" s="1490"/>
      <c r="DF609" s="1490"/>
      <c r="DG609" s="1491"/>
      <c r="DH609" s="1489">
        <f t="shared" si="14"/>
        <v>0</v>
      </c>
      <c r="DI609" s="1490"/>
      <c r="DJ609" s="1490"/>
      <c r="DK609" s="1490"/>
      <c r="DL609" s="1491"/>
      <c r="DM609" s="1489">
        <f t="shared" si="15"/>
        <v>0</v>
      </c>
      <c r="DN609" s="1490"/>
      <c r="DO609" s="1490"/>
      <c r="DP609" s="1490"/>
      <c r="DQ609" s="1491"/>
      <c r="DR609" s="1489">
        <f t="shared" si="16"/>
        <v>0</v>
      </c>
      <c r="DS609" s="1490"/>
      <c r="DT609" s="1490"/>
      <c r="DU609" s="1490"/>
      <c r="DV609" s="1491"/>
    </row>
    <row r="610" spans="1:126" ht="12.95" customHeight="1">
      <c r="AZ610" s="41"/>
      <c r="BA610" s="41"/>
      <c r="BB610" s="41"/>
      <c r="BC610" s="41"/>
      <c r="BD610" s="41"/>
      <c r="BE610" s="1244">
        <f t="shared" si="9"/>
        <v>0</v>
      </c>
      <c r="BF610" s="1245"/>
      <c r="BG610" s="1240">
        <f t="shared" si="7"/>
        <v>0</v>
      </c>
      <c r="BH610" s="1243"/>
      <c r="BI610" s="1244">
        <f t="shared" si="10"/>
        <v>0</v>
      </c>
      <c r="BJ610" s="1245"/>
      <c r="BK610" s="1240">
        <f t="shared" si="8"/>
        <v>0</v>
      </c>
      <c r="BL610" s="1243"/>
      <c r="BN610" s="1240">
        <f t="shared" si="1"/>
        <v>0</v>
      </c>
      <c r="BO610" s="1241"/>
      <c r="BP610" s="1241"/>
      <c r="BQ610" s="1241"/>
      <c r="BR610" s="1242"/>
      <c r="BS610" s="1240">
        <f t="shared" si="2"/>
        <v>0</v>
      </c>
      <c r="BT610" s="1241"/>
      <c r="BU610" s="1241"/>
      <c r="BV610" s="1241"/>
      <c r="BW610" s="1243"/>
      <c r="BX610" s="1240">
        <f t="shared" si="3"/>
        <v>0</v>
      </c>
      <c r="BY610" s="1241"/>
      <c r="BZ610" s="1241"/>
      <c r="CA610" s="1241"/>
      <c r="CB610" s="1243"/>
      <c r="CC610" s="1240">
        <f t="shared" si="4"/>
        <v>0</v>
      </c>
      <c r="CD610" s="1241"/>
      <c r="CE610" s="1241"/>
      <c r="CF610" s="1241"/>
      <c r="CG610" s="1243"/>
      <c r="CH610" s="1240">
        <f t="shared" si="5"/>
        <v>0</v>
      </c>
      <c r="CI610" s="1241"/>
      <c r="CJ610" s="1241"/>
      <c r="CK610" s="1241"/>
      <c r="CL610" s="1243"/>
      <c r="CM610" s="1240">
        <f t="shared" si="6"/>
        <v>0</v>
      </c>
      <c r="CN610" s="1241"/>
      <c r="CO610" s="1241"/>
      <c r="CP610" s="1241"/>
      <c r="CQ610" s="1243"/>
      <c r="CS610" s="1489">
        <f t="shared" si="11"/>
        <v>0</v>
      </c>
      <c r="CT610" s="1490"/>
      <c r="CU610" s="1490"/>
      <c r="CV610" s="1490"/>
      <c r="CW610" s="1491"/>
      <c r="CX610" s="1489">
        <f t="shared" si="12"/>
        <v>0</v>
      </c>
      <c r="CY610" s="1490"/>
      <c r="CZ610" s="1490"/>
      <c r="DA610" s="1490"/>
      <c r="DB610" s="1491"/>
      <c r="DC610" s="1489">
        <f t="shared" si="13"/>
        <v>0</v>
      </c>
      <c r="DD610" s="1490"/>
      <c r="DE610" s="1490"/>
      <c r="DF610" s="1490"/>
      <c r="DG610" s="1491"/>
      <c r="DH610" s="1489">
        <f t="shared" si="14"/>
        <v>0</v>
      </c>
      <c r="DI610" s="1490"/>
      <c r="DJ610" s="1490"/>
      <c r="DK610" s="1490"/>
      <c r="DL610" s="1491"/>
      <c r="DM610" s="1489">
        <f t="shared" si="15"/>
        <v>0</v>
      </c>
      <c r="DN610" s="1490"/>
      <c r="DO610" s="1490"/>
      <c r="DP610" s="1490"/>
      <c r="DQ610" s="1491"/>
      <c r="DR610" s="1489">
        <f t="shared" si="16"/>
        <v>0</v>
      </c>
      <c r="DS610" s="1490"/>
      <c r="DT610" s="1490"/>
      <c r="DU610" s="1490"/>
      <c r="DV610" s="1491"/>
    </row>
    <row r="611" spans="1:126" ht="12.95" customHeight="1">
      <c r="A611" s="3" t="s">
        <v>688</v>
      </c>
      <c r="B611" s="3"/>
      <c r="C611" s="3" t="s">
        <v>877</v>
      </c>
      <c r="AZ611" s="41"/>
      <c r="BA611" s="41"/>
      <c r="BB611" s="41"/>
      <c r="BC611" s="41"/>
      <c r="BD611" s="41"/>
      <c r="BE611" s="1244">
        <f t="shared" si="9"/>
        <v>0</v>
      </c>
      <c r="BF611" s="1245"/>
      <c r="BG611" s="1240">
        <f t="shared" si="7"/>
        <v>0</v>
      </c>
      <c r="BH611" s="1243"/>
      <c r="BI611" s="1244">
        <f t="shared" si="10"/>
        <v>0</v>
      </c>
      <c r="BJ611" s="1245"/>
      <c r="BK611" s="1240">
        <f t="shared" si="8"/>
        <v>0</v>
      </c>
      <c r="BL611" s="1243"/>
      <c r="BN611" s="1240">
        <f t="shared" si="1"/>
        <v>0</v>
      </c>
      <c r="BO611" s="1241"/>
      <c r="BP611" s="1241"/>
      <c r="BQ611" s="1241"/>
      <c r="BR611" s="1242"/>
      <c r="BS611" s="1240">
        <f t="shared" si="2"/>
        <v>0</v>
      </c>
      <c r="BT611" s="1241"/>
      <c r="BU611" s="1241"/>
      <c r="BV611" s="1241"/>
      <c r="BW611" s="1243"/>
      <c r="BX611" s="1240">
        <f t="shared" si="3"/>
        <v>0</v>
      </c>
      <c r="BY611" s="1241"/>
      <c r="BZ611" s="1241"/>
      <c r="CA611" s="1241"/>
      <c r="CB611" s="1243"/>
      <c r="CC611" s="1240">
        <f t="shared" si="4"/>
        <v>0</v>
      </c>
      <c r="CD611" s="1241"/>
      <c r="CE611" s="1241"/>
      <c r="CF611" s="1241"/>
      <c r="CG611" s="1243"/>
      <c r="CH611" s="1240">
        <f t="shared" si="5"/>
        <v>0</v>
      </c>
      <c r="CI611" s="1241"/>
      <c r="CJ611" s="1241"/>
      <c r="CK611" s="1241"/>
      <c r="CL611" s="1243"/>
      <c r="CM611" s="1240">
        <f t="shared" si="6"/>
        <v>0</v>
      </c>
      <c r="CN611" s="1241"/>
      <c r="CO611" s="1241"/>
      <c r="CP611" s="1241"/>
      <c r="CQ611" s="1243"/>
      <c r="CS611" s="1489">
        <f t="shared" si="11"/>
        <v>0</v>
      </c>
      <c r="CT611" s="1490"/>
      <c r="CU611" s="1490"/>
      <c r="CV611" s="1490"/>
      <c r="CW611" s="1491"/>
      <c r="CX611" s="1489">
        <f t="shared" si="12"/>
        <v>0</v>
      </c>
      <c r="CY611" s="1490"/>
      <c r="CZ611" s="1490"/>
      <c r="DA611" s="1490"/>
      <c r="DB611" s="1491"/>
      <c r="DC611" s="1489">
        <f t="shared" si="13"/>
        <v>0</v>
      </c>
      <c r="DD611" s="1490"/>
      <c r="DE611" s="1490"/>
      <c r="DF611" s="1490"/>
      <c r="DG611" s="1491"/>
      <c r="DH611" s="1489">
        <f t="shared" si="14"/>
        <v>0</v>
      </c>
      <c r="DI611" s="1490"/>
      <c r="DJ611" s="1490"/>
      <c r="DK611" s="1490"/>
      <c r="DL611" s="1491"/>
      <c r="DM611" s="1489">
        <f t="shared" si="15"/>
        <v>0</v>
      </c>
      <c r="DN611" s="1490"/>
      <c r="DO611" s="1490"/>
      <c r="DP611" s="1490"/>
      <c r="DQ611" s="1491"/>
      <c r="DR611" s="1489">
        <f t="shared" si="16"/>
        <v>0</v>
      </c>
      <c r="DS611" s="1490"/>
      <c r="DT611" s="1490"/>
      <c r="DU611" s="1490"/>
      <c r="DV611" s="1491"/>
    </row>
    <row r="612" spans="1:126" ht="12.95" customHeight="1">
      <c r="A612" s="3"/>
      <c r="B612" s="3"/>
      <c r="C612" s="3"/>
      <c r="AZ612" s="41"/>
      <c r="BA612" s="41"/>
      <c r="BB612" s="41"/>
      <c r="BC612" s="41"/>
      <c r="BD612" s="41"/>
      <c r="BE612" s="1244">
        <f t="shared" si="9"/>
        <v>0</v>
      </c>
      <c r="BF612" s="1245"/>
      <c r="BG612" s="1240">
        <f t="shared" si="7"/>
        <v>0</v>
      </c>
      <c r="BH612" s="1243"/>
      <c r="BI612" s="1244">
        <f t="shared" si="10"/>
        <v>0</v>
      </c>
      <c r="BJ612" s="1245"/>
      <c r="BK612" s="1240">
        <f t="shared" si="8"/>
        <v>0</v>
      </c>
      <c r="BL612" s="1243"/>
      <c r="BN612" s="1240">
        <f t="shared" si="1"/>
        <v>0</v>
      </c>
      <c r="BO612" s="1241"/>
      <c r="BP612" s="1241"/>
      <c r="BQ612" s="1241"/>
      <c r="BR612" s="1242"/>
      <c r="BS612" s="1240">
        <f t="shared" si="2"/>
        <v>0</v>
      </c>
      <c r="BT612" s="1241"/>
      <c r="BU612" s="1241"/>
      <c r="BV612" s="1241"/>
      <c r="BW612" s="1243"/>
      <c r="BX612" s="1240">
        <f t="shared" si="3"/>
        <v>0</v>
      </c>
      <c r="BY612" s="1241"/>
      <c r="BZ612" s="1241"/>
      <c r="CA612" s="1241"/>
      <c r="CB612" s="1243"/>
      <c r="CC612" s="1240">
        <f t="shared" si="4"/>
        <v>0</v>
      </c>
      <c r="CD612" s="1241"/>
      <c r="CE612" s="1241"/>
      <c r="CF612" s="1241"/>
      <c r="CG612" s="1243"/>
      <c r="CH612" s="1240">
        <f t="shared" si="5"/>
        <v>0</v>
      </c>
      <c r="CI612" s="1241"/>
      <c r="CJ612" s="1241"/>
      <c r="CK612" s="1241"/>
      <c r="CL612" s="1243"/>
      <c r="CM612" s="1240">
        <f t="shared" si="6"/>
        <v>0</v>
      </c>
      <c r="CN612" s="1241"/>
      <c r="CO612" s="1241"/>
      <c r="CP612" s="1241"/>
      <c r="CQ612" s="1243"/>
      <c r="CS612" s="1489">
        <f t="shared" si="11"/>
        <v>0</v>
      </c>
      <c r="CT612" s="1490"/>
      <c r="CU612" s="1490"/>
      <c r="CV612" s="1490"/>
      <c r="CW612" s="1491"/>
      <c r="CX612" s="1489">
        <f t="shared" si="12"/>
        <v>0</v>
      </c>
      <c r="CY612" s="1490"/>
      <c r="CZ612" s="1490"/>
      <c r="DA612" s="1490"/>
      <c r="DB612" s="1491"/>
      <c r="DC612" s="1489">
        <f t="shared" si="13"/>
        <v>0</v>
      </c>
      <c r="DD612" s="1490"/>
      <c r="DE612" s="1490"/>
      <c r="DF612" s="1490"/>
      <c r="DG612" s="1491"/>
      <c r="DH612" s="1489">
        <f t="shared" si="14"/>
        <v>0</v>
      </c>
      <c r="DI612" s="1490"/>
      <c r="DJ612" s="1490"/>
      <c r="DK612" s="1490"/>
      <c r="DL612" s="1491"/>
      <c r="DM612" s="1489">
        <f t="shared" si="15"/>
        <v>0</v>
      </c>
      <c r="DN612" s="1490"/>
      <c r="DO612" s="1490"/>
      <c r="DP612" s="1490"/>
      <c r="DQ612" s="1491"/>
      <c r="DR612" s="1489">
        <f t="shared" si="16"/>
        <v>0</v>
      </c>
      <c r="DS612" s="1490"/>
      <c r="DT612" s="1490"/>
      <c r="DU612" s="1490"/>
      <c r="DV612" s="1491"/>
    </row>
    <row r="613" spans="1:126" ht="12.95" customHeight="1">
      <c r="C613" s="3" t="s">
        <v>2242</v>
      </c>
      <c r="AZ613" s="41"/>
      <c r="BA613" s="41"/>
      <c r="BB613" s="41"/>
      <c r="BC613" s="41"/>
      <c r="BD613" s="41"/>
      <c r="BE613" s="1244">
        <f t="shared" si="9"/>
        <v>0</v>
      </c>
      <c r="BF613" s="1245"/>
      <c r="BG613" s="1240">
        <f t="shared" si="7"/>
        <v>0</v>
      </c>
      <c r="BH613" s="1243"/>
      <c r="BI613" s="1244">
        <f t="shared" si="10"/>
        <v>0</v>
      </c>
      <c r="BJ613" s="1245"/>
      <c r="BK613" s="1240">
        <f t="shared" si="8"/>
        <v>0</v>
      </c>
      <c r="BL613" s="1243"/>
      <c r="BN613" s="1244">
        <f>SUM(BN588:BR612)</f>
        <v>12</v>
      </c>
      <c r="BO613" s="1309"/>
      <c r="BP613" s="1309"/>
      <c r="BQ613" s="1309"/>
      <c r="BR613" s="1245"/>
      <c r="BS613" s="1244">
        <f>SUM(BS588:BW612)</f>
        <v>7</v>
      </c>
      <c r="BT613" s="1309"/>
      <c r="BU613" s="1309"/>
      <c r="BV613" s="1309"/>
      <c r="BW613" s="1245"/>
      <c r="BX613" s="1244">
        <f>SUM(BX588:CB612)</f>
        <v>10</v>
      </c>
      <c r="BY613" s="1309"/>
      <c r="BZ613" s="1309"/>
      <c r="CA613" s="1309"/>
      <c r="CB613" s="1245"/>
      <c r="CC613" s="1244">
        <f>SUM(CC588:CG612)</f>
        <v>9</v>
      </c>
      <c r="CD613" s="1309"/>
      <c r="CE613" s="1309"/>
      <c r="CF613" s="1309"/>
      <c r="CG613" s="1245"/>
      <c r="CH613" s="1244">
        <f>SUM(CH588:CL612)</f>
        <v>0</v>
      </c>
      <c r="CI613" s="1309"/>
      <c r="CJ613" s="1309"/>
      <c r="CK613" s="1309"/>
      <c r="CL613" s="1245"/>
      <c r="CM613" s="1244">
        <f>SUM(CM588:CQ612)</f>
        <v>0</v>
      </c>
      <c r="CN613" s="1309"/>
      <c r="CO613" s="1309"/>
      <c r="CP613" s="1309"/>
      <c r="CQ613" s="1245"/>
      <c r="CS613" s="1489">
        <f t="shared" si="11"/>
        <v>0</v>
      </c>
      <c r="CT613" s="1490"/>
      <c r="CU613" s="1490"/>
      <c r="CV613" s="1490"/>
      <c r="CW613" s="1491"/>
      <c r="CX613" s="1489">
        <f t="shared" si="12"/>
        <v>0</v>
      </c>
      <c r="CY613" s="1490"/>
      <c r="CZ613" s="1490"/>
      <c r="DA613" s="1490"/>
      <c r="DB613" s="1491"/>
      <c r="DC613" s="1489">
        <f t="shared" si="13"/>
        <v>0</v>
      </c>
      <c r="DD613" s="1490"/>
      <c r="DE613" s="1490"/>
      <c r="DF613" s="1490"/>
      <c r="DG613" s="1491"/>
      <c r="DH613" s="1489">
        <f t="shared" si="14"/>
        <v>0</v>
      </c>
      <c r="DI613" s="1490"/>
      <c r="DJ613" s="1490"/>
      <c r="DK613" s="1490"/>
      <c r="DL613" s="1491"/>
      <c r="DM613" s="1489">
        <f t="shared" si="15"/>
        <v>0</v>
      </c>
      <c r="DN613" s="1490"/>
      <c r="DO613" s="1490"/>
      <c r="DP613" s="1490"/>
      <c r="DQ613" s="1491"/>
      <c r="DR613" s="1489">
        <f t="shared" si="16"/>
        <v>0</v>
      </c>
      <c r="DS613" s="1490"/>
      <c r="DT613" s="1490"/>
      <c r="DU613" s="1490"/>
      <c r="DV613" s="1491"/>
    </row>
    <row r="614" spans="1:126" ht="12.95" customHeight="1" thickBot="1">
      <c r="B614" s="846"/>
      <c r="C614" s="3"/>
      <c r="AZ614" s="41"/>
      <c r="BA614" s="41"/>
      <c r="BB614" s="41"/>
      <c r="BC614" s="41"/>
      <c r="BD614" s="41"/>
      <c r="BE614" s="41"/>
      <c r="BF614" s="41"/>
      <c r="BG614" s="1244">
        <f>SUM(BG589:BH613)</f>
        <v>6</v>
      </c>
      <c r="BH614" s="1245"/>
      <c r="BI614" s="41"/>
      <c r="BJ614" s="41"/>
      <c r="BK614" s="1244">
        <f>SUM(BK589:BL613)</f>
        <v>15</v>
      </c>
      <c r="BL614" s="1245"/>
      <c r="BN614" s="41" t="s">
        <v>1794</v>
      </c>
      <c r="BO614" s="41"/>
      <c r="BP614" s="41"/>
      <c r="BQ614" s="41"/>
      <c r="BR614" s="472">
        <f>BN613*1</f>
        <v>12</v>
      </c>
      <c r="BS614" s="41"/>
      <c r="BT614" s="41"/>
      <c r="BU614" s="41"/>
      <c r="BV614" s="41"/>
      <c r="BW614" s="472">
        <f>BS613*1</f>
        <v>7</v>
      </c>
      <c r="BX614" s="41"/>
      <c r="BY614" s="41"/>
      <c r="BZ614" s="41"/>
      <c r="CA614" s="41"/>
      <c r="CB614" s="472">
        <f>BX613*2</f>
        <v>20</v>
      </c>
      <c r="CC614" s="41"/>
      <c r="CD614" s="41"/>
      <c r="CE614" s="41"/>
      <c r="CF614" s="41"/>
      <c r="CG614" s="472">
        <f>CC613*3</f>
        <v>27</v>
      </c>
      <c r="CH614" s="41"/>
      <c r="CI614" s="41"/>
      <c r="CJ614" s="41"/>
      <c r="CK614" s="41"/>
      <c r="CL614" s="472">
        <f>CH613*4</f>
        <v>0</v>
      </c>
      <c r="CM614" s="41"/>
      <c r="CN614" s="41"/>
      <c r="CO614" s="41"/>
      <c r="CP614" s="41"/>
      <c r="CQ614" s="471">
        <f>CM613*5</f>
        <v>0</v>
      </c>
      <c r="CS614" s="1244">
        <f>SUM(CS589:CW613)</f>
        <v>11</v>
      </c>
      <c r="CT614" s="1309"/>
      <c r="CU614" s="1309"/>
      <c r="CV614" s="1309"/>
      <c r="CW614" s="1245"/>
      <c r="CX614" s="1244">
        <f>SUM(CX589:DB613)</f>
        <v>2</v>
      </c>
      <c r="CY614" s="1309"/>
      <c r="CZ614" s="1309"/>
      <c r="DA614" s="1309"/>
      <c r="DB614" s="1245"/>
      <c r="DC614" s="1244">
        <f>SUM(DC589:DG613)</f>
        <v>1</v>
      </c>
      <c r="DD614" s="1309"/>
      <c r="DE614" s="1309"/>
      <c r="DF614" s="1309"/>
      <c r="DG614" s="1245"/>
      <c r="DH614" s="1244">
        <f>SUM(DH589:DL613)</f>
        <v>1</v>
      </c>
      <c r="DI614" s="1309"/>
      <c r="DJ614" s="1309"/>
      <c r="DK614" s="1309"/>
      <c r="DL614" s="1245"/>
      <c r="DM614" s="1244">
        <f>SUM(DM589:DQ613)</f>
        <v>0</v>
      </c>
      <c r="DN614" s="1309"/>
      <c r="DO614" s="1309"/>
      <c r="DP614" s="1309"/>
      <c r="DQ614" s="1245"/>
      <c r="DR614" s="1244">
        <f>SUM(DR589:DV613)</f>
        <v>0</v>
      </c>
      <c r="DS614" s="1309"/>
      <c r="DT614" s="1309"/>
      <c r="DU614" s="1309"/>
      <c r="DV614" s="1245"/>
    </row>
    <row r="615" spans="1:126" ht="12.95" customHeight="1" thickBot="1">
      <c r="B615" s="1095" t="s">
        <v>2311</v>
      </c>
      <c r="C615" s="1096"/>
      <c r="D615" s="1096"/>
      <c r="E615" s="1096"/>
      <c r="F615" s="1096"/>
      <c r="G615" s="1096"/>
      <c r="H615" s="1096"/>
      <c r="I615" s="1096"/>
      <c r="J615" s="1096"/>
      <c r="K615" s="1096"/>
      <c r="L615" s="1096"/>
      <c r="M615" s="1123" t="s">
        <v>2285</v>
      </c>
      <c r="N615" s="1123"/>
      <c r="O615" s="1123"/>
      <c r="P615" s="1123"/>
      <c r="Q615" s="1071" t="s">
        <v>2315</v>
      </c>
      <c r="R615" s="1072"/>
      <c r="S615" s="1073"/>
      <c r="T615" s="1071" t="s">
        <v>2314</v>
      </c>
      <c r="U615" s="1072"/>
      <c r="V615" s="1073"/>
      <c r="W615" s="1102" t="s">
        <v>775</v>
      </c>
      <c r="X615" s="1102"/>
      <c r="Y615" s="1103"/>
      <c r="Z615" s="1123" t="s">
        <v>2312</v>
      </c>
      <c r="AA615" s="1123"/>
      <c r="AB615" s="1123"/>
      <c r="AC615" s="1062" t="s">
        <v>2084</v>
      </c>
      <c r="AD615" s="1063"/>
      <c r="AE615" s="1064"/>
      <c r="AF615" s="1071" t="s">
        <v>2243</v>
      </c>
      <c r="AG615" s="1072"/>
      <c r="AH615" s="1072"/>
      <c r="AI615" s="1072"/>
      <c r="AJ615" s="1073"/>
      <c r="AK615" s="1124" t="s">
        <v>2244</v>
      </c>
      <c r="AL615" s="1125"/>
      <c r="AM615" s="1125"/>
      <c r="AN615" s="1126"/>
      <c r="AO615" s="1123" t="s">
        <v>776</v>
      </c>
      <c r="AP615" s="1123"/>
      <c r="AQ615" s="1123"/>
      <c r="AR615" s="1123"/>
      <c r="AS615" s="1123"/>
      <c r="AT615" s="41"/>
      <c r="AU615" s="41"/>
      <c r="AV615" s="41"/>
      <c r="AW615" s="41"/>
      <c r="AX615" s="41"/>
      <c r="AY615" s="41"/>
      <c r="AZ615" s="41"/>
      <c r="BN615" s="41" t="s">
        <v>904</v>
      </c>
      <c r="BO615" s="41"/>
      <c r="BP615" s="41"/>
      <c r="BQ615" s="41"/>
      <c r="BR615" s="41"/>
      <c r="BS615" s="41"/>
      <c r="BT615" s="41"/>
      <c r="BU615" s="41"/>
      <c r="BV615" s="41"/>
      <c r="BW615" s="41"/>
      <c r="BX615" s="41"/>
      <c r="BY615" s="41"/>
      <c r="BZ615" s="41"/>
      <c r="CA615" s="41"/>
      <c r="CB615" s="41"/>
      <c r="CC615" s="41"/>
      <c r="CD615" s="41"/>
      <c r="CE615" s="41"/>
      <c r="CF615" s="41"/>
      <c r="CG615" s="41"/>
      <c r="CH615" s="41"/>
      <c r="CI615" s="41"/>
      <c r="CJ615" s="41"/>
      <c r="CK615" s="41"/>
      <c r="CL615" s="41"/>
      <c r="CM615" s="41"/>
      <c r="CN615" s="41"/>
      <c r="CO615" s="41"/>
      <c r="CP615" s="62" t="s">
        <v>1795</v>
      </c>
      <c r="CQ615" s="473">
        <f>BR614+BW614+CB614+CG614+CL614+CQ614</f>
        <v>66</v>
      </c>
      <c r="CR615" s="41"/>
      <c r="CS615" s="41"/>
    </row>
    <row r="616" spans="1:126" ht="12.95" customHeight="1">
      <c r="B616" s="1097"/>
      <c r="C616" s="1098"/>
      <c r="D616" s="1098"/>
      <c r="E616" s="1098"/>
      <c r="F616" s="1098"/>
      <c r="G616" s="1098"/>
      <c r="H616" s="1098"/>
      <c r="I616" s="1098"/>
      <c r="J616" s="1098"/>
      <c r="K616" s="1098"/>
      <c r="L616" s="1098"/>
      <c r="M616" s="1123"/>
      <c r="N616" s="1123"/>
      <c r="O616" s="1123"/>
      <c r="P616" s="1123"/>
      <c r="Q616" s="1074"/>
      <c r="R616" s="1075"/>
      <c r="S616" s="1076"/>
      <c r="T616" s="1074"/>
      <c r="U616" s="1075"/>
      <c r="V616" s="1076"/>
      <c r="W616" s="1104"/>
      <c r="X616" s="1104"/>
      <c r="Y616" s="1105"/>
      <c r="Z616" s="1123"/>
      <c r="AA616" s="1123"/>
      <c r="AB616" s="1123"/>
      <c r="AC616" s="1065"/>
      <c r="AD616" s="1066"/>
      <c r="AE616" s="1067"/>
      <c r="AF616" s="1074"/>
      <c r="AG616" s="1075"/>
      <c r="AH616" s="1075"/>
      <c r="AI616" s="1075"/>
      <c r="AJ616" s="1076"/>
      <c r="AK616" s="1127"/>
      <c r="AL616" s="1128"/>
      <c r="AM616" s="1128"/>
      <c r="AN616" s="1129"/>
      <c r="AO616" s="1123"/>
      <c r="AP616" s="1123"/>
      <c r="AQ616" s="1123"/>
      <c r="AR616" s="1123"/>
      <c r="AS616" s="1123"/>
      <c r="AT616" s="41"/>
      <c r="AU616" s="41"/>
      <c r="AV616" s="41"/>
      <c r="AW616" s="41"/>
      <c r="AX616" s="41"/>
      <c r="AY616" s="41"/>
      <c r="AZ616" s="41"/>
      <c r="BN616" s="1240">
        <f>IF(J738="SRO/Studio",O738,0)</f>
        <v>0</v>
      </c>
      <c r="BO616" s="1241"/>
      <c r="BP616" s="1241"/>
      <c r="BQ616" s="1241"/>
      <c r="BR616" s="1243"/>
      <c r="BS616" s="1240">
        <f>IF(J738="1 Bedroom",O738,0)</f>
        <v>0</v>
      </c>
      <c r="BT616" s="1241"/>
      <c r="BU616" s="1241"/>
      <c r="BV616" s="1241"/>
      <c r="BW616" s="1243"/>
      <c r="BX616" s="1240">
        <f>IF(J738="2 Bedrooms",O738,0)</f>
        <v>0</v>
      </c>
      <c r="BY616" s="1241"/>
      <c r="BZ616" s="1241"/>
      <c r="CA616" s="1241"/>
      <c r="CB616" s="1243"/>
      <c r="CC616" s="1240">
        <f>IF(J738="3 Bedrooms",O738,0)</f>
        <v>1</v>
      </c>
      <c r="CD616" s="1241"/>
      <c r="CE616" s="1241"/>
      <c r="CF616" s="1241"/>
      <c r="CG616" s="1243"/>
      <c r="CH616" s="1240">
        <f>IF(J738="4 Bedrooms",O738,0)</f>
        <v>0</v>
      </c>
      <c r="CI616" s="1241"/>
      <c r="CJ616" s="1241"/>
      <c r="CK616" s="1241"/>
      <c r="CL616" s="1243"/>
      <c r="CM616" s="1492">
        <f>IF(J738="5 Bedrooms",O738,0)</f>
        <v>0</v>
      </c>
      <c r="CN616" s="1493"/>
      <c r="CO616" s="1493"/>
      <c r="CP616" s="1493"/>
      <c r="CQ616" s="1242"/>
      <c r="CR616" s="41"/>
      <c r="CS616" s="41"/>
    </row>
    <row r="617" spans="1:126" ht="12.95" customHeight="1">
      <c r="B617" s="1099"/>
      <c r="C617" s="1100"/>
      <c r="D617" s="1100"/>
      <c r="E617" s="1100"/>
      <c r="F617" s="1100"/>
      <c r="G617" s="1100"/>
      <c r="H617" s="1100"/>
      <c r="I617" s="1100"/>
      <c r="J617" s="1100"/>
      <c r="K617" s="1100"/>
      <c r="L617" s="1100"/>
      <c r="M617" s="1123"/>
      <c r="N617" s="1123"/>
      <c r="O617" s="1123"/>
      <c r="P617" s="1123"/>
      <c r="Q617" s="1077"/>
      <c r="R617" s="1078"/>
      <c r="S617" s="1079"/>
      <c r="T617" s="1077"/>
      <c r="U617" s="1078"/>
      <c r="V617" s="1079"/>
      <c r="W617" s="1106"/>
      <c r="X617" s="1106"/>
      <c r="Y617" s="1107"/>
      <c r="Z617" s="1123"/>
      <c r="AA617" s="1123"/>
      <c r="AB617" s="1123"/>
      <c r="AC617" s="1068"/>
      <c r="AD617" s="1069"/>
      <c r="AE617" s="1070"/>
      <c r="AF617" s="1077"/>
      <c r="AG617" s="1078"/>
      <c r="AH617" s="1078"/>
      <c r="AI617" s="1078"/>
      <c r="AJ617" s="1079"/>
      <c r="AK617" s="1130"/>
      <c r="AL617" s="1131"/>
      <c r="AM617" s="1131"/>
      <c r="AN617" s="1132"/>
      <c r="AO617" s="1123"/>
      <c r="AP617" s="1123"/>
      <c r="AQ617" s="1123"/>
      <c r="AR617" s="1123"/>
      <c r="AS617" s="1123"/>
      <c r="AT617" s="43"/>
      <c r="AU617" s="43"/>
      <c r="AV617" s="43"/>
      <c r="AW617" s="43"/>
      <c r="AX617" s="43"/>
      <c r="AY617" s="43"/>
      <c r="AZ617" s="43"/>
      <c r="BN617" s="1240">
        <f>IF(J739="SRO/Studio",O739,0)</f>
        <v>0</v>
      </c>
      <c r="BO617" s="1241"/>
      <c r="BP617" s="1241"/>
      <c r="BQ617" s="1241"/>
      <c r="BR617" s="1243"/>
      <c r="BS617" s="1240">
        <f>IF(J739="1 Bedroom",O739,0)</f>
        <v>0</v>
      </c>
      <c r="BT617" s="1241"/>
      <c r="BU617" s="1241"/>
      <c r="BV617" s="1241"/>
      <c r="BW617" s="1243"/>
      <c r="BX617" s="1240">
        <f>IF(J739="2 Bedrooms",O739,0)</f>
        <v>0</v>
      </c>
      <c r="BY617" s="1241"/>
      <c r="BZ617" s="1241"/>
      <c r="CA617" s="1241"/>
      <c r="CB617" s="1243"/>
      <c r="CC617" s="1240">
        <f>IF(J739="3 Bedrooms",O739,0)</f>
        <v>0</v>
      </c>
      <c r="CD617" s="1241"/>
      <c r="CE617" s="1241"/>
      <c r="CF617" s="1241"/>
      <c r="CG617" s="1243"/>
      <c r="CH617" s="1240">
        <f>IF(J739="4 Bedrooms",O739,0)</f>
        <v>0</v>
      </c>
      <c r="CI617" s="1241"/>
      <c r="CJ617" s="1241"/>
      <c r="CK617" s="1241"/>
      <c r="CL617" s="1243"/>
      <c r="CM617" s="1492">
        <f>IF(J739="5 Bedrooms",O739,0)</f>
        <v>0</v>
      </c>
      <c r="CN617" s="1493"/>
      <c r="CO617" s="1493"/>
      <c r="CP617" s="1493"/>
      <c r="CQ617" s="1242"/>
      <c r="CR617" s="41"/>
      <c r="CS617" s="41"/>
    </row>
    <row r="618" spans="1:126" ht="12.95" customHeight="1">
      <c r="B618" s="57" t="s">
        <v>943</v>
      </c>
      <c r="C618" s="1084" t="s">
        <v>2459</v>
      </c>
      <c r="D618" s="1084"/>
      <c r="E618" s="1084"/>
      <c r="F618" s="1084"/>
      <c r="G618" s="1084"/>
      <c r="H618" s="1084"/>
      <c r="I618" s="1084"/>
      <c r="J618" s="1084"/>
      <c r="K618" s="1084"/>
      <c r="L618" s="1084"/>
      <c r="M618" s="1108" t="s">
        <v>2297</v>
      </c>
      <c r="N618" s="1108"/>
      <c r="O618" s="1108"/>
      <c r="P618" s="1108"/>
      <c r="Q618" s="1056">
        <v>660</v>
      </c>
      <c r="R618" s="1057"/>
      <c r="S618" s="1058"/>
      <c r="T618" s="1053">
        <v>660</v>
      </c>
      <c r="U618" s="1054"/>
      <c r="V618" s="1055"/>
      <c r="W618" s="1080">
        <v>0.03</v>
      </c>
      <c r="X618" s="1081"/>
      <c r="Y618" s="1082"/>
      <c r="Z618" s="1374" t="s">
        <v>2071</v>
      </c>
      <c r="AA618" s="1375"/>
      <c r="AB618" s="1376"/>
      <c r="AC618" s="1050">
        <v>1</v>
      </c>
      <c r="AD618" s="1051"/>
      <c r="AE618" s="1052"/>
      <c r="AF618" s="1059"/>
      <c r="AG618" s="1060"/>
      <c r="AH618" s="1060"/>
      <c r="AI618" s="1060"/>
      <c r="AJ618" s="1061"/>
      <c r="AK618" s="1119"/>
      <c r="AL618" s="1120"/>
      <c r="AM618" s="1120"/>
      <c r="AN618" s="1121"/>
      <c r="AO618" s="1195">
        <f>AM547</f>
        <v>3759124</v>
      </c>
      <c r="AP618" s="1195"/>
      <c r="AQ618" s="1195"/>
      <c r="AR618" s="1195"/>
      <c r="AS618" s="1195"/>
      <c r="AT618" s="953" t="str">
        <f t="shared" ref="AT618:AT629" si="17">IF(AND(NOT(C617=""),C618="",NOT(C619="")),"!","")</f>
        <v/>
      </c>
      <c r="AU618" s="43"/>
      <c r="AV618" s="43"/>
      <c r="AW618" s="43"/>
      <c r="AX618" s="43"/>
      <c r="AY618" s="43"/>
      <c r="BA618" s="41" t="s">
        <v>2071</v>
      </c>
      <c r="BC618" s="43"/>
      <c r="BD618" s="43"/>
      <c r="BN618" s="1240">
        <f>IF(J740="SRO/Studio",O740,0)</f>
        <v>0</v>
      </c>
      <c r="BO618" s="1241"/>
      <c r="BP618" s="1241"/>
      <c r="BQ618" s="1241"/>
      <c r="BR618" s="1243"/>
      <c r="BS618" s="1240">
        <f>IF(J740="1 Bedroom",O740,0)</f>
        <v>0</v>
      </c>
      <c r="BT618" s="1241"/>
      <c r="BU618" s="1241"/>
      <c r="BV618" s="1241"/>
      <c r="BW618" s="1243"/>
      <c r="BX618" s="1240">
        <f>IF(J740="2 Bedrooms",O740,0)</f>
        <v>0</v>
      </c>
      <c r="BY618" s="1241"/>
      <c r="BZ618" s="1241"/>
      <c r="CA618" s="1241"/>
      <c r="CB618" s="1243"/>
      <c r="CC618" s="1240">
        <f>IF(J740="3 Bedrooms",O740,0)</f>
        <v>0</v>
      </c>
      <c r="CD618" s="1241"/>
      <c r="CE618" s="1241"/>
      <c r="CF618" s="1241"/>
      <c r="CG618" s="1243"/>
      <c r="CH618" s="1240">
        <f>IF(J740="4 Bedrooms",O740,0)</f>
        <v>0</v>
      </c>
      <c r="CI618" s="1241"/>
      <c r="CJ618" s="1241"/>
      <c r="CK618" s="1241"/>
      <c r="CL618" s="1243"/>
      <c r="CM618" s="1492">
        <f>IF(J740="5 Bedrooms",O740,0)</f>
        <v>0</v>
      </c>
      <c r="CN618" s="1493"/>
      <c r="CO618" s="1493"/>
      <c r="CP618" s="1493"/>
      <c r="CQ618" s="1242"/>
      <c r="CR618" s="41"/>
      <c r="CS618" s="41"/>
    </row>
    <row r="619" spans="1:126" ht="12.95" customHeight="1">
      <c r="B619" s="58" t="s">
        <v>944</v>
      </c>
      <c r="C619" s="1084"/>
      <c r="D619" s="1084"/>
      <c r="E619" s="1084"/>
      <c r="F619" s="1084"/>
      <c r="G619" s="1084"/>
      <c r="H619" s="1084"/>
      <c r="I619" s="1084"/>
      <c r="J619" s="1084"/>
      <c r="K619" s="1084"/>
      <c r="L619" s="1084"/>
      <c r="M619" s="1108" t="s">
        <v>2071</v>
      </c>
      <c r="N619" s="1108"/>
      <c r="O619" s="1108"/>
      <c r="P619" s="1108"/>
      <c r="Q619" s="1056"/>
      <c r="R619" s="1057"/>
      <c r="S619" s="1058"/>
      <c r="T619" s="1053"/>
      <c r="U619" s="1054"/>
      <c r="V619" s="1055"/>
      <c r="W619" s="1080"/>
      <c r="X619" s="1081"/>
      <c r="Y619" s="1082"/>
      <c r="Z619" s="1374" t="s">
        <v>2071</v>
      </c>
      <c r="AA619" s="1375"/>
      <c r="AB619" s="1376"/>
      <c r="AC619" s="1050"/>
      <c r="AD619" s="1051"/>
      <c r="AE619" s="1052"/>
      <c r="AF619" s="1059"/>
      <c r="AG619" s="1060"/>
      <c r="AH619" s="1060"/>
      <c r="AI619" s="1060"/>
      <c r="AJ619" s="1061"/>
      <c r="AK619" s="1119"/>
      <c r="AL619" s="1120"/>
      <c r="AM619" s="1120"/>
      <c r="AN619" s="1121"/>
      <c r="AO619" s="1195"/>
      <c r="AP619" s="1195"/>
      <c r="AQ619" s="1195"/>
      <c r="AR619" s="1195"/>
      <c r="AS619" s="1195"/>
      <c r="AT619" s="953" t="str">
        <f t="shared" si="17"/>
        <v/>
      </c>
      <c r="AU619" s="43"/>
      <c r="AV619" s="43"/>
      <c r="AW619" s="43"/>
      <c r="AX619" s="43"/>
      <c r="AY619" s="43"/>
      <c r="BA619" s="41" t="s">
        <v>826</v>
      </c>
      <c r="BC619" s="43"/>
      <c r="BD619" s="43"/>
      <c r="BN619" s="1240">
        <f>IF(J741="SRO/Studio",O741,0)</f>
        <v>0</v>
      </c>
      <c r="BO619" s="1241"/>
      <c r="BP619" s="1241"/>
      <c r="BQ619" s="1241"/>
      <c r="BR619" s="1243"/>
      <c r="BS619" s="1240">
        <f>IF(J741="1 Bedroom",O741,0)</f>
        <v>0</v>
      </c>
      <c r="BT619" s="1241"/>
      <c r="BU619" s="1241"/>
      <c r="BV619" s="1241"/>
      <c r="BW619" s="1243"/>
      <c r="BX619" s="1240">
        <f>IF(J741="2 Bedrooms",O741,0)</f>
        <v>0</v>
      </c>
      <c r="BY619" s="1241"/>
      <c r="BZ619" s="1241"/>
      <c r="CA619" s="1241"/>
      <c r="CB619" s="1243"/>
      <c r="CC619" s="1240">
        <f>IF(J741="3 Bedrooms",O741,0)</f>
        <v>0</v>
      </c>
      <c r="CD619" s="1241"/>
      <c r="CE619" s="1241"/>
      <c r="CF619" s="1241"/>
      <c r="CG619" s="1243"/>
      <c r="CH619" s="1240">
        <f>IF(J741="4 Bedrooms",O741,0)</f>
        <v>0</v>
      </c>
      <c r="CI619" s="1241"/>
      <c r="CJ619" s="1241"/>
      <c r="CK619" s="1241"/>
      <c r="CL619" s="1243"/>
      <c r="CM619" s="1492">
        <f>IF(J741="5 Bedrooms",O741,0)</f>
        <v>0</v>
      </c>
      <c r="CN619" s="1493"/>
      <c r="CO619" s="1493"/>
      <c r="CP619" s="1493"/>
      <c r="CQ619" s="1242"/>
      <c r="CR619" s="41"/>
      <c r="CS619" s="41"/>
    </row>
    <row r="620" spans="1:126" ht="12.95" customHeight="1">
      <c r="B620" s="58" t="s">
        <v>950</v>
      </c>
      <c r="C620" s="1084"/>
      <c r="D620" s="1084"/>
      <c r="E620" s="1084"/>
      <c r="F620" s="1084"/>
      <c r="G620" s="1084"/>
      <c r="H620" s="1084"/>
      <c r="I620" s="1084"/>
      <c r="J620" s="1084"/>
      <c r="K620" s="1084"/>
      <c r="L620" s="1084"/>
      <c r="M620" s="1108" t="s">
        <v>2071</v>
      </c>
      <c r="N620" s="1108"/>
      <c r="O620" s="1108"/>
      <c r="P620" s="1108"/>
      <c r="Q620" s="1056"/>
      <c r="R620" s="1057"/>
      <c r="S620" s="1058"/>
      <c r="T620" s="1053"/>
      <c r="U620" s="1054"/>
      <c r="V620" s="1055"/>
      <c r="W620" s="1080"/>
      <c r="X620" s="1081"/>
      <c r="Y620" s="1082"/>
      <c r="Z620" s="1374" t="s">
        <v>2071</v>
      </c>
      <c r="AA620" s="1375"/>
      <c r="AB620" s="1376"/>
      <c r="AC620" s="1050"/>
      <c r="AD620" s="1051"/>
      <c r="AE620" s="1052"/>
      <c r="AF620" s="1059"/>
      <c r="AG620" s="1060"/>
      <c r="AH620" s="1060"/>
      <c r="AI620" s="1060"/>
      <c r="AJ620" s="1061"/>
      <c r="AK620" s="1119"/>
      <c r="AL620" s="1120"/>
      <c r="AM620" s="1120"/>
      <c r="AN620" s="1121"/>
      <c r="AO620" s="1195"/>
      <c r="AP620" s="1195"/>
      <c r="AQ620" s="1195"/>
      <c r="AR620" s="1195"/>
      <c r="AS620" s="1195"/>
      <c r="AT620" s="953" t="str">
        <f t="shared" si="17"/>
        <v/>
      </c>
      <c r="AU620" s="43"/>
      <c r="AV620" s="43"/>
      <c r="AW620" s="43"/>
      <c r="AX620" s="43"/>
      <c r="AY620" s="43"/>
      <c r="AZ620" s="43"/>
      <c r="BA620" s="41" t="s">
        <v>825</v>
      </c>
      <c r="BB620" s="43"/>
      <c r="BC620" s="43"/>
      <c r="BD620" s="43"/>
      <c r="BN620" s="1494">
        <f>SUM(BN616:BR619)</f>
        <v>0</v>
      </c>
      <c r="BO620" s="1495"/>
      <c r="BP620" s="1495"/>
      <c r="BQ620" s="1495"/>
      <c r="BR620" s="1496"/>
      <c r="BS620" s="1494">
        <f>SUM(BS616:BW619)</f>
        <v>0</v>
      </c>
      <c r="BT620" s="1495"/>
      <c r="BU620" s="1495"/>
      <c r="BV620" s="1495"/>
      <c r="BW620" s="1496"/>
      <c r="BX620" s="1494">
        <f>SUM(BX616:CB619)</f>
        <v>0</v>
      </c>
      <c r="BY620" s="1495"/>
      <c r="BZ620" s="1495"/>
      <c r="CA620" s="1495"/>
      <c r="CB620" s="1496"/>
      <c r="CC620" s="1494">
        <f>SUM(CC616:CG619)</f>
        <v>1</v>
      </c>
      <c r="CD620" s="1495"/>
      <c r="CE620" s="1495"/>
      <c r="CF620" s="1495"/>
      <c r="CG620" s="1496"/>
      <c r="CH620" s="1494">
        <f>SUM(CH616:CL619)</f>
        <v>0</v>
      </c>
      <c r="CI620" s="1495"/>
      <c r="CJ620" s="1495"/>
      <c r="CK620" s="1495"/>
      <c r="CL620" s="1496"/>
      <c r="CM620" s="1494">
        <f>SUM(CM616:CQ619)</f>
        <v>0</v>
      </c>
      <c r="CN620" s="1495"/>
      <c r="CO620" s="1495"/>
      <c r="CP620" s="1495"/>
      <c r="CQ620" s="1496"/>
      <c r="CS620" s="472">
        <f>BN620+BS620+BX620+CC620+CH620+CM620</f>
        <v>1</v>
      </c>
      <c r="CT620" s="63" t="s">
        <v>2075</v>
      </c>
      <c r="CU620" s="41"/>
    </row>
    <row r="621" spans="1:126" ht="12.95" customHeight="1">
      <c r="B621" s="58" t="s">
        <v>459</v>
      </c>
      <c r="C621" s="1084"/>
      <c r="D621" s="1084"/>
      <c r="E621" s="1084"/>
      <c r="F621" s="1084"/>
      <c r="G621" s="1084"/>
      <c r="H621" s="1084"/>
      <c r="I621" s="1084"/>
      <c r="J621" s="1084"/>
      <c r="K621" s="1084"/>
      <c r="L621" s="1084"/>
      <c r="M621" s="1108" t="s">
        <v>2071</v>
      </c>
      <c r="N621" s="1108"/>
      <c r="O621" s="1108"/>
      <c r="P621" s="1108"/>
      <c r="Q621" s="1056"/>
      <c r="R621" s="1057"/>
      <c r="S621" s="1058"/>
      <c r="T621" s="1053"/>
      <c r="U621" s="1054"/>
      <c r="V621" s="1055"/>
      <c r="W621" s="1080"/>
      <c r="X621" s="1081"/>
      <c r="Y621" s="1082"/>
      <c r="Z621" s="1374" t="s">
        <v>2071</v>
      </c>
      <c r="AA621" s="1375"/>
      <c r="AB621" s="1376"/>
      <c r="AC621" s="1050"/>
      <c r="AD621" s="1051"/>
      <c r="AE621" s="1052"/>
      <c r="AF621" s="1059"/>
      <c r="AG621" s="1060"/>
      <c r="AH621" s="1060"/>
      <c r="AI621" s="1060"/>
      <c r="AJ621" s="1061"/>
      <c r="AK621" s="1119"/>
      <c r="AL621" s="1120"/>
      <c r="AM621" s="1120"/>
      <c r="AN621" s="1121"/>
      <c r="AO621" s="1195"/>
      <c r="AP621" s="1195"/>
      <c r="AQ621" s="1195"/>
      <c r="AR621" s="1195"/>
      <c r="AS621" s="1195"/>
      <c r="AT621" s="953" t="str">
        <f t="shared" si="17"/>
        <v/>
      </c>
      <c r="AU621" s="43"/>
      <c r="AV621" s="43"/>
      <c r="AW621" s="43"/>
      <c r="AX621" s="43"/>
      <c r="AY621" s="43"/>
      <c r="AZ621" s="43"/>
      <c r="BA621" s="41" t="s">
        <v>2313</v>
      </c>
      <c r="BN621" s="43" t="s">
        <v>905</v>
      </c>
      <c r="BO621" s="43"/>
      <c r="BP621" s="43"/>
      <c r="BQ621" s="41"/>
      <c r="BR621" s="41"/>
      <c r="BS621" s="41"/>
      <c r="BT621" s="41"/>
      <c r="BU621" s="41"/>
      <c r="BV621" s="41"/>
      <c r="BW621" s="41"/>
      <c r="BX621" s="41"/>
      <c r="BY621" s="41"/>
      <c r="BZ621" s="41"/>
      <c r="CA621" s="41"/>
      <c r="CB621" s="41"/>
      <c r="CC621" s="41"/>
      <c r="CD621" s="41"/>
      <c r="CE621" s="41"/>
      <c r="CF621" s="41"/>
      <c r="CG621" s="41"/>
      <c r="CH621" s="41"/>
      <c r="CI621" s="41"/>
      <c r="CJ621" s="41"/>
      <c r="CK621" s="41"/>
      <c r="CL621" s="41"/>
      <c r="CM621" s="41"/>
      <c r="CN621" s="41"/>
      <c r="CO621" s="41"/>
      <c r="CP621" s="41"/>
      <c r="CQ621" s="41"/>
      <c r="CR621" s="41"/>
      <c r="CS621" s="41"/>
    </row>
    <row r="622" spans="1:126" ht="12.95" customHeight="1">
      <c r="B622" s="58" t="s">
        <v>182</v>
      </c>
      <c r="C622" s="1084"/>
      <c r="D622" s="1084"/>
      <c r="E622" s="1084"/>
      <c r="F622" s="1084"/>
      <c r="G622" s="1084"/>
      <c r="H622" s="1084"/>
      <c r="I622" s="1084"/>
      <c r="J622" s="1084"/>
      <c r="K622" s="1084"/>
      <c r="L622" s="1084"/>
      <c r="M622" s="1108" t="s">
        <v>2071</v>
      </c>
      <c r="N622" s="1108"/>
      <c r="O622" s="1108"/>
      <c r="P622" s="1108"/>
      <c r="Q622" s="1056"/>
      <c r="R622" s="1057"/>
      <c r="S622" s="1058"/>
      <c r="T622" s="1053"/>
      <c r="U622" s="1054"/>
      <c r="V622" s="1055"/>
      <c r="W622" s="1080"/>
      <c r="X622" s="1081"/>
      <c r="Y622" s="1082"/>
      <c r="Z622" s="1374" t="s">
        <v>2071</v>
      </c>
      <c r="AA622" s="1375"/>
      <c r="AB622" s="1376"/>
      <c r="AC622" s="1050"/>
      <c r="AD622" s="1051"/>
      <c r="AE622" s="1052"/>
      <c r="AF622" s="1059"/>
      <c r="AG622" s="1060"/>
      <c r="AH622" s="1060"/>
      <c r="AI622" s="1060"/>
      <c r="AJ622" s="1061"/>
      <c r="AK622" s="1119"/>
      <c r="AL622" s="1120"/>
      <c r="AM622" s="1120"/>
      <c r="AN622" s="1121"/>
      <c r="AO622" s="1195"/>
      <c r="AP622" s="1195"/>
      <c r="AQ622" s="1195"/>
      <c r="AR622" s="1195"/>
      <c r="AS622" s="1195"/>
      <c r="AT622" s="953" t="str">
        <f t="shared" si="17"/>
        <v/>
      </c>
      <c r="AU622" s="43"/>
      <c r="AV622" s="43"/>
      <c r="AW622" s="43"/>
      <c r="AX622" s="43"/>
      <c r="AY622" s="43"/>
      <c r="AZ622" s="43"/>
      <c r="BA622" s="41" t="s">
        <v>527</v>
      </c>
      <c r="BN622" s="1240">
        <f t="shared" ref="BN622:BN631" si="18">IF(J752="SRO/Studio",O752,0)</f>
        <v>0</v>
      </c>
      <c r="BO622" s="1241"/>
      <c r="BP622" s="1241"/>
      <c r="BQ622" s="1241"/>
      <c r="BR622" s="1243"/>
      <c r="BS622" s="1240">
        <f t="shared" ref="BS622:BS631" si="19">IF(J752="1 Bedroom",O752,0)</f>
        <v>0</v>
      </c>
      <c r="BT622" s="1241"/>
      <c r="BU622" s="1241"/>
      <c r="BV622" s="1241"/>
      <c r="BW622" s="1243"/>
      <c r="BX622" s="1240">
        <f t="shared" ref="BX622:BX631" si="20">IF(J752="2 Bedrooms",O752,0)</f>
        <v>0</v>
      </c>
      <c r="BY622" s="1241"/>
      <c r="BZ622" s="1241"/>
      <c r="CA622" s="1241"/>
      <c r="CB622" s="1243"/>
      <c r="CC622" s="1240">
        <f t="shared" ref="CC622:CC631" si="21">IF(J752="3 Bedrooms",O752,0)</f>
        <v>0</v>
      </c>
      <c r="CD622" s="1241"/>
      <c r="CE622" s="1241"/>
      <c r="CF622" s="1241"/>
      <c r="CG622" s="1243"/>
      <c r="CH622" s="1240">
        <f t="shared" ref="CH622:CH631" si="22">IF(J752="4 Bedrooms",O752,0)</f>
        <v>0</v>
      </c>
      <c r="CI622" s="1241"/>
      <c r="CJ622" s="1241"/>
      <c r="CK622" s="1241"/>
      <c r="CL622" s="1243"/>
      <c r="CM622" s="1240">
        <f t="shared" ref="CM622:CM631" si="23">IF(J752="5 Bedrooms",O752,0)</f>
        <v>0</v>
      </c>
      <c r="CN622" s="1241"/>
      <c r="CO622" s="1241"/>
      <c r="CP622" s="1241"/>
      <c r="CQ622" s="1243"/>
      <c r="CR622" s="41"/>
      <c r="CS622" s="41"/>
    </row>
    <row r="623" spans="1:126" ht="12.95" customHeight="1">
      <c r="B623" s="58" t="s">
        <v>462</v>
      </c>
      <c r="C623" s="1084"/>
      <c r="D623" s="1084"/>
      <c r="E623" s="1084"/>
      <c r="F623" s="1084"/>
      <c r="G623" s="1084"/>
      <c r="H623" s="1084"/>
      <c r="I623" s="1084"/>
      <c r="J623" s="1084"/>
      <c r="K623" s="1084"/>
      <c r="L623" s="1084"/>
      <c r="M623" s="1108" t="s">
        <v>2071</v>
      </c>
      <c r="N623" s="1108"/>
      <c r="O623" s="1108"/>
      <c r="P623" s="1108"/>
      <c r="Q623" s="1056"/>
      <c r="R623" s="1057"/>
      <c r="S623" s="1058"/>
      <c r="T623" s="1053"/>
      <c r="U623" s="1054"/>
      <c r="V623" s="1055"/>
      <c r="W623" s="1080"/>
      <c r="X623" s="1081"/>
      <c r="Y623" s="1082"/>
      <c r="Z623" s="1374" t="s">
        <v>2071</v>
      </c>
      <c r="AA623" s="1375"/>
      <c r="AB623" s="1376"/>
      <c r="AC623" s="1050"/>
      <c r="AD623" s="1051"/>
      <c r="AE623" s="1052"/>
      <c r="AF623" s="1059"/>
      <c r="AG623" s="1060"/>
      <c r="AH623" s="1060"/>
      <c r="AI623" s="1060"/>
      <c r="AJ623" s="1061"/>
      <c r="AK623" s="1119"/>
      <c r="AL623" s="1120"/>
      <c r="AM623" s="1120"/>
      <c r="AN623" s="1121"/>
      <c r="AO623" s="1195"/>
      <c r="AP623" s="1195"/>
      <c r="AQ623" s="1195"/>
      <c r="AR623" s="1195"/>
      <c r="AS623" s="1195"/>
      <c r="AT623" s="953" t="str">
        <f t="shared" si="17"/>
        <v/>
      </c>
      <c r="AU623" s="43"/>
      <c r="AV623" s="43"/>
      <c r="AW623" s="43"/>
      <c r="AX623" s="43"/>
      <c r="AY623" s="43"/>
      <c r="AZ623" s="43"/>
      <c r="BN623" s="1240">
        <f t="shared" si="18"/>
        <v>0</v>
      </c>
      <c r="BO623" s="1241"/>
      <c r="BP623" s="1241"/>
      <c r="BQ623" s="1241"/>
      <c r="BR623" s="1243"/>
      <c r="BS623" s="1240">
        <f t="shared" si="19"/>
        <v>0</v>
      </c>
      <c r="BT623" s="1241"/>
      <c r="BU623" s="1241"/>
      <c r="BV623" s="1241"/>
      <c r="BW623" s="1243"/>
      <c r="BX623" s="1240">
        <f t="shared" si="20"/>
        <v>0</v>
      </c>
      <c r="BY623" s="1241"/>
      <c r="BZ623" s="1241"/>
      <c r="CA623" s="1241"/>
      <c r="CB623" s="1243"/>
      <c r="CC623" s="1240">
        <f t="shared" si="21"/>
        <v>0</v>
      </c>
      <c r="CD623" s="1241"/>
      <c r="CE623" s="1241"/>
      <c r="CF623" s="1241"/>
      <c r="CG623" s="1243"/>
      <c r="CH623" s="1240">
        <f t="shared" si="22"/>
        <v>0</v>
      </c>
      <c r="CI623" s="1241"/>
      <c r="CJ623" s="1241"/>
      <c r="CK623" s="1241"/>
      <c r="CL623" s="1243"/>
      <c r="CM623" s="1240">
        <f t="shared" si="23"/>
        <v>0</v>
      </c>
      <c r="CN623" s="1241"/>
      <c r="CO623" s="1241"/>
      <c r="CP623" s="1241"/>
      <c r="CQ623" s="1243"/>
      <c r="CR623" s="41"/>
      <c r="CS623" s="41"/>
    </row>
    <row r="624" spans="1:126" ht="12.95" customHeight="1">
      <c r="B624" s="58" t="s">
        <v>777</v>
      </c>
      <c r="C624" s="1084"/>
      <c r="D624" s="1084"/>
      <c r="E624" s="1084"/>
      <c r="F624" s="1084"/>
      <c r="G624" s="1084"/>
      <c r="H624" s="1084"/>
      <c r="I624" s="1084"/>
      <c r="J624" s="1084"/>
      <c r="K624" s="1084"/>
      <c r="L624" s="1084"/>
      <c r="M624" s="1108" t="s">
        <v>2071</v>
      </c>
      <c r="N624" s="1108"/>
      <c r="O624" s="1108"/>
      <c r="P624" s="1108"/>
      <c r="Q624" s="1056"/>
      <c r="R624" s="1057"/>
      <c r="S624" s="1058"/>
      <c r="T624" s="1053"/>
      <c r="U624" s="1054"/>
      <c r="V624" s="1055"/>
      <c r="W624" s="1080"/>
      <c r="X624" s="1081"/>
      <c r="Y624" s="1082"/>
      <c r="Z624" s="1374" t="s">
        <v>2071</v>
      </c>
      <c r="AA624" s="1375"/>
      <c r="AB624" s="1376"/>
      <c r="AC624" s="1050"/>
      <c r="AD624" s="1051"/>
      <c r="AE624" s="1052"/>
      <c r="AF624" s="1059"/>
      <c r="AG624" s="1060"/>
      <c r="AH624" s="1060"/>
      <c r="AI624" s="1060"/>
      <c r="AJ624" s="1061"/>
      <c r="AK624" s="1119"/>
      <c r="AL624" s="1120"/>
      <c r="AM624" s="1120"/>
      <c r="AN624" s="1121"/>
      <c r="AO624" s="1195"/>
      <c r="AP624" s="1195"/>
      <c r="AQ624" s="1195"/>
      <c r="AR624" s="1195"/>
      <c r="AS624" s="1195"/>
      <c r="AT624" s="953" t="str">
        <f t="shared" si="17"/>
        <v/>
      </c>
      <c r="AU624" s="43"/>
      <c r="AV624" s="43"/>
      <c r="AW624" s="43"/>
      <c r="AX624" s="43"/>
      <c r="AY624" s="43"/>
      <c r="AZ624" s="43"/>
      <c r="BN624" s="1240">
        <f t="shared" si="18"/>
        <v>0</v>
      </c>
      <c r="BO624" s="1241"/>
      <c r="BP624" s="1241"/>
      <c r="BQ624" s="1241"/>
      <c r="BR624" s="1243"/>
      <c r="BS624" s="1240">
        <f t="shared" si="19"/>
        <v>0</v>
      </c>
      <c r="BT624" s="1241"/>
      <c r="BU624" s="1241"/>
      <c r="BV624" s="1241"/>
      <c r="BW624" s="1243"/>
      <c r="BX624" s="1240">
        <f t="shared" si="20"/>
        <v>0</v>
      </c>
      <c r="BY624" s="1241"/>
      <c r="BZ624" s="1241"/>
      <c r="CA624" s="1241"/>
      <c r="CB624" s="1243"/>
      <c r="CC624" s="1240">
        <f t="shared" si="21"/>
        <v>0</v>
      </c>
      <c r="CD624" s="1241"/>
      <c r="CE624" s="1241"/>
      <c r="CF624" s="1241"/>
      <c r="CG624" s="1243"/>
      <c r="CH624" s="1240">
        <f t="shared" si="22"/>
        <v>0</v>
      </c>
      <c r="CI624" s="1241"/>
      <c r="CJ624" s="1241"/>
      <c r="CK624" s="1241"/>
      <c r="CL624" s="1243"/>
      <c r="CM624" s="1240">
        <f t="shared" si="23"/>
        <v>0</v>
      </c>
      <c r="CN624" s="1241"/>
      <c r="CO624" s="1241"/>
      <c r="CP624" s="1241"/>
      <c r="CQ624" s="1243"/>
      <c r="CR624" s="41"/>
      <c r="CS624" s="41"/>
    </row>
    <row r="625" spans="1:97" ht="12.95" customHeight="1">
      <c r="B625" s="58" t="s">
        <v>778</v>
      </c>
      <c r="C625" s="1084"/>
      <c r="D625" s="1084"/>
      <c r="E625" s="1084"/>
      <c r="F625" s="1084"/>
      <c r="G625" s="1084"/>
      <c r="H625" s="1084"/>
      <c r="I625" s="1084"/>
      <c r="J625" s="1084"/>
      <c r="K625" s="1084"/>
      <c r="L625" s="1084"/>
      <c r="M625" s="1108" t="s">
        <v>2071</v>
      </c>
      <c r="N625" s="1108"/>
      <c r="O625" s="1108"/>
      <c r="P625" s="1108"/>
      <c r="Q625" s="1056"/>
      <c r="R625" s="1057"/>
      <c r="S625" s="1058"/>
      <c r="T625" s="1053"/>
      <c r="U625" s="1054"/>
      <c r="V625" s="1055"/>
      <c r="W625" s="1080"/>
      <c r="X625" s="1081"/>
      <c r="Y625" s="1082"/>
      <c r="Z625" s="1374" t="s">
        <v>2071</v>
      </c>
      <c r="AA625" s="1375"/>
      <c r="AB625" s="1376"/>
      <c r="AC625" s="1050"/>
      <c r="AD625" s="1051"/>
      <c r="AE625" s="1052"/>
      <c r="AF625" s="1059"/>
      <c r="AG625" s="1060"/>
      <c r="AH625" s="1060"/>
      <c r="AI625" s="1060"/>
      <c r="AJ625" s="1061"/>
      <c r="AK625" s="1119"/>
      <c r="AL625" s="1120"/>
      <c r="AM625" s="1120"/>
      <c r="AN625" s="1121"/>
      <c r="AO625" s="1195"/>
      <c r="AP625" s="1195"/>
      <c r="AQ625" s="1195"/>
      <c r="AR625" s="1195"/>
      <c r="AS625" s="1195"/>
      <c r="AT625" s="953" t="str">
        <f t="shared" si="17"/>
        <v/>
      </c>
      <c r="AU625" s="43"/>
      <c r="AV625" s="43"/>
      <c r="AW625" s="43"/>
      <c r="AX625" s="43"/>
      <c r="AY625" s="43"/>
      <c r="AZ625" s="43"/>
      <c r="BN625" s="1240">
        <f t="shared" si="18"/>
        <v>0</v>
      </c>
      <c r="BO625" s="1241"/>
      <c r="BP625" s="1241"/>
      <c r="BQ625" s="1241"/>
      <c r="BR625" s="1243"/>
      <c r="BS625" s="1240">
        <f t="shared" si="19"/>
        <v>0</v>
      </c>
      <c r="BT625" s="1241"/>
      <c r="BU625" s="1241"/>
      <c r="BV625" s="1241"/>
      <c r="BW625" s="1243"/>
      <c r="BX625" s="1240">
        <f t="shared" si="20"/>
        <v>0</v>
      </c>
      <c r="BY625" s="1241"/>
      <c r="BZ625" s="1241"/>
      <c r="CA625" s="1241"/>
      <c r="CB625" s="1243"/>
      <c r="CC625" s="1240">
        <f t="shared" si="21"/>
        <v>0</v>
      </c>
      <c r="CD625" s="1241"/>
      <c r="CE625" s="1241"/>
      <c r="CF625" s="1241"/>
      <c r="CG625" s="1243"/>
      <c r="CH625" s="1240">
        <f t="shared" si="22"/>
        <v>0</v>
      </c>
      <c r="CI625" s="1241"/>
      <c r="CJ625" s="1241"/>
      <c r="CK625" s="1241"/>
      <c r="CL625" s="1243"/>
      <c r="CM625" s="1240">
        <f t="shared" si="23"/>
        <v>0</v>
      </c>
      <c r="CN625" s="1241"/>
      <c r="CO625" s="1241"/>
      <c r="CP625" s="1241"/>
      <c r="CQ625" s="1243"/>
      <c r="CR625" s="41"/>
      <c r="CS625" s="41"/>
    </row>
    <row r="626" spans="1:97" ht="12.95" customHeight="1">
      <c r="B626" s="58" t="s">
        <v>576</v>
      </c>
      <c r="C626" s="1084"/>
      <c r="D626" s="1084"/>
      <c r="E626" s="1084"/>
      <c r="F626" s="1084"/>
      <c r="G626" s="1084"/>
      <c r="H626" s="1084"/>
      <c r="I626" s="1084"/>
      <c r="J626" s="1084"/>
      <c r="K626" s="1084"/>
      <c r="L626" s="1084"/>
      <c r="M626" s="1108" t="s">
        <v>2071</v>
      </c>
      <c r="N626" s="1108"/>
      <c r="O626" s="1108"/>
      <c r="P626" s="1108"/>
      <c r="Q626" s="1056"/>
      <c r="R626" s="1057"/>
      <c r="S626" s="1058"/>
      <c r="T626" s="1053"/>
      <c r="U626" s="1054"/>
      <c r="V626" s="1055"/>
      <c r="W626" s="1080"/>
      <c r="X626" s="1081"/>
      <c r="Y626" s="1082"/>
      <c r="Z626" s="1374" t="s">
        <v>2071</v>
      </c>
      <c r="AA626" s="1375"/>
      <c r="AB626" s="1376"/>
      <c r="AC626" s="1050"/>
      <c r="AD626" s="1051"/>
      <c r="AE626" s="1052"/>
      <c r="AF626" s="1059"/>
      <c r="AG626" s="1060"/>
      <c r="AH626" s="1060"/>
      <c r="AI626" s="1060"/>
      <c r="AJ626" s="1061"/>
      <c r="AK626" s="1119"/>
      <c r="AL626" s="1120"/>
      <c r="AM626" s="1120"/>
      <c r="AN626" s="1121"/>
      <c r="AO626" s="1195"/>
      <c r="AP626" s="1195"/>
      <c r="AQ626" s="1195"/>
      <c r="AR626" s="1195"/>
      <c r="AS626" s="1195"/>
      <c r="AT626" s="953" t="str">
        <f t="shared" si="17"/>
        <v/>
      </c>
      <c r="AU626" s="41"/>
      <c r="AV626" s="41"/>
      <c r="AW626" s="41"/>
      <c r="AX626" s="41"/>
      <c r="AY626" s="41"/>
      <c r="AZ626" s="41"/>
      <c r="BN626" s="1240">
        <f t="shared" si="18"/>
        <v>0</v>
      </c>
      <c r="BO626" s="1241"/>
      <c r="BP626" s="1241"/>
      <c r="BQ626" s="1241"/>
      <c r="BR626" s="1243"/>
      <c r="BS626" s="1240">
        <f t="shared" si="19"/>
        <v>0</v>
      </c>
      <c r="BT626" s="1241"/>
      <c r="BU626" s="1241"/>
      <c r="BV626" s="1241"/>
      <c r="BW626" s="1243"/>
      <c r="BX626" s="1240">
        <f t="shared" si="20"/>
        <v>0</v>
      </c>
      <c r="BY626" s="1241"/>
      <c r="BZ626" s="1241"/>
      <c r="CA626" s="1241"/>
      <c r="CB626" s="1243"/>
      <c r="CC626" s="1240">
        <f t="shared" si="21"/>
        <v>0</v>
      </c>
      <c r="CD626" s="1241"/>
      <c r="CE626" s="1241"/>
      <c r="CF626" s="1241"/>
      <c r="CG626" s="1243"/>
      <c r="CH626" s="1240">
        <f t="shared" si="22"/>
        <v>0</v>
      </c>
      <c r="CI626" s="1241"/>
      <c r="CJ626" s="1241"/>
      <c r="CK626" s="1241"/>
      <c r="CL626" s="1243"/>
      <c r="CM626" s="1240">
        <f t="shared" si="23"/>
        <v>0</v>
      </c>
      <c r="CN626" s="1241"/>
      <c r="CO626" s="1241"/>
      <c r="CP626" s="1241"/>
      <c r="CQ626" s="1243"/>
      <c r="CR626" s="41"/>
      <c r="CS626" s="41"/>
    </row>
    <row r="627" spans="1:97" ht="12.95" customHeight="1">
      <c r="B627" s="58" t="s">
        <v>185</v>
      </c>
      <c r="C627" s="1084"/>
      <c r="D627" s="1084"/>
      <c r="E627" s="1084"/>
      <c r="F627" s="1084"/>
      <c r="G627" s="1084"/>
      <c r="H627" s="1084"/>
      <c r="I627" s="1084"/>
      <c r="J627" s="1084"/>
      <c r="K627" s="1084"/>
      <c r="L627" s="1084"/>
      <c r="M627" s="1108" t="s">
        <v>2071</v>
      </c>
      <c r="N627" s="1108"/>
      <c r="O627" s="1108"/>
      <c r="P627" s="1108"/>
      <c r="Q627" s="1056"/>
      <c r="R627" s="1057"/>
      <c r="S627" s="1058"/>
      <c r="T627" s="1053"/>
      <c r="U627" s="1054"/>
      <c r="V627" s="1055"/>
      <c r="W627" s="1080"/>
      <c r="X627" s="1081"/>
      <c r="Y627" s="1082"/>
      <c r="Z627" s="1374" t="s">
        <v>2071</v>
      </c>
      <c r="AA627" s="1375"/>
      <c r="AB627" s="1376"/>
      <c r="AC627" s="1050"/>
      <c r="AD627" s="1051"/>
      <c r="AE627" s="1052"/>
      <c r="AF627" s="1059"/>
      <c r="AG627" s="1060"/>
      <c r="AH627" s="1060"/>
      <c r="AI627" s="1060"/>
      <c r="AJ627" s="1061"/>
      <c r="AK627" s="1119"/>
      <c r="AL627" s="1120"/>
      <c r="AM627" s="1120"/>
      <c r="AN627" s="1121"/>
      <c r="AO627" s="1195"/>
      <c r="AP627" s="1195"/>
      <c r="AQ627" s="1195"/>
      <c r="AR627" s="1195"/>
      <c r="AS627" s="1195"/>
      <c r="AT627" s="953" t="str">
        <f t="shared" si="17"/>
        <v/>
      </c>
      <c r="AU627" s="41"/>
      <c r="AV627" s="41"/>
      <c r="AW627" s="41"/>
      <c r="AX627" s="41"/>
      <c r="AY627" s="41"/>
      <c r="AZ627" s="41"/>
      <c r="BN627" s="1240">
        <f t="shared" si="18"/>
        <v>0</v>
      </c>
      <c r="BO627" s="1241"/>
      <c r="BP627" s="1241"/>
      <c r="BQ627" s="1241"/>
      <c r="BR627" s="1243"/>
      <c r="BS627" s="1240">
        <f t="shared" si="19"/>
        <v>0</v>
      </c>
      <c r="BT627" s="1241"/>
      <c r="BU627" s="1241"/>
      <c r="BV627" s="1241"/>
      <c r="BW627" s="1243"/>
      <c r="BX627" s="1240">
        <f t="shared" si="20"/>
        <v>0</v>
      </c>
      <c r="BY627" s="1241"/>
      <c r="BZ627" s="1241"/>
      <c r="CA627" s="1241"/>
      <c r="CB627" s="1243"/>
      <c r="CC627" s="1240">
        <f t="shared" si="21"/>
        <v>0</v>
      </c>
      <c r="CD627" s="1241"/>
      <c r="CE627" s="1241"/>
      <c r="CF627" s="1241"/>
      <c r="CG627" s="1243"/>
      <c r="CH627" s="1240">
        <f t="shared" si="22"/>
        <v>0</v>
      </c>
      <c r="CI627" s="1241"/>
      <c r="CJ627" s="1241"/>
      <c r="CK627" s="1241"/>
      <c r="CL627" s="1243"/>
      <c r="CM627" s="1240">
        <f t="shared" si="23"/>
        <v>0</v>
      </c>
      <c r="CN627" s="1241"/>
      <c r="CO627" s="1241"/>
      <c r="CP627" s="1241"/>
      <c r="CQ627" s="1243"/>
      <c r="CR627" s="41"/>
      <c r="CS627" s="41"/>
    </row>
    <row r="628" spans="1:97" ht="12.95" customHeight="1">
      <c r="B628" s="58" t="s">
        <v>36</v>
      </c>
      <c r="C628" s="1084"/>
      <c r="D628" s="1084"/>
      <c r="E628" s="1084"/>
      <c r="F628" s="1084"/>
      <c r="G628" s="1084"/>
      <c r="H628" s="1084"/>
      <c r="I628" s="1084"/>
      <c r="J628" s="1084"/>
      <c r="K628" s="1084"/>
      <c r="L628" s="1084"/>
      <c r="M628" s="1108" t="s">
        <v>2071</v>
      </c>
      <c r="N628" s="1108"/>
      <c r="O628" s="1108"/>
      <c r="P628" s="1108"/>
      <c r="Q628" s="1056"/>
      <c r="R628" s="1057"/>
      <c r="S628" s="1058"/>
      <c r="T628" s="1053"/>
      <c r="U628" s="1054"/>
      <c r="V628" s="1055"/>
      <c r="W628" s="1080"/>
      <c r="X628" s="1081"/>
      <c r="Y628" s="1082"/>
      <c r="Z628" s="1374" t="s">
        <v>2071</v>
      </c>
      <c r="AA628" s="1375"/>
      <c r="AB628" s="1376"/>
      <c r="AC628" s="1050"/>
      <c r="AD628" s="1051"/>
      <c r="AE628" s="1052"/>
      <c r="AF628" s="1059"/>
      <c r="AG628" s="1060"/>
      <c r="AH628" s="1060"/>
      <c r="AI628" s="1060"/>
      <c r="AJ628" s="1061"/>
      <c r="AK628" s="1119"/>
      <c r="AL628" s="1120"/>
      <c r="AM628" s="1120"/>
      <c r="AN628" s="1121"/>
      <c r="AO628" s="1195"/>
      <c r="AP628" s="1195"/>
      <c r="AQ628" s="1195"/>
      <c r="AR628" s="1195"/>
      <c r="AS628" s="1195"/>
      <c r="AT628" s="953" t="str">
        <f t="shared" si="17"/>
        <v/>
      </c>
      <c r="AU628" s="41"/>
      <c r="AV628" s="41"/>
      <c r="AW628" s="41"/>
      <c r="AX628" s="41"/>
      <c r="AY628" s="41"/>
      <c r="AZ628" s="41"/>
      <c r="BN628" s="1240">
        <f t="shared" si="18"/>
        <v>0</v>
      </c>
      <c r="BO628" s="1241"/>
      <c r="BP628" s="1241"/>
      <c r="BQ628" s="1241"/>
      <c r="BR628" s="1243"/>
      <c r="BS628" s="1240">
        <f t="shared" si="19"/>
        <v>0</v>
      </c>
      <c r="BT628" s="1241"/>
      <c r="BU628" s="1241"/>
      <c r="BV628" s="1241"/>
      <c r="BW628" s="1243"/>
      <c r="BX628" s="1240">
        <f t="shared" si="20"/>
        <v>0</v>
      </c>
      <c r="BY628" s="1241"/>
      <c r="BZ628" s="1241"/>
      <c r="CA628" s="1241"/>
      <c r="CB628" s="1243"/>
      <c r="CC628" s="1240">
        <f t="shared" si="21"/>
        <v>0</v>
      </c>
      <c r="CD628" s="1241"/>
      <c r="CE628" s="1241"/>
      <c r="CF628" s="1241"/>
      <c r="CG628" s="1243"/>
      <c r="CH628" s="1240">
        <f t="shared" si="22"/>
        <v>0</v>
      </c>
      <c r="CI628" s="1241"/>
      <c r="CJ628" s="1241"/>
      <c r="CK628" s="1241"/>
      <c r="CL628" s="1243"/>
      <c r="CM628" s="1240">
        <f t="shared" si="23"/>
        <v>0</v>
      </c>
      <c r="CN628" s="1241"/>
      <c r="CO628" s="1241"/>
      <c r="CP628" s="1241"/>
      <c r="CQ628" s="1243"/>
      <c r="CR628" s="41"/>
      <c r="CS628" s="41"/>
    </row>
    <row r="629" spans="1:97" ht="12.95" customHeight="1">
      <c r="B629" s="58" t="s">
        <v>37</v>
      </c>
      <c r="C629" s="1084"/>
      <c r="D629" s="1084"/>
      <c r="E629" s="1084"/>
      <c r="F629" s="1084"/>
      <c r="G629" s="1084"/>
      <c r="H629" s="1084"/>
      <c r="I629" s="1084"/>
      <c r="J629" s="1084"/>
      <c r="K629" s="1084"/>
      <c r="L629" s="1084"/>
      <c r="M629" s="1108" t="s">
        <v>2071</v>
      </c>
      <c r="N629" s="1108"/>
      <c r="O629" s="1108"/>
      <c r="P629" s="1108"/>
      <c r="Q629" s="1056"/>
      <c r="R629" s="1057"/>
      <c r="S629" s="1058"/>
      <c r="T629" s="1053"/>
      <c r="U629" s="1054"/>
      <c r="V629" s="1055"/>
      <c r="W629" s="1080"/>
      <c r="X629" s="1081"/>
      <c r="Y629" s="1082"/>
      <c r="Z629" s="1374" t="s">
        <v>2071</v>
      </c>
      <c r="AA629" s="1375"/>
      <c r="AB629" s="1376"/>
      <c r="AC629" s="1050"/>
      <c r="AD629" s="1051"/>
      <c r="AE629" s="1052"/>
      <c r="AF629" s="1059"/>
      <c r="AG629" s="1060"/>
      <c r="AH629" s="1060"/>
      <c r="AI629" s="1060"/>
      <c r="AJ629" s="1061"/>
      <c r="AK629" s="1119"/>
      <c r="AL629" s="1120"/>
      <c r="AM629" s="1120"/>
      <c r="AN629" s="1121"/>
      <c r="AO629" s="1195"/>
      <c r="AP629" s="1195"/>
      <c r="AQ629" s="1195"/>
      <c r="AR629" s="1195"/>
      <c r="AS629" s="1195"/>
      <c r="AT629" s="953" t="str">
        <f t="shared" si="17"/>
        <v/>
      </c>
      <c r="AU629" s="43"/>
      <c r="AV629" s="43"/>
      <c r="AW629" s="43"/>
      <c r="AX629" s="43"/>
      <c r="AY629" s="43"/>
      <c r="AZ629" s="43"/>
      <c r="BN629" s="1240">
        <f t="shared" si="18"/>
        <v>0</v>
      </c>
      <c r="BO629" s="1241"/>
      <c r="BP629" s="1241"/>
      <c r="BQ629" s="1241"/>
      <c r="BR629" s="1243"/>
      <c r="BS629" s="1240">
        <f t="shared" si="19"/>
        <v>0</v>
      </c>
      <c r="BT629" s="1241"/>
      <c r="BU629" s="1241"/>
      <c r="BV629" s="1241"/>
      <c r="BW629" s="1243"/>
      <c r="BX629" s="1240">
        <f t="shared" si="20"/>
        <v>0</v>
      </c>
      <c r="BY629" s="1241"/>
      <c r="BZ629" s="1241"/>
      <c r="CA629" s="1241"/>
      <c r="CB629" s="1243"/>
      <c r="CC629" s="1240">
        <f t="shared" si="21"/>
        <v>0</v>
      </c>
      <c r="CD629" s="1241"/>
      <c r="CE629" s="1241"/>
      <c r="CF629" s="1241"/>
      <c r="CG629" s="1243"/>
      <c r="CH629" s="1240">
        <f t="shared" si="22"/>
        <v>0</v>
      </c>
      <c r="CI629" s="1241"/>
      <c r="CJ629" s="1241"/>
      <c r="CK629" s="1241"/>
      <c r="CL629" s="1243"/>
      <c r="CM629" s="1240">
        <f t="shared" si="23"/>
        <v>0</v>
      </c>
      <c r="CN629" s="1241"/>
      <c r="CO629" s="1241"/>
      <c r="CP629" s="1241"/>
      <c r="CQ629" s="1243"/>
      <c r="CR629" s="41"/>
      <c r="CS629" s="41"/>
    </row>
    <row r="630" spans="1:97" ht="12.95" customHeight="1">
      <c r="B630" s="1091" t="s">
        <v>382</v>
      </c>
      <c r="C630" s="1092"/>
      <c r="D630" s="1092"/>
      <c r="E630" s="1092"/>
      <c r="F630" s="1092"/>
      <c r="G630" s="1092"/>
      <c r="H630" s="1092"/>
      <c r="I630" s="1092"/>
      <c r="J630" s="1092"/>
      <c r="K630" s="1092"/>
      <c r="L630" s="1092"/>
      <c r="M630" s="1092"/>
      <c r="N630" s="1092"/>
      <c r="O630" s="1092"/>
      <c r="P630" s="1092"/>
      <c r="Q630" s="1092"/>
      <c r="R630" s="1092"/>
      <c r="S630" s="1092"/>
      <c r="T630" s="1092"/>
      <c r="U630" s="1092"/>
      <c r="V630" s="1092"/>
      <c r="W630" s="1092"/>
      <c r="X630" s="1092"/>
      <c r="Y630" s="1092"/>
      <c r="Z630" s="1092"/>
      <c r="AA630" s="1092"/>
      <c r="AB630" s="1092"/>
      <c r="AC630" s="1092"/>
      <c r="AD630" s="1092"/>
      <c r="AE630" s="1092"/>
      <c r="AF630" s="1092"/>
      <c r="AG630" s="1092"/>
      <c r="AH630" s="1092"/>
      <c r="AI630" s="1092"/>
      <c r="AJ630" s="1092"/>
      <c r="AK630" s="1092"/>
      <c r="AL630" s="1092"/>
      <c r="AM630" s="1092"/>
      <c r="AN630" s="1094"/>
      <c r="AO630" s="1150">
        <f>SUM(AO618:AS629)</f>
        <v>3759124</v>
      </c>
      <c r="AP630" s="1151"/>
      <c r="AQ630" s="1151"/>
      <c r="AR630" s="1151"/>
      <c r="AS630" s="1152"/>
      <c r="AT630" s="43"/>
      <c r="AU630" s="43"/>
      <c r="AV630" s="43"/>
      <c r="AW630" s="43"/>
      <c r="AX630" s="43"/>
      <c r="AY630" s="43"/>
      <c r="AZ630" s="43"/>
      <c r="BN630" s="1240">
        <f t="shared" si="18"/>
        <v>0</v>
      </c>
      <c r="BO630" s="1241"/>
      <c r="BP630" s="1241"/>
      <c r="BQ630" s="1241"/>
      <c r="BR630" s="1243"/>
      <c r="BS630" s="1240">
        <f t="shared" si="19"/>
        <v>0</v>
      </c>
      <c r="BT630" s="1241"/>
      <c r="BU630" s="1241"/>
      <c r="BV630" s="1241"/>
      <c r="BW630" s="1243"/>
      <c r="BX630" s="1240">
        <f t="shared" si="20"/>
        <v>0</v>
      </c>
      <c r="BY630" s="1241"/>
      <c r="BZ630" s="1241"/>
      <c r="CA630" s="1241"/>
      <c r="CB630" s="1243"/>
      <c r="CC630" s="1240">
        <f t="shared" si="21"/>
        <v>0</v>
      </c>
      <c r="CD630" s="1241"/>
      <c r="CE630" s="1241"/>
      <c r="CF630" s="1241"/>
      <c r="CG630" s="1243"/>
      <c r="CH630" s="1240">
        <f t="shared" si="22"/>
        <v>0</v>
      </c>
      <c r="CI630" s="1241"/>
      <c r="CJ630" s="1241"/>
      <c r="CK630" s="1241"/>
      <c r="CL630" s="1243"/>
      <c r="CM630" s="1240">
        <f t="shared" si="23"/>
        <v>0</v>
      </c>
      <c r="CN630" s="1241"/>
      <c r="CO630" s="1241"/>
      <c r="CP630" s="1241"/>
      <c r="CQ630" s="1243"/>
      <c r="CR630" s="41"/>
      <c r="CS630" s="41"/>
    </row>
    <row r="631" spans="1:97" ht="12.95" customHeight="1">
      <c r="B631" s="1091" t="s">
        <v>383</v>
      </c>
      <c r="C631" s="1092"/>
      <c r="D631" s="1092"/>
      <c r="E631" s="1092"/>
      <c r="F631" s="1092"/>
      <c r="G631" s="1092"/>
      <c r="H631" s="1092"/>
      <c r="I631" s="1092"/>
      <c r="J631" s="1092"/>
      <c r="K631" s="1092"/>
      <c r="L631" s="1092"/>
      <c r="M631" s="1092"/>
      <c r="N631" s="1092"/>
      <c r="O631" s="1092"/>
      <c r="P631" s="1092"/>
      <c r="Q631" s="1092"/>
      <c r="R631" s="1092"/>
      <c r="S631" s="1092"/>
      <c r="T631" s="1092"/>
      <c r="U631" s="1092"/>
      <c r="V631" s="1092"/>
      <c r="W631" s="1092"/>
      <c r="X631" s="1092"/>
      <c r="Y631" s="1092"/>
      <c r="Z631" s="1092"/>
      <c r="AA631" s="1092"/>
      <c r="AB631" s="1092"/>
      <c r="AC631" s="1092"/>
      <c r="AD631" s="1092"/>
      <c r="AE631" s="1092"/>
      <c r="AF631" s="1092"/>
      <c r="AG631" s="1092"/>
      <c r="AH631" s="1092"/>
      <c r="AI631" s="1092"/>
      <c r="AJ631" s="1092"/>
      <c r="AK631" s="1092"/>
      <c r="AL631" s="1092"/>
      <c r="AM631" s="1092"/>
      <c r="AN631" s="1094"/>
      <c r="AO631" s="1148">
        <f>25354584-212500</f>
        <v>25142084</v>
      </c>
      <c r="AP631" s="1145"/>
      <c r="AQ631" s="1145"/>
      <c r="AR631" s="1145"/>
      <c r="AS631" s="1146"/>
      <c r="AT631" s="43"/>
      <c r="AU631" s="43"/>
      <c r="AV631" s="43"/>
      <c r="AW631" s="43"/>
      <c r="AX631" s="43"/>
      <c r="AY631" s="43"/>
      <c r="AZ631" s="43"/>
      <c r="BN631" s="1240">
        <f t="shared" si="18"/>
        <v>0</v>
      </c>
      <c r="BO631" s="1241"/>
      <c r="BP631" s="1241"/>
      <c r="BQ631" s="1241"/>
      <c r="BR631" s="1243"/>
      <c r="BS631" s="1240">
        <f t="shared" si="19"/>
        <v>0</v>
      </c>
      <c r="BT631" s="1241"/>
      <c r="BU631" s="1241"/>
      <c r="BV631" s="1241"/>
      <c r="BW631" s="1243"/>
      <c r="BX631" s="1240">
        <f t="shared" si="20"/>
        <v>0</v>
      </c>
      <c r="BY631" s="1241"/>
      <c r="BZ631" s="1241"/>
      <c r="CA631" s="1241"/>
      <c r="CB631" s="1243"/>
      <c r="CC631" s="1240">
        <f t="shared" si="21"/>
        <v>0</v>
      </c>
      <c r="CD631" s="1241"/>
      <c r="CE631" s="1241"/>
      <c r="CF631" s="1241"/>
      <c r="CG631" s="1243"/>
      <c r="CH631" s="1240">
        <f t="shared" si="22"/>
        <v>0</v>
      </c>
      <c r="CI631" s="1241"/>
      <c r="CJ631" s="1241"/>
      <c r="CK631" s="1241"/>
      <c r="CL631" s="1243"/>
      <c r="CM631" s="1240">
        <f t="shared" si="23"/>
        <v>0</v>
      </c>
      <c r="CN631" s="1241"/>
      <c r="CO631" s="1241"/>
      <c r="CP631" s="1241"/>
      <c r="CQ631" s="1243"/>
      <c r="CR631" s="41"/>
      <c r="CS631" s="41"/>
    </row>
    <row r="632" spans="1:97" ht="12.95" customHeight="1">
      <c r="B632" s="1372" t="s">
        <v>983</v>
      </c>
      <c r="C632" s="1093"/>
      <c r="D632" s="1093"/>
      <c r="E632" s="1093"/>
      <c r="F632" s="1093"/>
      <c r="G632" s="1093"/>
      <c r="H632" s="1093"/>
      <c r="I632" s="1093"/>
      <c r="J632" s="1093"/>
      <c r="K632" s="1093"/>
      <c r="L632" s="1093"/>
      <c r="M632" s="1093"/>
      <c r="N632" s="1093"/>
      <c r="O632" s="1093"/>
      <c r="P632" s="1093"/>
      <c r="Q632" s="1093"/>
      <c r="R632" s="1093"/>
      <c r="S632" s="1093"/>
      <c r="T632" s="1093"/>
      <c r="U632" s="1093"/>
      <c r="V632" s="1093"/>
      <c r="W632" s="1093"/>
      <c r="X632" s="1093"/>
      <c r="Y632" s="1093"/>
      <c r="Z632" s="1093"/>
      <c r="AA632" s="1093"/>
      <c r="AB632" s="1093"/>
      <c r="AC632" s="1093"/>
      <c r="AD632" s="1093"/>
      <c r="AE632" s="1093"/>
      <c r="AF632" s="1093"/>
      <c r="AG632" s="1093"/>
      <c r="AH632" s="1093"/>
      <c r="AI632" s="1093"/>
      <c r="AJ632" s="1093"/>
      <c r="AK632" s="1093"/>
      <c r="AL632" s="1093"/>
      <c r="AM632" s="1093"/>
      <c r="AN632" s="1373"/>
      <c r="AO632" s="1150">
        <f>AO630+AO631</f>
        <v>28901208</v>
      </c>
      <c r="AP632" s="1151"/>
      <c r="AQ632" s="1151"/>
      <c r="AR632" s="1151"/>
      <c r="AS632" s="1152"/>
      <c r="AT632" s="43"/>
      <c r="AU632" s="43"/>
      <c r="AV632" s="43"/>
      <c r="AW632" s="43"/>
      <c r="AX632" s="43"/>
      <c r="AY632" s="43"/>
      <c r="AZ632" s="43"/>
      <c r="BN632" s="1494">
        <f>SUM(BN622:BR631)</f>
        <v>0</v>
      </c>
      <c r="BO632" s="1495"/>
      <c r="BP632" s="1495"/>
      <c r="BQ632" s="1495"/>
      <c r="BR632" s="1496"/>
      <c r="BS632" s="1494">
        <f>SUM(BS622:BW631)</f>
        <v>0</v>
      </c>
      <c r="BT632" s="1495"/>
      <c r="BU632" s="1495"/>
      <c r="BV632" s="1495"/>
      <c r="BW632" s="1496"/>
      <c r="BX632" s="1494">
        <f>SUM(BX622:CB631)</f>
        <v>0</v>
      </c>
      <c r="BY632" s="1495"/>
      <c r="BZ632" s="1495"/>
      <c r="CA632" s="1495"/>
      <c r="CB632" s="1496"/>
      <c r="CC632" s="1494">
        <f>SUM(CC622:CG631)</f>
        <v>0</v>
      </c>
      <c r="CD632" s="1495"/>
      <c r="CE632" s="1495"/>
      <c r="CF632" s="1495"/>
      <c r="CG632" s="1496"/>
      <c r="CH632" s="1494">
        <f>SUM(CH622:CL631)</f>
        <v>0</v>
      </c>
      <c r="CI632" s="1495"/>
      <c r="CJ632" s="1495"/>
      <c r="CK632" s="1495"/>
      <c r="CL632" s="1496"/>
      <c r="CM632" s="1494">
        <f>SUM(CM622:CQ631)</f>
        <v>0</v>
      </c>
      <c r="CN632" s="1495"/>
      <c r="CO632" s="1495"/>
      <c r="CP632" s="1495"/>
      <c r="CQ632" s="1496"/>
      <c r="CR632" s="41"/>
      <c r="CS632" s="41"/>
    </row>
    <row r="633" spans="1:97" ht="12.95" customHeight="1" thickBot="1">
      <c r="A633" s="4"/>
      <c r="K633" s="62"/>
      <c r="L633" s="34"/>
      <c r="M633" s="34"/>
      <c r="N633" s="34"/>
      <c r="O633" s="34"/>
      <c r="P633" s="34"/>
      <c r="Q633" s="34"/>
      <c r="R633" s="34"/>
      <c r="AC633" s="62"/>
      <c r="AD633" s="34"/>
      <c r="AE633" s="34"/>
      <c r="AF633" s="34"/>
      <c r="AG633" s="34"/>
      <c r="AH633" s="34"/>
      <c r="AI633" s="34"/>
      <c r="AJ633" s="34"/>
      <c r="AM633" s="43"/>
      <c r="AN633" s="43"/>
      <c r="AO633" s="43"/>
      <c r="AP633" s="43"/>
      <c r="AQ633" s="43"/>
      <c r="AR633" s="43"/>
      <c r="AS633" s="43"/>
      <c r="AT633" s="43"/>
      <c r="AU633" s="43"/>
      <c r="AV633" s="43"/>
      <c r="AW633" s="43"/>
      <c r="AX633" s="43"/>
      <c r="AY633" s="43"/>
      <c r="AZ633" s="43"/>
      <c r="BN633" s="41" t="s">
        <v>1797</v>
      </c>
      <c r="BO633" s="41"/>
      <c r="BP633" s="41"/>
      <c r="BQ633" s="41"/>
      <c r="BR633" s="472">
        <f>BN632*1</f>
        <v>0</v>
      </c>
      <c r="BS633" s="41"/>
      <c r="BT633" s="41"/>
      <c r="BU633" s="41"/>
      <c r="BV633" s="41"/>
      <c r="BW633" s="472">
        <f>BS632*1</f>
        <v>0</v>
      </c>
      <c r="BX633" s="41"/>
      <c r="BY633" s="41"/>
      <c r="BZ633" s="41"/>
      <c r="CA633" s="41"/>
      <c r="CB633" s="472">
        <f>BX632*2</f>
        <v>0</v>
      </c>
      <c r="CC633" s="41"/>
      <c r="CD633" s="41"/>
      <c r="CE633" s="41"/>
      <c r="CF633" s="41"/>
      <c r="CG633" s="472">
        <f>CC632*3</f>
        <v>0</v>
      </c>
      <c r="CH633" s="41"/>
      <c r="CI633" s="41"/>
      <c r="CJ633" s="41"/>
      <c r="CK633" s="41"/>
      <c r="CL633" s="472">
        <f>CH632*4</f>
        <v>0</v>
      </c>
      <c r="CM633" s="41"/>
      <c r="CN633" s="41"/>
      <c r="CO633" s="41"/>
      <c r="CP633" s="41"/>
      <c r="CQ633" s="471">
        <f>CM632*5</f>
        <v>0</v>
      </c>
      <c r="CR633" s="41"/>
      <c r="CS633" s="41"/>
    </row>
    <row r="634" spans="1:97" ht="12.95" customHeight="1" thickBot="1">
      <c r="A634" s="61" t="s">
        <v>943</v>
      </c>
      <c r="B634" t="s">
        <v>90</v>
      </c>
      <c r="G634" s="1292" t="str">
        <f>C618</f>
        <v>Sponsor Loan - HomeKey</v>
      </c>
      <c r="H634" s="1292"/>
      <c r="I634" s="1292"/>
      <c r="J634" s="1292"/>
      <c r="K634" s="1292"/>
      <c r="L634" s="1292"/>
      <c r="M634" s="1292"/>
      <c r="N634" s="1292"/>
      <c r="O634" s="1292"/>
      <c r="P634" s="1292"/>
      <c r="Q634" s="1292"/>
      <c r="R634" s="1292"/>
      <c r="S634" s="12"/>
      <c r="T634" s="61" t="s">
        <v>944</v>
      </c>
      <c r="U634" t="s">
        <v>90</v>
      </c>
      <c r="Z634" s="1292">
        <f>C619</f>
        <v>0</v>
      </c>
      <c r="AA634" s="1292"/>
      <c r="AB634" s="1292"/>
      <c r="AC634" s="1292"/>
      <c r="AD634" s="1292"/>
      <c r="AE634" s="1292"/>
      <c r="AF634" s="1292"/>
      <c r="AG634" s="1292"/>
      <c r="AH634" s="1292"/>
      <c r="AI634" s="1292"/>
      <c r="AJ634" s="1292"/>
      <c r="AK634" s="1292"/>
      <c r="AM634" s="43"/>
      <c r="AN634" s="43"/>
      <c r="AO634" s="43"/>
      <c r="AP634" s="43"/>
      <c r="AQ634" s="43"/>
      <c r="AR634" s="43"/>
      <c r="AS634" s="43"/>
      <c r="AT634" s="43"/>
      <c r="AU634" s="43"/>
      <c r="AV634" s="43"/>
      <c r="AW634" s="43"/>
      <c r="AX634" s="43"/>
      <c r="AY634" s="43"/>
      <c r="AZ634" s="43"/>
      <c r="CP634" s="62" t="s">
        <v>1796</v>
      </c>
      <c r="CQ634" s="473">
        <f>BN632+BS632+BX632+CC632+CH632+CM632</f>
        <v>0</v>
      </c>
      <c r="CR634" s="41"/>
      <c r="CS634" s="41"/>
    </row>
    <row r="635" spans="1:97" ht="12.95" customHeight="1" thickBot="1">
      <c r="A635" s="4"/>
      <c r="B635" t="s">
        <v>396</v>
      </c>
      <c r="G635" s="1085" t="s">
        <v>2371</v>
      </c>
      <c r="H635" s="1085"/>
      <c r="I635" s="1085"/>
      <c r="J635" s="1085"/>
      <c r="K635" s="1085"/>
      <c r="L635" s="1085"/>
      <c r="M635" s="1085"/>
      <c r="N635" s="1085"/>
      <c r="O635" s="1085"/>
      <c r="P635" s="1085"/>
      <c r="Q635" s="1085"/>
      <c r="R635" s="1085"/>
      <c r="S635" s="12"/>
      <c r="T635" s="4"/>
      <c r="U635" t="s">
        <v>396</v>
      </c>
      <c r="Z635" s="1085"/>
      <c r="AA635" s="1085"/>
      <c r="AB635" s="1085"/>
      <c r="AC635" s="1085"/>
      <c r="AD635" s="1085"/>
      <c r="AE635" s="1085"/>
      <c r="AF635" s="1085"/>
      <c r="AG635" s="1085"/>
      <c r="AH635" s="1085"/>
      <c r="AI635" s="1085"/>
      <c r="AJ635" s="1085"/>
      <c r="AK635" s="1085"/>
      <c r="AM635" s="43"/>
      <c r="AN635" s="43"/>
      <c r="AO635" s="43"/>
      <c r="AP635" s="43"/>
      <c r="AQ635" s="43"/>
      <c r="AR635" s="43"/>
      <c r="AS635" s="43"/>
      <c r="AT635" s="43"/>
      <c r="AU635" s="43"/>
      <c r="AV635" s="43"/>
      <c r="AW635" s="43"/>
      <c r="AX635" s="43"/>
      <c r="AY635" s="43"/>
      <c r="AZ635" s="43"/>
      <c r="CR635" s="41"/>
      <c r="CS635" s="41"/>
    </row>
    <row r="636" spans="1:97" ht="12.95" customHeight="1" thickBot="1">
      <c r="A636" s="4"/>
      <c r="B636" t="s">
        <v>458</v>
      </c>
      <c r="G636" s="1087" t="s">
        <v>419</v>
      </c>
      <c r="H636" s="1087"/>
      <c r="I636" s="1087"/>
      <c r="J636" s="1087"/>
      <c r="K636" s="1087"/>
      <c r="L636" s="1087"/>
      <c r="M636" s="1087"/>
      <c r="N636" s="1087"/>
      <c r="O636" s="1087"/>
      <c r="P636" s="1087"/>
      <c r="Q636" s="1087"/>
      <c r="R636" s="1087"/>
      <c r="T636" s="4"/>
      <c r="U636" t="s">
        <v>458</v>
      </c>
      <c r="Z636" s="1087"/>
      <c r="AA636" s="1087"/>
      <c r="AB636" s="1087"/>
      <c r="AC636" s="1087"/>
      <c r="AD636" s="1087"/>
      <c r="AE636" s="1087"/>
      <c r="AF636" s="1087"/>
      <c r="AG636" s="1087"/>
      <c r="AH636" s="1087"/>
      <c r="AI636" s="1087"/>
      <c r="AJ636" s="1087"/>
      <c r="AK636" s="1087"/>
      <c r="AM636" s="43"/>
      <c r="AN636" s="43"/>
      <c r="AO636" s="43"/>
      <c r="AP636" s="43"/>
      <c r="AQ636" s="43"/>
      <c r="AR636" s="43"/>
      <c r="AS636" s="43"/>
      <c r="AT636" s="43"/>
      <c r="AU636" s="43"/>
      <c r="AV636" s="43"/>
      <c r="AW636" s="43"/>
      <c r="AX636" s="43"/>
      <c r="AY636" s="43"/>
      <c r="AZ636" s="43"/>
      <c r="CP636" s="62" t="s">
        <v>1798</v>
      </c>
      <c r="CQ636" s="473">
        <f>CQ634+CQ615</f>
        <v>66</v>
      </c>
      <c r="CR636" s="41"/>
      <c r="CS636" s="41"/>
    </row>
    <row r="637" spans="1:97" ht="12.95" customHeight="1">
      <c r="A637" s="4"/>
      <c r="B637" t="s">
        <v>873</v>
      </c>
      <c r="G637" s="1087" t="s">
        <v>2374</v>
      </c>
      <c r="H637" s="1087"/>
      <c r="I637" s="1087"/>
      <c r="J637" s="1087"/>
      <c r="K637" s="1087"/>
      <c r="L637" s="1087"/>
      <c r="M637" s="1087"/>
      <c r="N637" s="1087"/>
      <c r="O637" s="1087"/>
      <c r="P637" s="1087"/>
      <c r="Q637" s="1087"/>
      <c r="R637" s="1087"/>
      <c r="S637" s="12"/>
      <c r="T637" s="4"/>
      <c r="U637" t="s">
        <v>873</v>
      </c>
      <c r="Z637" s="1087"/>
      <c r="AA637" s="1087"/>
      <c r="AB637" s="1087"/>
      <c r="AC637" s="1087"/>
      <c r="AD637" s="1087"/>
      <c r="AE637" s="1087"/>
      <c r="AF637" s="1087"/>
      <c r="AG637" s="1087"/>
      <c r="AH637" s="1087"/>
      <c r="AI637" s="1087"/>
      <c r="AJ637" s="1087"/>
      <c r="AK637" s="1087"/>
      <c r="AM637" s="43"/>
      <c r="AN637" s="43"/>
      <c r="AO637" s="43"/>
      <c r="AP637" s="43"/>
      <c r="AQ637" s="43"/>
      <c r="AR637" s="43"/>
      <c r="AS637" s="43"/>
      <c r="AT637" s="43"/>
      <c r="AU637" s="43"/>
      <c r="AV637" s="43"/>
      <c r="AW637" s="43"/>
      <c r="AX637" s="43"/>
      <c r="AY637" s="43"/>
      <c r="AZ637" s="43"/>
      <c r="BN637" s="43" t="s">
        <v>906</v>
      </c>
      <c r="BO637" s="41"/>
      <c r="BP637" s="41"/>
      <c r="BQ637" s="41"/>
      <c r="BR637" s="41"/>
      <c r="BS637" s="41"/>
      <c r="BT637" s="41"/>
      <c r="BU637" s="41"/>
      <c r="BV637" s="41"/>
      <c r="BW637" s="41"/>
      <c r="BX637" s="41"/>
      <c r="BY637" s="41"/>
      <c r="BZ637" s="41"/>
      <c r="CA637" s="41"/>
      <c r="CB637" s="41"/>
      <c r="CC637" s="41"/>
      <c r="CD637" s="41"/>
      <c r="CE637" s="41"/>
      <c r="CF637" s="41"/>
      <c r="CG637" s="41"/>
      <c r="CH637" s="41"/>
      <c r="CI637" s="41"/>
      <c r="CJ637" s="41"/>
      <c r="CK637" s="41"/>
      <c r="CL637" s="41"/>
      <c r="CM637" s="41"/>
      <c r="CN637" s="41"/>
      <c r="CO637" s="41"/>
      <c r="CP637" s="41"/>
      <c r="CQ637" s="41"/>
      <c r="CR637" s="41"/>
      <c r="CS637" s="41"/>
    </row>
    <row r="638" spans="1:97" ht="12.95" customHeight="1">
      <c r="A638" s="4"/>
      <c r="B638" t="s">
        <v>685</v>
      </c>
      <c r="G638" s="1112" t="s">
        <v>2456</v>
      </c>
      <c r="H638" s="1111"/>
      <c r="I638" s="1111"/>
      <c r="J638" s="1111"/>
      <c r="K638" s="1111"/>
      <c r="L638" s="1111"/>
      <c r="O638" s="42" t="s">
        <v>858</v>
      </c>
      <c r="P638" s="1282"/>
      <c r="Q638" s="1282"/>
      <c r="R638" s="1282"/>
      <c r="S638" s="14"/>
      <c r="T638" s="4"/>
      <c r="U638" t="s">
        <v>685</v>
      </c>
      <c r="Z638" s="1111"/>
      <c r="AA638" s="1111"/>
      <c r="AB638" s="1111"/>
      <c r="AC638" s="1111"/>
      <c r="AD638" s="1111"/>
      <c r="AE638" s="1111"/>
      <c r="AH638" s="42" t="s">
        <v>858</v>
      </c>
      <c r="AI638" s="1282"/>
      <c r="AJ638" s="1282"/>
      <c r="AK638" s="1282"/>
      <c r="AM638" s="43"/>
      <c r="AN638" s="43"/>
      <c r="AO638" s="43"/>
      <c r="AP638" s="43"/>
      <c r="AQ638" s="43"/>
      <c r="AR638" s="43"/>
      <c r="AS638" s="43"/>
      <c r="AT638" s="43"/>
      <c r="AU638" s="43"/>
      <c r="AV638" s="43"/>
      <c r="AW638" s="43"/>
      <c r="AX638" s="43"/>
      <c r="AY638" s="43"/>
      <c r="AZ638" s="43"/>
      <c r="BN638" s="1494">
        <f>BN613+BN620+BN632</f>
        <v>12</v>
      </c>
      <c r="BO638" s="1495"/>
      <c r="BP638" s="1495"/>
      <c r="BQ638" s="1495"/>
      <c r="BR638" s="1496"/>
      <c r="BS638" s="1494">
        <f>BS613+BS620+BS632</f>
        <v>7</v>
      </c>
      <c r="BT638" s="1495"/>
      <c r="BU638" s="1495"/>
      <c r="BV638" s="1495"/>
      <c r="BW638" s="1496"/>
      <c r="BX638" s="1494">
        <f>BX613+BX620+BX632</f>
        <v>10</v>
      </c>
      <c r="BY638" s="1495"/>
      <c r="BZ638" s="1495"/>
      <c r="CA638" s="1495"/>
      <c r="CB638" s="1496"/>
      <c r="CC638" s="1494">
        <f>CC613+CC620+CC632</f>
        <v>10</v>
      </c>
      <c r="CD638" s="1495"/>
      <c r="CE638" s="1495"/>
      <c r="CF638" s="1495"/>
      <c r="CG638" s="1496"/>
      <c r="CH638" s="1494">
        <f>CH613+CH620+CH632</f>
        <v>0</v>
      </c>
      <c r="CI638" s="1495"/>
      <c r="CJ638" s="1495"/>
      <c r="CK638" s="1495"/>
      <c r="CL638" s="1496"/>
      <c r="CM638" s="1244">
        <f>CM632+CM620+CM613</f>
        <v>0</v>
      </c>
      <c r="CN638" s="1309"/>
      <c r="CO638" s="1309"/>
      <c r="CP638" s="1309"/>
      <c r="CQ638" s="1245"/>
      <c r="CR638" s="41"/>
      <c r="CS638" s="41"/>
    </row>
    <row r="639" spans="1:97" ht="12.95" customHeight="1">
      <c r="A639" s="4"/>
      <c r="B639" t="s">
        <v>874</v>
      </c>
      <c r="H639" s="1086" t="s">
        <v>2457</v>
      </c>
      <c r="I639" s="1085"/>
      <c r="J639" s="1085"/>
      <c r="K639" s="1085"/>
      <c r="L639" s="1085"/>
      <c r="M639" s="1085"/>
      <c r="N639" s="1085"/>
      <c r="O639" s="1085"/>
      <c r="P639" s="1085"/>
      <c r="Q639" s="1085"/>
      <c r="R639" s="1085"/>
      <c r="S639" s="12"/>
      <c r="T639" s="4"/>
      <c r="U639" t="s">
        <v>874</v>
      </c>
      <c r="AA639" s="1085"/>
      <c r="AB639" s="1085"/>
      <c r="AC639" s="1085"/>
      <c r="AD639" s="1085"/>
      <c r="AE639" s="1085"/>
      <c r="AF639" s="1085"/>
      <c r="AG639" s="1085"/>
      <c r="AH639" s="1085"/>
      <c r="AI639" s="1085"/>
      <c r="AJ639" s="1085"/>
      <c r="AK639" s="1085"/>
      <c r="AM639" s="43"/>
      <c r="AN639" s="43"/>
      <c r="AO639" s="43"/>
      <c r="AP639" s="43"/>
      <c r="AQ639" s="43"/>
      <c r="AR639" s="43"/>
      <c r="AS639" s="43"/>
      <c r="AT639" s="43"/>
      <c r="AU639" s="43"/>
      <c r="AV639" s="43"/>
      <c r="AW639" s="43"/>
      <c r="AX639" s="43"/>
      <c r="AY639" s="43"/>
      <c r="AZ639" s="43"/>
      <c r="CM639" s="41"/>
      <c r="CN639" s="41"/>
      <c r="CO639" s="41"/>
      <c r="CP639" s="41"/>
      <c r="CQ639" s="41"/>
      <c r="CR639" s="41"/>
      <c r="CS639" s="41"/>
    </row>
    <row r="640" spans="1:97" ht="12.95" customHeight="1">
      <c r="A640" s="5"/>
      <c r="B640" t="s">
        <v>876</v>
      </c>
      <c r="N640" s="1113" t="s">
        <v>116</v>
      </c>
      <c r="O640" s="1113"/>
      <c r="T640" s="4"/>
      <c r="U640" t="s">
        <v>876</v>
      </c>
      <c r="AG640" s="1113" t="s">
        <v>510</v>
      </c>
      <c r="AH640" s="1113"/>
      <c r="AM640" s="43"/>
      <c r="AN640" s="43"/>
      <c r="AO640" s="43"/>
      <c r="AP640" s="43"/>
      <c r="AQ640" s="43"/>
      <c r="AR640" s="43"/>
      <c r="AS640" s="43"/>
      <c r="AT640" s="43"/>
      <c r="AU640" s="43"/>
      <c r="AV640" s="43"/>
      <c r="AW640" s="43"/>
      <c r="AX640" s="43"/>
      <c r="AY640" s="43"/>
      <c r="AZ640" s="43"/>
      <c r="BA640" s="43"/>
      <c r="BB640" s="41"/>
      <c r="BC640" s="41"/>
      <c r="BD640" s="41"/>
      <c r="BE640" s="41"/>
      <c r="BF640" s="41"/>
      <c r="BG640" s="41"/>
      <c r="BH640" s="41"/>
      <c r="BI640" s="41"/>
      <c r="BJ640" s="41"/>
      <c r="BK640" s="41"/>
      <c r="BL640" s="41"/>
      <c r="BM640" s="41"/>
      <c r="BN640" s="41"/>
      <c r="BO640" s="41"/>
      <c r="BP640" s="41"/>
      <c r="BQ640" s="41"/>
      <c r="BR640" s="41"/>
      <c r="BS640" s="41"/>
      <c r="BT640" s="41"/>
      <c r="BU640" s="41"/>
      <c r="BV640" s="41"/>
      <c r="BW640" s="41"/>
      <c r="BX640" s="41"/>
      <c r="BY640" s="41"/>
      <c r="BZ640" s="41"/>
      <c r="CA640" s="41"/>
      <c r="CB640" s="41"/>
      <c r="CC640" s="41"/>
      <c r="CD640" s="41"/>
      <c r="CE640" s="41"/>
      <c r="CF640" s="41"/>
      <c r="CG640" s="41"/>
      <c r="CH640" s="41"/>
      <c r="CI640" s="41"/>
      <c r="CJ640" s="41"/>
      <c r="CK640" s="41"/>
      <c r="CL640" s="41"/>
      <c r="CM640" s="41"/>
      <c r="CN640" s="41"/>
      <c r="CO640" s="41"/>
      <c r="CP640" s="41"/>
      <c r="CQ640" s="41"/>
      <c r="CR640" s="41"/>
      <c r="CS640" s="41"/>
    </row>
    <row r="641" spans="1:97" ht="12.95" customHeight="1">
      <c r="A641" s="4"/>
      <c r="T641" s="4"/>
      <c r="AM641" s="43"/>
      <c r="AN641" s="43"/>
      <c r="AO641" s="43"/>
      <c r="AP641" s="43"/>
      <c r="AQ641" s="43"/>
      <c r="AR641" s="43"/>
      <c r="AS641" s="43"/>
      <c r="AT641" s="43"/>
      <c r="AU641" s="43"/>
      <c r="AV641" s="43"/>
      <c r="AW641" s="43"/>
      <c r="AX641" s="43"/>
      <c r="AY641" s="43"/>
      <c r="AZ641" s="43"/>
      <c r="BA641" s="43"/>
      <c r="BB641" s="41"/>
      <c r="BC641" s="41"/>
      <c r="BD641" s="41"/>
      <c r="BE641" s="41"/>
      <c r="BF641" s="41"/>
      <c r="BG641" s="41"/>
      <c r="BH641" s="41"/>
      <c r="BI641" s="41"/>
      <c r="BJ641" s="41"/>
      <c r="BK641" s="41"/>
      <c r="BL641" s="41"/>
      <c r="BM641" s="41"/>
      <c r="BN641" s="41"/>
      <c r="BO641" s="41"/>
      <c r="BP641" s="41"/>
      <c r="BQ641" s="41"/>
      <c r="BR641" s="41"/>
      <c r="BS641" s="41"/>
      <c r="BT641" s="41"/>
      <c r="BU641" s="41"/>
      <c r="BV641" s="41"/>
      <c r="BW641" s="41"/>
      <c r="BX641" s="41"/>
      <c r="BY641" s="41"/>
      <c r="BZ641" s="41"/>
      <c r="CA641" s="41"/>
      <c r="CB641" s="41"/>
      <c r="CC641" s="41"/>
      <c r="CD641" s="41"/>
      <c r="CE641" s="41"/>
      <c r="CF641" s="41"/>
      <c r="CG641" s="41"/>
      <c r="CH641" s="41"/>
      <c r="CI641" s="41"/>
      <c r="CJ641" s="41"/>
      <c r="CK641" s="41"/>
      <c r="CL641" s="41"/>
      <c r="CM641" s="41"/>
      <c r="CN641" s="41"/>
      <c r="CO641" s="41"/>
      <c r="CP641" s="41"/>
      <c r="CQ641" s="41"/>
      <c r="CR641" s="41"/>
      <c r="CS641" s="41"/>
    </row>
    <row r="642" spans="1:97" ht="12.95" customHeight="1">
      <c r="A642" s="61" t="s">
        <v>950</v>
      </c>
      <c r="B642" t="s">
        <v>90</v>
      </c>
      <c r="G642" s="1292">
        <f>C620</f>
        <v>0</v>
      </c>
      <c r="H642" s="1292"/>
      <c r="I642" s="1292"/>
      <c r="J642" s="1292"/>
      <c r="K642" s="1292"/>
      <c r="L642" s="1292"/>
      <c r="M642" s="1292"/>
      <c r="N642" s="1292"/>
      <c r="O642" s="1292"/>
      <c r="P642" s="1292"/>
      <c r="Q642" s="1292"/>
      <c r="R642" s="1292"/>
      <c r="T642" s="61" t="s">
        <v>459</v>
      </c>
      <c r="U642" t="s">
        <v>90</v>
      </c>
      <c r="Z642" s="1292">
        <f>C621</f>
        <v>0</v>
      </c>
      <c r="AA642" s="1292"/>
      <c r="AB642" s="1292"/>
      <c r="AC642" s="1292"/>
      <c r="AD642" s="1292"/>
      <c r="AE642" s="1292"/>
      <c r="AF642" s="1292"/>
      <c r="AG642" s="1292"/>
      <c r="AH642" s="1292"/>
      <c r="AI642" s="1292"/>
      <c r="AJ642" s="1292"/>
      <c r="AK642" s="1292"/>
      <c r="AM642" s="43"/>
      <c r="AN642" s="43"/>
      <c r="AO642" s="43"/>
      <c r="AP642" s="43"/>
      <c r="AQ642" s="43"/>
      <c r="AR642" s="43"/>
      <c r="AS642" s="43"/>
      <c r="AT642" s="43"/>
      <c r="AU642" s="43"/>
      <c r="AV642" s="43"/>
      <c r="AW642" s="43"/>
      <c r="AX642" s="43"/>
      <c r="AY642" s="43"/>
      <c r="AZ642" s="43"/>
      <c r="BA642" s="43"/>
      <c r="BB642" s="41"/>
      <c r="BC642" s="41"/>
      <c r="BD642" s="41"/>
      <c r="BE642" s="41"/>
      <c r="BF642" s="41"/>
      <c r="BG642" s="41"/>
      <c r="BH642" s="41"/>
      <c r="BI642" s="41"/>
      <c r="BJ642" s="41"/>
      <c r="BK642" s="41"/>
      <c r="BL642" s="41"/>
      <c r="BM642" s="41"/>
      <c r="BN642" s="41"/>
      <c r="BO642" s="41"/>
      <c r="BP642" s="41"/>
      <c r="BQ642" s="41"/>
      <c r="BR642" s="41"/>
      <c r="BS642" s="41"/>
      <c r="BT642" s="41"/>
      <c r="BU642" s="41"/>
      <c r="BV642" s="41"/>
      <c r="BW642" s="41"/>
      <c r="BX642" s="41"/>
      <c r="BY642" s="41"/>
      <c r="BZ642" s="41"/>
      <c r="CA642" s="41"/>
      <c r="CB642" s="41"/>
      <c r="CC642" s="41"/>
      <c r="CD642" s="41"/>
      <c r="CE642" s="41"/>
      <c r="CF642" s="41"/>
      <c r="CG642" s="41"/>
      <c r="CH642" s="41"/>
      <c r="CI642" s="41"/>
      <c r="CJ642" s="41"/>
      <c r="CK642" s="41"/>
      <c r="CL642" s="41"/>
      <c r="CM642" s="41"/>
      <c r="CN642" s="41"/>
      <c r="CO642" s="41"/>
      <c r="CP642" s="41"/>
      <c r="CQ642" s="41"/>
      <c r="CR642" s="41"/>
      <c r="CS642" s="41"/>
    </row>
    <row r="643" spans="1:97" ht="12.95" customHeight="1">
      <c r="A643" s="4"/>
      <c r="B643" t="s">
        <v>396</v>
      </c>
      <c r="G643" s="1085"/>
      <c r="H643" s="1085"/>
      <c r="I643" s="1085"/>
      <c r="J643" s="1085"/>
      <c r="K643" s="1085"/>
      <c r="L643" s="1085"/>
      <c r="M643" s="1085"/>
      <c r="N643" s="1085"/>
      <c r="O643" s="1085"/>
      <c r="P643" s="1085"/>
      <c r="Q643" s="1085"/>
      <c r="R643" s="1085"/>
      <c r="T643" s="4"/>
      <c r="U643" t="s">
        <v>396</v>
      </c>
      <c r="Z643" s="1085"/>
      <c r="AA643" s="1085"/>
      <c r="AB643" s="1085"/>
      <c r="AC643" s="1085"/>
      <c r="AD643" s="1085"/>
      <c r="AE643" s="1085"/>
      <c r="AF643" s="1085"/>
      <c r="AG643" s="1085"/>
      <c r="AH643" s="1085"/>
      <c r="AI643" s="1085"/>
      <c r="AJ643" s="1085"/>
      <c r="AK643" s="1085"/>
      <c r="AM643" s="41"/>
      <c r="AN643" s="41"/>
      <c r="AO643" s="41"/>
      <c r="AP643" s="41"/>
      <c r="AQ643" s="41"/>
      <c r="AR643" s="41"/>
      <c r="AS643" s="41"/>
      <c r="AT643" s="41"/>
      <c r="AU643" s="41"/>
      <c r="AV643" s="41"/>
      <c r="AW643" s="41"/>
      <c r="AX643" s="41"/>
      <c r="AY643" s="41"/>
      <c r="AZ643" s="41"/>
      <c r="BA643" s="41"/>
      <c r="BB643" s="41"/>
      <c r="BC643" s="41"/>
      <c r="BD643" s="41"/>
      <c r="BE643" s="41"/>
      <c r="BF643" s="41"/>
      <c r="BG643" s="41"/>
      <c r="BH643" s="41"/>
      <c r="BI643" s="41"/>
      <c r="BJ643" s="41"/>
      <c r="BK643" s="41"/>
      <c r="BL643" s="41"/>
      <c r="BM643" s="41"/>
      <c r="BN643" s="41"/>
      <c r="BO643" s="41"/>
      <c r="BP643" s="41"/>
      <c r="BQ643" s="41"/>
      <c r="BR643" s="41"/>
      <c r="BS643" s="41"/>
      <c r="BT643" s="41"/>
      <c r="BU643" s="41"/>
      <c r="BV643" s="41"/>
      <c r="BW643" s="41"/>
      <c r="BX643" s="41"/>
      <c r="BY643" s="41"/>
      <c r="BZ643" s="41"/>
      <c r="CA643" s="41"/>
      <c r="CB643" s="41"/>
      <c r="CC643" s="41"/>
      <c r="CD643" s="41"/>
      <c r="CE643" s="41"/>
      <c r="CF643" s="41"/>
      <c r="CG643" s="41"/>
      <c r="CH643" s="41"/>
      <c r="CI643" s="41"/>
      <c r="CJ643" s="41"/>
      <c r="CK643" s="41"/>
      <c r="CL643" s="41"/>
      <c r="CM643" s="41"/>
      <c r="CN643" s="41"/>
      <c r="CO643" s="41"/>
      <c r="CP643" s="41"/>
      <c r="CQ643" s="41"/>
      <c r="CR643" s="41"/>
      <c r="CS643" s="41"/>
    </row>
    <row r="644" spans="1:97" ht="12.95" customHeight="1">
      <c r="A644" s="4"/>
      <c r="B644" t="s">
        <v>458</v>
      </c>
      <c r="G644" s="1087"/>
      <c r="H644" s="1087"/>
      <c r="I644" s="1087"/>
      <c r="J644" s="1087"/>
      <c r="K644" s="1087"/>
      <c r="L644" s="1087"/>
      <c r="M644" s="1087"/>
      <c r="N644" s="1087"/>
      <c r="O644" s="1087"/>
      <c r="P644" s="1087"/>
      <c r="Q644" s="1087"/>
      <c r="R644" s="1087"/>
      <c r="T644" s="4"/>
      <c r="U644" t="s">
        <v>458</v>
      </c>
      <c r="Z644" s="1087"/>
      <c r="AA644" s="1087"/>
      <c r="AB644" s="1087"/>
      <c r="AC644" s="1087"/>
      <c r="AD644" s="1087"/>
      <c r="AE644" s="1087"/>
      <c r="AF644" s="1087"/>
      <c r="AG644" s="1087"/>
      <c r="AH644" s="1087"/>
      <c r="AI644" s="1087"/>
      <c r="AJ644" s="1087"/>
      <c r="AK644" s="1087"/>
      <c r="AM644" s="41"/>
      <c r="AN644" s="41"/>
      <c r="AO644" s="41"/>
      <c r="AP644" s="41"/>
      <c r="AQ644" s="41"/>
      <c r="AR644" s="41"/>
      <c r="AS644" s="41"/>
      <c r="AT644" s="41"/>
      <c r="AU644" s="41"/>
      <c r="AV644" s="41"/>
      <c r="AW644" s="41"/>
      <c r="AX644" s="41"/>
      <c r="AY644" s="41"/>
      <c r="AZ644" s="41"/>
      <c r="BA644" s="41"/>
      <c r="BB644" s="41"/>
      <c r="BC644" s="41"/>
      <c r="BD644" s="41"/>
      <c r="BE644" s="41"/>
      <c r="BF644" s="41"/>
      <c r="BG644" s="41"/>
      <c r="BH644" s="41"/>
      <c r="BI644" s="41"/>
      <c r="BJ644" s="41"/>
      <c r="BK644" s="41"/>
      <c r="BL644" s="41"/>
      <c r="BM644" s="41"/>
      <c r="BN644" s="41"/>
      <c r="BO644" s="41"/>
      <c r="BP644" s="41"/>
      <c r="BQ644" s="41"/>
      <c r="BR644" s="41"/>
      <c r="BS644" s="41"/>
      <c r="BT644" s="41"/>
      <c r="BU644" s="41"/>
      <c r="BV644" s="41"/>
      <c r="BW644" s="41"/>
      <c r="BX644" s="41"/>
      <c r="BY644" s="41"/>
      <c r="BZ644" s="41"/>
      <c r="CA644" s="41"/>
      <c r="CB644" s="41"/>
      <c r="CC644" s="41"/>
      <c r="CD644" s="41"/>
      <c r="CE644" s="41"/>
      <c r="CF644" s="41"/>
      <c r="CG644" s="41"/>
      <c r="CH644" s="41"/>
      <c r="CI644" s="41"/>
      <c r="CJ644" s="41"/>
      <c r="CK644" s="41"/>
      <c r="CL644" s="41"/>
      <c r="CM644" s="41"/>
      <c r="CN644" s="41"/>
      <c r="CO644" s="41"/>
      <c r="CP644" s="41"/>
      <c r="CQ644" s="41"/>
      <c r="CR644" s="41"/>
      <c r="CS644" s="41"/>
    </row>
    <row r="645" spans="1:97" ht="12.95" customHeight="1">
      <c r="A645" s="4"/>
      <c r="B645" t="s">
        <v>873</v>
      </c>
      <c r="G645" s="1087"/>
      <c r="H645" s="1087"/>
      <c r="I645" s="1087"/>
      <c r="J645" s="1087"/>
      <c r="K645" s="1087"/>
      <c r="L645" s="1087"/>
      <c r="M645" s="1087"/>
      <c r="N645" s="1087"/>
      <c r="O645" s="1087"/>
      <c r="P645" s="1087"/>
      <c r="Q645" s="1087"/>
      <c r="R645" s="1087"/>
      <c r="T645" s="4"/>
      <c r="U645" t="s">
        <v>873</v>
      </c>
      <c r="Z645" s="1087"/>
      <c r="AA645" s="1087"/>
      <c r="AB645" s="1087"/>
      <c r="AC645" s="1087"/>
      <c r="AD645" s="1087"/>
      <c r="AE645" s="1087"/>
      <c r="AF645" s="1087"/>
      <c r="AG645" s="1087"/>
      <c r="AH645" s="1087"/>
      <c r="AI645" s="1087"/>
      <c r="AJ645" s="1087"/>
      <c r="AK645" s="1087"/>
      <c r="AM645" s="41"/>
      <c r="AN645" s="41"/>
      <c r="AO645" s="41"/>
      <c r="AP645" s="41"/>
      <c r="AQ645" s="41"/>
      <c r="AR645" s="41"/>
      <c r="AS645" s="41"/>
      <c r="AT645" s="41"/>
      <c r="AU645" s="41"/>
      <c r="AV645" s="41"/>
      <c r="AW645" s="41"/>
      <c r="AX645" s="41"/>
      <c r="AY645" s="41"/>
      <c r="AZ645" s="41"/>
      <c r="BA645" s="41"/>
      <c r="BB645" s="41"/>
      <c r="BC645" s="41"/>
      <c r="BD645" s="41"/>
      <c r="BE645" s="41"/>
      <c r="BF645" s="41"/>
      <c r="BG645" s="41"/>
      <c r="BH645" s="41"/>
      <c r="BI645" s="41"/>
      <c r="BJ645" s="41"/>
      <c r="BK645" s="41"/>
      <c r="BL645" s="41"/>
      <c r="BM645" s="41"/>
      <c r="BN645" s="41"/>
      <c r="BO645" s="41"/>
      <c r="BP645" s="41"/>
      <c r="BQ645" s="41"/>
      <c r="BR645" s="41"/>
      <c r="BS645" s="41"/>
      <c r="BT645" s="41"/>
      <c r="BU645" s="41"/>
      <c r="BV645" s="41"/>
      <c r="BW645" s="41"/>
      <c r="BX645" s="41"/>
      <c r="BY645" s="41"/>
      <c r="BZ645" s="41"/>
      <c r="CA645" s="41"/>
      <c r="CB645" s="41"/>
      <c r="CC645" s="41"/>
      <c r="CD645" s="41"/>
      <c r="CE645" s="41"/>
      <c r="CF645" s="41"/>
      <c r="CG645" s="41"/>
      <c r="CH645" s="41"/>
      <c r="CI645" s="41"/>
      <c r="CJ645" s="41"/>
      <c r="CK645" s="41"/>
      <c r="CL645" s="41"/>
      <c r="CM645" s="41"/>
      <c r="CN645" s="41"/>
      <c r="CO645" s="41"/>
      <c r="CP645" s="41"/>
      <c r="CQ645" s="41"/>
      <c r="CR645" s="41"/>
      <c r="CS645" s="41"/>
    </row>
    <row r="646" spans="1:97" ht="12.95" customHeight="1">
      <c r="A646" s="4"/>
      <c r="B646" t="s">
        <v>685</v>
      </c>
      <c r="G646" s="1111"/>
      <c r="H646" s="1111"/>
      <c r="I646" s="1111"/>
      <c r="J646" s="1111"/>
      <c r="K646" s="1111"/>
      <c r="L646" s="1111"/>
      <c r="O646" s="42" t="s">
        <v>858</v>
      </c>
      <c r="P646" s="1282"/>
      <c r="Q646" s="1282"/>
      <c r="R646" s="1282"/>
      <c r="T646" s="4"/>
      <c r="U646" t="s">
        <v>685</v>
      </c>
      <c r="Z646" s="1111"/>
      <c r="AA646" s="1111"/>
      <c r="AB646" s="1111"/>
      <c r="AC646" s="1111"/>
      <c r="AD646" s="1111"/>
      <c r="AE646" s="1111"/>
      <c r="AH646" s="42" t="s">
        <v>858</v>
      </c>
      <c r="AI646" s="1282"/>
      <c r="AJ646" s="1282"/>
      <c r="AK646" s="1282"/>
      <c r="AL646" s="306"/>
      <c r="AM646" s="41"/>
      <c r="AN646" s="41"/>
      <c r="AO646" s="41"/>
      <c r="AP646" s="41"/>
      <c r="AQ646" s="41"/>
      <c r="AR646" s="41"/>
      <c r="AS646" s="41"/>
      <c r="AT646" s="41"/>
      <c r="AU646" s="41"/>
      <c r="AV646" s="41"/>
      <c r="AW646" s="41"/>
      <c r="AX646" s="41"/>
      <c r="AY646" s="41"/>
      <c r="AZ646" s="41"/>
      <c r="BA646" s="41"/>
      <c r="BB646" s="41"/>
      <c r="BC646" s="41"/>
      <c r="BD646" s="41"/>
      <c r="BE646" s="41"/>
      <c r="BF646" s="41"/>
      <c r="BG646" s="41"/>
      <c r="BH646" s="41"/>
      <c r="BI646" s="41"/>
      <c r="BJ646" s="41"/>
      <c r="BK646" s="41"/>
      <c r="BL646" s="41"/>
      <c r="BM646" s="41"/>
      <c r="BN646" s="41"/>
      <c r="BO646" s="41"/>
      <c r="BP646" s="41"/>
      <c r="BQ646" s="41"/>
      <c r="BR646" s="41"/>
      <c r="BS646" s="41"/>
      <c r="BT646" s="41"/>
      <c r="BU646" s="41"/>
      <c r="BV646" s="41"/>
      <c r="BW646" s="41"/>
      <c r="BX646" s="41"/>
      <c r="BY646" s="41"/>
      <c r="BZ646" s="41"/>
      <c r="CA646" s="41"/>
      <c r="CB646" s="41"/>
      <c r="CC646" s="41"/>
      <c r="CD646" s="41"/>
      <c r="CE646" s="41"/>
      <c r="CF646" s="41"/>
      <c r="CG646" s="41"/>
      <c r="CH646" s="41"/>
      <c r="CI646" s="41"/>
      <c r="CJ646" s="41"/>
      <c r="CK646" s="41"/>
      <c r="CL646" s="41"/>
      <c r="CM646" s="41"/>
      <c r="CN646" s="41"/>
      <c r="CO646" s="41"/>
      <c r="CP646" s="41"/>
      <c r="CQ646" s="41"/>
      <c r="CR646" s="41"/>
      <c r="CS646" s="41"/>
    </row>
    <row r="647" spans="1:97" ht="12.95" customHeight="1">
      <c r="A647" s="4"/>
      <c r="B647" t="s">
        <v>874</v>
      </c>
      <c r="H647" s="1085"/>
      <c r="I647" s="1085"/>
      <c r="J647" s="1085"/>
      <c r="K647" s="1085"/>
      <c r="L647" s="1085"/>
      <c r="M647" s="1085"/>
      <c r="N647" s="1085"/>
      <c r="O647" s="1085"/>
      <c r="P647" s="1085"/>
      <c r="Q647" s="1085"/>
      <c r="R647" s="1085"/>
      <c r="T647" s="4"/>
      <c r="U647" t="s">
        <v>874</v>
      </c>
      <c r="AA647" s="1085"/>
      <c r="AB647" s="1085"/>
      <c r="AC647" s="1085"/>
      <c r="AD647" s="1085"/>
      <c r="AE647" s="1085"/>
      <c r="AF647" s="1085"/>
      <c r="AG647" s="1085"/>
      <c r="AH647" s="1085"/>
      <c r="AI647" s="1085"/>
      <c r="AJ647" s="1085"/>
      <c r="AK647" s="1085"/>
      <c r="AL647" s="306"/>
      <c r="AM647" s="41"/>
      <c r="AN647" s="41"/>
      <c r="AO647" s="41"/>
      <c r="AP647" s="41"/>
      <c r="AQ647" s="41"/>
      <c r="AR647" s="41"/>
      <c r="AS647" s="41"/>
      <c r="AT647" s="41"/>
      <c r="AU647" s="41"/>
      <c r="AV647" s="41"/>
      <c r="AW647" s="41"/>
      <c r="AX647" s="41"/>
      <c r="AY647" s="41"/>
      <c r="AZ647" s="41"/>
      <c r="BA647" s="41"/>
      <c r="BB647" s="41"/>
      <c r="BC647" s="41"/>
      <c r="BD647" s="41"/>
      <c r="BE647" s="41"/>
      <c r="BF647" s="41"/>
      <c r="BG647" s="41"/>
      <c r="BH647" s="41"/>
      <c r="BI647" s="41"/>
      <c r="BJ647" s="41"/>
      <c r="BK647" s="41"/>
      <c r="BL647" s="41"/>
      <c r="BM647" s="41"/>
      <c r="BN647" s="41"/>
      <c r="BO647" s="41"/>
      <c r="BP647" s="41"/>
      <c r="BQ647" s="41"/>
      <c r="BR647" s="41"/>
      <c r="BS647" s="41"/>
      <c r="BT647" s="41"/>
      <c r="BU647" s="41"/>
      <c r="BV647" s="41"/>
      <c r="BW647" s="41"/>
      <c r="BX647" s="41"/>
      <c r="BY647" s="41"/>
      <c r="BZ647" s="41"/>
      <c r="CA647" s="41"/>
      <c r="CB647" s="41"/>
      <c r="CC647" s="41"/>
      <c r="CD647" s="41"/>
      <c r="CE647" s="41"/>
      <c r="CF647" s="41"/>
      <c r="CG647" s="41"/>
      <c r="CH647" s="41"/>
      <c r="CI647" s="41"/>
      <c r="CJ647" s="41"/>
      <c r="CK647" s="41"/>
      <c r="CL647" s="41"/>
      <c r="CM647" s="41"/>
      <c r="CN647" s="41"/>
      <c r="CO647" s="41"/>
      <c r="CP647" s="41"/>
      <c r="CQ647" s="41"/>
      <c r="CR647" s="41"/>
      <c r="CS647" s="41"/>
    </row>
    <row r="648" spans="1:97" ht="12.95" customHeight="1">
      <c r="B648" t="s">
        <v>876</v>
      </c>
      <c r="N648" s="1113" t="s">
        <v>510</v>
      </c>
      <c r="O648" s="1113"/>
      <c r="T648" s="4"/>
      <c r="U648" t="s">
        <v>876</v>
      </c>
      <c r="AG648" s="1113" t="s">
        <v>510</v>
      </c>
      <c r="AH648" s="1113"/>
      <c r="AM648" s="41"/>
      <c r="AN648" s="41"/>
      <c r="AO648" s="41"/>
      <c r="AP648" s="41"/>
      <c r="AQ648" s="41"/>
      <c r="AR648" s="41"/>
      <c r="AS648" s="41"/>
      <c r="AT648" s="41"/>
      <c r="AU648" s="41"/>
      <c r="AV648" s="41"/>
      <c r="AW648" s="41"/>
      <c r="AX648" s="41"/>
      <c r="AY648" s="41"/>
      <c r="AZ648" s="41"/>
      <c r="BA648" s="41"/>
      <c r="BB648" s="41"/>
      <c r="BC648" s="41"/>
      <c r="BD648" s="41"/>
      <c r="BE648" s="41"/>
      <c r="BF648" s="41"/>
      <c r="BG648" s="41"/>
      <c r="BH648" s="41"/>
      <c r="BI648" s="41"/>
      <c r="BJ648" s="41"/>
      <c r="BK648" s="41"/>
      <c r="BL648" s="41"/>
      <c r="BM648" s="41"/>
      <c r="BN648" s="41"/>
      <c r="BO648" s="41"/>
      <c r="BP648" s="41"/>
      <c r="BQ648" s="41"/>
      <c r="BR648" s="41"/>
      <c r="BS648" s="41"/>
      <c r="BT648" s="41"/>
      <c r="BU648" s="41"/>
      <c r="BV648" s="41"/>
      <c r="BW648" s="41"/>
      <c r="BX648" s="41"/>
      <c r="BY648" s="41"/>
      <c r="BZ648" s="41"/>
      <c r="CA648" s="41"/>
      <c r="CB648" s="41"/>
      <c r="CC648" s="41"/>
      <c r="CD648" s="41"/>
      <c r="CE648" s="41"/>
      <c r="CF648" s="41"/>
      <c r="CG648" s="41"/>
      <c r="CH648" s="41"/>
      <c r="CI648" s="41"/>
      <c r="CJ648" s="41"/>
      <c r="CK648" s="41"/>
      <c r="CL648" s="41"/>
      <c r="CM648" s="41"/>
      <c r="CN648" s="41"/>
      <c r="CO648" s="41"/>
      <c r="CP648" s="41"/>
      <c r="CQ648" s="41"/>
      <c r="CR648" s="41"/>
      <c r="CS648" s="41"/>
    </row>
    <row r="649" spans="1:97" ht="12.95" customHeight="1">
      <c r="A649" s="4"/>
      <c r="T649" s="4"/>
      <c r="AM649" s="41"/>
      <c r="AN649" s="41"/>
      <c r="AO649" s="41"/>
      <c r="AP649" s="41"/>
      <c r="AQ649" s="41"/>
      <c r="AR649" s="41"/>
      <c r="AS649" s="41"/>
      <c r="AT649" s="41"/>
      <c r="AU649" s="41"/>
      <c r="AV649" s="41"/>
      <c r="AW649" s="41"/>
      <c r="AX649" s="41"/>
      <c r="AY649" s="41"/>
      <c r="AZ649" s="41"/>
      <c r="BA649" s="41"/>
      <c r="BB649" s="41"/>
      <c r="BC649" s="41"/>
      <c r="BD649" s="41"/>
      <c r="BE649" s="41"/>
      <c r="BF649" s="41"/>
      <c r="BG649" s="41"/>
      <c r="BH649" s="41"/>
      <c r="BI649" s="41"/>
      <c r="BJ649" s="41"/>
      <c r="BK649" s="41"/>
      <c r="BL649" s="41"/>
      <c r="BM649" s="41"/>
      <c r="BN649" s="41"/>
      <c r="BO649" s="41"/>
      <c r="BP649" s="41"/>
      <c r="BQ649" s="41"/>
      <c r="BR649" s="41"/>
      <c r="BS649" s="41"/>
      <c r="BT649" s="41"/>
      <c r="BU649" s="41"/>
      <c r="BV649" s="41"/>
      <c r="BW649" s="41"/>
      <c r="BX649" s="41"/>
      <c r="BY649" s="41"/>
      <c r="BZ649" s="41"/>
      <c r="CA649" s="41"/>
      <c r="CB649" s="41"/>
      <c r="CC649" s="41"/>
      <c r="CD649" s="41"/>
      <c r="CE649" s="41"/>
      <c r="CF649" s="41"/>
      <c r="CG649" s="41"/>
      <c r="CH649" s="41"/>
      <c r="CI649" s="41"/>
      <c r="CJ649" s="41"/>
      <c r="CK649" s="41"/>
      <c r="CL649" s="41"/>
      <c r="CM649" s="41"/>
      <c r="CN649" s="41"/>
      <c r="CO649" s="41"/>
      <c r="CP649" s="41"/>
      <c r="CQ649" s="41"/>
      <c r="CR649" s="41"/>
      <c r="CS649" s="41"/>
    </row>
    <row r="650" spans="1:97" ht="12.95" customHeight="1">
      <c r="A650" s="61" t="s">
        <v>182</v>
      </c>
      <c r="B650" t="s">
        <v>90</v>
      </c>
      <c r="G650" s="1292">
        <f>C622</f>
        <v>0</v>
      </c>
      <c r="H650" s="1292"/>
      <c r="I650" s="1292"/>
      <c r="J650" s="1292"/>
      <c r="K650" s="1292"/>
      <c r="L650" s="1292"/>
      <c r="M650" s="1292"/>
      <c r="N650" s="1292"/>
      <c r="O650" s="1292"/>
      <c r="P650" s="1292"/>
      <c r="Q650" s="1292"/>
      <c r="R650" s="1292"/>
      <c r="T650" s="61" t="s">
        <v>462</v>
      </c>
      <c r="U650" t="s">
        <v>90</v>
      </c>
      <c r="Z650" s="1292">
        <f>C623</f>
        <v>0</v>
      </c>
      <c r="AA650" s="1292"/>
      <c r="AB650" s="1292"/>
      <c r="AC650" s="1292"/>
      <c r="AD650" s="1292"/>
      <c r="AE650" s="1292"/>
      <c r="AF650" s="1292"/>
      <c r="AG650" s="1292"/>
      <c r="AH650" s="1292"/>
      <c r="AI650" s="1292"/>
      <c r="AJ650" s="1292"/>
      <c r="AK650" s="1292"/>
      <c r="AM650" s="41"/>
      <c r="AN650" s="41"/>
      <c r="AO650" s="41"/>
      <c r="AP650" s="41"/>
      <c r="AQ650" s="41"/>
      <c r="AR650" s="41"/>
      <c r="AS650" s="41"/>
      <c r="AT650" s="41"/>
      <c r="AU650" s="41"/>
      <c r="AV650" s="41"/>
      <c r="AW650" s="41"/>
      <c r="AX650" s="41"/>
      <c r="AY650" s="41"/>
      <c r="AZ650" s="41"/>
      <c r="BA650" s="41"/>
      <c r="BB650" s="41"/>
      <c r="BC650" s="41"/>
      <c r="BD650" s="41"/>
      <c r="BE650" s="41"/>
      <c r="BF650" s="41"/>
      <c r="BG650" s="41"/>
      <c r="BH650" s="41"/>
      <c r="BI650" s="41"/>
      <c r="BJ650" s="41"/>
      <c r="BK650" s="41"/>
      <c r="BL650" s="41"/>
      <c r="BM650" s="41"/>
      <c r="BN650" s="41"/>
      <c r="BO650" s="41"/>
      <c r="BP650" s="41"/>
      <c r="BQ650" s="41"/>
      <c r="BR650" s="41"/>
      <c r="BS650" s="41"/>
      <c r="BT650" s="41"/>
      <c r="BU650" s="41"/>
      <c r="BV650" s="41"/>
      <c r="BW650" s="41"/>
      <c r="BX650" s="41"/>
      <c r="BY650" s="41"/>
      <c r="BZ650" s="41"/>
      <c r="CA650" s="41"/>
      <c r="CB650" s="41"/>
      <c r="CC650" s="41"/>
      <c r="CD650" s="41"/>
      <c r="CE650" s="41"/>
      <c r="CF650" s="41"/>
      <c r="CG650" s="41"/>
      <c r="CH650" s="41"/>
      <c r="CI650" s="41"/>
      <c r="CJ650" s="41"/>
      <c r="CK650" s="41"/>
      <c r="CL650" s="41"/>
      <c r="CM650" s="41"/>
      <c r="CN650" s="41"/>
      <c r="CO650" s="41"/>
      <c r="CP650" s="41"/>
      <c r="CQ650" s="41"/>
      <c r="CR650" s="41"/>
      <c r="CS650" s="41"/>
    </row>
    <row r="651" spans="1:97" ht="12.95" customHeight="1">
      <c r="A651" s="4"/>
      <c r="B651" t="s">
        <v>396</v>
      </c>
      <c r="G651" s="1085"/>
      <c r="H651" s="1085"/>
      <c r="I651" s="1085"/>
      <c r="J651" s="1085"/>
      <c r="K651" s="1085"/>
      <c r="L651" s="1085"/>
      <c r="M651" s="1085"/>
      <c r="N651" s="1085"/>
      <c r="O651" s="1085"/>
      <c r="P651" s="1085"/>
      <c r="Q651" s="1085"/>
      <c r="R651" s="1085"/>
      <c r="T651" s="4"/>
      <c r="U651" t="s">
        <v>396</v>
      </c>
      <c r="Z651" s="1085"/>
      <c r="AA651" s="1085"/>
      <c r="AB651" s="1085"/>
      <c r="AC651" s="1085"/>
      <c r="AD651" s="1085"/>
      <c r="AE651" s="1085"/>
      <c r="AF651" s="1085"/>
      <c r="AG651" s="1085"/>
      <c r="AH651" s="1085"/>
      <c r="AI651" s="1085"/>
      <c r="AJ651" s="1085"/>
      <c r="AK651" s="1085"/>
      <c r="AM651" s="41"/>
      <c r="AN651" s="41"/>
      <c r="AO651" s="41"/>
      <c r="AP651" s="41"/>
      <c r="AQ651" s="41"/>
      <c r="AR651" s="41"/>
      <c r="AS651" s="41"/>
      <c r="AT651" s="41"/>
      <c r="AU651" s="41"/>
      <c r="AV651" s="41"/>
      <c r="AW651" s="41"/>
      <c r="AX651" s="41"/>
      <c r="AY651" s="41"/>
      <c r="AZ651" s="41"/>
      <c r="BA651" s="41"/>
      <c r="BB651" s="41"/>
      <c r="BC651" s="41"/>
      <c r="BD651" s="41"/>
      <c r="BE651" s="41"/>
      <c r="BF651" s="41"/>
      <c r="BG651" s="41"/>
      <c r="BH651" s="41"/>
      <c r="BI651" s="41"/>
      <c r="BJ651" s="41"/>
      <c r="BK651" s="41"/>
      <c r="BL651" s="41"/>
      <c r="BM651" s="41"/>
      <c r="BN651" s="41"/>
      <c r="BO651" s="41"/>
      <c r="BP651" s="41"/>
      <c r="BQ651" s="41"/>
      <c r="BR651" s="41"/>
      <c r="BS651" s="41"/>
      <c r="BT651" s="41"/>
      <c r="BU651" s="41"/>
      <c r="BV651" s="41"/>
      <c r="BW651" s="41"/>
      <c r="BX651" s="41"/>
      <c r="BY651" s="41"/>
      <c r="BZ651" s="41"/>
      <c r="CA651" s="41"/>
      <c r="CB651" s="41"/>
      <c r="CC651" s="41"/>
      <c r="CD651" s="41"/>
      <c r="CE651" s="41"/>
      <c r="CF651" s="41"/>
      <c r="CG651" s="41"/>
      <c r="CH651" s="41"/>
      <c r="CI651" s="41"/>
      <c r="CJ651" s="41"/>
      <c r="CK651" s="41"/>
      <c r="CL651" s="41"/>
      <c r="CM651" s="41"/>
      <c r="CN651" s="41"/>
      <c r="CO651" s="41"/>
      <c r="CP651" s="41"/>
      <c r="CQ651" s="41"/>
      <c r="CR651" s="41"/>
      <c r="CS651" s="41"/>
    </row>
    <row r="652" spans="1:97" ht="12.95" customHeight="1">
      <c r="A652" s="4"/>
      <c r="B652" t="s">
        <v>458</v>
      </c>
      <c r="G652" s="1085"/>
      <c r="H652" s="1085"/>
      <c r="I652" s="1085"/>
      <c r="J652" s="1085"/>
      <c r="K652" s="1085"/>
      <c r="L652" s="1085"/>
      <c r="M652" s="1085"/>
      <c r="N652" s="1085"/>
      <c r="O652" s="1085"/>
      <c r="P652" s="1085"/>
      <c r="Q652" s="1085"/>
      <c r="R652" s="1085"/>
      <c r="T652" s="4"/>
      <c r="U652" t="s">
        <v>458</v>
      </c>
      <c r="Z652" s="1087"/>
      <c r="AA652" s="1087"/>
      <c r="AB652" s="1087"/>
      <c r="AC652" s="1087"/>
      <c r="AD652" s="1087"/>
      <c r="AE652" s="1087"/>
      <c r="AF652" s="1087"/>
      <c r="AG652" s="1087"/>
      <c r="AH652" s="1087"/>
      <c r="AI652" s="1087"/>
      <c r="AJ652" s="1087"/>
      <c r="AK652" s="1087"/>
      <c r="AM652" s="41"/>
      <c r="AN652" s="41"/>
      <c r="AO652" s="41"/>
      <c r="AP652" s="41"/>
      <c r="AQ652" s="41"/>
      <c r="AR652" s="41"/>
      <c r="AS652" s="41"/>
      <c r="AT652" s="41"/>
      <c r="AU652" s="41"/>
      <c r="AV652" s="41"/>
      <c r="AW652" s="41"/>
      <c r="AX652" s="41"/>
      <c r="AY652" s="41"/>
      <c r="AZ652" s="41"/>
      <c r="BA652" s="41"/>
      <c r="BB652" s="41"/>
      <c r="BC652" s="41"/>
      <c r="BD652" s="41"/>
      <c r="BE652" s="41"/>
      <c r="BF652" s="41"/>
      <c r="BG652" s="41"/>
      <c r="BH652" s="41"/>
      <c r="BI652" s="41"/>
      <c r="BJ652" s="41"/>
      <c r="BK652" s="41"/>
      <c r="BL652" s="41"/>
      <c r="BM652" s="41"/>
      <c r="BN652" s="41"/>
      <c r="BO652" s="41"/>
      <c r="BP652" s="41"/>
      <c r="BQ652" s="41"/>
      <c r="BR652" s="41"/>
      <c r="BS652" s="41"/>
      <c r="BT652" s="41"/>
      <c r="BU652" s="41"/>
      <c r="BV652" s="41"/>
      <c r="BW652" s="41"/>
      <c r="BX652" s="41"/>
      <c r="BY652" s="41"/>
      <c r="BZ652" s="41"/>
      <c r="CA652" s="41"/>
      <c r="CB652" s="41"/>
      <c r="CC652" s="41"/>
      <c r="CD652" s="41"/>
      <c r="CE652" s="41"/>
      <c r="CF652" s="41"/>
      <c r="CG652" s="41"/>
      <c r="CH652" s="41"/>
      <c r="CI652" s="41"/>
      <c r="CJ652" s="41"/>
      <c r="CK652" s="41"/>
      <c r="CL652" s="41"/>
      <c r="CM652" s="41"/>
      <c r="CN652" s="41"/>
      <c r="CO652" s="41"/>
      <c r="CP652" s="41"/>
      <c r="CQ652" s="41"/>
      <c r="CR652" s="41"/>
      <c r="CS652" s="41"/>
    </row>
    <row r="653" spans="1:97" ht="12.95" customHeight="1">
      <c r="A653" s="4"/>
      <c r="B653" t="s">
        <v>873</v>
      </c>
      <c r="G653" s="1085"/>
      <c r="H653" s="1085"/>
      <c r="I653" s="1085"/>
      <c r="J653" s="1085"/>
      <c r="K653" s="1085"/>
      <c r="L653" s="1085"/>
      <c r="M653" s="1085"/>
      <c r="N653" s="1085"/>
      <c r="O653" s="1085"/>
      <c r="P653" s="1085"/>
      <c r="Q653" s="1085"/>
      <c r="R653" s="1085"/>
      <c r="T653" s="4"/>
      <c r="U653" t="s">
        <v>873</v>
      </c>
      <c r="Z653" s="1087"/>
      <c r="AA653" s="1087"/>
      <c r="AB653" s="1087"/>
      <c r="AC653" s="1087"/>
      <c r="AD653" s="1087"/>
      <c r="AE653" s="1087"/>
      <c r="AF653" s="1087"/>
      <c r="AG653" s="1087"/>
      <c r="AH653" s="1087"/>
      <c r="AI653" s="1087"/>
      <c r="AJ653" s="1087"/>
      <c r="AK653" s="1087"/>
      <c r="AL653" s="5"/>
      <c r="AM653" s="41"/>
      <c r="AN653" s="41"/>
      <c r="AO653" s="41"/>
      <c r="AP653" s="41"/>
      <c r="AQ653" s="41"/>
      <c r="AR653" s="41"/>
      <c r="AS653" s="41"/>
      <c r="AT653" s="41"/>
      <c r="AU653" s="41"/>
      <c r="AV653" s="41"/>
      <c r="AW653" s="41"/>
      <c r="AX653" s="41"/>
      <c r="AY653" s="41"/>
      <c r="AZ653" s="41"/>
      <c r="BA653" s="41"/>
      <c r="BB653" s="41"/>
      <c r="BC653" s="41"/>
      <c r="BD653" s="41"/>
      <c r="BE653" s="41"/>
      <c r="BF653" s="41"/>
      <c r="BG653" s="41"/>
      <c r="BH653" s="41"/>
      <c r="BI653" s="41"/>
      <c r="BJ653" s="41"/>
      <c r="BK653" s="41"/>
      <c r="BL653" s="41"/>
      <c r="BM653" s="41"/>
      <c r="BN653" s="41"/>
      <c r="BO653" s="41"/>
      <c r="BP653" s="41"/>
      <c r="BQ653" s="41"/>
      <c r="BR653" s="41"/>
      <c r="BS653" s="41"/>
      <c r="BT653" s="41"/>
      <c r="BU653" s="41"/>
      <c r="BV653" s="41"/>
      <c r="BW653" s="41"/>
      <c r="BX653" s="41"/>
      <c r="BY653" s="41"/>
      <c r="BZ653" s="41"/>
      <c r="CA653" s="41"/>
      <c r="CB653" s="41"/>
      <c r="CC653" s="41"/>
      <c r="CD653" s="41"/>
      <c r="CE653" s="41"/>
      <c r="CF653" s="41"/>
      <c r="CG653" s="41"/>
      <c r="CH653" s="41"/>
      <c r="CI653" s="41"/>
      <c r="CJ653" s="41"/>
      <c r="CK653" s="41"/>
      <c r="CL653" s="41"/>
      <c r="CM653" s="41"/>
      <c r="CN653" s="41"/>
      <c r="CO653" s="41"/>
      <c r="CP653" s="41"/>
      <c r="CQ653" s="41"/>
      <c r="CR653" s="41"/>
      <c r="CS653" s="41"/>
    </row>
    <row r="654" spans="1:97" ht="12.95" customHeight="1">
      <c r="A654" s="4"/>
      <c r="B654" t="s">
        <v>685</v>
      </c>
      <c r="G654" s="1111"/>
      <c r="H654" s="1111"/>
      <c r="I654" s="1111"/>
      <c r="J654" s="1111"/>
      <c r="K654" s="1111"/>
      <c r="L654" s="1111"/>
      <c r="O654" s="42" t="s">
        <v>858</v>
      </c>
      <c r="P654" s="1282"/>
      <c r="Q654" s="1282"/>
      <c r="R654" s="1282"/>
      <c r="T654" s="4"/>
      <c r="U654" t="s">
        <v>685</v>
      </c>
      <c r="Z654" s="1111"/>
      <c r="AA654" s="1111"/>
      <c r="AB654" s="1111"/>
      <c r="AC654" s="1111"/>
      <c r="AD654" s="1111"/>
      <c r="AE654" s="1111"/>
      <c r="AH654" s="42" t="s">
        <v>858</v>
      </c>
      <c r="AI654" s="1282"/>
      <c r="AJ654" s="1282"/>
      <c r="AK654" s="1282"/>
      <c r="AL654" s="5"/>
      <c r="AM654" s="41"/>
      <c r="AN654" s="41"/>
      <c r="AO654" s="41"/>
      <c r="AP654" s="41"/>
      <c r="AQ654" s="41"/>
      <c r="AR654" s="41"/>
      <c r="AS654" s="41"/>
      <c r="AT654" s="41"/>
      <c r="AU654" s="41"/>
      <c r="AV654" s="41"/>
      <c r="AW654" s="41"/>
      <c r="AX654" s="41"/>
      <c r="AY654" s="41"/>
      <c r="AZ654" s="41"/>
      <c r="BA654" s="41"/>
      <c r="BB654" s="41"/>
      <c r="BC654" s="41"/>
      <c r="BD654" s="41"/>
      <c r="BE654" s="41"/>
      <c r="BF654" s="41"/>
      <c r="BG654" s="41"/>
      <c r="BH654" s="41"/>
      <c r="BI654" s="41"/>
      <c r="BJ654" s="41"/>
      <c r="BK654" s="41"/>
      <c r="BL654" s="41"/>
      <c r="BM654" s="41"/>
      <c r="BN654" s="41"/>
      <c r="BO654" s="41"/>
      <c r="BP654" s="41"/>
      <c r="BQ654" s="41"/>
      <c r="BR654" s="41"/>
      <c r="BS654" s="41"/>
      <c r="BT654" s="41"/>
      <c r="BU654" s="41"/>
      <c r="BV654" s="41"/>
      <c r="BW654" s="41"/>
      <c r="BX654" s="41"/>
      <c r="BY654" s="41"/>
      <c r="BZ654" s="41"/>
      <c r="CA654" s="41"/>
      <c r="CB654" s="41"/>
      <c r="CC654" s="41"/>
      <c r="CD654" s="41"/>
      <c r="CE654" s="41"/>
      <c r="CF654" s="41"/>
      <c r="CG654" s="41"/>
      <c r="CH654" s="41"/>
      <c r="CI654" s="41"/>
      <c r="CJ654" s="41"/>
      <c r="CK654" s="41"/>
      <c r="CL654" s="41"/>
      <c r="CM654" s="41"/>
      <c r="CN654" s="41"/>
      <c r="CO654" s="41"/>
      <c r="CP654" s="41"/>
      <c r="CQ654" s="41"/>
      <c r="CR654" s="41"/>
      <c r="CS654" s="41"/>
    </row>
    <row r="655" spans="1:97" ht="12.95" customHeight="1">
      <c r="A655" s="4"/>
      <c r="B655" t="s">
        <v>874</v>
      </c>
      <c r="H655" s="1085"/>
      <c r="I655" s="1085"/>
      <c r="J655" s="1085"/>
      <c r="K655" s="1085"/>
      <c r="L655" s="1085"/>
      <c r="M655" s="1085"/>
      <c r="N655" s="1085"/>
      <c r="O655" s="1085"/>
      <c r="P655" s="1085"/>
      <c r="Q655" s="1085"/>
      <c r="R655" s="1085"/>
      <c r="T655" s="4"/>
      <c r="U655" t="s">
        <v>874</v>
      </c>
      <c r="AA655" s="1085"/>
      <c r="AB655" s="1085"/>
      <c r="AC655" s="1085"/>
      <c r="AD655" s="1085"/>
      <c r="AE655" s="1085"/>
      <c r="AF655" s="1085"/>
      <c r="AG655" s="1085"/>
      <c r="AH655" s="1085"/>
      <c r="AI655" s="1085"/>
      <c r="AJ655" s="1085"/>
      <c r="AK655" s="1085"/>
      <c r="AL655" s="5"/>
      <c r="AM655" s="41"/>
      <c r="AN655" s="41"/>
      <c r="AO655" s="41"/>
      <c r="AP655" s="41"/>
      <c r="AQ655" s="41"/>
      <c r="AR655" s="41"/>
      <c r="AS655" s="41"/>
      <c r="AT655" s="41"/>
      <c r="AU655" s="41"/>
      <c r="AV655" s="41"/>
      <c r="AW655" s="41"/>
      <c r="AX655" s="41"/>
      <c r="AY655" s="41"/>
      <c r="AZ655" s="41"/>
      <c r="BA655" s="41"/>
      <c r="BB655" s="41"/>
      <c r="BC655" s="41"/>
      <c r="BD655" s="41"/>
      <c r="BE655" s="41"/>
      <c r="BF655" s="41"/>
      <c r="BG655" s="41"/>
      <c r="BH655" s="41"/>
      <c r="BI655" s="41"/>
      <c r="BJ655" s="41"/>
      <c r="BK655" s="41"/>
      <c r="BL655" s="41"/>
      <c r="BM655" s="41"/>
      <c r="BN655" s="41"/>
      <c r="BO655" s="41"/>
      <c r="BP655" s="41"/>
      <c r="BQ655" s="41"/>
      <c r="BR655" s="41"/>
      <c r="BS655" s="41"/>
      <c r="BT655" s="41"/>
      <c r="BU655" s="41"/>
      <c r="BV655" s="41"/>
      <c r="BW655" s="41"/>
      <c r="BX655" s="41"/>
      <c r="BY655" s="41"/>
      <c r="BZ655" s="41"/>
      <c r="CA655" s="41"/>
      <c r="CB655" s="41"/>
      <c r="CC655" s="41"/>
      <c r="CD655" s="41"/>
      <c r="CE655" s="41"/>
      <c r="CF655" s="41"/>
      <c r="CG655" s="41"/>
      <c r="CH655" s="41"/>
      <c r="CI655" s="41"/>
      <c r="CJ655" s="41"/>
      <c r="CK655" s="41"/>
      <c r="CL655" s="41"/>
      <c r="CM655" s="41"/>
      <c r="CN655" s="41"/>
      <c r="CO655" s="41"/>
      <c r="CP655" s="41"/>
      <c r="CQ655" s="41"/>
      <c r="CR655" s="41"/>
      <c r="CS655" s="41"/>
    </row>
    <row r="656" spans="1:97" ht="12.95" customHeight="1">
      <c r="B656" t="s">
        <v>876</v>
      </c>
      <c r="N656" s="1113" t="s">
        <v>510</v>
      </c>
      <c r="O656" s="1113"/>
      <c r="T656" s="4"/>
      <c r="U656" t="s">
        <v>876</v>
      </c>
      <c r="AG656" s="1113" t="s">
        <v>510</v>
      </c>
      <c r="AH656" s="1113"/>
      <c r="AL656" s="5"/>
      <c r="AM656" s="41"/>
      <c r="AN656" s="41"/>
      <c r="AO656" s="41"/>
      <c r="AP656" s="41"/>
      <c r="AQ656" s="41"/>
      <c r="AR656" s="41"/>
      <c r="AS656" s="41"/>
      <c r="AT656" s="41"/>
      <c r="AU656" s="41"/>
      <c r="AV656" s="41"/>
      <c r="AW656" s="41"/>
      <c r="AX656" s="41"/>
      <c r="AY656" s="41"/>
      <c r="AZ656" s="41"/>
      <c r="BA656" s="41"/>
      <c r="BB656" s="41"/>
      <c r="BC656" s="41"/>
      <c r="BD656" s="41"/>
      <c r="BE656" s="41"/>
      <c r="BF656" s="41"/>
      <c r="BG656" s="41"/>
      <c r="BH656" s="41"/>
      <c r="BI656" s="41"/>
      <c r="BJ656" s="41"/>
      <c r="BK656" s="41"/>
      <c r="BL656" s="41"/>
      <c r="BM656" s="41"/>
      <c r="BN656" s="41"/>
      <c r="BO656" s="41"/>
      <c r="BP656" s="41"/>
      <c r="BQ656" s="41"/>
      <c r="BR656" s="41"/>
      <c r="BS656" s="41"/>
      <c r="BT656" s="41"/>
      <c r="BU656" s="41"/>
      <c r="BV656" s="41"/>
      <c r="BW656" s="41"/>
      <c r="BX656" s="41"/>
      <c r="BY656" s="41"/>
      <c r="BZ656" s="41"/>
      <c r="CA656" s="41"/>
      <c r="CB656" s="41"/>
      <c r="CC656" s="41"/>
      <c r="CD656" s="41"/>
      <c r="CE656" s="41"/>
      <c r="CF656" s="41"/>
      <c r="CG656" s="41"/>
      <c r="CH656" s="41"/>
      <c r="CI656" s="41"/>
      <c r="CJ656" s="41"/>
      <c r="CK656" s="41"/>
      <c r="CL656" s="41"/>
      <c r="CM656" s="41"/>
      <c r="CN656" s="41"/>
      <c r="CO656" s="41"/>
      <c r="CP656" s="41"/>
      <c r="CQ656" s="41"/>
      <c r="CR656" s="41"/>
      <c r="CS656" s="41"/>
    </row>
    <row r="657" spans="1:97" ht="12.95" customHeight="1">
      <c r="A657" s="4"/>
      <c r="T657" s="4"/>
      <c r="AL657" s="5"/>
      <c r="AM657" s="41"/>
      <c r="AN657" s="41"/>
      <c r="AO657" s="41"/>
      <c r="AP657" s="41"/>
      <c r="AQ657" s="41"/>
      <c r="AR657" s="41"/>
      <c r="AS657" s="41"/>
      <c r="AT657" s="41"/>
      <c r="AU657" s="41"/>
      <c r="AV657" s="41"/>
      <c r="AW657" s="41"/>
      <c r="AX657" s="41"/>
      <c r="AY657" s="41"/>
      <c r="AZ657" s="41"/>
      <c r="BA657" s="41"/>
      <c r="BB657" s="41"/>
      <c r="BC657" s="41"/>
      <c r="BD657" s="41"/>
      <c r="BE657" s="41"/>
      <c r="BF657" s="41"/>
      <c r="BG657" s="41"/>
      <c r="BH657" s="41"/>
      <c r="BI657" s="41"/>
      <c r="BJ657" s="41"/>
      <c r="BK657" s="41"/>
      <c r="BL657" s="41"/>
      <c r="BM657" s="41"/>
      <c r="BN657" s="41"/>
      <c r="BO657" s="41"/>
      <c r="BP657" s="41"/>
      <c r="BQ657" s="41"/>
      <c r="BR657" s="41"/>
      <c r="BS657" s="41"/>
      <c r="BT657" s="41"/>
      <c r="BU657" s="41"/>
      <c r="BV657" s="41"/>
      <c r="BW657" s="41"/>
      <c r="BX657" s="41"/>
      <c r="BY657" s="41"/>
      <c r="BZ657" s="41"/>
      <c r="CA657" s="41"/>
      <c r="CB657" s="41"/>
      <c r="CC657" s="41"/>
      <c r="CD657" s="41"/>
      <c r="CE657" s="41"/>
      <c r="CF657" s="41"/>
      <c r="CG657" s="41"/>
      <c r="CH657" s="41"/>
      <c r="CI657" s="41"/>
      <c r="CJ657" s="41"/>
      <c r="CK657" s="41"/>
      <c r="CL657" s="41"/>
      <c r="CM657" s="41"/>
      <c r="CN657" s="41"/>
      <c r="CO657" s="41"/>
      <c r="CP657" s="41"/>
      <c r="CQ657" s="41"/>
      <c r="CR657" s="41"/>
      <c r="CS657" s="41"/>
    </row>
    <row r="658" spans="1:97" ht="12.95" customHeight="1">
      <c r="A658" s="61" t="s">
        <v>777</v>
      </c>
      <c r="B658" t="s">
        <v>90</v>
      </c>
      <c r="G658" s="1292">
        <f>C624</f>
        <v>0</v>
      </c>
      <c r="H658" s="1292"/>
      <c r="I658" s="1292"/>
      <c r="J658" s="1292"/>
      <c r="K658" s="1292"/>
      <c r="L658" s="1292"/>
      <c r="M658" s="1292"/>
      <c r="N658" s="1292"/>
      <c r="O658" s="1292"/>
      <c r="P658" s="1292"/>
      <c r="Q658" s="1292"/>
      <c r="R658" s="1292"/>
      <c r="T658" s="61" t="s">
        <v>778</v>
      </c>
      <c r="U658" t="s">
        <v>90</v>
      </c>
      <c r="Z658" s="1292">
        <f>C625</f>
        <v>0</v>
      </c>
      <c r="AA658" s="1292"/>
      <c r="AB658" s="1292"/>
      <c r="AC658" s="1292"/>
      <c r="AD658" s="1292"/>
      <c r="AE658" s="1292"/>
      <c r="AF658" s="1292"/>
      <c r="AG658" s="1292"/>
      <c r="AH658" s="1292"/>
      <c r="AI658" s="1292"/>
      <c r="AJ658" s="1292"/>
      <c r="AK658" s="1292"/>
      <c r="AM658" s="41"/>
      <c r="AN658" s="41"/>
      <c r="AO658" s="41"/>
      <c r="AP658" s="41"/>
      <c r="AQ658" s="41"/>
      <c r="AR658" s="41"/>
      <c r="AS658" s="41"/>
      <c r="AT658" s="41"/>
      <c r="AU658" s="41"/>
      <c r="AV658" s="41"/>
      <c r="AW658" s="41"/>
      <c r="AX658" s="41"/>
      <c r="AY658" s="41"/>
      <c r="AZ658" s="41"/>
      <c r="BA658" s="41"/>
      <c r="BB658" s="41"/>
      <c r="BC658" s="41"/>
      <c r="BD658" s="41"/>
      <c r="BE658" s="41"/>
      <c r="BF658" s="41"/>
      <c r="BG658" s="41"/>
      <c r="BH658" s="41"/>
      <c r="BI658" s="41"/>
      <c r="BJ658" s="41"/>
      <c r="BK658" s="41"/>
      <c r="BL658" s="41"/>
      <c r="BM658" s="41"/>
      <c r="BN658" s="41"/>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row>
    <row r="659" spans="1:97" ht="12.95" customHeight="1">
      <c r="A659" s="4"/>
      <c r="B659" t="s">
        <v>396</v>
      </c>
      <c r="G659" s="1085"/>
      <c r="H659" s="1085"/>
      <c r="I659" s="1085"/>
      <c r="J659" s="1085"/>
      <c r="K659" s="1085"/>
      <c r="L659" s="1085"/>
      <c r="M659" s="1085"/>
      <c r="N659" s="1085"/>
      <c r="O659" s="1085"/>
      <c r="P659" s="1085"/>
      <c r="Q659" s="1085"/>
      <c r="R659" s="1085"/>
      <c r="T659" s="4"/>
      <c r="U659" t="s">
        <v>396</v>
      </c>
      <c r="Z659" s="1085"/>
      <c r="AA659" s="1085"/>
      <c r="AB659" s="1085"/>
      <c r="AC659" s="1085"/>
      <c r="AD659" s="1085"/>
      <c r="AE659" s="1085"/>
      <c r="AF659" s="1085"/>
      <c r="AG659" s="1085"/>
      <c r="AH659" s="1085"/>
      <c r="AI659" s="1085"/>
      <c r="AJ659" s="1085"/>
      <c r="AK659" s="1085"/>
      <c r="AM659" s="41"/>
      <c r="AN659" s="41"/>
      <c r="AO659" s="41"/>
      <c r="AP659" s="41"/>
      <c r="AQ659" s="41"/>
      <c r="AR659" s="41"/>
      <c r="AS659" s="41"/>
      <c r="AT659" s="41"/>
      <c r="AU659" s="41"/>
      <c r="AV659" s="41"/>
      <c r="AW659" s="41"/>
      <c r="AX659" s="41"/>
      <c r="AY659" s="41"/>
      <c r="AZ659" s="41"/>
      <c r="BA659" s="41"/>
      <c r="BB659" s="41"/>
      <c r="BC659" s="41"/>
      <c r="BD659" s="41"/>
      <c r="BE659" s="41"/>
      <c r="BF659" s="41"/>
      <c r="BG659" s="41"/>
      <c r="BH659" s="41"/>
      <c r="BI659" s="41"/>
      <c r="BJ659" s="41"/>
      <c r="BK659" s="41"/>
      <c r="BL659" s="41"/>
      <c r="BM659" s="41"/>
      <c r="BN659" s="41"/>
      <c r="BO659" s="41"/>
      <c r="BP659" s="41"/>
      <c r="BQ659" s="41"/>
      <c r="BR659" s="41"/>
      <c r="BS659" s="41"/>
      <c r="BT659" s="41"/>
      <c r="BU659" s="41"/>
      <c r="BV659" s="41"/>
      <c r="BW659" s="41"/>
      <c r="BX659" s="41"/>
      <c r="BY659" s="41"/>
      <c r="BZ659" s="41"/>
      <c r="CA659" s="41"/>
      <c r="CB659" s="41"/>
      <c r="CC659" s="41"/>
      <c r="CD659" s="41"/>
      <c r="CE659" s="41"/>
      <c r="CF659" s="41"/>
      <c r="CG659" s="41"/>
      <c r="CH659" s="41"/>
      <c r="CI659" s="41"/>
      <c r="CJ659" s="41"/>
      <c r="CK659" s="41"/>
      <c r="CL659" s="41"/>
      <c r="CM659" s="41"/>
      <c r="CN659" s="41"/>
      <c r="CO659" s="41"/>
      <c r="CP659" s="41"/>
      <c r="CQ659" s="41"/>
      <c r="CR659" s="41"/>
      <c r="CS659" s="41"/>
    </row>
    <row r="660" spans="1:97" ht="12.95" customHeight="1">
      <c r="A660" s="4"/>
      <c r="B660" t="s">
        <v>458</v>
      </c>
      <c r="G660" s="1085"/>
      <c r="H660" s="1085"/>
      <c r="I660" s="1085"/>
      <c r="J660" s="1085"/>
      <c r="K660" s="1085"/>
      <c r="L660" s="1085"/>
      <c r="M660" s="1085"/>
      <c r="N660" s="1085"/>
      <c r="O660" s="1085"/>
      <c r="P660" s="1085"/>
      <c r="Q660" s="1085"/>
      <c r="R660" s="1085"/>
      <c r="T660" s="4"/>
      <c r="U660" t="s">
        <v>458</v>
      </c>
      <c r="Z660" s="1087"/>
      <c r="AA660" s="1087"/>
      <c r="AB660" s="1087"/>
      <c r="AC660" s="1087"/>
      <c r="AD660" s="1087"/>
      <c r="AE660" s="1087"/>
      <c r="AF660" s="1087"/>
      <c r="AG660" s="1087"/>
      <c r="AH660" s="1087"/>
      <c r="AI660" s="1087"/>
      <c r="AJ660" s="1087"/>
      <c r="AK660" s="1087"/>
      <c r="AM660" s="41"/>
      <c r="AN660" s="41"/>
      <c r="AO660" s="41"/>
      <c r="AP660" s="41"/>
      <c r="AQ660" s="41"/>
      <c r="AR660" s="41"/>
      <c r="AS660" s="41"/>
      <c r="AT660" s="41"/>
      <c r="AU660" s="41"/>
      <c r="AV660" s="41"/>
      <c r="AW660" s="41"/>
      <c r="AX660" s="41"/>
      <c r="AY660" s="41"/>
      <c r="AZ660" s="41"/>
      <c r="BA660" s="41"/>
      <c r="BB660" s="41"/>
      <c r="BC660" s="41"/>
      <c r="BD660" s="41"/>
      <c r="BE660" s="41"/>
      <c r="BF660" s="41"/>
      <c r="BG660" s="41"/>
      <c r="BH660" s="41"/>
      <c r="BI660" s="41"/>
      <c r="BJ660" s="41"/>
      <c r="BK660" s="41"/>
      <c r="BL660" s="41"/>
      <c r="BM660" s="41"/>
      <c r="BN660" s="41"/>
      <c r="BO660" s="41"/>
      <c r="BP660" s="41"/>
      <c r="BQ660" s="41"/>
      <c r="BR660" s="41"/>
      <c r="BS660" s="41"/>
      <c r="BT660" s="41"/>
      <c r="BU660" s="41"/>
      <c r="BV660" s="41"/>
      <c r="BW660" s="41"/>
      <c r="BX660" s="41"/>
      <c r="BY660" s="41"/>
      <c r="BZ660" s="41"/>
      <c r="CA660" s="41"/>
      <c r="CB660" s="41"/>
      <c r="CC660" s="41"/>
      <c r="CD660" s="41"/>
      <c r="CE660" s="41"/>
      <c r="CF660" s="41"/>
      <c r="CG660" s="41"/>
      <c r="CH660" s="41"/>
      <c r="CI660" s="41"/>
      <c r="CJ660" s="41"/>
      <c r="CK660" s="41"/>
      <c r="CL660" s="41"/>
      <c r="CM660" s="41"/>
      <c r="CN660" s="41"/>
      <c r="CO660" s="41"/>
      <c r="CP660" s="41"/>
      <c r="CQ660" s="41"/>
      <c r="CR660" s="41"/>
      <c r="CS660" s="41"/>
    </row>
    <row r="661" spans="1:97" ht="12.95" customHeight="1">
      <c r="A661" s="4"/>
      <c r="B661" t="s">
        <v>873</v>
      </c>
      <c r="G661" s="1085"/>
      <c r="H661" s="1085"/>
      <c r="I661" s="1085"/>
      <c r="J661" s="1085"/>
      <c r="K661" s="1085"/>
      <c r="L661" s="1085"/>
      <c r="M661" s="1085"/>
      <c r="N661" s="1085"/>
      <c r="O661" s="1085"/>
      <c r="P661" s="1085"/>
      <c r="Q661" s="1085"/>
      <c r="R661" s="1085"/>
      <c r="T661" s="4"/>
      <c r="U661" t="s">
        <v>873</v>
      </c>
      <c r="Z661" s="1087"/>
      <c r="AA661" s="1087"/>
      <c r="AB661" s="1087"/>
      <c r="AC661" s="1087"/>
      <c r="AD661" s="1087"/>
      <c r="AE661" s="1087"/>
      <c r="AF661" s="1087"/>
      <c r="AG661" s="1087"/>
      <c r="AH661" s="1087"/>
      <c r="AI661" s="1087"/>
      <c r="AJ661" s="1087"/>
      <c r="AK661" s="1087"/>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row>
    <row r="662" spans="1:97" ht="12.95" customHeight="1">
      <c r="A662" s="4"/>
      <c r="B662" t="s">
        <v>685</v>
      </c>
      <c r="G662" s="1111"/>
      <c r="H662" s="1111"/>
      <c r="I662" s="1111"/>
      <c r="J662" s="1111"/>
      <c r="K662" s="1111"/>
      <c r="L662" s="1111"/>
      <c r="O662" s="42" t="s">
        <v>858</v>
      </c>
      <c r="P662" s="1282"/>
      <c r="Q662" s="1282"/>
      <c r="R662" s="1282"/>
      <c r="T662" s="4"/>
      <c r="U662" t="s">
        <v>685</v>
      </c>
      <c r="Z662" s="1111"/>
      <c r="AA662" s="1111"/>
      <c r="AB662" s="1111"/>
      <c r="AC662" s="1111"/>
      <c r="AD662" s="1111"/>
      <c r="AE662" s="1111"/>
      <c r="AH662" s="42" t="s">
        <v>858</v>
      </c>
      <c r="AI662" s="1282"/>
      <c r="AJ662" s="1282"/>
      <c r="AK662" s="1282"/>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row>
    <row r="663" spans="1:97" ht="12.95" customHeight="1">
      <c r="A663" s="4"/>
      <c r="B663" t="s">
        <v>874</v>
      </c>
      <c r="H663" s="1085"/>
      <c r="I663" s="1085"/>
      <c r="J663" s="1085"/>
      <c r="K663" s="1085"/>
      <c r="L663" s="1085"/>
      <c r="M663" s="1085"/>
      <c r="N663" s="1085"/>
      <c r="O663" s="1085"/>
      <c r="P663" s="1085"/>
      <c r="Q663" s="1085"/>
      <c r="R663" s="1085"/>
      <c r="T663" s="4"/>
      <c r="U663" t="s">
        <v>874</v>
      </c>
      <c r="AA663" s="1085"/>
      <c r="AB663" s="1085"/>
      <c r="AC663" s="1085"/>
      <c r="AD663" s="1085"/>
      <c r="AE663" s="1085"/>
      <c r="AF663" s="1085"/>
      <c r="AG663" s="1085"/>
      <c r="AH663" s="1085"/>
      <c r="AI663" s="1085"/>
      <c r="AJ663" s="1085"/>
      <c r="AK663" s="1085"/>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row>
    <row r="664" spans="1:97" ht="12.95" customHeight="1">
      <c r="B664" t="s">
        <v>876</v>
      </c>
      <c r="N664" s="1113" t="s">
        <v>510</v>
      </c>
      <c r="O664" s="1113"/>
      <c r="T664" s="4"/>
      <c r="U664" t="s">
        <v>876</v>
      </c>
      <c r="AG664" s="1113" t="s">
        <v>510</v>
      </c>
      <c r="AH664" s="1113"/>
      <c r="AL664" s="5"/>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row>
    <row r="665" spans="1:97" ht="12.95" customHeight="1">
      <c r="A665" s="4"/>
      <c r="T665" s="4"/>
      <c r="AL665" s="5"/>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row>
    <row r="666" spans="1:97" ht="12.95" customHeight="1">
      <c r="A666" s="61" t="s">
        <v>576</v>
      </c>
      <c r="B666" t="s">
        <v>90</v>
      </c>
      <c r="G666" s="1292">
        <f>C626</f>
        <v>0</v>
      </c>
      <c r="H666" s="1292"/>
      <c r="I666" s="1292"/>
      <c r="J666" s="1292"/>
      <c r="K666" s="1292"/>
      <c r="L666" s="1292"/>
      <c r="M666" s="1292"/>
      <c r="N666" s="1292"/>
      <c r="O666" s="1292"/>
      <c r="P666" s="1292"/>
      <c r="Q666" s="1292"/>
      <c r="R666" s="1292"/>
      <c r="T666" s="61" t="s">
        <v>185</v>
      </c>
      <c r="U666" t="s">
        <v>90</v>
      </c>
      <c r="Z666" s="1292">
        <f>C627</f>
        <v>0</v>
      </c>
      <c r="AA666" s="1292"/>
      <c r="AB666" s="1292"/>
      <c r="AC666" s="1292"/>
      <c r="AD666" s="1292"/>
      <c r="AE666" s="1292"/>
      <c r="AF666" s="1292"/>
      <c r="AG666" s="1292"/>
      <c r="AH666" s="1292"/>
      <c r="AI666" s="1292"/>
      <c r="AJ666" s="1292"/>
      <c r="AK666" s="1292"/>
      <c r="AL666" s="5"/>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row>
    <row r="667" spans="1:97" ht="12.95" customHeight="1">
      <c r="A667" s="4"/>
      <c r="B667" t="s">
        <v>396</v>
      </c>
      <c r="G667" s="1085"/>
      <c r="H667" s="1085"/>
      <c r="I667" s="1085"/>
      <c r="J667" s="1085"/>
      <c r="K667" s="1085"/>
      <c r="L667" s="1085"/>
      <c r="M667" s="1085"/>
      <c r="N667" s="1085"/>
      <c r="O667" s="1085"/>
      <c r="P667" s="1085"/>
      <c r="Q667" s="1085"/>
      <c r="R667" s="1085"/>
      <c r="T667" s="4"/>
      <c r="U667" t="s">
        <v>396</v>
      </c>
      <c r="Z667" s="1085"/>
      <c r="AA667" s="1085"/>
      <c r="AB667" s="1085"/>
      <c r="AC667" s="1085"/>
      <c r="AD667" s="1085"/>
      <c r="AE667" s="1085"/>
      <c r="AF667" s="1085"/>
      <c r="AG667" s="1085"/>
      <c r="AH667" s="1085"/>
      <c r="AI667" s="1085"/>
      <c r="AJ667" s="1085"/>
      <c r="AK667" s="1085"/>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row>
    <row r="668" spans="1:97" ht="12.95" customHeight="1">
      <c r="A668" s="4"/>
      <c r="B668" t="s">
        <v>458</v>
      </c>
      <c r="G668" s="1085"/>
      <c r="H668" s="1085"/>
      <c r="I668" s="1085"/>
      <c r="J668" s="1085"/>
      <c r="K668" s="1085"/>
      <c r="L668" s="1085"/>
      <c r="M668" s="1085"/>
      <c r="N668" s="1085"/>
      <c r="O668" s="1085"/>
      <c r="P668" s="1085"/>
      <c r="Q668" s="1085"/>
      <c r="R668" s="1085"/>
      <c r="T668" s="4"/>
      <c r="U668" t="s">
        <v>458</v>
      </c>
      <c r="Z668" s="1087"/>
      <c r="AA668" s="1087"/>
      <c r="AB668" s="1087"/>
      <c r="AC668" s="1087"/>
      <c r="AD668" s="1087"/>
      <c r="AE668" s="1087"/>
      <c r="AF668" s="1087"/>
      <c r="AG668" s="1087"/>
      <c r="AH668" s="1087"/>
      <c r="AI668" s="1087"/>
      <c r="AJ668" s="1087"/>
      <c r="AK668" s="1087"/>
      <c r="AM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row>
    <row r="669" spans="1:97" ht="12.95" customHeight="1">
      <c r="A669" s="4"/>
      <c r="B669" t="s">
        <v>873</v>
      </c>
      <c r="G669" s="1085"/>
      <c r="H669" s="1085"/>
      <c r="I669" s="1085"/>
      <c r="J669" s="1085"/>
      <c r="K669" s="1085"/>
      <c r="L669" s="1085"/>
      <c r="M669" s="1085"/>
      <c r="N669" s="1085"/>
      <c r="O669" s="1085"/>
      <c r="P669" s="1085"/>
      <c r="Q669" s="1085"/>
      <c r="R669" s="1085"/>
      <c r="T669" s="4"/>
      <c r="U669" t="s">
        <v>873</v>
      </c>
      <c r="Z669" s="1087"/>
      <c r="AA669" s="1087"/>
      <c r="AB669" s="1087"/>
      <c r="AC669" s="1087"/>
      <c r="AD669" s="1087"/>
      <c r="AE669" s="1087"/>
      <c r="AF669" s="1087"/>
      <c r="AG669" s="1087"/>
      <c r="AH669" s="1087"/>
      <c r="AI669" s="1087"/>
      <c r="AJ669" s="1087"/>
      <c r="AK669" s="1087"/>
      <c r="AM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row>
    <row r="670" spans="1:97" ht="12.95" customHeight="1">
      <c r="A670" s="4"/>
      <c r="B670" t="s">
        <v>685</v>
      </c>
      <c r="G670" s="1111"/>
      <c r="H670" s="1111"/>
      <c r="I670" s="1111"/>
      <c r="J670" s="1111"/>
      <c r="K670" s="1111"/>
      <c r="L670" s="1111"/>
      <c r="O670" s="42" t="s">
        <v>858</v>
      </c>
      <c r="P670" s="1282"/>
      <c r="Q670" s="1282"/>
      <c r="R670" s="1282"/>
      <c r="T670" s="4"/>
      <c r="U670" t="s">
        <v>685</v>
      </c>
      <c r="Z670" s="1111"/>
      <c r="AA670" s="1111"/>
      <c r="AB670" s="1111"/>
      <c r="AC670" s="1111"/>
      <c r="AD670" s="1111"/>
      <c r="AE670" s="1111"/>
      <c r="AH670" s="42" t="s">
        <v>858</v>
      </c>
      <c r="AI670" s="1282"/>
      <c r="AJ670" s="1282"/>
      <c r="AK670" s="1282"/>
      <c r="AM670" s="41"/>
      <c r="BA670" s="43"/>
      <c r="BB670" s="43"/>
      <c r="BC670" s="43"/>
      <c r="BD670" s="43"/>
      <c r="BE670" s="43"/>
      <c r="BF670" s="43"/>
      <c r="BG670" s="43"/>
      <c r="BH670" s="43"/>
      <c r="BI670" s="43"/>
      <c r="BJ670" s="43"/>
      <c r="BK670" s="43"/>
      <c r="BL670" s="43"/>
      <c r="BM670" s="43"/>
      <c r="BN670" s="43"/>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row>
    <row r="671" spans="1:97" ht="12.95" customHeight="1">
      <c r="A671" s="4"/>
      <c r="B671" t="s">
        <v>874</v>
      </c>
      <c r="H671" s="1085"/>
      <c r="I671" s="1085"/>
      <c r="J671" s="1085"/>
      <c r="K671" s="1085"/>
      <c r="L671" s="1085"/>
      <c r="M671" s="1085"/>
      <c r="N671" s="1085"/>
      <c r="O671" s="1085"/>
      <c r="P671" s="1085"/>
      <c r="Q671" s="1085"/>
      <c r="R671" s="1085"/>
      <c r="T671" s="4"/>
      <c r="U671" t="s">
        <v>874</v>
      </c>
      <c r="AA671" s="1085"/>
      <c r="AB671" s="1085"/>
      <c r="AC671" s="1085"/>
      <c r="AD671" s="1085"/>
      <c r="AE671" s="1085"/>
      <c r="AF671" s="1085"/>
      <c r="AG671" s="1085"/>
      <c r="AH671" s="1085"/>
      <c r="AI671" s="1085"/>
      <c r="AJ671" s="1085"/>
      <c r="AK671" s="1085"/>
      <c r="AM671" s="43"/>
      <c r="BA671" s="43"/>
      <c r="BB671" s="43"/>
      <c r="BC671" s="43"/>
      <c r="BD671" s="43"/>
      <c r="BE671" s="43"/>
      <c r="BF671" s="43"/>
      <c r="BG671" s="43"/>
      <c r="BH671" s="43"/>
      <c r="BI671" s="43"/>
      <c r="BJ671" s="43"/>
      <c r="BK671" s="43"/>
      <c r="BL671" s="43"/>
      <c r="BM671" s="41"/>
      <c r="BN671" s="41"/>
      <c r="BO671" s="41"/>
      <c r="BP671" s="462" t="s">
        <v>2350</v>
      </c>
      <c r="BQ671" s="316"/>
      <c r="BR671" s="316"/>
      <c r="BS671" s="316"/>
      <c r="BT671" s="316"/>
      <c r="BU671" s="316"/>
      <c r="BV671" s="316"/>
      <c r="BW671" s="316"/>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row>
    <row r="672" spans="1:97" ht="12.95" customHeight="1">
      <c r="B672" t="s">
        <v>876</v>
      </c>
      <c r="N672" s="1113" t="s">
        <v>510</v>
      </c>
      <c r="O672" s="1113"/>
      <c r="T672" s="4"/>
      <c r="U672" t="s">
        <v>876</v>
      </c>
      <c r="AG672" s="1113" t="s">
        <v>510</v>
      </c>
      <c r="AH672" s="1113"/>
      <c r="AM672" s="43"/>
      <c r="BA672" s="43"/>
      <c r="BB672" s="43"/>
      <c r="BC672" s="43"/>
      <c r="BD672" s="43"/>
      <c r="BE672" s="43"/>
      <c r="BF672" s="43"/>
      <c r="BG672" s="43"/>
      <c r="BH672" s="43"/>
      <c r="BI672" s="43"/>
      <c r="BJ672" s="43"/>
      <c r="BK672" s="43"/>
      <c r="BL672" s="43"/>
      <c r="BM672" s="41"/>
      <c r="BN672" s="41"/>
      <c r="BO672" s="41"/>
      <c r="BP672" s="463" t="s">
        <v>317</v>
      </c>
      <c r="BQ672" s="316"/>
      <c r="BR672" s="316"/>
      <c r="BS672" s="316"/>
      <c r="BT672" s="316"/>
      <c r="BU672" s="316"/>
      <c r="BV672" s="316"/>
      <c r="BW672" s="316"/>
      <c r="BX672" s="41"/>
      <c r="BY672" s="41"/>
      <c r="BZ672" s="41"/>
      <c r="CA672" s="41"/>
      <c r="CB672" s="41"/>
      <c r="CC672" s="41"/>
      <c r="CD672" s="41"/>
      <c r="CE672" s="41"/>
      <c r="CF672" s="41"/>
      <c r="CG672" s="41"/>
      <c r="CH672" s="41"/>
      <c r="CI672" s="41"/>
      <c r="CJ672" s="41"/>
      <c r="CK672" s="41"/>
      <c r="CL672" s="41"/>
      <c r="CM672" s="41"/>
      <c r="CN672" s="41"/>
      <c r="CO672" s="41"/>
      <c r="CP672" s="41"/>
      <c r="CQ672" s="41"/>
    </row>
    <row r="673" spans="1:95" ht="12.95" customHeight="1">
      <c r="T673" s="4"/>
      <c r="AM673" s="43"/>
      <c r="BA673" s="43"/>
      <c r="BB673" s="43"/>
      <c r="BC673" s="43"/>
      <c r="BD673" s="43"/>
      <c r="BE673" s="43"/>
      <c r="BF673" s="43"/>
      <c r="BG673" s="43"/>
      <c r="BH673" s="43"/>
      <c r="BI673" s="43"/>
      <c r="BJ673" s="43"/>
      <c r="BK673" s="43"/>
      <c r="BL673" s="43"/>
      <c r="BM673" s="41"/>
      <c r="BN673" s="41"/>
      <c r="BO673" s="41"/>
      <c r="BP673" s="464"/>
      <c r="BQ673" s="315"/>
      <c r="BR673" s="465"/>
      <c r="BS673" s="465"/>
      <c r="BT673" s="465"/>
      <c r="BU673" s="465"/>
      <c r="BV673" s="465"/>
      <c r="BW673" s="465"/>
      <c r="BX673" s="41"/>
      <c r="BY673" s="41"/>
      <c r="BZ673" s="41"/>
      <c r="CA673" s="41"/>
      <c r="CB673" s="41"/>
      <c r="CC673" s="41"/>
      <c r="CD673" s="41"/>
      <c r="CE673" s="41"/>
      <c r="CF673" s="41"/>
      <c r="CG673" s="41"/>
      <c r="CH673" s="41"/>
      <c r="CI673" s="41"/>
      <c r="CJ673" s="41"/>
      <c r="CK673" s="41"/>
      <c r="CL673" s="41"/>
      <c r="CM673" s="41"/>
      <c r="CN673" s="41"/>
      <c r="CO673" s="41"/>
      <c r="CP673" s="41"/>
      <c r="CQ673" s="41"/>
    </row>
    <row r="674" spans="1:95" ht="12.95" customHeight="1">
      <c r="A674" s="61" t="s">
        <v>36</v>
      </c>
      <c r="B674" t="s">
        <v>90</v>
      </c>
      <c r="G674" s="1292">
        <f>C628</f>
        <v>0</v>
      </c>
      <c r="H674" s="1292"/>
      <c r="I674" s="1292"/>
      <c r="J674" s="1292"/>
      <c r="K674" s="1292"/>
      <c r="L674" s="1292"/>
      <c r="M674" s="1292"/>
      <c r="N674" s="1292"/>
      <c r="O674" s="1292"/>
      <c r="P674" s="1292"/>
      <c r="Q674" s="1292"/>
      <c r="R674" s="1292"/>
      <c r="T674" s="61" t="s">
        <v>37</v>
      </c>
      <c r="U674" t="s">
        <v>90</v>
      </c>
      <c r="Z674" s="1292">
        <f>C629</f>
        <v>0</v>
      </c>
      <c r="AA674" s="1292"/>
      <c r="AB674" s="1292"/>
      <c r="AC674" s="1292"/>
      <c r="AD674" s="1292"/>
      <c r="AE674" s="1292"/>
      <c r="AF674" s="1292"/>
      <c r="AG674" s="1292"/>
      <c r="AH674" s="1292"/>
      <c r="AI674" s="1292"/>
      <c r="AJ674" s="1292"/>
      <c r="AK674" s="1292"/>
      <c r="AM674" s="43"/>
      <c r="BA674" s="262" t="s">
        <v>319</v>
      </c>
      <c r="BB674" s="43"/>
      <c r="BC674" s="43"/>
      <c r="BD674" s="43"/>
      <c r="BE674" s="43"/>
      <c r="BF674" s="43"/>
      <c r="BG674" s="3" t="s">
        <v>1182</v>
      </c>
      <c r="BH674" s="43"/>
      <c r="BI674" s="43"/>
      <c r="BJ674" s="43"/>
      <c r="BK674" s="43"/>
      <c r="BL674" s="43"/>
      <c r="BM674" s="41"/>
      <c r="BN674" s="41"/>
      <c r="BO674" s="41"/>
      <c r="BP674" s="577" t="s">
        <v>318</v>
      </c>
      <c r="BQ674" s="578" t="s">
        <v>469</v>
      </c>
      <c r="BR674" s="578" t="s">
        <v>470</v>
      </c>
      <c r="BS674" s="578" t="s">
        <v>816</v>
      </c>
      <c r="BT674" s="578" t="s">
        <v>817</v>
      </c>
      <c r="BU674" s="578" t="s">
        <v>818</v>
      </c>
      <c r="BV674" s="578" t="s">
        <v>365</v>
      </c>
      <c r="BX674" s="41"/>
      <c r="BY674" s="41"/>
      <c r="BZ674" s="41"/>
      <c r="CA674" s="41"/>
      <c r="CB674" s="41"/>
      <c r="CC674" s="41"/>
      <c r="CD674" s="41"/>
      <c r="CE674" s="41"/>
      <c r="CF674" s="41"/>
      <c r="CG674" s="41"/>
      <c r="CH674" s="41"/>
      <c r="CI674" s="41"/>
      <c r="CJ674" s="41"/>
      <c r="CK674" s="41"/>
      <c r="CL674" s="41"/>
      <c r="CM674" s="41"/>
      <c r="CN674" s="41"/>
      <c r="CO674" s="41"/>
      <c r="CP674" s="41"/>
      <c r="CQ674" s="41"/>
    </row>
    <row r="675" spans="1:95" ht="12.95" customHeight="1">
      <c r="B675" t="s">
        <v>396</v>
      </c>
      <c r="G675" s="1085"/>
      <c r="H675" s="1085"/>
      <c r="I675" s="1085"/>
      <c r="J675" s="1085"/>
      <c r="K675" s="1085"/>
      <c r="L675" s="1085"/>
      <c r="M675" s="1085"/>
      <c r="N675" s="1085"/>
      <c r="O675" s="1085"/>
      <c r="P675" s="1085"/>
      <c r="Q675" s="1085"/>
      <c r="R675" s="1085"/>
      <c r="T675" s="4"/>
      <c r="U675" t="s">
        <v>396</v>
      </c>
      <c r="Z675" s="1085"/>
      <c r="AA675" s="1085"/>
      <c r="AB675" s="1085"/>
      <c r="AC675" s="1085"/>
      <c r="AD675" s="1085"/>
      <c r="AE675" s="1085"/>
      <c r="AF675" s="1085"/>
      <c r="AG675" s="1085"/>
      <c r="AH675" s="1085"/>
      <c r="AI675" s="1085"/>
      <c r="AJ675" s="1085"/>
      <c r="AK675" s="1085"/>
      <c r="AM675" s="43"/>
      <c r="BA675" s="43">
        <f>IF($G692=0,"N/A",VLOOKUP($T$189,TC_Rent,(MATCH($B692,bedrooms,FALSE))))</f>
        <v>1444</v>
      </c>
      <c r="BB675" s="43"/>
      <c r="BC675" s="43"/>
      <c r="BD675" s="43"/>
      <c r="BE675" s="43"/>
      <c r="BF675" s="43"/>
      <c r="BG675" s="454" t="s">
        <v>1183</v>
      </c>
      <c r="BH675" s="469" t="s">
        <v>1184</v>
      </c>
      <c r="BI675" s="468" t="s">
        <v>1185</v>
      </c>
      <c r="BJ675" s="455"/>
      <c r="BK675" s="43"/>
      <c r="BL675" s="43"/>
      <c r="BM675" s="41"/>
      <c r="BN675" s="41"/>
      <c r="BO675" s="41"/>
      <c r="BP675" s="579" t="s">
        <v>31</v>
      </c>
      <c r="BQ675" s="580">
        <v>2590</v>
      </c>
      <c r="BR675" s="580">
        <v>2774</v>
      </c>
      <c r="BS675" s="580">
        <v>3330</v>
      </c>
      <c r="BT675" s="580">
        <v>3846</v>
      </c>
      <c r="BU675" s="580">
        <v>4290</v>
      </c>
      <c r="BV675" s="580">
        <v>4732</v>
      </c>
      <c r="BX675" s="41"/>
      <c r="BY675" s="41"/>
      <c r="BZ675" s="41"/>
      <c r="CA675" s="41"/>
      <c r="CB675" s="41"/>
      <c r="CC675" s="41"/>
      <c r="CD675" s="41"/>
      <c r="CE675" s="41"/>
      <c r="CF675" s="41"/>
      <c r="CG675" s="41"/>
      <c r="CH675" s="41"/>
      <c r="CI675" s="41"/>
      <c r="CJ675" s="41"/>
      <c r="CK675" s="41"/>
      <c r="CL675" s="41"/>
      <c r="CM675" s="41"/>
      <c r="CN675" s="41"/>
      <c r="CO675" s="41"/>
      <c r="CP675" s="41"/>
      <c r="CQ675" s="41"/>
    </row>
    <row r="676" spans="1:95" ht="12.95" customHeight="1">
      <c r="B676" t="s">
        <v>458</v>
      </c>
      <c r="G676" s="1085"/>
      <c r="H676" s="1085"/>
      <c r="I676" s="1085"/>
      <c r="J676" s="1085"/>
      <c r="K676" s="1085"/>
      <c r="L676" s="1085"/>
      <c r="M676" s="1085"/>
      <c r="N676" s="1085"/>
      <c r="O676" s="1085"/>
      <c r="P676" s="1085"/>
      <c r="Q676" s="1085"/>
      <c r="R676" s="1085"/>
      <c r="U676" t="s">
        <v>458</v>
      </c>
      <c r="Z676" s="1087"/>
      <c r="AA676" s="1087"/>
      <c r="AB676" s="1087"/>
      <c r="AC676" s="1087"/>
      <c r="AD676" s="1087"/>
      <c r="AE676" s="1087"/>
      <c r="AF676" s="1087"/>
      <c r="AG676" s="1087"/>
      <c r="AH676" s="1087"/>
      <c r="AI676" s="1087"/>
      <c r="AJ676" s="1087"/>
      <c r="AK676" s="1087"/>
      <c r="AM676" s="43"/>
      <c r="BA676" s="43">
        <f t="shared" ref="BA676:BA699" si="24">IF($G693=0,"N/A",VLOOKUP($T$189,TC_Rent,(MATCH($B693,bedrooms,FALSE))))</f>
        <v>1856</v>
      </c>
      <c r="BB676" s="43"/>
      <c r="BC676" s="43"/>
      <c r="BD676" s="43"/>
      <c r="BE676" s="43"/>
      <c r="BF676" s="43"/>
      <c r="BG676" s="449">
        <f>G692</f>
        <v>8</v>
      </c>
      <c r="BH676" s="456">
        <f>BG676/$BG$701</f>
        <v>0.21052631578947367</v>
      </c>
      <c r="BI676" s="458">
        <f>IF(BH676=0," ",BH676*AH692)</f>
        <v>6.3157894736842093E-2</v>
      </c>
      <c r="BJ676" s="43"/>
      <c r="BK676" s="43"/>
      <c r="BL676" s="43"/>
      <c r="BM676" s="41"/>
      <c r="BN676" s="41"/>
      <c r="BO676" s="41"/>
      <c r="BP676" s="581" t="s">
        <v>32</v>
      </c>
      <c r="BQ676" s="580">
        <v>1682</v>
      </c>
      <c r="BR676" s="580">
        <v>1802</v>
      </c>
      <c r="BS676" s="580">
        <v>2162</v>
      </c>
      <c r="BT676" s="580">
        <v>2498</v>
      </c>
      <c r="BU676" s="580">
        <v>2786</v>
      </c>
      <c r="BV676" s="580">
        <v>3076</v>
      </c>
      <c r="BX676" s="41"/>
      <c r="BY676" s="41"/>
      <c r="BZ676" s="41"/>
      <c r="CA676" s="41"/>
      <c r="CB676" s="41"/>
      <c r="CC676" s="41"/>
      <c r="CD676" s="41"/>
      <c r="CE676" s="41"/>
      <c r="CF676" s="41"/>
      <c r="CG676" s="41"/>
      <c r="CH676" s="41"/>
      <c r="CI676" s="41"/>
      <c r="CJ676" s="41"/>
      <c r="CK676" s="41"/>
      <c r="CL676" s="41"/>
      <c r="CM676" s="41"/>
      <c r="CN676" s="41"/>
      <c r="CO676" s="41"/>
      <c r="CP676" s="41"/>
      <c r="CQ676" s="41"/>
    </row>
    <row r="677" spans="1:95" ht="12.95" customHeight="1">
      <c r="B677" t="s">
        <v>873</v>
      </c>
      <c r="G677" s="1085"/>
      <c r="H677" s="1085"/>
      <c r="I677" s="1085"/>
      <c r="J677" s="1085"/>
      <c r="K677" s="1085"/>
      <c r="L677" s="1085"/>
      <c r="M677" s="1085"/>
      <c r="N677" s="1085"/>
      <c r="O677" s="1085"/>
      <c r="P677" s="1085"/>
      <c r="Q677" s="1085"/>
      <c r="R677" s="1085"/>
      <c r="U677" t="s">
        <v>873</v>
      </c>
      <c r="Z677" s="1087"/>
      <c r="AA677" s="1087"/>
      <c r="AB677" s="1087"/>
      <c r="AC677" s="1087"/>
      <c r="AD677" s="1087"/>
      <c r="AE677" s="1087"/>
      <c r="AF677" s="1087"/>
      <c r="AG677" s="1087"/>
      <c r="AH677" s="1087"/>
      <c r="AI677" s="1087"/>
      <c r="AJ677" s="1087"/>
      <c r="AK677" s="1087"/>
      <c r="AM677" s="43"/>
      <c r="BA677" s="43">
        <f t="shared" si="24"/>
        <v>1856</v>
      </c>
      <c r="BB677" s="43"/>
      <c r="BC677" s="43"/>
      <c r="BD677" s="43"/>
      <c r="BE677" s="43"/>
      <c r="BF677" s="43"/>
      <c r="BG677" s="450">
        <f t="shared" ref="BG677:BG700" si="25">G693</f>
        <v>1</v>
      </c>
      <c r="BH677" s="456">
        <f t="shared" ref="BH677:BH700" si="26">BG677/$BG$701</f>
        <v>2.6315789473684209E-2</v>
      </c>
      <c r="BI677" s="458">
        <f t="shared" ref="BI677:BI700" si="27">IF(BH677=0," ",BH677*AH693)</f>
        <v>7.8947368421052617E-3</v>
      </c>
      <c r="BJ677" s="43"/>
      <c r="BK677" s="43"/>
      <c r="BL677" s="43"/>
      <c r="BM677" s="41"/>
      <c r="BN677" s="41"/>
      <c r="BO677" s="41"/>
      <c r="BP677" s="581" t="s">
        <v>412</v>
      </c>
      <c r="BQ677" s="580">
        <v>1604</v>
      </c>
      <c r="BR677" s="580">
        <v>1720</v>
      </c>
      <c r="BS677" s="580">
        <v>2064</v>
      </c>
      <c r="BT677" s="580">
        <v>2384</v>
      </c>
      <c r="BU677" s="580">
        <v>2660</v>
      </c>
      <c r="BV677" s="580">
        <v>2936</v>
      </c>
      <c r="BX677" s="41"/>
      <c r="BY677" s="41"/>
      <c r="BZ677" s="41"/>
      <c r="CA677" s="41"/>
      <c r="CB677" s="41"/>
      <c r="CC677" s="41"/>
      <c r="CD677" s="41"/>
      <c r="CE677" s="41"/>
      <c r="CF677" s="41"/>
      <c r="CG677" s="41"/>
      <c r="CH677" s="41"/>
      <c r="CI677" s="41"/>
      <c r="CJ677" s="41"/>
      <c r="CK677" s="41"/>
      <c r="CL677" s="41"/>
      <c r="CM677" s="41"/>
      <c r="CN677" s="41"/>
      <c r="CO677" s="41"/>
      <c r="CP677" s="41"/>
      <c r="CQ677" s="41"/>
    </row>
    <row r="678" spans="1:95" ht="12.95" customHeight="1">
      <c r="B678" t="s">
        <v>685</v>
      </c>
      <c r="G678" s="1111"/>
      <c r="H678" s="1111"/>
      <c r="I678" s="1111"/>
      <c r="J678" s="1111"/>
      <c r="K678" s="1111"/>
      <c r="L678" s="1111"/>
      <c r="O678" s="42" t="s">
        <v>858</v>
      </c>
      <c r="P678" s="1282"/>
      <c r="Q678" s="1282"/>
      <c r="R678" s="1282"/>
      <c r="U678" t="s">
        <v>685</v>
      </c>
      <c r="Z678" s="1111"/>
      <c r="AA678" s="1111"/>
      <c r="AB678" s="1111"/>
      <c r="AC678" s="1111"/>
      <c r="AD678" s="1111"/>
      <c r="AE678" s="1111"/>
      <c r="AH678" s="42" t="s">
        <v>858</v>
      </c>
      <c r="AI678" s="1282"/>
      <c r="AJ678" s="1282"/>
      <c r="AK678" s="1282"/>
      <c r="AM678" s="43"/>
      <c r="BA678" s="43">
        <f t="shared" si="24"/>
        <v>1444</v>
      </c>
      <c r="BB678" s="41"/>
      <c r="BC678" s="41"/>
      <c r="BD678" s="41"/>
      <c r="BE678" s="41"/>
      <c r="BF678" s="41"/>
      <c r="BG678" s="450">
        <f t="shared" si="25"/>
        <v>1</v>
      </c>
      <c r="BH678" s="456">
        <f t="shared" si="26"/>
        <v>2.6315789473684209E-2</v>
      </c>
      <c r="BI678" s="458">
        <f t="shared" si="27"/>
        <v>1.0526315789473684E-2</v>
      </c>
      <c r="BJ678" s="41"/>
      <c r="BK678" s="41"/>
      <c r="BL678" s="41"/>
      <c r="BM678" s="41"/>
      <c r="BN678" s="41"/>
      <c r="BO678" s="41"/>
      <c r="BP678" s="581" t="s">
        <v>413</v>
      </c>
      <c r="BQ678" s="580">
        <v>1444</v>
      </c>
      <c r="BR678" s="580">
        <v>1546</v>
      </c>
      <c r="BS678" s="580">
        <v>1856</v>
      </c>
      <c r="BT678" s="580">
        <v>2144</v>
      </c>
      <c r="BU678" s="580">
        <v>2392</v>
      </c>
      <c r="BV678" s="580">
        <v>2640</v>
      </c>
      <c r="BX678" s="41"/>
      <c r="BY678" s="41"/>
      <c r="BZ678" s="41"/>
      <c r="CA678" s="41"/>
      <c r="CB678" s="41"/>
      <c r="CC678" s="41"/>
      <c r="CD678" s="41"/>
      <c r="CE678" s="41"/>
      <c r="CF678" s="41"/>
      <c r="CG678" s="41"/>
      <c r="CH678" s="41"/>
      <c r="CI678" s="41"/>
      <c r="CJ678" s="41"/>
      <c r="CK678" s="41"/>
      <c r="CL678" s="41"/>
      <c r="CM678" s="41"/>
      <c r="CN678" s="41"/>
      <c r="CO678" s="41"/>
      <c r="CP678" s="41"/>
      <c r="CQ678" s="41"/>
    </row>
    <row r="679" spans="1:95" ht="12.95" customHeight="1">
      <c r="B679" t="s">
        <v>874</v>
      </c>
      <c r="H679" s="1085"/>
      <c r="I679" s="1085"/>
      <c r="J679" s="1085"/>
      <c r="K679" s="1085"/>
      <c r="L679" s="1085"/>
      <c r="M679" s="1085"/>
      <c r="N679" s="1085"/>
      <c r="O679" s="1085"/>
      <c r="P679" s="1085"/>
      <c r="Q679" s="1085"/>
      <c r="R679" s="1085"/>
      <c r="U679" t="s">
        <v>874</v>
      </c>
      <c r="AA679" s="1085"/>
      <c r="AB679" s="1085"/>
      <c r="AC679" s="1085"/>
      <c r="AD679" s="1085"/>
      <c r="AE679" s="1085"/>
      <c r="AF679" s="1085"/>
      <c r="AG679" s="1085"/>
      <c r="AH679" s="1085"/>
      <c r="AI679" s="1085"/>
      <c r="AJ679" s="1085"/>
      <c r="AK679" s="1085"/>
      <c r="AM679" s="41"/>
      <c r="BA679" s="43">
        <f t="shared" si="24"/>
        <v>1546</v>
      </c>
      <c r="BB679" s="41"/>
      <c r="BC679" s="41"/>
      <c r="BD679" s="41"/>
      <c r="BE679" s="41"/>
      <c r="BF679" s="41"/>
      <c r="BG679" s="450">
        <f t="shared" si="25"/>
        <v>3</v>
      </c>
      <c r="BH679" s="456">
        <f t="shared" si="26"/>
        <v>7.8947368421052627E-2</v>
      </c>
      <c r="BI679" s="458">
        <f t="shared" si="27"/>
        <v>2.3684210526315787E-2</v>
      </c>
      <c r="BJ679" s="41"/>
      <c r="BK679" s="41"/>
      <c r="BL679" s="41"/>
      <c r="BM679" s="41"/>
      <c r="BN679" s="41"/>
      <c r="BO679" s="41"/>
      <c r="BP679" s="581" t="s">
        <v>414</v>
      </c>
      <c r="BQ679" s="580">
        <v>1670</v>
      </c>
      <c r="BR679" s="580">
        <v>1788</v>
      </c>
      <c r="BS679" s="580">
        <v>2144</v>
      </c>
      <c r="BT679" s="580">
        <v>2478</v>
      </c>
      <c r="BU679" s="580">
        <v>2764</v>
      </c>
      <c r="BV679" s="580">
        <v>3050</v>
      </c>
      <c r="BX679" s="41"/>
      <c r="BY679" s="41"/>
      <c r="BZ679" s="41"/>
      <c r="CA679" s="41"/>
      <c r="CB679" s="41"/>
      <c r="CC679" s="41"/>
      <c r="CD679" s="41"/>
      <c r="CE679" s="41"/>
      <c r="CF679" s="41"/>
      <c r="CG679" s="41"/>
      <c r="CH679" s="41"/>
      <c r="CI679" s="41"/>
      <c r="CJ679" s="41"/>
      <c r="CK679" s="41"/>
      <c r="CL679" s="41"/>
      <c r="CM679" s="41"/>
      <c r="CN679" s="41"/>
      <c r="CO679" s="41"/>
      <c r="CP679" s="41"/>
      <c r="CQ679" s="41"/>
    </row>
    <row r="680" spans="1:95" ht="12.95" customHeight="1">
      <c r="B680" t="s">
        <v>876</v>
      </c>
      <c r="N680" s="1113" t="s">
        <v>510</v>
      </c>
      <c r="O680" s="1113"/>
      <c r="U680" t="s">
        <v>876</v>
      </c>
      <c r="AG680" s="1113" t="s">
        <v>510</v>
      </c>
      <c r="AH680" s="1113"/>
      <c r="AM680" s="41"/>
      <c r="BA680" s="43">
        <f t="shared" si="24"/>
        <v>2144</v>
      </c>
      <c r="BB680" s="41"/>
      <c r="BC680" s="41"/>
      <c r="BD680" s="41"/>
      <c r="BE680" s="41"/>
      <c r="BF680" s="41"/>
      <c r="BG680" s="450">
        <f t="shared" si="25"/>
        <v>2</v>
      </c>
      <c r="BH680" s="456">
        <f t="shared" si="26"/>
        <v>5.2631578947368418E-2</v>
      </c>
      <c r="BI680" s="458">
        <f t="shared" si="27"/>
        <v>1.5789473684210523E-2</v>
      </c>
      <c r="BJ680" s="41"/>
      <c r="BK680" s="41"/>
      <c r="BL680" s="41"/>
      <c r="BM680" s="41"/>
      <c r="BN680" s="41"/>
      <c r="BO680" s="41"/>
      <c r="BP680" s="581" t="s">
        <v>415</v>
      </c>
      <c r="BQ680" s="580">
        <v>1444</v>
      </c>
      <c r="BR680" s="580">
        <v>1546</v>
      </c>
      <c r="BS680" s="580">
        <v>1856</v>
      </c>
      <c r="BT680" s="580">
        <v>2144</v>
      </c>
      <c r="BU680" s="580">
        <v>2392</v>
      </c>
      <c r="BV680" s="580">
        <v>2640</v>
      </c>
      <c r="BX680" s="41"/>
      <c r="BY680" s="41"/>
      <c r="BZ680" s="41"/>
      <c r="CA680" s="41"/>
      <c r="CB680" s="41"/>
      <c r="CC680" s="41"/>
      <c r="CD680" s="41"/>
      <c r="CE680" s="41"/>
      <c r="CF680" s="41"/>
      <c r="CG680" s="41"/>
      <c r="CH680" s="41"/>
      <c r="CI680" s="41"/>
      <c r="CJ680" s="41"/>
      <c r="CK680" s="41"/>
      <c r="CL680" s="41"/>
      <c r="CM680" s="41"/>
      <c r="CN680" s="41"/>
      <c r="CO680" s="41"/>
      <c r="CP680" s="41"/>
      <c r="CQ680" s="41"/>
    </row>
    <row r="681" spans="1:95" ht="12.95" customHeight="1">
      <c r="N681" s="1"/>
      <c r="O681" s="1"/>
      <c r="AG681" s="1"/>
      <c r="AH681" s="1"/>
      <c r="AM681" s="41"/>
      <c r="BA681" s="43">
        <f t="shared" si="24"/>
        <v>1444</v>
      </c>
      <c r="BB681" s="41"/>
      <c r="BC681" s="41"/>
      <c r="BD681" s="41"/>
      <c r="BE681" s="41"/>
      <c r="BF681" s="41"/>
      <c r="BG681" s="450">
        <f t="shared" si="25"/>
        <v>1</v>
      </c>
      <c r="BH681" s="456">
        <f t="shared" si="26"/>
        <v>2.6315789473684209E-2</v>
      </c>
      <c r="BI681" s="458">
        <f t="shared" si="27"/>
        <v>7.8947368421052617E-3</v>
      </c>
      <c r="BJ681" s="41"/>
      <c r="BK681" s="41"/>
      <c r="BL681" s="41"/>
      <c r="BM681" s="41"/>
      <c r="BN681" s="41"/>
      <c r="BO681" s="41"/>
      <c r="BP681" s="581" t="s">
        <v>416</v>
      </c>
      <c r="BQ681" s="580">
        <v>2590</v>
      </c>
      <c r="BR681" s="580">
        <v>2774</v>
      </c>
      <c r="BS681" s="580">
        <v>3330</v>
      </c>
      <c r="BT681" s="580">
        <v>3846</v>
      </c>
      <c r="BU681" s="580">
        <v>4290</v>
      </c>
      <c r="BV681" s="580">
        <v>4732</v>
      </c>
      <c r="BX681" s="41"/>
      <c r="BY681" s="41"/>
      <c r="BZ681" s="41"/>
      <c r="CA681" s="41"/>
      <c r="CB681" s="41"/>
      <c r="CC681" s="41"/>
      <c r="CD681" s="41"/>
      <c r="CE681" s="41"/>
      <c r="CF681" s="41"/>
      <c r="CG681" s="41"/>
      <c r="CH681" s="41"/>
      <c r="CI681" s="41"/>
      <c r="CJ681" s="41"/>
      <c r="CK681" s="41"/>
      <c r="CL681" s="41"/>
      <c r="CM681" s="41"/>
      <c r="CN681" s="41"/>
      <c r="CO681" s="41"/>
      <c r="CP681" s="41"/>
      <c r="CQ681" s="41"/>
    </row>
    <row r="682" spans="1:95" ht="12.95" customHeight="1">
      <c r="AM682" s="41"/>
      <c r="BA682" s="43">
        <f t="shared" si="24"/>
        <v>1546</v>
      </c>
      <c r="BB682" s="41"/>
      <c r="BC682" s="41"/>
      <c r="BD682" s="41"/>
      <c r="BE682" s="41"/>
      <c r="BF682" s="41"/>
      <c r="BG682" s="450">
        <f t="shared" si="25"/>
        <v>1</v>
      </c>
      <c r="BH682" s="456">
        <f t="shared" si="26"/>
        <v>2.6315789473684209E-2</v>
      </c>
      <c r="BI682" s="458">
        <f t="shared" si="27"/>
        <v>1.0526315789473684E-2</v>
      </c>
      <c r="BJ682" s="41"/>
      <c r="BK682" s="41"/>
      <c r="BL682" s="41"/>
      <c r="BM682" s="41"/>
      <c r="BN682" s="41"/>
      <c r="BO682" s="41"/>
      <c r="BP682" s="581" t="s">
        <v>417</v>
      </c>
      <c r="BQ682" s="580">
        <v>1444</v>
      </c>
      <c r="BR682" s="580">
        <v>1546</v>
      </c>
      <c r="BS682" s="580">
        <v>1856</v>
      </c>
      <c r="BT682" s="580">
        <v>2144</v>
      </c>
      <c r="BU682" s="580">
        <v>2392</v>
      </c>
      <c r="BV682" s="580">
        <v>2640</v>
      </c>
      <c r="BX682" s="41"/>
      <c r="BY682" s="41"/>
      <c r="BZ682" s="41"/>
      <c r="CA682" s="41"/>
      <c r="CB682" s="41"/>
      <c r="CC682" s="41"/>
      <c r="CD682" s="41"/>
      <c r="CE682" s="41"/>
      <c r="CF682" s="41"/>
      <c r="CG682" s="41"/>
      <c r="CH682" s="41"/>
      <c r="CI682" s="41"/>
      <c r="CJ682" s="41"/>
      <c r="CK682" s="41"/>
      <c r="CL682" s="41"/>
      <c r="CM682" s="41"/>
      <c r="CN682" s="41"/>
      <c r="CO682" s="41"/>
      <c r="CP682" s="41"/>
      <c r="CQ682" s="41"/>
    </row>
    <row r="683" spans="1:95" ht="12.95" customHeight="1">
      <c r="A683" s="1147" t="s">
        <v>135</v>
      </c>
      <c r="B683" s="1147"/>
      <c r="C683" s="1147"/>
      <c r="D683" s="1147"/>
      <c r="E683" s="1147"/>
      <c r="F683" s="1147"/>
      <c r="G683" s="1147"/>
      <c r="H683" s="1147"/>
      <c r="I683" s="1147"/>
      <c r="J683" s="1147"/>
      <c r="K683" s="1147"/>
      <c r="L683" s="1147"/>
      <c r="M683" s="1147"/>
      <c r="N683" s="1147"/>
      <c r="O683" s="1147"/>
      <c r="P683" s="1147"/>
      <c r="Q683" s="1147"/>
      <c r="R683" s="1147"/>
      <c r="S683" s="1147"/>
      <c r="T683" s="1147"/>
      <c r="U683" s="1147"/>
      <c r="V683" s="1147"/>
      <c r="W683" s="1147"/>
      <c r="X683" s="1147"/>
      <c r="Y683" s="1147"/>
      <c r="Z683" s="1147"/>
      <c r="AA683" s="1147"/>
      <c r="AB683" s="1147"/>
      <c r="AC683" s="1147"/>
      <c r="AD683" s="1147"/>
      <c r="AE683" s="1147"/>
      <c r="AF683" s="1147"/>
      <c r="AG683" s="1147"/>
      <c r="AH683" s="1147"/>
      <c r="AI683" s="1147"/>
      <c r="AJ683" s="1147"/>
      <c r="AK683" s="1147"/>
      <c r="AL683" s="1147"/>
      <c r="AM683" s="1147"/>
      <c r="AN683" s="1147"/>
      <c r="AO683" s="1147"/>
      <c r="AP683" s="1147"/>
      <c r="AQ683" s="1147"/>
      <c r="AR683" s="1147"/>
      <c r="AS683" s="1147"/>
      <c r="BA683" s="43">
        <f t="shared" si="24"/>
        <v>2144</v>
      </c>
      <c r="BB683" s="41"/>
      <c r="BC683" s="41"/>
      <c r="BD683" s="41"/>
      <c r="BE683" s="41"/>
      <c r="BF683" s="41"/>
      <c r="BG683" s="450">
        <f t="shared" si="25"/>
        <v>1</v>
      </c>
      <c r="BH683" s="456">
        <f t="shared" si="26"/>
        <v>2.6315789473684209E-2</v>
      </c>
      <c r="BI683" s="458">
        <f t="shared" si="27"/>
        <v>1.0526315789473684E-2</v>
      </c>
      <c r="BJ683" s="41"/>
      <c r="BK683" s="41"/>
      <c r="BL683" s="41"/>
      <c r="BM683" s="41"/>
      <c r="BN683" s="41"/>
      <c r="BO683" s="41"/>
      <c r="BP683" s="581" t="s">
        <v>418</v>
      </c>
      <c r="BQ683" s="580">
        <v>1876</v>
      </c>
      <c r="BR683" s="580">
        <v>2010</v>
      </c>
      <c r="BS683" s="580">
        <v>2412</v>
      </c>
      <c r="BT683" s="580">
        <v>2786</v>
      </c>
      <c r="BU683" s="580">
        <v>3110</v>
      </c>
      <c r="BV683" s="580">
        <v>3432</v>
      </c>
      <c r="BX683" s="41"/>
      <c r="BY683" s="41"/>
      <c r="BZ683" s="41"/>
      <c r="CA683" s="41"/>
      <c r="CB683" s="41"/>
      <c r="CC683" s="41"/>
      <c r="CD683" s="41"/>
      <c r="CE683" s="41"/>
      <c r="CF683" s="41"/>
      <c r="CG683" s="41"/>
      <c r="CH683" s="41"/>
      <c r="CI683" s="41"/>
      <c r="CJ683" s="41"/>
      <c r="CK683" s="41"/>
      <c r="CL683" s="41"/>
      <c r="CM683" s="41"/>
      <c r="CN683" s="41"/>
      <c r="CO683" s="41"/>
      <c r="CP683" s="41"/>
      <c r="CQ683" s="41"/>
    </row>
    <row r="684" spans="1:95" ht="12.95" customHeight="1">
      <c r="A684" s="1147"/>
      <c r="B684" s="1147"/>
      <c r="C684" s="1147"/>
      <c r="D684" s="1147"/>
      <c r="E684" s="1147"/>
      <c r="F684" s="1147"/>
      <c r="G684" s="1147"/>
      <c r="H684" s="1147"/>
      <c r="I684" s="1147"/>
      <c r="J684" s="1147"/>
      <c r="K684" s="1147"/>
      <c r="L684" s="1147"/>
      <c r="M684" s="1147"/>
      <c r="N684" s="1147"/>
      <c r="O684" s="1147"/>
      <c r="P684" s="1147"/>
      <c r="Q684" s="1147"/>
      <c r="R684" s="1147"/>
      <c r="S684" s="1147"/>
      <c r="T684" s="1147"/>
      <c r="U684" s="1147"/>
      <c r="V684" s="1147"/>
      <c r="W684" s="1147"/>
      <c r="X684" s="1147"/>
      <c r="Y684" s="1147"/>
      <c r="Z684" s="1147"/>
      <c r="AA684" s="1147"/>
      <c r="AB684" s="1147"/>
      <c r="AC684" s="1147"/>
      <c r="AD684" s="1147"/>
      <c r="AE684" s="1147"/>
      <c r="AF684" s="1147"/>
      <c r="AG684" s="1147"/>
      <c r="AH684" s="1147"/>
      <c r="AI684" s="1147"/>
      <c r="AJ684" s="1147"/>
      <c r="AK684" s="1147"/>
      <c r="AL684" s="1147"/>
      <c r="AM684" s="1147"/>
      <c r="AN684" s="1147"/>
      <c r="AO684" s="1147"/>
      <c r="AP684" s="1147"/>
      <c r="AQ684" s="1147"/>
      <c r="AR684" s="1147"/>
      <c r="AS684" s="1147"/>
      <c r="BA684" s="43">
        <f t="shared" si="24"/>
        <v>1856</v>
      </c>
      <c r="BE684" s="41"/>
      <c r="BF684" s="41"/>
      <c r="BG684" s="450">
        <f t="shared" si="25"/>
        <v>1</v>
      </c>
      <c r="BH684" s="456">
        <f t="shared" si="26"/>
        <v>2.6315789473684209E-2</v>
      </c>
      <c r="BI684" s="458">
        <f t="shared" si="27"/>
        <v>1.0526315789473684E-2</v>
      </c>
      <c r="BJ684" s="41"/>
      <c r="BK684" s="41"/>
      <c r="BL684" s="41"/>
      <c r="BM684" s="41"/>
      <c r="BN684" s="41"/>
      <c r="BO684" s="41"/>
      <c r="BP684" s="581" t="s">
        <v>419</v>
      </c>
      <c r="BQ684" s="580">
        <v>1444</v>
      </c>
      <c r="BR684" s="580">
        <v>1546</v>
      </c>
      <c r="BS684" s="580">
        <v>1856</v>
      </c>
      <c r="BT684" s="580">
        <v>2144</v>
      </c>
      <c r="BU684" s="580">
        <v>2392</v>
      </c>
      <c r="BV684" s="580">
        <v>2640</v>
      </c>
      <c r="BX684" s="41"/>
      <c r="BY684" s="41"/>
      <c r="BZ684" s="41"/>
      <c r="CA684" s="41"/>
      <c r="CB684" s="41"/>
      <c r="CC684" s="41"/>
      <c r="CD684" s="41"/>
      <c r="CE684" s="41"/>
      <c r="CF684" s="41"/>
      <c r="CG684" s="41"/>
      <c r="CH684" s="41"/>
      <c r="CI684" s="41"/>
      <c r="CJ684" s="41"/>
      <c r="CK684" s="41"/>
      <c r="CL684" s="41"/>
      <c r="CM684" s="41"/>
      <c r="CN684" s="41"/>
      <c r="CO684" s="41"/>
      <c r="CP684" s="41"/>
      <c r="CQ684" s="41"/>
    </row>
    <row r="685" spans="1:95" ht="12.95" customHeight="1">
      <c r="A685" s="1147"/>
      <c r="B685" s="1147"/>
      <c r="C685" s="1147"/>
      <c r="D685" s="1147"/>
      <c r="E685" s="1147"/>
      <c r="F685" s="1147"/>
      <c r="G685" s="1147"/>
      <c r="H685" s="1147"/>
      <c r="I685" s="1147"/>
      <c r="J685" s="1147"/>
      <c r="K685" s="1147"/>
      <c r="L685" s="1147"/>
      <c r="M685" s="1147"/>
      <c r="N685" s="1147"/>
      <c r="O685" s="1147"/>
      <c r="P685" s="1147"/>
      <c r="Q685" s="1147"/>
      <c r="R685" s="1147"/>
      <c r="S685" s="1147"/>
      <c r="T685" s="1147"/>
      <c r="U685" s="1147"/>
      <c r="V685" s="1147"/>
      <c r="W685" s="1147"/>
      <c r="X685" s="1147"/>
      <c r="Y685" s="1147"/>
      <c r="Z685" s="1147"/>
      <c r="AA685" s="1147"/>
      <c r="AB685" s="1147"/>
      <c r="AC685" s="1147"/>
      <c r="AD685" s="1147"/>
      <c r="AE685" s="1147"/>
      <c r="AF685" s="1147"/>
      <c r="AG685" s="1147"/>
      <c r="AH685" s="1147"/>
      <c r="AI685" s="1147"/>
      <c r="AJ685" s="1147"/>
      <c r="AK685" s="1147"/>
      <c r="AL685" s="1147"/>
      <c r="AM685" s="1147"/>
      <c r="AN685" s="1147"/>
      <c r="AO685" s="1147"/>
      <c r="AP685" s="1147"/>
      <c r="AQ685" s="1147"/>
      <c r="AR685" s="1147"/>
      <c r="AS685" s="1147"/>
      <c r="BA685" s="43">
        <f t="shared" si="24"/>
        <v>2144</v>
      </c>
      <c r="BE685" s="41"/>
      <c r="BF685" s="41"/>
      <c r="BG685" s="450">
        <f t="shared" si="25"/>
        <v>1</v>
      </c>
      <c r="BH685" s="456">
        <f t="shared" si="26"/>
        <v>2.6315789473684209E-2</v>
      </c>
      <c r="BI685" s="458">
        <f t="shared" si="27"/>
        <v>1.3157894736842105E-2</v>
      </c>
      <c r="BJ685" s="41"/>
      <c r="BK685" s="41"/>
      <c r="BL685" s="41"/>
      <c r="BM685" s="41"/>
      <c r="BN685" s="41"/>
      <c r="BO685" s="41"/>
      <c r="BP685" s="581" t="s">
        <v>420</v>
      </c>
      <c r="BQ685" s="580">
        <v>1444</v>
      </c>
      <c r="BR685" s="580">
        <v>1546</v>
      </c>
      <c r="BS685" s="580">
        <v>1856</v>
      </c>
      <c r="BT685" s="580">
        <v>2144</v>
      </c>
      <c r="BU685" s="580">
        <v>2392</v>
      </c>
      <c r="BV685" s="580">
        <v>2640</v>
      </c>
      <c r="BX685" s="41"/>
      <c r="BY685" s="41"/>
      <c r="BZ685" s="41"/>
      <c r="CA685" s="41"/>
      <c r="CB685" s="41"/>
      <c r="CC685" s="41"/>
      <c r="CD685" s="41"/>
      <c r="CE685" s="41"/>
      <c r="CF685" s="41"/>
      <c r="CG685" s="41"/>
      <c r="CH685" s="41"/>
      <c r="CI685" s="41"/>
      <c r="CJ685" s="41"/>
      <c r="CK685" s="41"/>
      <c r="CL685" s="41"/>
      <c r="CM685" s="41"/>
      <c r="CN685" s="41"/>
      <c r="CO685" s="41"/>
      <c r="CP685" s="41"/>
      <c r="CQ685" s="41"/>
    </row>
    <row r="686" spans="1:95" ht="12.95" customHeight="1">
      <c r="A686" s="3" t="s">
        <v>688</v>
      </c>
      <c r="B686" s="3"/>
      <c r="C686" s="3" t="s">
        <v>875</v>
      </c>
      <c r="BA686" s="43">
        <f t="shared" si="24"/>
        <v>1546</v>
      </c>
      <c r="BE686" s="41"/>
      <c r="BF686" s="41"/>
      <c r="BG686" s="450">
        <f t="shared" si="25"/>
        <v>1</v>
      </c>
      <c r="BH686" s="456">
        <f t="shared" si="26"/>
        <v>2.6315789473684209E-2</v>
      </c>
      <c r="BI686" s="458">
        <f t="shared" si="27"/>
        <v>1.3157894736842105E-2</v>
      </c>
      <c r="BJ686" s="41"/>
      <c r="BK686" s="41"/>
      <c r="BL686" s="41"/>
      <c r="BM686" s="41"/>
      <c r="BN686" s="41"/>
      <c r="BO686" s="41"/>
      <c r="BP686" s="581" t="s">
        <v>421</v>
      </c>
      <c r="BQ686" s="580">
        <v>1444</v>
      </c>
      <c r="BR686" s="580">
        <v>1546</v>
      </c>
      <c r="BS686" s="580">
        <v>1856</v>
      </c>
      <c r="BT686" s="580">
        <v>2144</v>
      </c>
      <c r="BU686" s="580">
        <v>2392</v>
      </c>
      <c r="BV686" s="580">
        <v>2640</v>
      </c>
      <c r="BX686" s="41"/>
      <c r="BY686" s="41"/>
      <c r="BZ686" s="41"/>
      <c r="CA686" s="41"/>
      <c r="CB686" s="41"/>
      <c r="CC686" s="41"/>
      <c r="CD686" s="41"/>
      <c r="CE686" s="41"/>
      <c r="CF686" s="41"/>
      <c r="CG686" s="41"/>
      <c r="CH686" s="41"/>
      <c r="CI686" s="41"/>
      <c r="CJ686" s="41"/>
      <c r="CK686" s="41"/>
      <c r="CL686" s="41"/>
      <c r="CM686" s="41"/>
      <c r="CN686" s="41"/>
      <c r="CO686" s="41"/>
      <c r="CP686" s="41"/>
      <c r="CQ686" s="41"/>
    </row>
    <row r="687" spans="1:95" ht="12.95" customHeight="1">
      <c r="A687" s="3"/>
      <c r="B687" s="846"/>
      <c r="C687" s="3"/>
      <c r="BA687" s="43">
        <f t="shared" si="24"/>
        <v>1856</v>
      </c>
      <c r="BE687" s="41"/>
      <c r="BF687" s="41"/>
      <c r="BG687" s="450">
        <f t="shared" si="25"/>
        <v>4</v>
      </c>
      <c r="BH687" s="456">
        <f t="shared" si="26"/>
        <v>0.10526315789473684</v>
      </c>
      <c r="BI687" s="458">
        <f t="shared" si="27"/>
        <v>6.3157894736842093E-2</v>
      </c>
      <c r="BJ687" s="41"/>
      <c r="BK687" s="41"/>
      <c r="BL687" s="41"/>
      <c r="BM687" s="41"/>
      <c r="BN687" s="41"/>
      <c r="BO687" s="41"/>
      <c r="BP687" s="581" t="s">
        <v>422</v>
      </c>
      <c r="BQ687" s="580">
        <v>1444</v>
      </c>
      <c r="BR687" s="580">
        <v>1546</v>
      </c>
      <c r="BS687" s="580">
        <v>1856</v>
      </c>
      <c r="BT687" s="580">
        <v>2144</v>
      </c>
      <c r="BU687" s="580">
        <v>2392</v>
      </c>
      <c r="BV687" s="580">
        <v>2640</v>
      </c>
      <c r="BX687" s="41"/>
      <c r="BY687" s="41"/>
      <c r="BZ687" s="41"/>
      <c r="CA687" s="41"/>
      <c r="CB687" s="41"/>
      <c r="CC687" s="41"/>
      <c r="CD687" s="41"/>
      <c r="CE687" s="41"/>
      <c r="CF687" s="41"/>
      <c r="CG687" s="41"/>
      <c r="CH687" s="41"/>
      <c r="CI687" s="41"/>
      <c r="CJ687" s="41"/>
      <c r="CK687" s="41"/>
      <c r="CL687" s="41"/>
      <c r="CM687" s="41"/>
      <c r="CN687" s="41"/>
      <c r="CO687" s="41"/>
      <c r="CP687" s="41"/>
      <c r="CQ687" s="41"/>
    </row>
    <row r="688" spans="1:95" ht="12.95" customHeight="1">
      <c r="B688" s="1250" t="s">
        <v>58</v>
      </c>
      <c r="C688" s="1251"/>
      <c r="D688" s="1251"/>
      <c r="E688" s="1251"/>
      <c r="F688" s="1252"/>
      <c r="G688" s="1250" t="s">
        <v>270</v>
      </c>
      <c r="H688" s="1251"/>
      <c r="I688" s="1251"/>
      <c r="J688" s="1252"/>
      <c r="K688" s="1497" t="s">
        <v>2087</v>
      </c>
      <c r="L688" s="1498"/>
      <c r="M688" s="1498"/>
      <c r="N688" s="1499"/>
      <c r="O688" s="1250" t="s">
        <v>624</v>
      </c>
      <c r="P688" s="1251"/>
      <c r="Q688" s="1251"/>
      <c r="R688" s="1251"/>
      <c r="S688" s="1252"/>
      <c r="T688" s="1250" t="s">
        <v>271</v>
      </c>
      <c r="U688" s="1251"/>
      <c r="V688" s="1251"/>
      <c r="W688" s="1251"/>
      <c r="X688" s="1252"/>
      <c r="Y688" s="1250" t="s">
        <v>272</v>
      </c>
      <c r="Z688" s="1251"/>
      <c r="AA688" s="1251"/>
      <c r="AB688" s="1252"/>
      <c r="AC688" s="1250" t="s">
        <v>273</v>
      </c>
      <c r="AD688" s="1251"/>
      <c r="AE688" s="1251"/>
      <c r="AF688" s="1251"/>
      <c r="AG688" s="1252"/>
      <c r="AH688" s="1250" t="s">
        <v>2088</v>
      </c>
      <c r="AI688" s="1251"/>
      <c r="AJ688" s="1251"/>
      <c r="AK688" s="1251"/>
      <c r="AL688" s="1252"/>
      <c r="AM688" s="1250" t="s">
        <v>2089</v>
      </c>
      <c r="AN688" s="1251"/>
      <c r="AO688" s="1252"/>
      <c r="BA688" s="43">
        <f t="shared" si="24"/>
        <v>2144</v>
      </c>
      <c r="BB688" s="41"/>
      <c r="BC688" s="41"/>
      <c r="BD688" s="41"/>
      <c r="BE688" s="41"/>
      <c r="BF688" s="41"/>
      <c r="BG688" s="450">
        <f t="shared" si="25"/>
        <v>7</v>
      </c>
      <c r="BH688" s="456">
        <f t="shared" si="26"/>
        <v>0.18421052631578946</v>
      </c>
      <c r="BI688" s="458">
        <f t="shared" si="27"/>
        <v>0.11052631578947368</v>
      </c>
      <c r="BJ688" s="41"/>
      <c r="BK688" s="41"/>
      <c r="BL688" s="41"/>
      <c r="BM688" s="41"/>
      <c r="BN688" s="41"/>
      <c r="BO688" s="41"/>
      <c r="BP688" s="581" t="s">
        <v>423</v>
      </c>
      <c r="BQ688" s="580">
        <v>1494</v>
      </c>
      <c r="BR688" s="580">
        <v>1602</v>
      </c>
      <c r="BS688" s="580">
        <v>1922</v>
      </c>
      <c r="BT688" s="580">
        <v>2220</v>
      </c>
      <c r="BU688" s="580">
        <v>2476</v>
      </c>
      <c r="BV688" s="580">
        <v>2732</v>
      </c>
      <c r="BX688" s="41"/>
      <c r="BY688" s="41"/>
      <c r="BZ688" s="41"/>
      <c r="CA688" s="41"/>
      <c r="CB688" s="41"/>
      <c r="CC688" s="41"/>
      <c r="CD688" s="41"/>
      <c r="CE688" s="41"/>
      <c r="CF688" s="41"/>
      <c r="CG688" s="41"/>
      <c r="CH688" s="41"/>
      <c r="CI688" s="41"/>
      <c r="CJ688" s="41"/>
      <c r="CK688" s="41"/>
      <c r="CL688" s="41"/>
      <c r="CM688" s="41"/>
      <c r="CN688" s="41"/>
      <c r="CO688" s="41"/>
      <c r="CP688" s="41"/>
      <c r="CQ688" s="41"/>
    </row>
    <row r="689" spans="1:96" ht="12.95" customHeight="1">
      <c r="B689" s="1253"/>
      <c r="C689" s="1254"/>
      <c r="D689" s="1254"/>
      <c r="E689" s="1254"/>
      <c r="F689" s="1255"/>
      <c r="G689" s="1253"/>
      <c r="H689" s="1254"/>
      <c r="I689" s="1254"/>
      <c r="J689" s="1255"/>
      <c r="K689" s="1500"/>
      <c r="L689" s="1501"/>
      <c r="M689" s="1501"/>
      <c r="N689" s="1502"/>
      <c r="O689" s="1253"/>
      <c r="P689" s="1254"/>
      <c r="Q689" s="1254"/>
      <c r="R689" s="1254"/>
      <c r="S689" s="1255"/>
      <c r="T689" s="1253"/>
      <c r="U689" s="1254"/>
      <c r="V689" s="1254"/>
      <c r="W689" s="1254"/>
      <c r="X689" s="1255"/>
      <c r="Y689" s="1253"/>
      <c r="Z689" s="1254"/>
      <c r="AA689" s="1254"/>
      <c r="AB689" s="1255"/>
      <c r="AC689" s="1253"/>
      <c r="AD689" s="1254"/>
      <c r="AE689" s="1254"/>
      <c r="AF689" s="1254"/>
      <c r="AG689" s="1255"/>
      <c r="AH689" s="1253"/>
      <c r="AI689" s="1254"/>
      <c r="AJ689" s="1254"/>
      <c r="AK689" s="1254"/>
      <c r="AL689" s="1255"/>
      <c r="AM689" s="1253"/>
      <c r="AN689" s="1254"/>
      <c r="AO689" s="1255"/>
      <c r="BA689" s="43" t="str">
        <f t="shared" si="24"/>
        <v>N/A</v>
      </c>
      <c r="BB689" s="41"/>
      <c r="BC689" s="41"/>
      <c r="BD689" s="41"/>
      <c r="BE689" s="41"/>
      <c r="BF689" s="41"/>
      <c r="BG689" s="450">
        <f t="shared" si="25"/>
        <v>6</v>
      </c>
      <c r="BH689" s="456">
        <f t="shared" si="26"/>
        <v>0.15789473684210525</v>
      </c>
      <c r="BI689" s="458">
        <f t="shared" si="27"/>
        <v>9.4736842105263147E-2</v>
      </c>
      <c r="BJ689" s="41"/>
      <c r="BK689" s="41"/>
      <c r="BL689" s="41"/>
      <c r="BM689" s="41"/>
      <c r="BN689" s="41"/>
      <c r="BO689" s="41"/>
      <c r="BP689" s="581" t="s">
        <v>424</v>
      </c>
      <c r="BQ689" s="580">
        <v>1444</v>
      </c>
      <c r="BR689" s="580">
        <v>1546</v>
      </c>
      <c r="BS689" s="580">
        <v>1856</v>
      </c>
      <c r="BT689" s="580">
        <v>2144</v>
      </c>
      <c r="BU689" s="580">
        <v>2392</v>
      </c>
      <c r="BV689" s="580">
        <v>2640</v>
      </c>
      <c r="BX689" s="41"/>
      <c r="BY689" s="41"/>
      <c r="BZ689" s="41"/>
      <c r="CA689" s="41"/>
      <c r="CB689" s="41"/>
      <c r="CC689" s="41"/>
      <c r="CD689" s="41"/>
      <c r="CE689" s="41"/>
      <c r="CF689" s="41"/>
      <c r="CG689" s="41"/>
      <c r="CH689" s="41"/>
      <c r="CI689" s="41"/>
      <c r="CJ689" s="41"/>
      <c r="CK689" s="41"/>
      <c r="CL689" s="41"/>
      <c r="CM689" s="41"/>
      <c r="CN689" s="41"/>
      <c r="CO689" s="41"/>
      <c r="CP689" s="41"/>
      <c r="CQ689" s="41"/>
    </row>
    <row r="690" spans="1:96" ht="12.95" customHeight="1">
      <c r="A690" s="41"/>
      <c r="B690" s="1253"/>
      <c r="C690" s="1254"/>
      <c r="D690" s="1254"/>
      <c r="E690" s="1254"/>
      <c r="F690" s="1255"/>
      <c r="G690" s="1253"/>
      <c r="H690" s="1254"/>
      <c r="I690" s="1254"/>
      <c r="J690" s="1255"/>
      <c r="K690" s="1500"/>
      <c r="L690" s="1501"/>
      <c r="M690" s="1501"/>
      <c r="N690" s="1502"/>
      <c r="O690" s="1253"/>
      <c r="P690" s="1254"/>
      <c r="Q690" s="1254"/>
      <c r="R690" s="1254"/>
      <c r="S690" s="1255"/>
      <c r="T690" s="1253"/>
      <c r="U690" s="1254"/>
      <c r="V690" s="1254"/>
      <c r="W690" s="1254"/>
      <c r="X690" s="1255"/>
      <c r="Y690" s="1253"/>
      <c r="Z690" s="1254"/>
      <c r="AA690" s="1254"/>
      <c r="AB690" s="1255"/>
      <c r="AC690" s="1253"/>
      <c r="AD690" s="1254"/>
      <c r="AE690" s="1254"/>
      <c r="AF690" s="1254"/>
      <c r="AG690" s="1255"/>
      <c r="AH690" s="1253"/>
      <c r="AI690" s="1254"/>
      <c r="AJ690" s="1254"/>
      <c r="AK690" s="1254"/>
      <c r="AL690" s="1255"/>
      <c r="AM690" s="1253"/>
      <c r="AN690" s="1254"/>
      <c r="AO690" s="1255"/>
      <c r="BA690" s="43" t="str">
        <f t="shared" si="24"/>
        <v>N/A</v>
      </c>
      <c r="BB690" s="41"/>
      <c r="BC690" s="41"/>
      <c r="BD690" s="41"/>
      <c r="BE690" s="41"/>
      <c r="BF690" s="41"/>
      <c r="BG690" s="450">
        <f t="shared" si="25"/>
        <v>0</v>
      </c>
      <c r="BH690" s="456">
        <f t="shared" si="26"/>
        <v>0</v>
      </c>
      <c r="BI690" s="458" t="str">
        <f t="shared" si="27"/>
        <v xml:space="preserve"> </v>
      </c>
      <c r="BJ690" s="41"/>
      <c r="BK690" s="41"/>
      <c r="BL690" s="41"/>
      <c r="BM690" s="41"/>
      <c r="BN690" s="41"/>
      <c r="BO690" s="41"/>
      <c r="BP690" s="581" t="s">
        <v>425</v>
      </c>
      <c r="BQ690" s="580">
        <v>1444</v>
      </c>
      <c r="BR690" s="580">
        <v>1546</v>
      </c>
      <c r="BS690" s="580">
        <v>1856</v>
      </c>
      <c r="BT690" s="580">
        <v>2144</v>
      </c>
      <c r="BU690" s="580">
        <v>2392</v>
      </c>
      <c r="BV690" s="580">
        <v>2640</v>
      </c>
      <c r="BX690" s="41"/>
      <c r="BY690" s="41"/>
      <c r="BZ690" s="41"/>
      <c r="CA690" s="41"/>
      <c r="CB690" s="41"/>
      <c r="CC690" s="41"/>
      <c r="CD690" s="41"/>
      <c r="CE690" s="41"/>
      <c r="CF690" s="41"/>
      <c r="CG690" s="41"/>
      <c r="CH690" s="41"/>
      <c r="CI690" s="41"/>
      <c r="CJ690" s="41"/>
      <c r="CK690" s="41"/>
      <c r="CL690" s="41"/>
      <c r="CM690" s="41"/>
      <c r="CN690" s="41"/>
      <c r="CO690" s="41"/>
      <c r="CP690" s="41"/>
      <c r="CQ690" s="41"/>
    </row>
    <row r="691" spans="1:96" ht="12.95" customHeight="1">
      <c r="A691" s="41"/>
      <c r="B691" s="1256"/>
      <c r="C691" s="1257"/>
      <c r="D691" s="1257"/>
      <c r="E691" s="1257"/>
      <c r="F691" s="1258"/>
      <c r="G691" s="1256"/>
      <c r="H691" s="1257"/>
      <c r="I691" s="1257"/>
      <c r="J691" s="1258"/>
      <c r="K691" s="1500"/>
      <c r="L691" s="1501"/>
      <c r="M691" s="1501"/>
      <c r="N691" s="1502"/>
      <c r="O691" s="1256"/>
      <c r="P691" s="1257"/>
      <c r="Q691" s="1257"/>
      <c r="R691" s="1257"/>
      <c r="S691" s="1258"/>
      <c r="T691" s="1256"/>
      <c r="U691" s="1257"/>
      <c r="V691" s="1257"/>
      <c r="W691" s="1257"/>
      <c r="X691" s="1258"/>
      <c r="Y691" s="1256"/>
      <c r="Z691" s="1257"/>
      <c r="AA691" s="1257"/>
      <c r="AB691" s="1258"/>
      <c r="AC691" s="1256"/>
      <c r="AD691" s="1257"/>
      <c r="AE691" s="1257"/>
      <c r="AF691" s="1257"/>
      <c r="AG691" s="1258"/>
      <c r="AH691" s="1256"/>
      <c r="AI691" s="1257"/>
      <c r="AJ691" s="1257"/>
      <c r="AK691" s="1257"/>
      <c r="AL691" s="1258"/>
      <c r="AM691" s="1256"/>
      <c r="AN691" s="1257"/>
      <c r="AO691" s="1258"/>
      <c r="BA691" s="43" t="str">
        <f t="shared" si="24"/>
        <v>N/A</v>
      </c>
      <c r="BB691" s="41"/>
      <c r="BC691" s="41"/>
      <c r="BD691" s="41"/>
      <c r="BE691" s="41"/>
      <c r="BF691" s="41"/>
      <c r="BG691" s="450">
        <f t="shared" si="25"/>
        <v>0</v>
      </c>
      <c r="BH691" s="456">
        <f t="shared" si="26"/>
        <v>0</v>
      </c>
      <c r="BI691" s="458" t="str">
        <f t="shared" si="27"/>
        <v xml:space="preserve"> </v>
      </c>
      <c r="BJ691" s="41"/>
      <c r="BK691" s="41"/>
      <c r="BL691" s="41"/>
      <c r="BM691" s="41"/>
      <c r="BN691" s="41"/>
      <c r="BO691" s="41"/>
      <c r="BP691" s="581" t="s">
        <v>426</v>
      </c>
      <c r="BQ691" s="580">
        <v>1444</v>
      </c>
      <c r="BR691" s="580">
        <v>1546</v>
      </c>
      <c r="BS691" s="580">
        <v>1856</v>
      </c>
      <c r="BT691" s="580">
        <v>2144</v>
      </c>
      <c r="BU691" s="580">
        <v>2392</v>
      </c>
      <c r="BV691" s="580">
        <v>2640</v>
      </c>
      <c r="BX691" s="41"/>
      <c r="BY691" s="41"/>
      <c r="BZ691" s="41"/>
      <c r="CA691" s="41"/>
      <c r="CB691" s="41"/>
      <c r="CC691" s="41"/>
      <c r="CD691" s="41"/>
      <c r="CE691" s="41"/>
      <c r="CF691" s="41"/>
      <c r="CG691" s="41"/>
      <c r="CH691" s="41"/>
      <c r="CI691" s="41"/>
      <c r="CJ691" s="41"/>
      <c r="CK691" s="41"/>
      <c r="CL691" s="41"/>
      <c r="CM691" s="41"/>
      <c r="CN691" s="41"/>
      <c r="CO691" s="41"/>
      <c r="CP691" s="41"/>
      <c r="CQ691" s="41"/>
    </row>
    <row r="692" spans="1:96" ht="12.95" customHeight="1">
      <c r="A692" s="41"/>
      <c r="B692" s="1222" t="s">
        <v>469</v>
      </c>
      <c r="C692" s="1223"/>
      <c r="D692" s="1223"/>
      <c r="E692" s="1223"/>
      <c r="F692" s="1224"/>
      <c r="G692" s="1219">
        <v>8</v>
      </c>
      <c r="H692" s="1220"/>
      <c r="I692" s="1220"/>
      <c r="J692" s="1221"/>
      <c r="K692" s="1227">
        <v>356</v>
      </c>
      <c r="L692" s="1228"/>
      <c r="M692" s="1228"/>
      <c r="N692" s="1229"/>
      <c r="O692" s="1230">
        <v>375</v>
      </c>
      <c r="P692" s="1231"/>
      <c r="Q692" s="1231"/>
      <c r="R692" s="1231"/>
      <c r="S692" s="1232"/>
      <c r="T692" s="1233">
        <f t="shared" ref="T692:T716" si="28">G692*O692</f>
        <v>3000</v>
      </c>
      <c r="U692" s="1234"/>
      <c r="V692" s="1234"/>
      <c r="W692" s="1234"/>
      <c r="X692" s="1235"/>
      <c r="Y692" s="1230">
        <v>58</v>
      </c>
      <c r="Z692" s="1231"/>
      <c r="AA692" s="1231"/>
      <c r="AB692" s="1232"/>
      <c r="AC692" s="1233">
        <f t="shared" ref="AC692:AC716" si="29">O692+Y692</f>
        <v>433</v>
      </c>
      <c r="AD692" s="1234"/>
      <c r="AE692" s="1234"/>
      <c r="AF692" s="1234"/>
      <c r="AG692" s="1235"/>
      <c r="AH692" s="1302">
        <v>0.3</v>
      </c>
      <c r="AI692" s="1303"/>
      <c r="AJ692" s="1303"/>
      <c r="AK692" s="1303"/>
      <c r="AL692" s="1304"/>
      <c r="AM692" s="1445">
        <f>IF($AH692&gt;0,($AC692/$BA675)," ")</f>
        <v>0.29986149584487537</v>
      </c>
      <c r="AN692" s="1446"/>
      <c r="AO692" s="1447"/>
      <c r="BA692" s="43" t="str">
        <f t="shared" si="24"/>
        <v>N/A</v>
      </c>
      <c r="BB692" s="41"/>
      <c r="BC692" s="41"/>
      <c r="BD692" s="41"/>
      <c r="BE692" s="41"/>
      <c r="BF692" s="41"/>
      <c r="BG692" s="450">
        <f t="shared" si="25"/>
        <v>0</v>
      </c>
      <c r="BH692" s="456">
        <f t="shared" si="26"/>
        <v>0</v>
      </c>
      <c r="BI692" s="458" t="str">
        <f t="shared" si="27"/>
        <v xml:space="preserve"> </v>
      </c>
      <c r="BJ692" s="41"/>
      <c r="BK692" s="41"/>
      <c r="BL692" s="41"/>
      <c r="BM692" s="41"/>
      <c r="BN692" s="41"/>
      <c r="BO692" s="41"/>
      <c r="BP692" s="581" t="s">
        <v>427</v>
      </c>
      <c r="BQ692" s="580">
        <v>1466</v>
      </c>
      <c r="BR692" s="580">
        <v>1572</v>
      </c>
      <c r="BS692" s="580">
        <v>1886</v>
      </c>
      <c r="BT692" s="580">
        <v>2180</v>
      </c>
      <c r="BU692" s="580">
        <v>2432</v>
      </c>
      <c r="BV692" s="580">
        <v>2682</v>
      </c>
      <c r="BX692" s="41"/>
      <c r="BY692" s="41"/>
      <c r="BZ692" s="41"/>
      <c r="CA692" s="41"/>
      <c r="CB692" s="41"/>
      <c r="CC692" s="41"/>
      <c r="CD692" s="41"/>
      <c r="CE692" s="41"/>
      <c r="CF692" s="41"/>
      <c r="CG692" s="41"/>
      <c r="CH692" s="41"/>
      <c r="CI692" s="41"/>
      <c r="CJ692" s="41"/>
      <c r="CK692" s="41"/>
      <c r="CL692" s="41"/>
      <c r="CM692" s="41"/>
      <c r="CN692" s="41"/>
      <c r="CO692" s="41"/>
      <c r="CP692" s="41"/>
      <c r="CQ692" s="41"/>
    </row>
    <row r="693" spans="1:96" ht="12.95" customHeight="1">
      <c r="A693" s="41"/>
      <c r="B693" s="1222" t="s">
        <v>816</v>
      </c>
      <c r="C693" s="1223"/>
      <c r="D693" s="1223"/>
      <c r="E693" s="1223"/>
      <c r="F693" s="1224"/>
      <c r="G693" s="1219">
        <v>1</v>
      </c>
      <c r="H693" s="1220"/>
      <c r="I693" s="1220"/>
      <c r="J693" s="1221"/>
      <c r="K693" s="1227">
        <v>947</v>
      </c>
      <c r="L693" s="1228"/>
      <c r="M693" s="1228"/>
      <c r="N693" s="1229"/>
      <c r="O693" s="1230">
        <v>459</v>
      </c>
      <c r="P693" s="1231"/>
      <c r="Q693" s="1231"/>
      <c r="R693" s="1231"/>
      <c r="S693" s="1232"/>
      <c r="T693" s="1233">
        <f t="shared" si="28"/>
        <v>459</v>
      </c>
      <c r="U693" s="1234"/>
      <c r="V693" s="1234"/>
      <c r="W693" s="1234"/>
      <c r="X693" s="1235"/>
      <c r="Y693" s="1230">
        <v>98</v>
      </c>
      <c r="Z693" s="1231"/>
      <c r="AA693" s="1231"/>
      <c r="AB693" s="1232"/>
      <c r="AC693" s="1233">
        <f t="shared" si="29"/>
        <v>557</v>
      </c>
      <c r="AD693" s="1234"/>
      <c r="AE693" s="1234"/>
      <c r="AF693" s="1234"/>
      <c r="AG693" s="1235"/>
      <c r="AH693" s="1247">
        <v>0.3</v>
      </c>
      <c r="AI693" s="1248"/>
      <c r="AJ693" s="1248"/>
      <c r="AK693" s="1248"/>
      <c r="AL693" s="1249"/>
      <c r="AM693" s="1445">
        <f t="shared" ref="AM693:AM716" si="30">IF($AH693&gt;0,($AC693/$BA676), " ")</f>
        <v>0.30010775862068967</v>
      </c>
      <c r="AN693" s="1446"/>
      <c r="AO693" s="1447"/>
      <c r="BA693" s="43" t="str">
        <f t="shared" si="24"/>
        <v>N/A</v>
      </c>
      <c r="BB693" s="41"/>
      <c r="BC693" s="41"/>
      <c r="BD693" s="41"/>
      <c r="BE693" s="41"/>
      <c r="BF693" s="41"/>
      <c r="BG693" s="450">
        <f t="shared" si="25"/>
        <v>0</v>
      </c>
      <c r="BH693" s="456">
        <f t="shared" si="26"/>
        <v>0</v>
      </c>
      <c r="BI693" s="458" t="str">
        <f t="shared" si="27"/>
        <v xml:space="preserve"> </v>
      </c>
      <c r="BJ693" s="41"/>
      <c r="BK693" s="41"/>
      <c r="BL693" s="41"/>
      <c r="BM693" s="41"/>
      <c r="BN693" s="41"/>
      <c r="BO693" s="41"/>
      <c r="BP693" s="581" t="s">
        <v>428</v>
      </c>
      <c r="BQ693" s="580">
        <v>2206</v>
      </c>
      <c r="BR693" s="580">
        <v>2364</v>
      </c>
      <c r="BS693" s="580">
        <v>2836</v>
      </c>
      <c r="BT693" s="580">
        <v>3278</v>
      </c>
      <c r="BU693" s="580">
        <v>3656</v>
      </c>
      <c r="BV693" s="580">
        <v>4036</v>
      </c>
      <c r="BX693" s="41"/>
      <c r="BY693" s="41"/>
      <c r="BZ693" s="41"/>
      <c r="CA693" s="41"/>
      <c r="CB693" s="41"/>
      <c r="CC693" s="41"/>
      <c r="CD693" s="41"/>
      <c r="CE693" s="41"/>
      <c r="CF693" s="41"/>
      <c r="CG693" s="41"/>
      <c r="CH693" s="41"/>
      <c r="CI693" s="41"/>
      <c r="CJ693" s="41"/>
      <c r="CK693" s="41"/>
      <c r="CL693" s="41"/>
      <c r="CM693" s="41"/>
      <c r="CN693" s="41"/>
      <c r="CO693" s="41"/>
      <c r="CP693" s="41"/>
      <c r="CQ693" s="41"/>
    </row>
    <row r="694" spans="1:96" ht="12.95" customHeight="1">
      <c r="A694" s="41"/>
      <c r="B694" s="1222" t="s">
        <v>816</v>
      </c>
      <c r="C694" s="1223"/>
      <c r="D694" s="1223"/>
      <c r="E694" s="1223"/>
      <c r="F694" s="1224"/>
      <c r="G694" s="1219">
        <v>1</v>
      </c>
      <c r="H694" s="1220"/>
      <c r="I694" s="1220"/>
      <c r="J694" s="1221"/>
      <c r="K694" s="1227">
        <v>947</v>
      </c>
      <c r="L694" s="1228"/>
      <c r="M694" s="1228"/>
      <c r="N694" s="1229"/>
      <c r="O694" s="1230">
        <v>645</v>
      </c>
      <c r="P694" s="1231"/>
      <c r="Q694" s="1231"/>
      <c r="R694" s="1231"/>
      <c r="S694" s="1232"/>
      <c r="T694" s="1233">
        <f t="shared" si="28"/>
        <v>645</v>
      </c>
      <c r="U694" s="1234"/>
      <c r="V694" s="1234"/>
      <c r="W694" s="1234"/>
      <c r="X694" s="1235"/>
      <c r="Y694" s="1230">
        <v>98</v>
      </c>
      <c r="Z694" s="1231"/>
      <c r="AA694" s="1231"/>
      <c r="AB694" s="1232"/>
      <c r="AC694" s="1233">
        <f t="shared" si="29"/>
        <v>743</v>
      </c>
      <c r="AD694" s="1234"/>
      <c r="AE694" s="1234"/>
      <c r="AF694" s="1234"/>
      <c r="AG694" s="1235"/>
      <c r="AH694" s="1247">
        <v>0.4</v>
      </c>
      <c r="AI694" s="1248"/>
      <c r="AJ694" s="1248"/>
      <c r="AK694" s="1248"/>
      <c r="AL694" s="1249"/>
      <c r="AM694" s="1445">
        <f t="shared" si="30"/>
        <v>0.40032327586206895</v>
      </c>
      <c r="AN694" s="1446"/>
      <c r="AO694" s="1447"/>
      <c r="BA694" s="43" t="str">
        <f t="shared" si="24"/>
        <v>N/A</v>
      </c>
      <c r="BB694" s="41"/>
      <c r="BC694" s="41"/>
      <c r="BD694" s="41"/>
      <c r="BE694" s="41"/>
      <c r="BF694" s="41"/>
      <c r="BG694" s="450">
        <f t="shared" si="25"/>
        <v>0</v>
      </c>
      <c r="BH694" s="456">
        <f t="shared" si="26"/>
        <v>0</v>
      </c>
      <c r="BI694" s="458" t="str">
        <f t="shared" si="27"/>
        <v xml:space="preserve"> </v>
      </c>
      <c r="BJ694" s="41"/>
      <c r="BK694" s="41"/>
      <c r="BL694" s="41"/>
      <c r="BM694" s="41"/>
      <c r="BN694" s="41"/>
      <c r="BO694" s="41"/>
      <c r="BP694" s="581" t="s">
        <v>429</v>
      </c>
      <c r="BQ694" s="580">
        <v>1444</v>
      </c>
      <c r="BR694" s="580">
        <v>1546</v>
      </c>
      <c r="BS694" s="580">
        <v>1856</v>
      </c>
      <c r="BT694" s="580">
        <v>2144</v>
      </c>
      <c r="BU694" s="580">
        <v>2392</v>
      </c>
      <c r="BV694" s="580">
        <v>2640</v>
      </c>
      <c r="BX694" s="41"/>
      <c r="BY694" s="41"/>
      <c r="BZ694" s="41"/>
      <c r="CA694" s="41"/>
      <c r="CB694" s="41"/>
      <c r="CC694" s="41"/>
      <c r="CD694" s="41"/>
      <c r="CE694" s="41"/>
      <c r="CF694" s="41"/>
      <c r="CG694" s="41"/>
      <c r="CH694" s="41"/>
      <c r="CI694" s="41"/>
      <c r="CJ694" s="41"/>
      <c r="CK694" s="41"/>
      <c r="CL694" s="41"/>
      <c r="CM694" s="41"/>
      <c r="CN694" s="41"/>
      <c r="CO694" s="41"/>
      <c r="CP694" s="41"/>
      <c r="CQ694" s="41"/>
    </row>
    <row r="695" spans="1:96" ht="12.95" customHeight="1">
      <c r="B695" s="1222" t="s">
        <v>469</v>
      </c>
      <c r="C695" s="1223"/>
      <c r="D695" s="1223"/>
      <c r="E695" s="1223"/>
      <c r="F695" s="1224"/>
      <c r="G695" s="1219">
        <v>3</v>
      </c>
      <c r="H695" s="1220"/>
      <c r="I695" s="1220"/>
      <c r="J695" s="1221"/>
      <c r="K695" s="1227">
        <v>356</v>
      </c>
      <c r="L695" s="1228"/>
      <c r="M695" s="1228"/>
      <c r="N695" s="1229"/>
      <c r="O695" s="1230">
        <v>375</v>
      </c>
      <c r="P695" s="1231"/>
      <c r="Q695" s="1231"/>
      <c r="R695" s="1231"/>
      <c r="S695" s="1232"/>
      <c r="T695" s="1233">
        <f t="shared" si="28"/>
        <v>1125</v>
      </c>
      <c r="U695" s="1234"/>
      <c r="V695" s="1234"/>
      <c r="W695" s="1234"/>
      <c r="X695" s="1235"/>
      <c r="Y695" s="1230">
        <v>58</v>
      </c>
      <c r="Z695" s="1231"/>
      <c r="AA695" s="1231"/>
      <c r="AB695" s="1232"/>
      <c r="AC695" s="1233">
        <f t="shared" si="29"/>
        <v>433</v>
      </c>
      <c r="AD695" s="1234"/>
      <c r="AE695" s="1234"/>
      <c r="AF695" s="1234"/>
      <c r="AG695" s="1235"/>
      <c r="AH695" s="1247">
        <v>0.3</v>
      </c>
      <c r="AI695" s="1248"/>
      <c r="AJ695" s="1248"/>
      <c r="AK695" s="1248"/>
      <c r="AL695" s="1249"/>
      <c r="AM695" s="1445">
        <f t="shared" si="30"/>
        <v>0.29986149584487537</v>
      </c>
      <c r="AN695" s="1446"/>
      <c r="AO695" s="1447"/>
      <c r="BA695" s="43" t="str">
        <f t="shared" si="24"/>
        <v>N/A</v>
      </c>
      <c r="BB695" s="41"/>
      <c r="BC695" s="41"/>
      <c r="BD695" s="41"/>
      <c r="BE695" s="41"/>
      <c r="BF695" s="41"/>
      <c r="BG695" s="450">
        <f t="shared" si="25"/>
        <v>0</v>
      </c>
      <c r="BH695" s="456">
        <f t="shared" si="26"/>
        <v>0</v>
      </c>
      <c r="BI695" s="458" t="str">
        <f t="shared" si="27"/>
        <v xml:space="preserve"> </v>
      </c>
      <c r="BJ695" s="41"/>
      <c r="BK695" s="41"/>
      <c r="BL695" s="41"/>
      <c r="BM695" s="41"/>
      <c r="BN695" s="41"/>
      <c r="BO695" s="41"/>
      <c r="BP695" s="581" t="s">
        <v>430</v>
      </c>
      <c r="BQ695" s="580">
        <v>3252</v>
      </c>
      <c r="BR695" s="580">
        <v>3484</v>
      </c>
      <c r="BS695" s="580">
        <v>4182</v>
      </c>
      <c r="BT695" s="580">
        <v>4830</v>
      </c>
      <c r="BU695" s="580">
        <v>5390</v>
      </c>
      <c r="BV695" s="580">
        <v>5946</v>
      </c>
      <c r="BX695" s="41"/>
      <c r="BY695" s="41"/>
      <c r="BZ695" s="41"/>
      <c r="CA695" s="41"/>
      <c r="CB695" s="41"/>
      <c r="CC695" s="41"/>
      <c r="CD695" s="41"/>
      <c r="CE695" s="41"/>
      <c r="CF695" s="41"/>
      <c r="CG695" s="41"/>
      <c r="CH695" s="41"/>
      <c r="CI695" s="41"/>
      <c r="CJ695" s="41"/>
      <c r="CK695" s="41"/>
      <c r="CL695" s="41"/>
      <c r="CM695" s="41"/>
      <c r="CN695" s="41"/>
      <c r="CO695" s="41"/>
      <c r="CP695" s="41"/>
      <c r="CQ695" s="41"/>
    </row>
    <row r="696" spans="1:96" ht="12.95" customHeight="1">
      <c r="B696" s="1222" t="s">
        <v>470</v>
      </c>
      <c r="C696" s="1223"/>
      <c r="D696" s="1223"/>
      <c r="E696" s="1223"/>
      <c r="F696" s="1224"/>
      <c r="G696" s="1219">
        <v>2</v>
      </c>
      <c r="H696" s="1220"/>
      <c r="I696" s="1220"/>
      <c r="J696" s="1221"/>
      <c r="K696" s="1227">
        <v>712</v>
      </c>
      <c r="L696" s="1228"/>
      <c r="M696" s="1228"/>
      <c r="N696" s="1229"/>
      <c r="O696" s="1230">
        <v>394</v>
      </c>
      <c r="P696" s="1231"/>
      <c r="Q696" s="1231"/>
      <c r="R696" s="1231"/>
      <c r="S696" s="1232"/>
      <c r="T696" s="1233">
        <f t="shared" si="28"/>
        <v>788</v>
      </c>
      <c r="U696" s="1234"/>
      <c r="V696" s="1234"/>
      <c r="W696" s="1234"/>
      <c r="X696" s="1235"/>
      <c r="Y696" s="1230">
        <v>70</v>
      </c>
      <c r="Z696" s="1231"/>
      <c r="AA696" s="1231"/>
      <c r="AB696" s="1232"/>
      <c r="AC696" s="1233">
        <f t="shared" si="29"/>
        <v>464</v>
      </c>
      <c r="AD696" s="1234"/>
      <c r="AE696" s="1234"/>
      <c r="AF696" s="1234"/>
      <c r="AG696" s="1235"/>
      <c r="AH696" s="1247">
        <v>0.3</v>
      </c>
      <c r="AI696" s="1248"/>
      <c r="AJ696" s="1248"/>
      <c r="AK696" s="1248"/>
      <c r="AL696" s="1249"/>
      <c r="AM696" s="1445">
        <f t="shared" si="30"/>
        <v>0.30012936610608021</v>
      </c>
      <c r="AN696" s="1446"/>
      <c r="AO696" s="1447"/>
      <c r="BA696" s="43" t="str">
        <f t="shared" si="24"/>
        <v>N/A</v>
      </c>
      <c r="BB696" s="41"/>
      <c r="BC696" s="41"/>
      <c r="BD696" s="41"/>
      <c r="BE696" s="41"/>
      <c r="BF696" s="41"/>
      <c r="BG696" s="450">
        <f t="shared" si="25"/>
        <v>0</v>
      </c>
      <c r="BH696" s="456">
        <f t="shared" si="26"/>
        <v>0</v>
      </c>
      <c r="BI696" s="458" t="str">
        <f t="shared" si="27"/>
        <v xml:space="preserve"> </v>
      </c>
      <c r="BJ696" s="41"/>
      <c r="BK696" s="41"/>
      <c r="BL696" s="41"/>
      <c r="BM696" s="41"/>
      <c r="BN696" s="41"/>
      <c r="BO696" s="41"/>
      <c r="BP696" s="581" t="s">
        <v>431</v>
      </c>
      <c r="BQ696" s="580">
        <v>1444</v>
      </c>
      <c r="BR696" s="580">
        <v>1546</v>
      </c>
      <c r="BS696" s="580">
        <v>1856</v>
      </c>
      <c r="BT696" s="580">
        <v>2144</v>
      </c>
      <c r="BU696" s="580">
        <v>2392</v>
      </c>
      <c r="BV696" s="580">
        <v>2640</v>
      </c>
      <c r="BX696" s="41"/>
      <c r="BY696" s="41"/>
      <c r="BZ696" s="41"/>
      <c r="CA696" s="41"/>
      <c r="CB696" s="41"/>
      <c r="CC696" s="41"/>
      <c r="CD696" s="41"/>
      <c r="CE696" s="41"/>
      <c r="CF696" s="41"/>
      <c r="CG696" s="41"/>
      <c r="CH696" s="41"/>
      <c r="CI696" s="41"/>
      <c r="CJ696" s="41"/>
      <c r="CK696" s="41"/>
      <c r="CL696" s="41"/>
      <c r="CM696" s="41"/>
      <c r="CN696" s="41"/>
      <c r="CO696" s="41"/>
      <c r="CP696" s="41"/>
      <c r="CQ696" s="41"/>
    </row>
    <row r="697" spans="1:96" ht="12.95" customHeight="1">
      <c r="B697" s="1222" t="s">
        <v>817</v>
      </c>
      <c r="C697" s="1223"/>
      <c r="D697" s="1223"/>
      <c r="E697" s="1223"/>
      <c r="F697" s="1224"/>
      <c r="G697" s="1219">
        <v>1</v>
      </c>
      <c r="H697" s="1220"/>
      <c r="I697" s="1220"/>
      <c r="J697" s="1221"/>
      <c r="K697" s="1227">
        <v>1173</v>
      </c>
      <c r="L697" s="1228"/>
      <c r="M697" s="1228"/>
      <c r="N697" s="1229"/>
      <c r="O697" s="1230">
        <v>504</v>
      </c>
      <c r="P697" s="1231"/>
      <c r="Q697" s="1231"/>
      <c r="R697" s="1231"/>
      <c r="S697" s="1232"/>
      <c r="T697" s="1233">
        <f t="shared" si="28"/>
        <v>504</v>
      </c>
      <c r="U697" s="1234"/>
      <c r="V697" s="1234"/>
      <c r="W697" s="1234"/>
      <c r="X697" s="1235"/>
      <c r="Y697" s="1230">
        <v>139</v>
      </c>
      <c r="Z697" s="1231"/>
      <c r="AA697" s="1231"/>
      <c r="AB697" s="1232"/>
      <c r="AC697" s="1233">
        <f t="shared" si="29"/>
        <v>643</v>
      </c>
      <c r="AD697" s="1234"/>
      <c r="AE697" s="1234"/>
      <c r="AF697" s="1234"/>
      <c r="AG697" s="1235"/>
      <c r="AH697" s="1247">
        <v>0.3</v>
      </c>
      <c r="AI697" s="1248"/>
      <c r="AJ697" s="1248"/>
      <c r="AK697" s="1248"/>
      <c r="AL697" s="1249"/>
      <c r="AM697" s="1445">
        <f t="shared" si="30"/>
        <v>0.29990671641791045</v>
      </c>
      <c r="AN697" s="1446"/>
      <c r="AO697" s="1447"/>
      <c r="BA697" s="43" t="str">
        <f t="shared" si="24"/>
        <v>N/A</v>
      </c>
      <c r="BB697" s="41"/>
      <c r="BC697" s="41"/>
      <c r="BD697" s="41"/>
      <c r="BE697" s="41"/>
      <c r="BF697" s="41"/>
      <c r="BG697" s="450">
        <f t="shared" si="25"/>
        <v>0</v>
      </c>
      <c r="BH697" s="456">
        <f t="shared" si="26"/>
        <v>0</v>
      </c>
      <c r="BI697" s="458" t="str">
        <f t="shared" si="27"/>
        <v xml:space="preserve"> </v>
      </c>
      <c r="BJ697" s="41"/>
      <c r="BK697" s="41"/>
      <c r="BL697" s="41"/>
      <c r="BM697" s="41"/>
      <c r="BN697" s="41"/>
      <c r="BO697" s="41"/>
      <c r="BP697" s="581" t="s">
        <v>432</v>
      </c>
      <c r="BQ697" s="580">
        <v>1486</v>
      </c>
      <c r="BR697" s="580">
        <v>1592</v>
      </c>
      <c r="BS697" s="580">
        <v>1912</v>
      </c>
      <c r="BT697" s="580">
        <v>2210</v>
      </c>
      <c r="BU697" s="580">
        <v>2464</v>
      </c>
      <c r="BV697" s="580">
        <v>2720</v>
      </c>
      <c r="BX697" s="41"/>
      <c r="BY697" s="41"/>
      <c r="BZ697" s="41"/>
      <c r="CA697" s="41"/>
      <c r="CB697" s="41"/>
      <c r="CC697" s="41"/>
      <c r="CD697" s="41"/>
      <c r="CE697" s="41"/>
      <c r="CF697" s="41"/>
      <c r="CG697" s="41"/>
      <c r="CH697" s="41"/>
      <c r="CI697" s="41"/>
      <c r="CJ697" s="41"/>
      <c r="CK697" s="41"/>
      <c r="CL697" s="41"/>
      <c r="CM697" s="41"/>
      <c r="CN697" s="41"/>
      <c r="CO697" s="41"/>
      <c r="CP697" s="41"/>
      <c r="CQ697" s="41"/>
    </row>
    <row r="698" spans="1:96" ht="12.95" customHeight="1">
      <c r="B698" s="1222" t="s">
        <v>469</v>
      </c>
      <c r="C698" s="1223"/>
      <c r="D698" s="1223"/>
      <c r="E698" s="1223"/>
      <c r="F698" s="1224"/>
      <c r="G698" s="1219">
        <v>1</v>
      </c>
      <c r="H698" s="1220"/>
      <c r="I698" s="1220"/>
      <c r="J698" s="1221"/>
      <c r="K698" s="1227">
        <v>356</v>
      </c>
      <c r="L698" s="1228"/>
      <c r="M698" s="1228"/>
      <c r="N698" s="1229"/>
      <c r="O698" s="1230">
        <v>520</v>
      </c>
      <c r="P698" s="1231"/>
      <c r="Q698" s="1231"/>
      <c r="R698" s="1231"/>
      <c r="S698" s="1232"/>
      <c r="T698" s="1233">
        <f t="shared" si="28"/>
        <v>520</v>
      </c>
      <c r="U698" s="1234"/>
      <c r="V698" s="1234"/>
      <c r="W698" s="1234"/>
      <c r="X698" s="1235"/>
      <c r="Y698" s="1230">
        <v>58</v>
      </c>
      <c r="Z698" s="1231"/>
      <c r="AA698" s="1231"/>
      <c r="AB698" s="1232"/>
      <c r="AC698" s="1233">
        <f t="shared" si="29"/>
        <v>578</v>
      </c>
      <c r="AD698" s="1234"/>
      <c r="AE698" s="1234"/>
      <c r="AF698" s="1234"/>
      <c r="AG698" s="1235"/>
      <c r="AH698" s="1247">
        <v>0.4</v>
      </c>
      <c r="AI698" s="1248"/>
      <c r="AJ698" s="1248"/>
      <c r="AK698" s="1248"/>
      <c r="AL698" s="1249"/>
      <c r="AM698" s="1445">
        <f t="shared" si="30"/>
        <v>0.40027700831024932</v>
      </c>
      <c r="AN698" s="1446"/>
      <c r="AO698" s="1447"/>
      <c r="BA698" s="43" t="str">
        <f t="shared" si="24"/>
        <v>N/A</v>
      </c>
      <c r="BB698" s="41"/>
      <c r="BC698" s="41"/>
      <c r="BD698" s="41"/>
      <c r="BE698" s="41"/>
      <c r="BF698" s="41"/>
      <c r="BG698" s="450">
        <f t="shared" si="25"/>
        <v>0</v>
      </c>
      <c r="BH698" s="456">
        <f t="shared" si="26"/>
        <v>0</v>
      </c>
      <c r="BI698" s="458" t="str">
        <f t="shared" si="27"/>
        <v xml:space="preserve"> </v>
      </c>
      <c r="BJ698" s="41"/>
      <c r="BK698" s="41"/>
      <c r="BL698" s="41"/>
      <c r="BM698" s="41"/>
      <c r="BN698" s="41"/>
      <c r="BO698" s="41"/>
      <c r="BP698" s="581" t="s">
        <v>433</v>
      </c>
      <c r="BQ698" s="580">
        <v>1444</v>
      </c>
      <c r="BR698" s="580">
        <v>1546</v>
      </c>
      <c r="BS698" s="580">
        <v>1856</v>
      </c>
      <c r="BT698" s="580">
        <v>2144</v>
      </c>
      <c r="BU698" s="580">
        <v>2392</v>
      </c>
      <c r="BV698" s="580">
        <v>2640</v>
      </c>
      <c r="BX698" s="41"/>
      <c r="BY698" s="41"/>
      <c r="BZ698" s="41"/>
      <c r="CA698" s="41"/>
      <c r="CB698" s="41"/>
      <c r="CC698" s="41"/>
      <c r="CD698" s="41"/>
      <c r="CE698" s="41"/>
      <c r="CF698" s="41"/>
      <c r="CG698" s="41"/>
      <c r="CH698" s="41"/>
      <c r="CI698" s="41"/>
      <c r="CJ698" s="41"/>
      <c r="CK698" s="41"/>
      <c r="CL698" s="41"/>
      <c r="CM698" s="41"/>
      <c r="CN698" s="41"/>
      <c r="CO698" s="41"/>
      <c r="CP698" s="41"/>
    </row>
    <row r="699" spans="1:96" ht="12.95" customHeight="1">
      <c r="B699" s="1222" t="s">
        <v>470</v>
      </c>
      <c r="C699" s="1223"/>
      <c r="D699" s="1223"/>
      <c r="E699" s="1223"/>
      <c r="F699" s="1224"/>
      <c r="G699" s="1219">
        <v>1</v>
      </c>
      <c r="H699" s="1220"/>
      <c r="I699" s="1220"/>
      <c r="J699" s="1221"/>
      <c r="K699" s="1227">
        <v>712</v>
      </c>
      <c r="L699" s="1228"/>
      <c r="M699" s="1228"/>
      <c r="N699" s="1229"/>
      <c r="O699" s="1230">
        <v>549</v>
      </c>
      <c r="P699" s="1231"/>
      <c r="Q699" s="1231"/>
      <c r="R699" s="1231"/>
      <c r="S699" s="1232"/>
      <c r="T699" s="1233">
        <f t="shared" si="28"/>
        <v>549</v>
      </c>
      <c r="U699" s="1234"/>
      <c r="V699" s="1234"/>
      <c r="W699" s="1234"/>
      <c r="X699" s="1235"/>
      <c r="Y699" s="1230">
        <v>70</v>
      </c>
      <c r="Z699" s="1231"/>
      <c r="AA699" s="1231"/>
      <c r="AB699" s="1232"/>
      <c r="AC699" s="1233">
        <f t="shared" si="29"/>
        <v>619</v>
      </c>
      <c r="AD699" s="1234"/>
      <c r="AE699" s="1234"/>
      <c r="AF699" s="1234"/>
      <c r="AG699" s="1235"/>
      <c r="AH699" s="1247">
        <v>0.4</v>
      </c>
      <c r="AI699" s="1248"/>
      <c r="AJ699" s="1248"/>
      <c r="AK699" s="1248"/>
      <c r="AL699" s="1249"/>
      <c r="AM699" s="1445">
        <f t="shared" si="30"/>
        <v>0.40038809831824063</v>
      </c>
      <c r="AN699" s="1446"/>
      <c r="AO699" s="1447"/>
      <c r="BA699" s="43" t="str">
        <f t="shared" si="24"/>
        <v>N/A</v>
      </c>
      <c r="BB699" s="41"/>
      <c r="BC699" s="41"/>
      <c r="BD699" s="41"/>
      <c r="BE699" s="41"/>
      <c r="BF699" s="41"/>
      <c r="BG699" s="450">
        <f t="shared" si="25"/>
        <v>0</v>
      </c>
      <c r="BH699" s="456">
        <f t="shared" si="26"/>
        <v>0</v>
      </c>
      <c r="BI699" s="458" t="str">
        <f t="shared" si="27"/>
        <v xml:space="preserve"> </v>
      </c>
      <c r="BJ699" s="41"/>
      <c r="BK699" s="41"/>
      <c r="BL699" s="41"/>
      <c r="BM699" s="41"/>
      <c r="BN699" s="41"/>
      <c r="BO699" s="41"/>
      <c r="BP699" s="581" t="s">
        <v>434</v>
      </c>
      <c r="BQ699" s="580">
        <v>1444</v>
      </c>
      <c r="BR699" s="580">
        <v>1546</v>
      </c>
      <c r="BS699" s="580">
        <v>1856</v>
      </c>
      <c r="BT699" s="580">
        <v>2144</v>
      </c>
      <c r="BU699" s="580">
        <v>2392</v>
      </c>
      <c r="BV699" s="580">
        <v>2640</v>
      </c>
      <c r="BX699" s="41"/>
      <c r="BY699" s="41"/>
      <c r="BZ699" s="41"/>
      <c r="CA699" s="41"/>
      <c r="CB699" s="41"/>
      <c r="CC699" s="41"/>
      <c r="CD699" s="41"/>
      <c r="CE699" s="41"/>
      <c r="CF699" s="41"/>
      <c r="CG699" s="41"/>
      <c r="CH699" s="41"/>
      <c r="CI699" s="41"/>
      <c r="CJ699" s="41"/>
      <c r="CK699" s="41"/>
      <c r="CL699" s="41"/>
      <c r="CM699" s="41"/>
      <c r="CN699" s="41"/>
      <c r="CO699" s="41"/>
      <c r="CP699" s="41"/>
    </row>
    <row r="700" spans="1:96" ht="12.95" customHeight="1">
      <c r="B700" s="1222" t="s">
        <v>817</v>
      </c>
      <c r="C700" s="1223"/>
      <c r="D700" s="1223"/>
      <c r="E700" s="1223"/>
      <c r="F700" s="1224"/>
      <c r="G700" s="1219">
        <v>1</v>
      </c>
      <c r="H700" s="1220"/>
      <c r="I700" s="1220"/>
      <c r="J700" s="1221"/>
      <c r="K700" s="1227">
        <v>1173</v>
      </c>
      <c r="L700" s="1228"/>
      <c r="M700" s="1228"/>
      <c r="N700" s="1229"/>
      <c r="O700" s="1230">
        <v>719</v>
      </c>
      <c r="P700" s="1231"/>
      <c r="Q700" s="1231"/>
      <c r="R700" s="1231"/>
      <c r="S700" s="1232"/>
      <c r="T700" s="1233">
        <f t="shared" si="28"/>
        <v>719</v>
      </c>
      <c r="U700" s="1234"/>
      <c r="V700" s="1234"/>
      <c r="W700" s="1234"/>
      <c r="X700" s="1235"/>
      <c r="Y700" s="1230">
        <v>139</v>
      </c>
      <c r="Z700" s="1231"/>
      <c r="AA700" s="1231"/>
      <c r="AB700" s="1232"/>
      <c r="AC700" s="1233">
        <f t="shared" si="29"/>
        <v>858</v>
      </c>
      <c r="AD700" s="1234"/>
      <c r="AE700" s="1234"/>
      <c r="AF700" s="1234"/>
      <c r="AG700" s="1235"/>
      <c r="AH700" s="1247">
        <v>0.4</v>
      </c>
      <c r="AI700" s="1248"/>
      <c r="AJ700" s="1248"/>
      <c r="AK700" s="1248"/>
      <c r="AL700" s="1249"/>
      <c r="AM700" s="1445">
        <f t="shared" si="30"/>
        <v>0.40018656716417911</v>
      </c>
      <c r="AN700" s="1446"/>
      <c r="AO700" s="1447"/>
      <c r="BA700" s="41"/>
      <c r="BB700" s="41"/>
      <c r="BC700" s="41"/>
      <c r="BD700" s="41"/>
      <c r="BE700" s="41"/>
      <c r="BF700" s="41"/>
      <c r="BG700" s="451">
        <f t="shared" si="25"/>
        <v>0</v>
      </c>
      <c r="BH700" s="457">
        <f t="shared" si="26"/>
        <v>0</v>
      </c>
      <c r="BI700" s="458" t="str">
        <f t="shared" si="27"/>
        <v xml:space="preserve"> </v>
      </c>
      <c r="BJ700" s="41"/>
      <c r="BK700" s="41"/>
      <c r="BL700" s="41"/>
      <c r="BM700" s="41"/>
      <c r="BN700" s="41"/>
      <c r="BO700" s="41"/>
      <c r="BP700" s="581" t="s">
        <v>435</v>
      </c>
      <c r="BQ700" s="580">
        <v>1486</v>
      </c>
      <c r="BR700" s="580">
        <v>1592</v>
      </c>
      <c r="BS700" s="580">
        <v>1912</v>
      </c>
      <c r="BT700" s="580">
        <v>2210</v>
      </c>
      <c r="BU700" s="580">
        <v>2464</v>
      </c>
      <c r="BV700" s="580">
        <v>2720</v>
      </c>
      <c r="BX700" s="41"/>
      <c r="BY700" s="41"/>
      <c r="BZ700" s="41"/>
      <c r="CA700" s="41"/>
      <c r="CB700" s="41"/>
      <c r="CC700" s="41"/>
      <c r="CD700" s="41"/>
      <c r="CE700" s="41"/>
      <c r="CF700" s="41"/>
      <c r="CG700" s="41"/>
      <c r="CH700" s="41"/>
      <c r="CI700" s="41"/>
      <c r="CJ700" s="41"/>
      <c r="CK700" s="41"/>
      <c r="CL700" s="41"/>
      <c r="CM700" s="41"/>
      <c r="CN700" s="41"/>
      <c r="CO700" s="41"/>
      <c r="CP700" s="41"/>
    </row>
    <row r="701" spans="1:96" ht="12.95" customHeight="1">
      <c r="A701" s="41"/>
      <c r="B701" s="1222" t="s">
        <v>816</v>
      </c>
      <c r="C701" s="1223"/>
      <c r="D701" s="1223"/>
      <c r="E701" s="1223"/>
      <c r="F701" s="1224"/>
      <c r="G701" s="1219">
        <v>1</v>
      </c>
      <c r="H701" s="1220"/>
      <c r="I701" s="1220"/>
      <c r="J701" s="1221"/>
      <c r="K701" s="1227">
        <v>947</v>
      </c>
      <c r="L701" s="1228"/>
      <c r="M701" s="1228"/>
      <c r="N701" s="1229"/>
      <c r="O701" s="1230">
        <v>830</v>
      </c>
      <c r="P701" s="1231"/>
      <c r="Q701" s="1231"/>
      <c r="R701" s="1231"/>
      <c r="S701" s="1232"/>
      <c r="T701" s="1233">
        <f t="shared" si="28"/>
        <v>830</v>
      </c>
      <c r="U701" s="1234"/>
      <c r="V701" s="1234"/>
      <c r="W701" s="1234"/>
      <c r="X701" s="1235"/>
      <c r="Y701" s="1230">
        <v>98</v>
      </c>
      <c r="Z701" s="1231"/>
      <c r="AA701" s="1231"/>
      <c r="AB701" s="1232"/>
      <c r="AC701" s="1233">
        <f t="shared" si="29"/>
        <v>928</v>
      </c>
      <c r="AD701" s="1234"/>
      <c r="AE701" s="1234"/>
      <c r="AF701" s="1234"/>
      <c r="AG701" s="1235"/>
      <c r="AH701" s="1247">
        <v>0.5</v>
      </c>
      <c r="AI701" s="1248"/>
      <c r="AJ701" s="1248"/>
      <c r="AK701" s="1248"/>
      <c r="AL701" s="1249"/>
      <c r="AM701" s="1445">
        <f t="shared" si="30"/>
        <v>0.5</v>
      </c>
      <c r="AN701" s="1446"/>
      <c r="AO701" s="1447"/>
      <c r="BA701" s="41"/>
      <c r="BB701" s="41"/>
      <c r="BC701" s="41"/>
      <c r="BD701" s="41"/>
      <c r="BE701" s="42"/>
      <c r="BF701" s="62" t="s">
        <v>915</v>
      </c>
      <c r="BG701" s="459">
        <f>SUM(BG676:BG700)</f>
        <v>38</v>
      </c>
      <c r="BH701" s="460">
        <f>SUM(BH676:BH700)</f>
        <v>0.99999999999999978</v>
      </c>
      <c r="BI701" s="460">
        <f>SUM(BI676:BI700)</f>
        <v>0.45526315789473681</v>
      </c>
      <c r="BJ701" s="41"/>
      <c r="BK701" s="41"/>
      <c r="BL701" s="41"/>
      <c r="BM701" s="41"/>
      <c r="BN701" s="41"/>
      <c r="BO701" s="41"/>
      <c r="BP701" s="581" t="s">
        <v>436</v>
      </c>
      <c r="BQ701" s="580">
        <v>2106</v>
      </c>
      <c r="BR701" s="580">
        <v>2258</v>
      </c>
      <c r="BS701" s="580">
        <v>2710</v>
      </c>
      <c r="BT701" s="580">
        <v>3130</v>
      </c>
      <c r="BU701" s="580">
        <v>3492</v>
      </c>
      <c r="BV701" s="580">
        <v>3852</v>
      </c>
      <c r="BX701" s="41"/>
      <c r="BY701" s="41"/>
      <c r="BZ701" s="41"/>
      <c r="CA701" s="41"/>
      <c r="CB701" s="41"/>
      <c r="CC701" s="41"/>
      <c r="CD701" s="41"/>
      <c r="CE701" s="41"/>
      <c r="CF701" s="41"/>
      <c r="CG701" s="41"/>
      <c r="CH701" s="41"/>
      <c r="CI701" s="41"/>
      <c r="CJ701" s="41"/>
      <c r="CK701" s="41"/>
      <c r="CL701" s="41"/>
      <c r="CM701" s="41"/>
      <c r="CN701" s="41"/>
      <c r="CO701" s="41"/>
      <c r="CP701" s="41"/>
      <c r="CQ701" s="41"/>
      <c r="CR701" s="41"/>
    </row>
    <row r="702" spans="1:96" ht="12.95" customHeight="1">
      <c r="A702" s="41"/>
      <c r="B702" s="1222" t="s">
        <v>817</v>
      </c>
      <c r="C702" s="1223"/>
      <c r="D702" s="1223"/>
      <c r="E702" s="1223"/>
      <c r="F702" s="1224"/>
      <c r="G702" s="1219">
        <v>1</v>
      </c>
      <c r="H702" s="1220"/>
      <c r="I702" s="1220"/>
      <c r="J702" s="1221"/>
      <c r="K702" s="1227">
        <v>1173</v>
      </c>
      <c r="L702" s="1228"/>
      <c r="M702" s="1228"/>
      <c r="N702" s="1229"/>
      <c r="O702" s="1230">
        <v>933</v>
      </c>
      <c r="P702" s="1231"/>
      <c r="Q702" s="1231"/>
      <c r="R702" s="1231"/>
      <c r="S702" s="1232"/>
      <c r="T702" s="1233">
        <f t="shared" si="28"/>
        <v>933</v>
      </c>
      <c r="U702" s="1234"/>
      <c r="V702" s="1234"/>
      <c r="W702" s="1234"/>
      <c r="X702" s="1235"/>
      <c r="Y702" s="1230">
        <v>139</v>
      </c>
      <c r="Z702" s="1231"/>
      <c r="AA702" s="1231"/>
      <c r="AB702" s="1232"/>
      <c r="AC702" s="1233">
        <f t="shared" si="29"/>
        <v>1072</v>
      </c>
      <c r="AD702" s="1234"/>
      <c r="AE702" s="1234"/>
      <c r="AF702" s="1234"/>
      <c r="AG702" s="1235"/>
      <c r="AH702" s="1247">
        <v>0.5</v>
      </c>
      <c r="AI702" s="1248"/>
      <c r="AJ702" s="1248"/>
      <c r="AK702" s="1248"/>
      <c r="AL702" s="1249"/>
      <c r="AM702" s="1445">
        <f t="shared" si="30"/>
        <v>0.5</v>
      </c>
      <c r="AN702" s="1446"/>
      <c r="AO702" s="1447"/>
      <c r="BA702" s="41"/>
      <c r="BB702" s="41"/>
      <c r="BC702" s="41"/>
      <c r="BD702" s="41"/>
      <c r="BE702" s="41"/>
      <c r="BF702" s="41"/>
      <c r="BG702" s="41"/>
      <c r="BH702" s="41"/>
      <c r="BI702" s="41"/>
      <c r="BJ702" s="41"/>
      <c r="BK702" s="41"/>
      <c r="BL702" s="41"/>
      <c r="BM702" s="41"/>
      <c r="BN702" s="41"/>
      <c r="BO702" s="41"/>
      <c r="BP702" s="581" t="s">
        <v>437</v>
      </c>
      <c r="BQ702" s="580">
        <v>2336</v>
      </c>
      <c r="BR702" s="580">
        <v>2502</v>
      </c>
      <c r="BS702" s="580">
        <v>3004</v>
      </c>
      <c r="BT702" s="580">
        <v>3470</v>
      </c>
      <c r="BU702" s="580">
        <v>3872</v>
      </c>
      <c r="BV702" s="580">
        <v>4272</v>
      </c>
      <c r="BX702" s="41"/>
      <c r="BY702" s="41"/>
      <c r="BZ702" s="41"/>
      <c r="CA702" s="41"/>
      <c r="CB702" s="41"/>
      <c r="CC702" s="41"/>
      <c r="CD702" s="41"/>
      <c r="CE702" s="41"/>
      <c r="CF702" s="41"/>
      <c r="CG702" s="41"/>
      <c r="CH702" s="41"/>
      <c r="CI702" s="41"/>
      <c r="CJ702" s="41"/>
      <c r="CK702" s="41"/>
      <c r="CL702" s="41"/>
      <c r="CM702" s="41"/>
      <c r="CN702" s="41"/>
      <c r="CO702" s="41"/>
      <c r="CP702" s="41"/>
      <c r="CQ702" s="41"/>
      <c r="CR702" s="41"/>
    </row>
    <row r="703" spans="1:96" ht="12.95" customHeight="1">
      <c r="A703" s="41"/>
      <c r="B703" s="1222" t="s">
        <v>470</v>
      </c>
      <c r="C703" s="1223"/>
      <c r="D703" s="1223"/>
      <c r="E703" s="1223"/>
      <c r="F703" s="1224"/>
      <c r="G703" s="1219">
        <v>4</v>
      </c>
      <c r="H703" s="1220"/>
      <c r="I703" s="1220"/>
      <c r="J703" s="1221"/>
      <c r="K703" s="1227">
        <v>712</v>
      </c>
      <c r="L703" s="1228"/>
      <c r="M703" s="1228"/>
      <c r="N703" s="1229"/>
      <c r="O703" s="1230">
        <v>858</v>
      </c>
      <c r="P703" s="1231"/>
      <c r="Q703" s="1231"/>
      <c r="R703" s="1231"/>
      <c r="S703" s="1232"/>
      <c r="T703" s="1233">
        <f t="shared" si="28"/>
        <v>3432</v>
      </c>
      <c r="U703" s="1234"/>
      <c r="V703" s="1234"/>
      <c r="W703" s="1234"/>
      <c r="X703" s="1235"/>
      <c r="Y703" s="1230">
        <v>70</v>
      </c>
      <c r="Z703" s="1231"/>
      <c r="AA703" s="1231"/>
      <c r="AB703" s="1232"/>
      <c r="AC703" s="1233">
        <f t="shared" si="29"/>
        <v>928</v>
      </c>
      <c r="AD703" s="1234"/>
      <c r="AE703" s="1234"/>
      <c r="AF703" s="1234"/>
      <c r="AG703" s="1235"/>
      <c r="AH703" s="1247">
        <v>0.6</v>
      </c>
      <c r="AI703" s="1248"/>
      <c r="AJ703" s="1248"/>
      <c r="AK703" s="1248"/>
      <c r="AL703" s="1249"/>
      <c r="AM703" s="1445">
        <f t="shared" si="30"/>
        <v>0.60025873221216042</v>
      </c>
      <c r="AN703" s="1446"/>
      <c r="AO703" s="1447"/>
      <c r="BA703" s="41"/>
      <c r="BB703" s="41"/>
      <c r="BC703" s="41"/>
      <c r="BD703" s="41"/>
      <c r="BE703" s="41"/>
      <c r="BF703" s="41"/>
      <c r="BG703" s="41"/>
      <c r="BH703" s="41"/>
      <c r="BI703" s="41"/>
      <c r="BJ703" s="41"/>
      <c r="BK703" s="41"/>
      <c r="BL703" s="41"/>
      <c r="BM703" s="41"/>
      <c r="BN703" s="41"/>
      <c r="BO703" s="41"/>
      <c r="BP703" s="581" t="s">
        <v>879</v>
      </c>
      <c r="BQ703" s="580">
        <v>1824</v>
      </c>
      <c r="BR703" s="580">
        <v>1954</v>
      </c>
      <c r="BS703" s="580">
        <v>2344</v>
      </c>
      <c r="BT703" s="580">
        <v>2710</v>
      </c>
      <c r="BU703" s="580">
        <v>3022</v>
      </c>
      <c r="BV703" s="580">
        <v>3336</v>
      </c>
      <c r="BX703" s="41"/>
      <c r="BY703" s="41"/>
      <c r="BZ703" s="41"/>
      <c r="CA703" s="41"/>
      <c r="CB703" s="41"/>
      <c r="CC703" s="41"/>
      <c r="CD703" s="41"/>
      <c r="CE703" s="41"/>
      <c r="CF703" s="41"/>
      <c r="CG703" s="41"/>
      <c r="CH703" s="41"/>
      <c r="CI703" s="41"/>
      <c r="CJ703" s="41"/>
      <c r="CK703" s="41"/>
      <c r="CL703" s="41"/>
      <c r="CM703" s="41"/>
      <c r="CN703" s="41"/>
      <c r="CO703" s="41"/>
      <c r="CP703" s="41"/>
      <c r="CQ703" s="41"/>
      <c r="CR703" s="41"/>
    </row>
    <row r="704" spans="1:96" ht="12.95" customHeight="1">
      <c r="B704" s="1222" t="s">
        <v>816</v>
      </c>
      <c r="C704" s="1223"/>
      <c r="D704" s="1223"/>
      <c r="E704" s="1223"/>
      <c r="F704" s="1224"/>
      <c r="G704" s="1219">
        <v>7</v>
      </c>
      <c r="H704" s="1220"/>
      <c r="I704" s="1220"/>
      <c r="J704" s="1221"/>
      <c r="K704" s="1227">
        <v>947</v>
      </c>
      <c r="L704" s="1228"/>
      <c r="M704" s="1228"/>
      <c r="N704" s="1229"/>
      <c r="O704" s="1230">
        <v>1016</v>
      </c>
      <c r="P704" s="1231"/>
      <c r="Q704" s="1231"/>
      <c r="R704" s="1231"/>
      <c r="S704" s="1232"/>
      <c r="T704" s="1233">
        <f t="shared" si="28"/>
        <v>7112</v>
      </c>
      <c r="U704" s="1234"/>
      <c r="V704" s="1234"/>
      <c r="W704" s="1234"/>
      <c r="X704" s="1235"/>
      <c r="Y704" s="1230">
        <v>98</v>
      </c>
      <c r="Z704" s="1231"/>
      <c r="AA704" s="1231"/>
      <c r="AB704" s="1232"/>
      <c r="AC704" s="1233">
        <f t="shared" si="29"/>
        <v>1114</v>
      </c>
      <c r="AD704" s="1234"/>
      <c r="AE704" s="1234"/>
      <c r="AF704" s="1234"/>
      <c r="AG704" s="1235"/>
      <c r="AH704" s="1247">
        <v>0.6</v>
      </c>
      <c r="AI704" s="1248"/>
      <c r="AJ704" s="1248"/>
      <c r="AK704" s="1248"/>
      <c r="AL704" s="1249"/>
      <c r="AM704" s="1445">
        <f t="shared" si="30"/>
        <v>0.60021551724137934</v>
      </c>
      <c r="AN704" s="1446"/>
      <c r="AO704" s="1447"/>
      <c r="BA704" s="41"/>
      <c r="BB704" s="41"/>
      <c r="BC704" s="41"/>
      <c r="BD704" s="41"/>
      <c r="BE704" s="41"/>
      <c r="BF704" s="41"/>
      <c r="BG704" s="41"/>
      <c r="BH704" s="41"/>
      <c r="BI704" s="41"/>
      <c r="BJ704" s="41"/>
      <c r="BK704" s="41"/>
      <c r="BL704" s="41"/>
      <c r="BM704" s="41"/>
      <c r="BN704" s="41"/>
      <c r="BO704" s="41"/>
      <c r="BP704" s="581" t="s">
        <v>880</v>
      </c>
      <c r="BQ704" s="580">
        <v>2512</v>
      </c>
      <c r="BR704" s="580">
        <v>2690</v>
      </c>
      <c r="BS704" s="580">
        <v>3230</v>
      </c>
      <c r="BT704" s="580">
        <v>3730</v>
      </c>
      <c r="BU704" s="580">
        <v>4162</v>
      </c>
      <c r="BV704" s="580">
        <v>4592</v>
      </c>
      <c r="BX704" s="41"/>
      <c r="BY704" s="41"/>
      <c r="BZ704" s="41"/>
      <c r="CA704" s="41"/>
      <c r="CB704" s="41"/>
      <c r="CC704" s="41"/>
      <c r="CD704" s="41"/>
      <c r="CE704" s="41"/>
      <c r="CF704" s="41"/>
      <c r="CG704" s="41"/>
      <c r="CH704" s="41"/>
      <c r="CI704" s="41"/>
      <c r="CJ704" s="41"/>
      <c r="CK704" s="41"/>
      <c r="CL704" s="41"/>
      <c r="CM704" s="41"/>
      <c r="CN704" s="41"/>
      <c r="CO704" s="41"/>
      <c r="CP704" s="41"/>
      <c r="CQ704" s="41"/>
      <c r="CR704" s="41"/>
    </row>
    <row r="705" spans="2:97" ht="12.95" customHeight="1">
      <c r="B705" s="1222" t="s">
        <v>817</v>
      </c>
      <c r="C705" s="1223"/>
      <c r="D705" s="1223"/>
      <c r="E705" s="1223"/>
      <c r="F705" s="1224"/>
      <c r="G705" s="1219">
        <v>6</v>
      </c>
      <c r="H705" s="1220"/>
      <c r="I705" s="1220"/>
      <c r="J705" s="1221"/>
      <c r="K705" s="1227">
        <v>1173</v>
      </c>
      <c r="L705" s="1228"/>
      <c r="M705" s="1228"/>
      <c r="N705" s="1229"/>
      <c r="O705" s="1230">
        <v>1148</v>
      </c>
      <c r="P705" s="1231"/>
      <c r="Q705" s="1231"/>
      <c r="R705" s="1231"/>
      <c r="S705" s="1232"/>
      <c r="T705" s="1233">
        <f t="shared" si="28"/>
        <v>6888</v>
      </c>
      <c r="U705" s="1234"/>
      <c r="V705" s="1234"/>
      <c r="W705" s="1234"/>
      <c r="X705" s="1235"/>
      <c r="Y705" s="1230">
        <v>139</v>
      </c>
      <c r="Z705" s="1231"/>
      <c r="AA705" s="1231"/>
      <c r="AB705" s="1232"/>
      <c r="AC705" s="1233">
        <f t="shared" si="29"/>
        <v>1287</v>
      </c>
      <c r="AD705" s="1234"/>
      <c r="AE705" s="1234"/>
      <c r="AF705" s="1234"/>
      <c r="AG705" s="1235"/>
      <c r="AH705" s="1247">
        <v>0.6</v>
      </c>
      <c r="AI705" s="1248"/>
      <c r="AJ705" s="1248"/>
      <c r="AK705" s="1248"/>
      <c r="AL705" s="1249"/>
      <c r="AM705" s="1445">
        <f t="shared" si="30"/>
        <v>0.60027985074626866</v>
      </c>
      <c r="AN705" s="1446"/>
      <c r="AO705" s="1447"/>
      <c r="BA705" s="41"/>
      <c r="BB705" s="41"/>
      <c r="BC705" s="41"/>
      <c r="BD705" s="41"/>
      <c r="BE705" s="41"/>
      <c r="BF705" s="41"/>
      <c r="BG705" s="853" t="s">
        <v>2090</v>
      </c>
      <c r="BH705" s="854"/>
      <c r="BI705" s="854"/>
      <c r="BJ705" s="41"/>
      <c r="BK705" s="41"/>
      <c r="BL705" s="41"/>
      <c r="BM705" s="41"/>
      <c r="BN705" s="41"/>
      <c r="BO705" s="41"/>
      <c r="BP705" s="581" t="s">
        <v>881</v>
      </c>
      <c r="BQ705" s="580">
        <v>1876</v>
      </c>
      <c r="BR705" s="580">
        <v>2010</v>
      </c>
      <c r="BS705" s="580">
        <v>2412</v>
      </c>
      <c r="BT705" s="580">
        <v>2786</v>
      </c>
      <c r="BU705" s="580">
        <v>3110</v>
      </c>
      <c r="BV705" s="580">
        <v>3432</v>
      </c>
      <c r="BX705" s="41"/>
      <c r="BY705" s="41"/>
      <c r="BZ705" s="41"/>
      <c r="CA705" s="41"/>
      <c r="CB705" s="41"/>
      <c r="CC705" s="41"/>
      <c r="CD705" s="41"/>
      <c r="CE705" s="41"/>
      <c r="CF705" s="41"/>
      <c r="CG705" s="41"/>
      <c r="CH705" s="41"/>
      <c r="CI705" s="41"/>
      <c r="CJ705" s="41"/>
      <c r="CK705" s="41"/>
      <c r="CL705" s="41"/>
      <c r="CM705" s="41"/>
      <c r="CN705" s="41"/>
      <c r="CO705" s="41"/>
      <c r="CP705" s="41"/>
      <c r="CQ705" s="41"/>
      <c r="CR705" s="41"/>
    </row>
    <row r="706" spans="2:97" ht="12.95" customHeight="1">
      <c r="B706" s="1222"/>
      <c r="C706" s="1223"/>
      <c r="D706" s="1223"/>
      <c r="E706" s="1223"/>
      <c r="F706" s="1224"/>
      <c r="G706" s="1219"/>
      <c r="H706" s="1220"/>
      <c r="I706" s="1220"/>
      <c r="J706" s="1221"/>
      <c r="K706" s="1227"/>
      <c r="L706" s="1228"/>
      <c r="M706" s="1228"/>
      <c r="N706" s="1229"/>
      <c r="O706" s="1230"/>
      <c r="P706" s="1231"/>
      <c r="Q706" s="1231"/>
      <c r="R706" s="1231"/>
      <c r="S706" s="1232"/>
      <c r="T706" s="1233">
        <f t="shared" si="28"/>
        <v>0</v>
      </c>
      <c r="U706" s="1234"/>
      <c r="V706" s="1234"/>
      <c r="W706" s="1234"/>
      <c r="X706" s="1235"/>
      <c r="Y706" s="1230"/>
      <c r="Z706" s="1231"/>
      <c r="AA706" s="1231"/>
      <c r="AB706" s="1232"/>
      <c r="AC706" s="1233">
        <f t="shared" si="29"/>
        <v>0</v>
      </c>
      <c r="AD706" s="1234"/>
      <c r="AE706" s="1234"/>
      <c r="AF706" s="1234"/>
      <c r="AG706" s="1235"/>
      <c r="AH706" s="1247"/>
      <c r="AI706" s="1248"/>
      <c r="AJ706" s="1248"/>
      <c r="AK706" s="1248"/>
      <c r="AL706" s="1249"/>
      <c r="AM706" s="1445" t="str">
        <f t="shared" si="30"/>
        <v xml:space="preserve"> </v>
      </c>
      <c r="AN706" s="1446"/>
      <c r="AO706" s="1447"/>
      <c r="BA706" s="41"/>
      <c r="BB706" s="41"/>
      <c r="BC706" s="41"/>
      <c r="BD706" s="41"/>
      <c r="BE706" s="41"/>
      <c r="BF706" s="41"/>
      <c r="BG706" s="855" t="s">
        <v>1183</v>
      </c>
      <c r="BH706" s="856" t="s">
        <v>1184</v>
      </c>
      <c r="BI706" s="857" t="s">
        <v>1185</v>
      </c>
      <c r="BJ706" s="41"/>
      <c r="BK706" s="41"/>
      <c r="BL706" s="41"/>
      <c r="BM706" s="41"/>
      <c r="BN706" s="41"/>
      <c r="BO706" s="41"/>
      <c r="BP706" s="581" t="s">
        <v>882</v>
      </c>
      <c r="BQ706" s="580">
        <v>1466</v>
      </c>
      <c r="BR706" s="580">
        <v>1572</v>
      </c>
      <c r="BS706" s="580">
        <v>1886</v>
      </c>
      <c r="BT706" s="580">
        <v>2180</v>
      </c>
      <c r="BU706" s="580">
        <v>2432</v>
      </c>
      <c r="BV706" s="580">
        <v>2682</v>
      </c>
      <c r="BX706" s="41"/>
      <c r="BY706" s="41"/>
      <c r="BZ706" s="41"/>
      <c r="CA706" s="41"/>
      <c r="CB706" s="41"/>
      <c r="CC706" s="41"/>
      <c r="CD706" s="41"/>
      <c r="CE706" s="41"/>
      <c r="CF706" s="41"/>
      <c r="CG706" s="41"/>
      <c r="CH706" s="41"/>
      <c r="CI706" s="41"/>
      <c r="CJ706" s="41"/>
      <c r="CK706" s="41"/>
      <c r="CL706" s="41"/>
      <c r="CM706" s="41"/>
      <c r="CN706" s="41"/>
      <c r="CO706" s="41"/>
      <c r="CP706" s="41"/>
      <c r="CQ706" s="41"/>
      <c r="CR706" s="41"/>
    </row>
    <row r="707" spans="2:97" ht="12.95" customHeight="1">
      <c r="B707" s="1222"/>
      <c r="C707" s="1223"/>
      <c r="D707" s="1223"/>
      <c r="E707" s="1223"/>
      <c r="F707" s="1224"/>
      <c r="G707" s="1219"/>
      <c r="H707" s="1220"/>
      <c r="I707" s="1220"/>
      <c r="J707" s="1221"/>
      <c r="K707" s="1227"/>
      <c r="L707" s="1228"/>
      <c r="M707" s="1228"/>
      <c r="N707" s="1229"/>
      <c r="O707" s="1230"/>
      <c r="P707" s="1231"/>
      <c r="Q707" s="1231"/>
      <c r="R707" s="1231"/>
      <c r="S707" s="1232"/>
      <c r="T707" s="1233">
        <f t="shared" si="28"/>
        <v>0</v>
      </c>
      <c r="U707" s="1234"/>
      <c r="V707" s="1234"/>
      <c r="W707" s="1234"/>
      <c r="X707" s="1235"/>
      <c r="Y707" s="1230"/>
      <c r="Z707" s="1231"/>
      <c r="AA707" s="1231"/>
      <c r="AB707" s="1232"/>
      <c r="AC707" s="1233">
        <f t="shared" si="29"/>
        <v>0</v>
      </c>
      <c r="AD707" s="1234"/>
      <c r="AE707" s="1234"/>
      <c r="AF707" s="1234"/>
      <c r="AG707" s="1235"/>
      <c r="AH707" s="1247"/>
      <c r="AI707" s="1248"/>
      <c r="AJ707" s="1248"/>
      <c r="AK707" s="1248"/>
      <c r="AL707" s="1249"/>
      <c r="AM707" s="1445" t="str">
        <f t="shared" si="30"/>
        <v xml:space="preserve"> </v>
      </c>
      <c r="AN707" s="1446"/>
      <c r="AO707" s="1447"/>
      <c r="BA707" s="41"/>
      <c r="BB707" s="41"/>
      <c r="BC707" s="41"/>
      <c r="BD707" s="41"/>
      <c r="BE707" s="41"/>
      <c r="BF707" s="41"/>
      <c r="BG707" s="858">
        <f>G692</f>
        <v>8</v>
      </c>
      <c r="BH707" s="862">
        <f>BG707/$BG$732</f>
        <v>0.21052631578947367</v>
      </c>
      <c r="BI707" s="863">
        <f>IF(BH707=0," ",BH707*AM692)</f>
        <v>6.3128735967342184E-2</v>
      </c>
      <c r="BJ707" s="41"/>
      <c r="BK707" s="41"/>
      <c r="BL707" s="41"/>
      <c r="BM707" s="41"/>
      <c r="BN707" s="41"/>
      <c r="BO707" s="41"/>
      <c r="BP707" s="581" t="s">
        <v>117</v>
      </c>
      <c r="BQ707" s="580">
        <v>1632</v>
      </c>
      <c r="BR707" s="580">
        <v>1748</v>
      </c>
      <c r="BS707" s="580">
        <v>2096</v>
      </c>
      <c r="BT707" s="580">
        <v>2422</v>
      </c>
      <c r="BU707" s="580">
        <v>2704</v>
      </c>
      <c r="BV707" s="580">
        <v>2982</v>
      </c>
      <c r="BX707" s="41"/>
      <c r="BY707" s="41"/>
      <c r="BZ707" s="41"/>
      <c r="CA707" s="41"/>
      <c r="CB707" s="41"/>
      <c r="CC707" s="41"/>
      <c r="CD707" s="41"/>
      <c r="CE707" s="41"/>
      <c r="CF707" s="41"/>
      <c r="CG707" s="41"/>
      <c r="CH707" s="41"/>
      <c r="CI707" s="41"/>
      <c r="CJ707" s="41"/>
      <c r="CK707" s="41"/>
      <c r="CL707" s="41"/>
      <c r="CM707" s="41"/>
      <c r="CN707" s="41"/>
      <c r="CO707" s="41"/>
      <c r="CP707" s="41"/>
      <c r="CQ707" s="41"/>
      <c r="CR707" s="41"/>
      <c r="CS707" s="41"/>
    </row>
    <row r="708" spans="2:97" ht="12.95" customHeight="1">
      <c r="B708" s="1222"/>
      <c r="C708" s="1223"/>
      <c r="D708" s="1223"/>
      <c r="E708" s="1223"/>
      <c r="F708" s="1224"/>
      <c r="G708" s="1219"/>
      <c r="H708" s="1220"/>
      <c r="I708" s="1220"/>
      <c r="J708" s="1221"/>
      <c r="K708" s="1227"/>
      <c r="L708" s="1228"/>
      <c r="M708" s="1228"/>
      <c r="N708" s="1229"/>
      <c r="O708" s="1230"/>
      <c r="P708" s="1231"/>
      <c r="Q708" s="1231"/>
      <c r="R708" s="1231"/>
      <c r="S708" s="1232"/>
      <c r="T708" s="1233">
        <f t="shared" si="28"/>
        <v>0</v>
      </c>
      <c r="U708" s="1234"/>
      <c r="V708" s="1234"/>
      <c r="W708" s="1234"/>
      <c r="X708" s="1235"/>
      <c r="Y708" s="1230"/>
      <c r="Z708" s="1231"/>
      <c r="AA708" s="1231"/>
      <c r="AB708" s="1232"/>
      <c r="AC708" s="1233">
        <f t="shared" si="29"/>
        <v>0</v>
      </c>
      <c r="AD708" s="1234"/>
      <c r="AE708" s="1234"/>
      <c r="AF708" s="1234"/>
      <c r="AG708" s="1235"/>
      <c r="AH708" s="1247"/>
      <c r="AI708" s="1248"/>
      <c r="AJ708" s="1248"/>
      <c r="AK708" s="1248"/>
      <c r="AL708" s="1249"/>
      <c r="AM708" s="1445" t="str">
        <f t="shared" si="30"/>
        <v xml:space="preserve"> </v>
      </c>
      <c r="AN708" s="1446"/>
      <c r="AO708" s="1447"/>
      <c r="BA708" s="41"/>
      <c r="BB708" s="41"/>
      <c r="BC708" s="41"/>
      <c r="BD708" s="41"/>
      <c r="BE708" s="41"/>
      <c r="BF708" s="41"/>
      <c r="BG708" s="858">
        <f t="shared" ref="BG708:BG731" si="31">G693</f>
        <v>1</v>
      </c>
      <c r="BH708" s="862">
        <f t="shared" ref="BH708:BH731" si="32">BG708/$BG$732</f>
        <v>2.6315789473684209E-2</v>
      </c>
      <c r="BI708" s="863">
        <f t="shared" ref="BI708:BI731" si="33">IF(BH708=0," ",BH708*AM693)</f>
        <v>7.8975725952813072E-3</v>
      </c>
      <c r="BJ708" s="41"/>
      <c r="BK708" s="41"/>
      <c r="BL708" s="41"/>
      <c r="BM708" s="41"/>
      <c r="BN708" s="41"/>
      <c r="BO708" s="41"/>
      <c r="BP708" s="581" t="s">
        <v>118</v>
      </c>
      <c r="BQ708" s="580">
        <v>1876</v>
      </c>
      <c r="BR708" s="580">
        <v>2010</v>
      </c>
      <c r="BS708" s="580">
        <v>2412</v>
      </c>
      <c r="BT708" s="580">
        <v>2786</v>
      </c>
      <c r="BU708" s="580">
        <v>3110</v>
      </c>
      <c r="BV708" s="580">
        <v>3432</v>
      </c>
      <c r="BX708" s="41"/>
      <c r="BY708" s="41"/>
      <c r="BZ708" s="41"/>
      <c r="CA708" s="41"/>
      <c r="CB708" s="41"/>
      <c r="CC708" s="41"/>
      <c r="CD708" s="41"/>
      <c r="CE708" s="41"/>
      <c r="CF708" s="41"/>
      <c r="CG708" s="41"/>
      <c r="CH708" s="41"/>
      <c r="CI708" s="41"/>
      <c r="CJ708" s="41"/>
      <c r="CK708" s="41"/>
      <c r="CL708" s="41"/>
      <c r="CM708" s="41"/>
      <c r="CN708" s="41"/>
      <c r="CO708" s="41"/>
      <c r="CP708" s="41"/>
      <c r="CQ708" s="41"/>
      <c r="CR708" s="41"/>
      <c r="CS708" s="41"/>
    </row>
    <row r="709" spans="2:97" ht="12.95" customHeight="1">
      <c r="B709" s="1222"/>
      <c r="C709" s="1223"/>
      <c r="D709" s="1223"/>
      <c r="E709" s="1223"/>
      <c r="F709" s="1224"/>
      <c r="G709" s="1219"/>
      <c r="H709" s="1220"/>
      <c r="I709" s="1220"/>
      <c r="J709" s="1221"/>
      <c r="K709" s="1227"/>
      <c r="L709" s="1228"/>
      <c r="M709" s="1228"/>
      <c r="N709" s="1229"/>
      <c r="O709" s="1230"/>
      <c r="P709" s="1231"/>
      <c r="Q709" s="1231"/>
      <c r="R709" s="1231"/>
      <c r="S709" s="1232"/>
      <c r="T709" s="1233">
        <f t="shared" si="28"/>
        <v>0</v>
      </c>
      <c r="U709" s="1234"/>
      <c r="V709" s="1234"/>
      <c r="W709" s="1234"/>
      <c r="X709" s="1235"/>
      <c r="Y709" s="1230"/>
      <c r="Z709" s="1231"/>
      <c r="AA709" s="1231"/>
      <c r="AB709" s="1232"/>
      <c r="AC709" s="1233">
        <f t="shared" si="29"/>
        <v>0</v>
      </c>
      <c r="AD709" s="1234"/>
      <c r="AE709" s="1234"/>
      <c r="AF709" s="1234"/>
      <c r="AG709" s="1235"/>
      <c r="AH709" s="1247"/>
      <c r="AI709" s="1248"/>
      <c r="AJ709" s="1248"/>
      <c r="AK709" s="1248"/>
      <c r="AL709" s="1249"/>
      <c r="AM709" s="1445" t="str">
        <f t="shared" si="30"/>
        <v xml:space="preserve"> </v>
      </c>
      <c r="AN709" s="1446"/>
      <c r="AO709" s="1447"/>
      <c r="BA709" s="43"/>
      <c r="BB709" s="43"/>
      <c r="BC709" s="43"/>
      <c r="BD709" s="43"/>
      <c r="BE709" s="43"/>
      <c r="BF709" s="43"/>
      <c r="BG709" s="858">
        <f t="shared" si="31"/>
        <v>1</v>
      </c>
      <c r="BH709" s="862">
        <f t="shared" si="32"/>
        <v>2.6315789473684209E-2</v>
      </c>
      <c r="BI709" s="863">
        <f t="shared" si="33"/>
        <v>1.0534823049001813E-2</v>
      </c>
      <c r="BJ709" s="43"/>
      <c r="BK709" s="43"/>
      <c r="BL709" s="43"/>
      <c r="BM709" s="43"/>
      <c r="BN709" s="43"/>
      <c r="BO709" s="43"/>
      <c r="BP709" s="581" t="s">
        <v>119</v>
      </c>
      <c r="BQ709" s="580">
        <v>1950</v>
      </c>
      <c r="BR709" s="580">
        <v>2088</v>
      </c>
      <c r="BS709" s="580">
        <v>2504</v>
      </c>
      <c r="BT709" s="580">
        <v>2894</v>
      </c>
      <c r="BU709" s="580">
        <v>3230</v>
      </c>
      <c r="BV709" s="580">
        <v>3562</v>
      </c>
      <c r="BX709" s="43"/>
      <c r="BY709" s="43"/>
      <c r="BZ709" s="43"/>
      <c r="CA709" s="41"/>
      <c r="CB709" s="41"/>
      <c r="CC709" s="41"/>
      <c r="CD709" s="41"/>
      <c r="CE709" s="41"/>
      <c r="CF709" s="41"/>
      <c r="CG709" s="41"/>
      <c r="CH709" s="41"/>
      <c r="CI709" s="41"/>
      <c r="CJ709" s="41"/>
      <c r="CK709" s="41"/>
      <c r="CL709" s="41"/>
      <c r="CM709" s="41"/>
      <c r="CN709" s="41"/>
      <c r="CO709" s="41"/>
      <c r="CP709" s="41"/>
      <c r="CQ709" s="41"/>
      <c r="CR709" s="41"/>
      <c r="CS709" s="41"/>
    </row>
    <row r="710" spans="2:97" ht="12.95" customHeight="1">
      <c r="B710" s="1222"/>
      <c r="C710" s="1223"/>
      <c r="D710" s="1223"/>
      <c r="E710" s="1223"/>
      <c r="F710" s="1224"/>
      <c r="G710" s="1219"/>
      <c r="H710" s="1220"/>
      <c r="I710" s="1220"/>
      <c r="J710" s="1221"/>
      <c r="K710" s="1227"/>
      <c r="L710" s="1228"/>
      <c r="M710" s="1228"/>
      <c r="N710" s="1229"/>
      <c r="O710" s="1230"/>
      <c r="P710" s="1231"/>
      <c r="Q710" s="1231"/>
      <c r="R710" s="1231"/>
      <c r="S710" s="1232"/>
      <c r="T710" s="1233">
        <f t="shared" si="28"/>
        <v>0</v>
      </c>
      <c r="U710" s="1234"/>
      <c r="V710" s="1234"/>
      <c r="W710" s="1234"/>
      <c r="X710" s="1235"/>
      <c r="Y710" s="1230"/>
      <c r="Z710" s="1231"/>
      <c r="AA710" s="1231"/>
      <c r="AB710" s="1232"/>
      <c r="AC710" s="1233">
        <f t="shared" si="29"/>
        <v>0</v>
      </c>
      <c r="AD710" s="1234"/>
      <c r="AE710" s="1234"/>
      <c r="AF710" s="1234"/>
      <c r="AG710" s="1235"/>
      <c r="AH710" s="1247"/>
      <c r="AI710" s="1248"/>
      <c r="AJ710" s="1248"/>
      <c r="AK710" s="1248"/>
      <c r="AL710" s="1249"/>
      <c r="AM710" s="1445" t="str">
        <f t="shared" si="30"/>
        <v xml:space="preserve"> </v>
      </c>
      <c r="AN710" s="1446"/>
      <c r="AO710" s="1447"/>
      <c r="BA710" s="43"/>
      <c r="BB710" s="43"/>
      <c r="BC710" s="43"/>
      <c r="BD710" s="43"/>
      <c r="BE710" s="43"/>
      <c r="BF710" s="43"/>
      <c r="BG710" s="858">
        <f t="shared" si="31"/>
        <v>3</v>
      </c>
      <c r="BH710" s="862">
        <f t="shared" si="32"/>
        <v>7.8947368421052627E-2</v>
      </c>
      <c r="BI710" s="863">
        <f t="shared" si="33"/>
        <v>2.3673275987753317E-2</v>
      </c>
      <c r="BJ710" s="43"/>
      <c r="BK710" s="43"/>
      <c r="BL710" s="43"/>
      <c r="BM710" s="43"/>
      <c r="BN710" s="43"/>
      <c r="BO710" s="43"/>
      <c r="BP710" s="581" t="s">
        <v>120</v>
      </c>
      <c r="BQ710" s="580">
        <v>1632</v>
      </c>
      <c r="BR710" s="580">
        <v>1748</v>
      </c>
      <c r="BS710" s="580">
        <v>2096</v>
      </c>
      <c r="BT710" s="580">
        <v>2422</v>
      </c>
      <c r="BU710" s="580">
        <v>2704</v>
      </c>
      <c r="BV710" s="580">
        <v>2982</v>
      </c>
      <c r="BX710" s="43"/>
      <c r="BY710" s="43"/>
      <c r="BZ710" s="43"/>
      <c r="CA710" s="41"/>
      <c r="CB710" s="41"/>
      <c r="CC710" s="41"/>
      <c r="CD710" s="41"/>
      <c r="CE710" s="41"/>
      <c r="CF710" s="41"/>
      <c r="CG710" s="41"/>
      <c r="CH710" s="41"/>
      <c r="CI710" s="41"/>
      <c r="CJ710" s="41"/>
      <c r="CK710" s="41"/>
      <c r="CL710" s="41"/>
      <c r="CM710" s="41"/>
      <c r="CN710" s="41"/>
      <c r="CO710" s="41"/>
      <c r="CP710" s="41"/>
      <c r="CQ710" s="41"/>
      <c r="CR710" s="41"/>
      <c r="CS710" s="41"/>
    </row>
    <row r="711" spans="2:97" ht="12.95" customHeight="1">
      <c r="B711" s="1222"/>
      <c r="C711" s="1223"/>
      <c r="D711" s="1223"/>
      <c r="E711" s="1223"/>
      <c r="F711" s="1224"/>
      <c r="G711" s="1219"/>
      <c r="H711" s="1220"/>
      <c r="I711" s="1220"/>
      <c r="J711" s="1221"/>
      <c r="K711" s="1227"/>
      <c r="L711" s="1228"/>
      <c r="M711" s="1228"/>
      <c r="N711" s="1229"/>
      <c r="O711" s="1230"/>
      <c r="P711" s="1231"/>
      <c r="Q711" s="1231"/>
      <c r="R711" s="1231"/>
      <c r="S711" s="1232"/>
      <c r="T711" s="1233">
        <f t="shared" si="28"/>
        <v>0</v>
      </c>
      <c r="U711" s="1234"/>
      <c r="V711" s="1234"/>
      <c r="W711" s="1234"/>
      <c r="X711" s="1235"/>
      <c r="Y711" s="1230"/>
      <c r="Z711" s="1231"/>
      <c r="AA711" s="1231"/>
      <c r="AB711" s="1232"/>
      <c r="AC711" s="1233">
        <f t="shared" si="29"/>
        <v>0</v>
      </c>
      <c r="AD711" s="1234"/>
      <c r="AE711" s="1234"/>
      <c r="AF711" s="1234"/>
      <c r="AG711" s="1235"/>
      <c r="AH711" s="1247"/>
      <c r="AI711" s="1248"/>
      <c r="AJ711" s="1248"/>
      <c r="AK711" s="1248"/>
      <c r="AL711" s="1249"/>
      <c r="AM711" s="1445" t="str">
        <f t="shared" si="30"/>
        <v xml:space="preserve"> </v>
      </c>
      <c r="AN711" s="1446"/>
      <c r="AO711" s="1447"/>
      <c r="BA711" s="43"/>
      <c r="BB711" s="43"/>
      <c r="BC711" s="43"/>
      <c r="BD711" s="43"/>
      <c r="BE711" s="43"/>
      <c r="BF711" s="43"/>
      <c r="BG711" s="858">
        <f t="shared" si="31"/>
        <v>2</v>
      </c>
      <c r="BH711" s="862">
        <f t="shared" si="32"/>
        <v>5.2631578947368418E-2</v>
      </c>
      <c r="BI711" s="863">
        <f t="shared" si="33"/>
        <v>1.5796282426635798E-2</v>
      </c>
      <c r="BJ711" s="43"/>
      <c r="BK711" s="43"/>
      <c r="BL711" s="43"/>
      <c r="BM711" s="43"/>
      <c r="BN711" s="43"/>
      <c r="BO711" s="43"/>
      <c r="BP711" s="581" t="s">
        <v>121</v>
      </c>
      <c r="BQ711" s="580">
        <v>2412</v>
      </c>
      <c r="BR711" s="580">
        <v>2584</v>
      </c>
      <c r="BS711" s="580">
        <v>3102</v>
      </c>
      <c r="BT711" s="580">
        <v>3582</v>
      </c>
      <c r="BU711" s="580">
        <v>3996</v>
      </c>
      <c r="BV711" s="580">
        <v>4410</v>
      </c>
      <c r="BX711" s="43"/>
      <c r="BY711" s="43"/>
      <c r="BZ711" s="43"/>
      <c r="CA711" s="41"/>
      <c r="CB711" s="41"/>
      <c r="CC711" s="41"/>
      <c r="CD711" s="41"/>
      <c r="CE711" s="41"/>
      <c r="CF711" s="41"/>
      <c r="CG711" s="41"/>
      <c r="CH711" s="41"/>
      <c r="CI711" s="41"/>
      <c r="CJ711" s="41"/>
      <c r="CK711" s="41"/>
      <c r="CL711" s="41"/>
      <c r="CM711" s="41"/>
      <c r="CN711" s="41"/>
      <c r="CO711" s="41"/>
      <c r="CP711" s="41"/>
      <c r="CQ711" s="41"/>
      <c r="CR711" s="41"/>
      <c r="CS711" s="41"/>
    </row>
    <row r="712" spans="2:97" ht="12.95" customHeight="1">
      <c r="B712" s="1222"/>
      <c r="C712" s="1223"/>
      <c r="D712" s="1223"/>
      <c r="E712" s="1223"/>
      <c r="F712" s="1224"/>
      <c r="G712" s="1219"/>
      <c r="H712" s="1220"/>
      <c r="I712" s="1220"/>
      <c r="J712" s="1221"/>
      <c r="K712" s="1227"/>
      <c r="L712" s="1228"/>
      <c r="M712" s="1228"/>
      <c r="N712" s="1229"/>
      <c r="O712" s="1230"/>
      <c r="P712" s="1231"/>
      <c r="Q712" s="1231"/>
      <c r="R712" s="1231"/>
      <c r="S712" s="1232"/>
      <c r="T712" s="1233">
        <f t="shared" si="28"/>
        <v>0</v>
      </c>
      <c r="U712" s="1234"/>
      <c r="V712" s="1234"/>
      <c r="W712" s="1234"/>
      <c r="X712" s="1235"/>
      <c r="Y712" s="1230"/>
      <c r="Z712" s="1231"/>
      <c r="AA712" s="1231"/>
      <c r="AB712" s="1232"/>
      <c r="AC712" s="1233">
        <f t="shared" si="29"/>
        <v>0</v>
      </c>
      <c r="AD712" s="1234"/>
      <c r="AE712" s="1234"/>
      <c r="AF712" s="1234"/>
      <c r="AG712" s="1235"/>
      <c r="AH712" s="1247"/>
      <c r="AI712" s="1248"/>
      <c r="AJ712" s="1248"/>
      <c r="AK712" s="1248"/>
      <c r="AL712" s="1249"/>
      <c r="AM712" s="1445" t="str">
        <f t="shared" si="30"/>
        <v xml:space="preserve"> </v>
      </c>
      <c r="AN712" s="1446"/>
      <c r="AO712" s="1447"/>
      <c r="BA712" s="43"/>
      <c r="BB712" s="43"/>
      <c r="BC712" s="43"/>
      <c r="BD712" s="43"/>
      <c r="BE712" s="43"/>
      <c r="BF712" s="43"/>
      <c r="BG712" s="858">
        <f t="shared" si="31"/>
        <v>1</v>
      </c>
      <c r="BH712" s="862">
        <f t="shared" si="32"/>
        <v>2.6315789473684209E-2</v>
      </c>
      <c r="BI712" s="863">
        <f t="shared" si="33"/>
        <v>7.8922820109976425E-3</v>
      </c>
      <c r="BJ712" s="43"/>
      <c r="BK712" s="43"/>
      <c r="BL712" s="43"/>
      <c r="BM712" s="43"/>
      <c r="BN712" s="43"/>
      <c r="BO712" s="43"/>
      <c r="BP712" s="581" t="s">
        <v>122</v>
      </c>
      <c r="BQ712" s="580">
        <v>3252</v>
      </c>
      <c r="BR712" s="580">
        <v>3484</v>
      </c>
      <c r="BS712" s="580">
        <v>4182</v>
      </c>
      <c r="BT712" s="580">
        <v>4830</v>
      </c>
      <c r="BU712" s="580">
        <v>5390</v>
      </c>
      <c r="BV712" s="580">
        <v>5946</v>
      </c>
      <c r="BX712" s="43"/>
      <c r="BY712" s="43"/>
      <c r="BZ712" s="43"/>
      <c r="CA712" s="41"/>
      <c r="CB712" s="41"/>
      <c r="CC712" s="41"/>
      <c r="CD712" s="41"/>
      <c r="CE712" s="41"/>
      <c r="CF712" s="41"/>
      <c r="CG712" s="41"/>
      <c r="CH712" s="41"/>
      <c r="CI712" s="41"/>
      <c r="CJ712" s="41"/>
      <c r="CK712" s="41"/>
      <c r="CL712" s="41"/>
      <c r="CM712" s="41"/>
      <c r="CN712" s="41"/>
      <c r="CO712" s="41"/>
      <c r="CP712" s="41"/>
      <c r="CQ712" s="41"/>
      <c r="CR712" s="41"/>
      <c r="CS712" s="41"/>
    </row>
    <row r="713" spans="2:97" ht="12.95" customHeight="1">
      <c r="B713" s="1222"/>
      <c r="C713" s="1223"/>
      <c r="D713" s="1223"/>
      <c r="E713" s="1223"/>
      <c r="F713" s="1224"/>
      <c r="G713" s="1219"/>
      <c r="H713" s="1220"/>
      <c r="I713" s="1220"/>
      <c r="J713" s="1221"/>
      <c r="K713" s="1227"/>
      <c r="L713" s="1228"/>
      <c r="M713" s="1228"/>
      <c r="N713" s="1229"/>
      <c r="O713" s="1230"/>
      <c r="P713" s="1231"/>
      <c r="Q713" s="1231"/>
      <c r="R713" s="1231"/>
      <c r="S713" s="1232"/>
      <c r="T713" s="1233">
        <f t="shared" si="28"/>
        <v>0</v>
      </c>
      <c r="U713" s="1234"/>
      <c r="V713" s="1234"/>
      <c r="W713" s="1234"/>
      <c r="X713" s="1235"/>
      <c r="Y713" s="1230"/>
      <c r="Z713" s="1231"/>
      <c r="AA713" s="1231"/>
      <c r="AB713" s="1232"/>
      <c r="AC713" s="1233">
        <f t="shared" si="29"/>
        <v>0</v>
      </c>
      <c r="AD713" s="1234"/>
      <c r="AE713" s="1234"/>
      <c r="AF713" s="1234"/>
      <c r="AG713" s="1235"/>
      <c r="AH713" s="1247"/>
      <c r="AI713" s="1248"/>
      <c r="AJ713" s="1248"/>
      <c r="AK713" s="1248"/>
      <c r="AL713" s="1249"/>
      <c r="AM713" s="1445" t="str">
        <f t="shared" si="30"/>
        <v xml:space="preserve"> </v>
      </c>
      <c r="AN713" s="1446"/>
      <c r="AO713" s="1447"/>
      <c r="BA713" s="43"/>
      <c r="BB713" s="43"/>
      <c r="BC713" s="43"/>
      <c r="BD713" s="43"/>
      <c r="BE713" s="43"/>
      <c r="BF713" s="43"/>
      <c r="BG713" s="858">
        <f t="shared" si="31"/>
        <v>1</v>
      </c>
      <c r="BH713" s="862">
        <f t="shared" si="32"/>
        <v>2.6315789473684209E-2</v>
      </c>
      <c r="BI713" s="863">
        <f t="shared" si="33"/>
        <v>1.0533605481848665E-2</v>
      </c>
      <c r="BJ713" s="43"/>
      <c r="BK713" s="43"/>
      <c r="BL713" s="43"/>
      <c r="BM713" s="43"/>
      <c r="BN713" s="43"/>
      <c r="BO713" s="43"/>
      <c r="BP713" s="581" t="s">
        <v>123</v>
      </c>
      <c r="BQ713" s="580">
        <v>1534</v>
      </c>
      <c r="BR713" s="580">
        <v>1644</v>
      </c>
      <c r="BS713" s="580">
        <v>1974</v>
      </c>
      <c r="BT713" s="580">
        <v>2280</v>
      </c>
      <c r="BU713" s="580">
        <v>2544</v>
      </c>
      <c r="BV713" s="580">
        <v>2806</v>
      </c>
      <c r="BX713" s="43"/>
      <c r="BY713" s="43"/>
      <c r="BZ713" s="43"/>
      <c r="CA713" s="41"/>
      <c r="CB713" s="41"/>
      <c r="CC713" s="41"/>
      <c r="CD713" s="41"/>
      <c r="CE713" s="41"/>
      <c r="CF713" s="41"/>
      <c r="CG713" s="41"/>
      <c r="CH713" s="41"/>
      <c r="CI713" s="41"/>
      <c r="CJ713" s="41"/>
      <c r="CK713" s="41"/>
      <c r="CL713" s="41"/>
      <c r="CM713" s="41"/>
      <c r="CN713" s="41"/>
      <c r="CO713" s="41"/>
      <c r="CP713" s="41"/>
      <c r="CQ713" s="41"/>
      <c r="CR713" s="41"/>
      <c r="CS713" s="41"/>
    </row>
    <row r="714" spans="2:97" ht="12.95" customHeight="1">
      <c r="B714" s="1222"/>
      <c r="C714" s="1223"/>
      <c r="D714" s="1223"/>
      <c r="E714" s="1223"/>
      <c r="F714" s="1224"/>
      <c r="G714" s="1219"/>
      <c r="H714" s="1220"/>
      <c r="I714" s="1220"/>
      <c r="J714" s="1221"/>
      <c r="K714" s="1227"/>
      <c r="L714" s="1228"/>
      <c r="M714" s="1228"/>
      <c r="N714" s="1229"/>
      <c r="O714" s="1230"/>
      <c r="P714" s="1231"/>
      <c r="Q714" s="1231"/>
      <c r="R714" s="1231"/>
      <c r="S714" s="1232"/>
      <c r="T714" s="1233">
        <f t="shared" si="28"/>
        <v>0</v>
      </c>
      <c r="U714" s="1234"/>
      <c r="V714" s="1234"/>
      <c r="W714" s="1234"/>
      <c r="X714" s="1235"/>
      <c r="Y714" s="1230"/>
      <c r="Z714" s="1231"/>
      <c r="AA714" s="1231"/>
      <c r="AB714" s="1232"/>
      <c r="AC714" s="1233">
        <f t="shared" si="29"/>
        <v>0</v>
      </c>
      <c r="AD714" s="1234"/>
      <c r="AE714" s="1234"/>
      <c r="AF714" s="1234"/>
      <c r="AG714" s="1235"/>
      <c r="AH714" s="1247"/>
      <c r="AI714" s="1248"/>
      <c r="AJ714" s="1248"/>
      <c r="AK714" s="1248"/>
      <c r="AL714" s="1249"/>
      <c r="AM714" s="1445" t="str">
        <f t="shared" si="30"/>
        <v xml:space="preserve"> </v>
      </c>
      <c r="AN714" s="1446"/>
      <c r="AO714" s="1447"/>
      <c r="BA714" s="3"/>
      <c r="BB714" s="41"/>
      <c r="BC714" s="41"/>
      <c r="BD714" s="41"/>
      <c r="BE714" s="43"/>
      <c r="BF714" s="43"/>
      <c r="BG714" s="858">
        <f t="shared" si="31"/>
        <v>1</v>
      </c>
      <c r="BH714" s="862">
        <f t="shared" si="32"/>
        <v>2.6315789473684209E-2</v>
      </c>
      <c r="BI714" s="863">
        <f t="shared" si="33"/>
        <v>1.0536528903111594E-2</v>
      </c>
      <c r="BJ714" s="43"/>
      <c r="BK714" s="43"/>
      <c r="BL714" s="43"/>
      <c r="BM714" s="43"/>
      <c r="BN714" s="43"/>
      <c r="BO714" s="43"/>
      <c r="BP714" s="581" t="s">
        <v>124</v>
      </c>
      <c r="BQ714" s="580">
        <v>2026</v>
      </c>
      <c r="BR714" s="580">
        <v>2172</v>
      </c>
      <c r="BS714" s="580">
        <v>2606</v>
      </c>
      <c r="BT714" s="580">
        <v>3010</v>
      </c>
      <c r="BU714" s="580">
        <v>3360</v>
      </c>
      <c r="BV714" s="580">
        <v>3706</v>
      </c>
      <c r="BX714" s="43"/>
      <c r="BY714" s="43"/>
      <c r="BZ714" s="43"/>
      <c r="CA714" s="41"/>
      <c r="CB714" s="41"/>
      <c r="CC714" s="41"/>
      <c r="CD714" s="41"/>
      <c r="CE714" s="41"/>
      <c r="CF714" s="41"/>
      <c r="CG714" s="41"/>
      <c r="CH714" s="41"/>
      <c r="CI714" s="41"/>
      <c r="CJ714" s="41"/>
      <c r="CK714" s="41"/>
      <c r="CL714" s="41"/>
      <c r="CM714" s="41"/>
      <c r="CN714" s="41"/>
      <c r="CO714" s="41"/>
      <c r="CP714" s="41"/>
      <c r="CQ714" s="41"/>
      <c r="CR714" s="41"/>
      <c r="CS714" s="41"/>
    </row>
    <row r="715" spans="2:97" ht="12.95" customHeight="1">
      <c r="B715" s="1222"/>
      <c r="C715" s="1223"/>
      <c r="D715" s="1223"/>
      <c r="E715" s="1223"/>
      <c r="F715" s="1224"/>
      <c r="G715" s="1219"/>
      <c r="H715" s="1220"/>
      <c r="I715" s="1220"/>
      <c r="J715" s="1221"/>
      <c r="K715" s="1227"/>
      <c r="L715" s="1228"/>
      <c r="M715" s="1228"/>
      <c r="N715" s="1229"/>
      <c r="O715" s="1230"/>
      <c r="P715" s="1231"/>
      <c r="Q715" s="1231"/>
      <c r="R715" s="1231"/>
      <c r="S715" s="1232"/>
      <c r="T715" s="1233">
        <f t="shared" si="28"/>
        <v>0</v>
      </c>
      <c r="U715" s="1234"/>
      <c r="V715" s="1234"/>
      <c r="W715" s="1234"/>
      <c r="X715" s="1235"/>
      <c r="Y715" s="1230"/>
      <c r="Z715" s="1231"/>
      <c r="AA715" s="1231"/>
      <c r="AB715" s="1232"/>
      <c r="AC715" s="1233">
        <f t="shared" si="29"/>
        <v>0</v>
      </c>
      <c r="AD715" s="1234"/>
      <c r="AE715" s="1234"/>
      <c r="AF715" s="1234"/>
      <c r="AG715" s="1235"/>
      <c r="AH715" s="1247"/>
      <c r="AI715" s="1248"/>
      <c r="AJ715" s="1248"/>
      <c r="AK715" s="1248"/>
      <c r="AL715" s="1249"/>
      <c r="AM715" s="1445" t="str">
        <f t="shared" si="30"/>
        <v xml:space="preserve"> </v>
      </c>
      <c r="AN715" s="1446"/>
      <c r="AO715" s="1447"/>
      <c r="BA715" s="41"/>
      <c r="BB715" s="41"/>
      <c r="BC715" s="41"/>
      <c r="BD715" s="41"/>
      <c r="BE715" s="43"/>
      <c r="BF715" s="43"/>
      <c r="BG715" s="858">
        <f t="shared" si="31"/>
        <v>1</v>
      </c>
      <c r="BH715" s="862">
        <f t="shared" si="32"/>
        <v>2.6315789473684209E-2</v>
      </c>
      <c r="BI715" s="863">
        <f t="shared" si="33"/>
        <v>1.0531225451688924E-2</v>
      </c>
      <c r="BJ715" s="43"/>
      <c r="BK715" s="43"/>
      <c r="BL715" s="43"/>
      <c r="BM715" s="43"/>
      <c r="BN715" s="43"/>
      <c r="BO715" s="43"/>
      <c r="BP715" s="581" t="s">
        <v>125</v>
      </c>
      <c r="BQ715" s="580">
        <v>3252</v>
      </c>
      <c r="BR715" s="580">
        <v>3484</v>
      </c>
      <c r="BS715" s="580">
        <v>4182</v>
      </c>
      <c r="BT715" s="580">
        <v>4830</v>
      </c>
      <c r="BU715" s="580">
        <v>5390</v>
      </c>
      <c r="BV715" s="580">
        <v>5946</v>
      </c>
      <c r="BX715" s="43"/>
      <c r="BY715" s="43"/>
      <c r="BZ715" s="43"/>
      <c r="CA715" s="41"/>
      <c r="CB715" s="41"/>
      <c r="CC715" s="41"/>
      <c r="CD715" s="41"/>
      <c r="CE715" s="41"/>
      <c r="CF715" s="41"/>
      <c r="CG715" s="41"/>
      <c r="CH715" s="41"/>
      <c r="CI715" s="41"/>
      <c r="CJ715" s="41"/>
      <c r="CK715" s="41"/>
      <c r="CL715" s="41"/>
      <c r="CM715" s="41"/>
      <c r="CN715" s="41"/>
      <c r="CO715" s="41"/>
      <c r="CP715" s="41"/>
      <c r="CQ715" s="41"/>
      <c r="CR715" s="41"/>
      <c r="CS715" s="41"/>
    </row>
    <row r="716" spans="2:97" ht="12.95" customHeight="1">
      <c r="B716" s="1222"/>
      <c r="C716" s="1223"/>
      <c r="D716" s="1223"/>
      <c r="E716" s="1223"/>
      <c r="F716" s="1224"/>
      <c r="G716" s="1219"/>
      <c r="H716" s="1220"/>
      <c r="I716" s="1220"/>
      <c r="J716" s="1221"/>
      <c r="K716" s="1227"/>
      <c r="L716" s="1228"/>
      <c r="M716" s="1228"/>
      <c r="N716" s="1229"/>
      <c r="O716" s="1230"/>
      <c r="P716" s="1231"/>
      <c r="Q716" s="1231"/>
      <c r="R716" s="1231"/>
      <c r="S716" s="1232"/>
      <c r="T716" s="1233">
        <f t="shared" si="28"/>
        <v>0</v>
      </c>
      <c r="U716" s="1234"/>
      <c r="V716" s="1234"/>
      <c r="W716" s="1234"/>
      <c r="X716" s="1235"/>
      <c r="Y716" s="1230"/>
      <c r="Z716" s="1231"/>
      <c r="AA716" s="1231"/>
      <c r="AB716" s="1232"/>
      <c r="AC716" s="1233">
        <f t="shared" si="29"/>
        <v>0</v>
      </c>
      <c r="AD716" s="1234"/>
      <c r="AE716" s="1234"/>
      <c r="AF716" s="1234"/>
      <c r="AG716" s="1235"/>
      <c r="AH716" s="1247"/>
      <c r="AI716" s="1248"/>
      <c r="AJ716" s="1248"/>
      <c r="AK716" s="1248"/>
      <c r="AL716" s="1249"/>
      <c r="AM716" s="1445" t="str">
        <f t="shared" si="30"/>
        <v xml:space="preserve"> </v>
      </c>
      <c r="AN716" s="1446"/>
      <c r="AO716" s="1447"/>
      <c r="BA716" s="41"/>
      <c r="BB716" s="41"/>
      <c r="BC716" s="41"/>
      <c r="BD716" s="41"/>
      <c r="BE716" s="43"/>
      <c r="BF716" s="43"/>
      <c r="BG716" s="858">
        <f t="shared" si="31"/>
        <v>1</v>
      </c>
      <c r="BH716" s="862">
        <f t="shared" si="32"/>
        <v>2.6315789473684209E-2</v>
      </c>
      <c r="BI716" s="863">
        <f t="shared" si="33"/>
        <v>1.3157894736842105E-2</v>
      </c>
      <c r="BJ716" s="43"/>
      <c r="BK716" s="43"/>
      <c r="BL716" s="43"/>
      <c r="BM716" s="43"/>
      <c r="BN716" s="43"/>
      <c r="BO716" s="43"/>
      <c r="BP716" s="581" t="s">
        <v>843</v>
      </c>
      <c r="BQ716" s="580">
        <v>2590</v>
      </c>
      <c r="BR716" s="580">
        <v>2774</v>
      </c>
      <c r="BS716" s="580">
        <v>3330</v>
      </c>
      <c r="BT716" s="580">
        <v>3846</v>
      </c>
      <c r="BU716" s="580">
        <v>4290</v>
      </c>
      <c r="BV716" s="580">
        <v>4732</v>
      </c>
      <c r="BX716" s="43"/>
      <c r="BY716" s="43"/>
      <c r="BZ716" s="43"/>
      <c r="CA716" s="41"/>
      <c r="CB716" s="41"/>
      <c r="CC716" s="41"/>
      <c r="CD716" s="41"/>
      <c r="CE716" s="41"/>
      <c r="CF716" s="41"/>
      <c r="CG716" s="41"/>
      <c r="CH716" s="41"/>
      <c r="CI716" s="41"/>
      <c r="CJ716" s="41"/>
      <c r="CK716" s="41"/>
      <c r="CL716" s="41"/>
      <c r="CM716" s="41"/>
      <c r="CN716" s="41"/>
      <c r="CO716" s="41"/>
      <c r="CP716" s="41"/>
      <c r="CQ716" s="41"/>
      <c r="CR716" s="41"/>
      <c r="CS716" s="41"/>
    </row>
    <row r="717" spans="2:97" ht="12.95" customHeight="1">
      <c r="B717" s="1091" t="s">
        <v>917</v>
      </c>
      <c r="C717" s="1092"/>
      <c r="D717" s="1092"/>
      <c r="E717" s="1092"/>
      <c r="F717" s="1094"/>
      <c r="G717" s="1259">
        <f>SUM(G692:J716)</f>
        <v>38</v>
      </c>
      <c r="H717" s="1260"/>
      <c r="I717" s="1260"/>
      <c r="J717" s="1261"/>
      <c r="O717" s="434" t="s">
        <v>916</v>
      </c>
      <c r="P717" s="168"/>
      <c r="Q717" s="168"/>
      <c r="R717" s="168"/>
      <c r="S717" s="849"/>
      <c r="T717" s="1233">
        <f>SUM(T692:X716)</f>
        <v>27504</v>
      </c>
      <c r="U717" s="1234"/>
      <c r="V717" s="1234"/>
      <c r="W717" s="1234"/>
      <c r="X717" s="1235"/>
      <c r="AC717" s="850" t="s">
        <v>1186</v>
      </c>
      <c r="AD717" s="851"/>
      <c r="AE717" s="851"/>
      <c r="AF717" s="851"/>
      <c r="AG717" s="852"/>
      <c r="AH717" s="1503">
        <f>BI701</f>
        <v>0.45526315789473681</v>
      </c>
      <c r="AI717" s="1504"/>
      <c r="AJ717" s="1504"/>
      <c r="AK717" s="1504"/>
      <c r="AL717" s="1505"/>
      <c r="AM717" s="1503">
        <f>BI732</f>
        <v>0.45537229645302724</v>
      </c>
      <c r="AN717" s="1504"/>
      <c r="AO717" s="1505"/>
      <c r="BA717" s="41"/>
      <c r="BB717" s="41"/>
      <c r="BC717" s="41"/>
      <c r="BD717" s="41"/>
      <c r="BE717" s="43"/>
      <c r="BF717" s="43"/>
      <c r="BG717" s="858">
        <f t="shared" si="31"/>
        <v>1</v>
      </c>
      <c r="BH717" s="862">
        <f t="shared" si="32"/>
        <v>2.6315789473684209E-2</v>
      </c>
      <c r="BI717" s="863">
        <f t="shared" si="33"/>
        <v>1.3157894736842105E-2</v>
      </c>
      <c r="BJ717" s="43"/>
      <c r="BK717" s="43"/>
      <c r="BL717" s="43"/>
      <c r="BM717" s="43"/>
      <c r="BN717" s="43"/>
      <c r="BO717" s="43"/>
      <c r="BP717" s="581" t="s">
        <v>844</v>
      </c>
      <c r="BQ717" s="580">
        <v>3122</v>
      </c>
      <c r="BR717" s="580">
        <v>3346</v>
      </c>
      <c r="BS717" s="580">
        <v>4014</v>
      </c>
      <c r="BT717" s="580">
        <v>4638</v>
      </c>
      <c r="BU717" s="580">
        <v>5174</v>
      </c>
      <c r="BV717" s="580">
        <v>5710</v>
      </c>
      <c r="BX717" s="43"/>
      <c r="BY717" s="43"/>
      <c r="BZ717" s="43"/>
      <c r="CA717" s="41"/>
      <c r="CB717" s="41"/>
      <c r="CC717" s="41"/>
      <c r="CD717" s="41"/>
      <c r="CE717" s="41"/>
      <c r="CF717" s="41"/>
      <c r="CG717" s="41"/>
      <c r="CH717" s="41"/>
      <c r="CI717" s="41"/>
      <c r="CJ717" s="41"/>
      <c r="CK717" s="41"/>
      <c r="CL717" s="41"/>
      <c r="CM717" s="41"/>
      <c r="CN717" s="41"/>
      <c r="CO717" s="41"/>
      <c r="CP717" s="41"/>
      <c r="CQ717" s="41"/>
      <c r="CR717" s="41"/>
      <c r="CS717" s="41"/>
    </row>
    <row r="718" spans="2:97" ht="12.95" customHeight="1">
      <c r="B718" s="62"/>
      <c r="C718" s="1098" t="s">
        <v>2156</v>
      </c>
      <c r="D718" s="1098"/>
      <c r="E718" s="1098"/>
      <c r="F718" s="1098"/>
      <c r="G718" s="1098"/>
      <c r="H718" s="1098"/>
      <c r="I718" s="1098"/>
      <c r="J718" s="1098"/>
      <c r="K718" s="1098"/>
      <c r="L718" s="1098"/>
      <c r="M718" s="1098"/>
      <c r="N718" s="1098"/>
      <c r="O718" s="1098"/>
      <c r="P718" s="1098"/>
      <c r="Q718" s="1098"/>
      <c r="R718" s="1098"/>
      <c r="S718" s="1098"/>
      <c r="T718" s="1098"/>
      <c r="U718" s="1098"/>
      <c r="V718" s="1098"/>
      <c r="W718" s="1098"/>
      <c r="X718" s="1098"/>
      <c r="Y718" s="1098"/>
      <c r="Z718" s="1098"/>
      <c r="AA718" s="1098"/>
      <c r="AB718" s="1098"/>
      <c r="AC718" s="1098"/>
      <c r="AD718" s="1098"/>
      <c r="AE718" s="1098"/>
      <c r="AF718" s="1098"/>
      <c r="AG718" s="1098"/>
      <c r="AH718" s="1098"/>
      <c r="AL718" s="41"/>
      <c r="AM718" s="43"/>
      <c r="BA718" s="41"/>
      <c r="BB718" s="41"/>
      <c r="BC718" s="41"/>
      <c r="BD718" s="41"/>
      <c r="BE718" s="41"/>
      <c r="BF718" s="41"/>
      <c r="BG718" s="858">
        <f t="shared" si="31"/>
        <v>4</v>
      </c>
      <c r="BH718" s="862">
        <f t="shared" si="32"/>
        <v>0.10526315789473684</v>
      </c>
      <c r="BI718" s="863">
        <f t="shared" si="33"/>
        <v>6.3185129706543192E-2</v>
      </c>
      <c r="BJ718" s="41"/>
      <c r="BK718" s="41"/>
      <c r="BL718" s="41"/>
      <c r="BM718" s="41"/>
      <c r="BN718" s="41"/>
      <c r="BO718" s="41"/>
      <c r="BP718" s="581" t="s">
        <v>845</v>
      </c>
      <c r="BQ718" s="580">
        <v>2882</v>
      </c>
      <c r="BR718" s="580">
        <v>3088</v>
      </c>
      <c r="BS718" s="580">
        <v>3706</v>
      </c>
      <c r="BT718" s="580">
        <v>4282</v>
      </c>
      <c r="BU718" s="580">
        <v>4776</v>
      </c>
      <c r="BV718" s="580">
        <v>5272</v>
      </c>
      <c r="BX718" s="41"/>
      <c r="BY718" s="41"/>
      <c r="BZ718" s="41"/>
      <c r="CA718" s="41"/>
      <c r="CB718" s="41"/>
      <c r="CC718" s="41"/>
      <c r="CD718" s="41"/>
      <c r="CE718" s="41"/>
      <c r="CF718" s="41"/>
      <c r="CG718" s="41"/>
      <c r="CH718" s="41"/>
      <c r="CI718" s="41"/>
      <c r="CJ718" s="41"/>
      <c r="CK718" s="41"/>
      <c r="CL718" s="41"/>
      <c r="CM718" s="41"/>
      <c r="CN718" s="41"/>
      <c r="CO718" s="41"/>
      <c r="CP718" s="41"/>
      <c r="CQ718" s="41"/>
      <c r="CR718" s="41"/>
      <c r="CS718" s="41"/>
    </row>
    <row r="719" spans="2:97" ht="12.95" customHeight="1">
      <c r="C719" s="1098"/>
      <c r="D719" s="1098"/>
      <c r="E719" s="1098"/>
      <c r="F719" s="1098"/>
      <c r="G719" s="1098"/>
      <c r="H719" s="1098"/>
      <c r="I719" s="1098"/>
      <c r="J719" s="1098"/>
      <c r="K719" s="1098"/>
      <c r="L719" s="1098"/>
      <c r="M719" s="1098"/>
      <c r="N719" s="1098"/>
      <c r="O719" s="1098"/>
      <c r="P719" s="1098"/>
      <c r="Q719" s="1098"/>
      <c r="R719" s="1098"/>
      <c r="S719" s="1098"/>
      <c r="T719" s="1098"/>
      <c r="U719" s="1098"/>
      <c r="V719" s="1098"/>
      <c r="W719" s="1098"/>
      <c r="X719" s="1098"/>
      <c r="Y719" s="1098"/>
      <c r="Z719" s="1098"/>
      <c r="AA719" s="1098"/>
      <c r="AB719" s="1098"/>
      <c r="AC719" s="1098"/>
      <c r="AD719" s="1098"/>
      <c r="AE719" s="1098"/>
      <c r="AF719" s="1098"/>
      <c r="AG719" s="1098"/>
      <c r="AH719" s="1098"/>
      <c r="AL719" s="41"/>
      <c r="AM719" s="41"/>
      <c r="BA719" s="41"/>
      <c r="BB719" s="41"/>
      <c r="BC719" s="41"/>
      <c r="BD719" s="41"/>
      <c r="BE719" s="41"/>
      <c r="BF719" s="41"/>
      <c r="BG719" s="858">
        <f t="shared" si="31"/>
        <v>7</v>
      </c>
      <c r="BH719" s="862">
        <f t="shared" si="32"/>
        <v>0.18421052631578946</v>
      </c>
      <c r="BI719" s="863">
        <f t="shared" si="33"/>
        <v>0.1105660163339383</v>
      </c>
      <c r="BJ719" s="41"/>
      <c r="BK719" s="41"/>
      <c r="BL719" s="41"/>
      <c r="BM719" s="41"/>
      <c r="BN719" s="41"/>
      <c r="BO719" s="41"/>
      <c r="BP719" s="581" t="s">
        <v>846</v>
      </c>
      <c r="BQ719" s="580">
        <v>1470</v>
      </c>
      <c r="BR719" s="580">
        <v>1574</v>
      </c>
      <c r="BS719" s="580">
        <v>1890</v>
      </c>
      <c r="BT719" s="580">
        <v>2184</v>
      </c>
      <c r="BU719" s="580">
        <v>2436</v>
      </c>
      <c r="BV719" s="580">
        <v>2688</v>
      </c>
      <c r="BX719" s="41"/>
      <c r="BY719" s="41"/>
      <c r="BZ719" s="41"/>
      <c r="CA719" s="41"/>
      <c r="CB719" s="41"/>
      <c r="CC719" s="41"/>
      <c r="CD719" s="41"/>
      <c r="CE719" s="41"/>
      <c r="CF719" s="41"/>
      <c r="CG719" s="41"/>
      <c r="CH719" s="41"/>
      <c r="CI719" s="41"/>
      <c r="CJ719" s="41"/>
      <c r="CK719" s="41"/>
      <c r="CL719" s="41"/>
      <c r="CM719" s="41"/>
      <c r="CN719" s="41"/>
      <c r="CO719" s="41"/>
      <c r="CP719" s="41"/>
      <c r="CQ719" s="41"/>
      <c r="CR719" s="41"/>
      <c r="CS719" s="41"/>
    </row>
    <row r="720" spans="2:97" ht="12.95" customHeight="1">
      <c r="C720" s="270" t="s">
        <v>2157</v>
      </c>
      <c r="D720" s="929"/>
      <c r="E720" s="929"/>
      <c r="F720" s="929"/>
      <c r="G720" s="930"/>
      <c r="H720" s="930"/>
      <c r="I720" s="930"/>
      <c r="J720" s="930"/>
      <c r="K720" s="929"/>
      <c r="L720" s="929"/>
      <c r="M720" s="929"/>
      <c r="N720" s="929"/>
      <c r="O720" s="1238">
        <f>CQ615</f>
        <v>66</v>
      </c>
      <c r="P720" s="1238"/>
      <c r="Q720" s="1238"/>
      <c r="R720" s="1238"/>
      <c r="S720" s="931"/>
      <c r="T720" s="931"/>
      <c r="U720" s="270" t="s">
        <v>2158</v>
      </c>
      <c r="V720" s="929"/>
      <c r="W720" s="929"/>
      <c r="X720" s="929"/>
      <c r="Y720" s="930"/>
      <c r="Z720" s="930"/>
      <c r="AA720" s="930"/>
      <c r="AB720" s="930"/>
      <c r="AC720" s="929"/>
      <c r="AD720" s="929"/>
      <c r="AE720" s="929"/>
      <c r="AF720" s="929"/>
      <c r="AG720" s="1271">
        <v>25</v>
      </c>
      <c r="AH720" s="1271"/>
      <c r="AI720" s="1271"/>
      <c r="AJ720" s="1271"/>
      <c r="AK720" s="41"/>
      <c r="AL720" s="41"/>
      <c r="AM720" s="41"/>
      <c r="BA720" s="41"/>
      <c r="BB720" s="41"/>
      <c r="BC720" s="41"/>
      <c r="BD720" s="41"/>
      <c r="BE720" s="41"/>
      <c r="BF720" s="41"/>
      <c r="BG720" s="858">
        <f t="shared" si="31"/>
        <v>6</v>
      </c>
      <c r="BH720" s="862">
        <f t="shared" si="32"/>
        <v>0.15789473684210525</v>
      </c>
      <c r="BI720" s="863">
        <f t="shared" si="33"/>
        <v>9.4781029065200306E-2</v>
      </c>
      <c r="BJ720" s="41"/>
      <c r="BK720" s="41"/>
      <c r="BL720" s="41"/>
      <c r="BM720" s="41"/>
      <c r="BN720" s="41"/>
      <c r="BO720" s="41"/>
      <c r="BP720" s="581" t="s">
        <v>847</v>
      </c>
      <c r="BQ720" s="580">
        <v>1496</v>
      </c>
      <c r="BR720" s="580">
        <v>1602</v>
      </c>
      <c r="BS720" s="580">
        <v>1924</v>
      </c>
      <c r="BT720" s="580">
        <v>2222</v>
      </c>
      <c r="BU720" s="580">
        <v>2480</v>
      </c>
      <c r="BV720" s="580">
        <v>2736</v>
      </c>
      <c r="BX720" s="41"/>
      <c r="BY720" s="41"/>
      <c r="BZ720" s="41"/>
      <c r="CA720" s="41"/>
      <c r="CB720" s="41"/>
      <c r="CC720" s="41"/>
      <c r="CD720" s="41"/>
      <c r="CE720" s="41"/>
      <c r="CF720" s="41"/>
      <c r="CG720" s="41"/>
      <c r="CH720" s="41"/>
      <c r="CI720" s="41"/>
      <c r="CJ720" s="41"/>
      <c r="CK720" s="41"/>
      <c r="CL720" s="41"/>
      <c r="CM720" s="41"/>
      <c r="CN720" s="41"/>
      <c r="CO720" s="41"/>
      <c r="CP720" s="41"/>
      <c r="CQ720" s="41"/>
      <c r="CR720" s="41"/>
      <c r="CS720" s="41"/>
    </row>
    <row r="721" spans="1:97" ht="12.95" customHeight="1">
      <c r="B721" s="498"/>
      <c r="C721" s="499"/>
      <c r="D721" s="499"/>
      <c r="E721" s="499"/>
      <c r="F721" s="499"/>
      <c r="G721" s="500"/>
      <c r="H721" s="500"/>
      <c r="I721" s="500"/>
      <c r="J721" s="500"/>
      <c r="K721" s="499"/>
      <c r="L721" s="499"/>
      <c r="M721" s="499"/>
      <c r="N721" s="499"/>
      <c r="O721" s="499"/>
      <c r="P721" s="403"/>
      <c r="Q721" s="403"/>
      <c r="R721" s="403"/>
      <c r="S721" s="403"/>
      <c r="T721" s="403"/>
      <c r="U721" s="365"/>
      <c r="V721" s="365"/>
      <c r="W721" s="365"/>
      <c r="X721" s="365"/>
      <c r="Y721" s="499"/>
      <c r="Z721" s="499"/>
      <c r="AA721" s="499"/>
      <c r="AB721" s="499"/>
      <c r="AC721" s="499"/>
      <c r="AD721" s="506"/>
      <c r="AE721" s="383"/>
      <c r="AF721" s="383"/>
      <c r="AG721" s="383"/>
      <c r="AH721" s="383"/>
      <c r="AL721" s="41"/>
      <c r="AM721" s="41"/>
      <c r="BA721" s="41"/>
      <c r="BB721" s="41"/>
      <c r="BC721" s="41"/>
      <c r="BD721" s="41"/>
      <c r="BE721" s="41"/>
      <c r="BF721" s="41"/>
      <c r="BG721" s="858">
        <f t="shared" si="31"/>
        <v>0</v>
      </c>
      <c r="BH721" s="862">
        <f t="shared" si="32"/>
        <v>0</v>
      </c>
      <c r="BI721" s="863" t="str">
        <f t="shared" si="33"/>
        <v xml:space="preserve"> </v>
      </c>
      <c r="BJ721" s="41"/>
      <c r="BK721" s="41"/>
      <c r="BL721" s="41"/>
      <c r="BM721" s="41"/>
      <c r="BN721" s="41"/>
      <c r="BO721" s="41"/>
      <c r="BP721" s="581" t="s">
        <v>848</v>
      </c>
      <c r="BQ721" s="580">
        <v>1444</v>
      </c>
      <c r="BR721" s="580">
        <v>1546</v>
      </c>
      <c r="BS721" s="580">
        <v>1856</v>
      </c>
      <c r="BT721" s="580">
        <v>2144</v>
      </c>
      <c r="BU721" s="580">
        <v>2392</v>
      </c>
      <c r="BV721" s="580">
        <v>2640</v>
      </c>
      <c r="BX721" s="41"/>
      <c r="BY721" s="41"/>
      <c r="BZ721" s="41"/>
      <c r="CA721" s="41"/>
      <c r="CB721" s="41"/>
      <c r="CC721" s="41"/>
      <c r="CD721" s="41"/>
      <c r="CE721" s="41"/>
      <c r="CF721" s="41"/>
      <c r="CG721" s="41"/>
      <c r="CH721" s="41"/>
      <c r="CI721" s="41"/>
      <c r="CJ721" s="41"/>
      <c r="CK721" s="41"/>
      <c r="CL721" s="41"/>
      <c r="CM721" s="41"/>
      <c r="CN721" s="41"/>
      <c r="CO721" s="41"/>
      <c r="CP721" s="41"/>
      <c r="CQ721" s="41"/>
      <c r="CR721" s="41"/>
      <c r="CS721" s="41"/>
    </row>
    <row r="722" spans="1:97" ht="12.95" customHeight="1">
      <c r="B722" s="932" t="s">
        <v>2155</v>
      </c>
      <c r="C722" s="499"/>
      <c r="D722" s="499"/>
      <c r="E722" s="499"/>
      <c r="F722" s="499"/>
      <c r="G722" s="500"/>
      <c r="H722" s="500"/>
      <c r="I722" s="500"/>
      <c r="J722" s="500"/>
      <c r="K722" s="499"/>
      <c r="L722" s="499"/>
      <c r="M722" s="499"/>
      <c r="N722" s="499"/>
      <c r="O722" s="499"/>
      <c r="P722" s="403"/>
      <c r="Q722" s="403"/>
      <c r="R722" s="403"/>
      <c r="S722" s="403"/>
      <c r="T722" s="403"/>
      <c r="U722" s="365"/>
      <c r="V722" s="365"/>
      <c r="W722" s="365"/>
      <c r="X722" s="365"/>
      <c r="Y722" s="499"/>
      <c r="Z722" s="1509" t="s">
        <v>132</v>
      </c>
      <c r="AA722" s="1509"/>
      <c r="AB722" s="1509"/>
      <c r="AF722" s="365"/>
      <c r="AG722" s="383"/>
      <c r="AH722" s="383"/>
      <c r="AL722" s="41"/>
      <c r="AM722" s="41"/>
      <c r="BA722" s="41"/>
      <c r="BB722" s="41"/>
      <c r="BC722" s="41"/>
      <c r="BD722" s="41"/>
      <c r="BE722" s="41"/>
      <c r="BF722" s="41"/>
      <c r="BG722" s="858">
        <f t="shared" si="31"/>
        <v>0</v>
      </c>
      <c r="BH722" s="862">
        <f t="shared" si="32"/>
        <v>0</v>
      </c>
      <c r="BI722" s="863" t="str">
        <f t="shared" si="33"/>
        <v xml:space="preserve"> </v>
      </c>
      <c r="BJ722" s="41"/>
      <c r="BK722" s="41"/>
      <c r="BL722" s="41"/>
      <c r="BM722" s="41"/>
      <c r="BN722" s="41"/>
      <c r="BO722" s="41"/>
      <c r="BP722" s="581" t="s">
        <v>849</v>
      </c>
      <c r="BQ722" s="580">
        <v>2002</v>
      </c>
      <c r="BR722" s="580">
        <v>2146</v>
      </c>
      <c r="BS722" s="580">
        <v>2574</v>
      </c>
      <c r="BT722" s="580">
        <v>2974</v>
      </c>
      <c r="BU722" s="580">
        <v>3320</v>
      </c>
      <c r="BV722" s="580">
        <v>3662</v>
      </c>
      <c r="BX722" s="41"/>
      <c r="BY722" s="41"/>
      <c r="BZ722" s="41"/>
      <c r="CA722" s="41"/>
      <c r="CB722" s="41"/>
      <c r="CC722" s="41"/>
      <c r="CD722" s="41"/>
      <c r="CE722" s="41"/>
      <c r="CF722" s="41"/>
      <c r="CG722" s="41"/>
      <c r="CH722" s="41"/>
      <c r="CI722" s="41"/>
      <c r="CJ722" s="41"/>
      <c r="CK722" s="41"/>
      <c r="CL722" s="41"/>
      <c r="CM722" s="41"/>
      <c r="CN722" s="41"/>
      <c r="CO722" s="41"/>
      <c r="CP722" s="41"/>
      <c r="CQ722" s="41"/>
      <c r="CR722" s="41"/>
      <c r="CS722" s="41"/>
    </row>
    <row r="723" spans="1:97" ht="12.95" customHeight="1">
      <c r="B723" s="971" t="s">
        <v>2154</v>
      </c>
      <c r="C723" s="971"/>
      <c r="D723" s="971"/>
      <c r="E723" s="971"/>
      <c r="F723" s="971"/>
      <c r="G723" s="971"/>
      <c r="H723" s="971"/>
      <c r="I723" s="971"/>
      <c r="J723" s="971"/>
      <c r="K723" s="971"/>
      <c r="L723" s="971"/>
      <c r="M723" s="971"/>
      <c r="N723" s="971"/>
      <c r="O723" s="971"/>
      <c r="P723" s="971"/>
      <c r="Q723" s="971"/>
      <c r="R723" s="971"/>
      <c r="S723" s="971"/>
      <c r="T723" s="971"/>
      <c r="U723" s="971"/>
      <c r="V723" s="971"/>
      <c r="W723" s="971"/>
      <c r="X723" s="971"/>
      <c r="Y723" s="971"/>
      <c r="Z723" s="971"/>
      <c r="AA723" s="971"/>
      <c r="AB723" s="971"/>
      <c r="AC723" s="971"/>
      <c r="AD723" s="971"/>
      <c r="AE723" s="971"/>
      <c r="AF723" s="971"/>
      <c r="AG723" s="971"/>
      <c r="AH723" s="971"/>
      <c r="AI723" s="971"/>
      <c r="AJ723" s="971"/>
      <c r="AK723" s="971"/>
      <c r="AL723" s="971"/>
      <c r="AM723" s="41"/>
      <c r="BA723" s="41"/>
      <c r="BB723" s="41"/>
      <c r="BC723" s="41"/>
      <c r="BD723" s="41"/>
      <c r="BE723" s="41"/>
      <c r="BF723" s="41"/>
      <c r="BG723" s="858">
        <f t="shared" si="31"/>
        <v>0</v>
      </c>
      <c r="BH723" s="862">
        <f t="shared" si="32"/>
        <v>0</v>
      </c>
      <c r="BI723" s="863" t="str">
        <f t="shared" si="33"/>
        <v xml:space="preserve"> </v>
      </c>
      <c r="BJ723" s="41"/>
      <c r="BK723" s="41"/>
      <c r="BL723" s="41"/>
      <c r="BM723" s="41"/>
      <c r="BN723" s="41"/>
      <c r="BO723" s="41"/>
      <c r="BP723" s="581" t="s">
        <v>885</v>
      </c>
      <c r="BQ723" s="580">
        <v>2202</v>
      </c>
      <c r="BR723" s="580">
        <v>2360</v>
      </c>
      <c r="BS723" s="580">
        <v>2832</v>
      </c>
      <c r="BT723" s="580">
        <v>3270</v>
      </c>
      <c r="BU723" s="580">
        <v>3650</v>
      </c>
      <c r="BV723" s="580">
        <v>4026</v>
      </c>
      <c r="BX723" s="41"/>
      <c r="BY723" s="41"/>
      <c r="BZ723" s="41"/>
      <c r="CA723" s="41"/>
      <c r="CB723" s="41"/>
      <c r="CC723" s="41"/>
      <c r="CD723" s="41"/>
      <c r="CE723" s="41"/>
      <c r="CF723" s="41"/>
      <c r="CG723" s="41"/>
      <c r="CH723" s="41"/>
      <c r="CI723" s="41"/>
      <c r="CJ723" s="41"/>
      <c r="CK723" s="41"/>
      <c r="CL723" s="41"/>
      <c r="CM723" s="41"/>
      <c r="CN723" s="41"/>
      <c r="CO723" s="41"/>
      <c r="CP723" s="41"/>
      <c r="CQ723" s="41"/>
      <c r="CR723" s="41"/>
      <c r="CS723" s="41"/>
    </row>
    <row r="724" spans="1:97" ht="20.25" customHeight="1">
      <c r="B724" s="971"/>
      <c r="C724" s="971"/>
      <c r="D724" s="971"/>
      <c r="E724" s="971"/>
      <c r="F724" s="971"/>
      <c r="G724" s="971"/>
      <c r="H724" s="971"/>
      <c r="I724" s="971"/>
      <c r="J724" s="971"/>
      <c r="K724" s="971"/>
      <c r="L724" s="971"/>
      <c r="M724" s="971"/>
      <c r="N724" s="971"/>
      <c r="O724" s="971"/>
      <c r="P724" s="971"/>
      <c r="Q724" s="971"/>
      <c r="R724" s="971"/>
      <c r="S724" s="971"/>
      <c r="T724" s="971"/>
      <c r="U724" s="971"/>
      <c r="V724" s="971"/>
      <c r="W724" s="971"/>
      <c r="X724" s="971"/>
      <c r="Y724" s="971"/>
      <c r="Z724" s="971"/>
      <c r="AA724" s="971"/>
      <c r="AB724" s="971"/>
      <c r="AC724" s="971"/>
      <c r="AD724" s="971"/>
      <c r="AE724" s="971"/>
      <c r="AF724" s="971"/>
      <c r="AG724" s="971"/>
      <c r="AH724" s="971"/>
      <c r="AI724" s="971"/>
      <c r="AJ724" s="971"/>
      <c r="AK724" s="971"/>
      <c r="AL724" s="971"/>
      <c r="AM724" s="41"/>
      <c r="BA724" s="41"/>
      <c r="BB724" s="41"/>
      <c r="BC724" s="41"/>
      <c r="BD724" s="41"/>
      <c r="BE724" s="41"/>
      <c r="BF724" s="41"/>
      <c r="BG724" s="858">
        <f t="shared" si="31"/>
        <v>0</v>
      </c>
      <c r="BH724" s="862">
        <f t="shared" si="32"/>
        <v>0</v>
      </c>
      <c r="BI724" s="863" t="str">
        <f t="shared" si="33"/>
        <v xml:space="preserve"> </v>
      </c>
      <c r="BJ724" s="41"/>
      <c r="BK724" s="41"/>
      <c r="BL724" s="41"/>
      <c r="BM724" s="41"/>
      <c r="BN724" s="41"/>
      <c r="BO724" s="41"/>
      <c r="BP724" s="581" t="s">
        <v>850</v>
      </c>
      <c r="BQ724" s="580">
        <v>1476</v>
      </c>
      <c r="BR724" s="580">
        <v>1582</v>
      </c>
      <c r="BS724" s="580">
        <v>1900</v>
      </c>
      <c r="BT724" s="580">
        <v>2194</v>
      </c>
      <c r="BU724" s="580">
        <v>2450</v>
      </c>
      <c r="BV724" s="580">
        <v>2702</v>
      </c>
      <c r="BX724" s="41"/>
      <c r="BY724" s="41"/>
      <c r="BZ724" s="41"/>
      <c r="CA724" s="41"/>
      <c r="CB724" s="41"/>
      <c r="CC724" s="41"/>
      <c r="CD724" s="41"/>
      <c r="CE724" s="41"/>
      <c r="CF724" s="41"/>
      <c r="CG724" s="41"/>
      <c r="CH724" s="41"/>
      <c r="CI724" s="41"/>
      <c r="CJ724" s="41"/>
      <c r="CK724" s="41"/>
      <c r="CL724" s="41"/>
      <c r="CM724" s="41"/>
      <c r="CN724" s="41"/>
      <c r="CO724" s="41"/>
      <c r="CP724" s="41"/>
      <c r="CQ724" s="41"/>
      <c r="CR724" s="41"/>
      <c r="CS724" s="41"/>
    </row>
    <row r="725" spans="1:97" ht="12.95" customHeight="1">
      <c r="A725" s="3" t="s">
        <v>8</v>
      </c>
      <c r="B725" s="62"/>
      <c r="C725" s="63" t="s">
        <v>378</v>
      </c>
      <c r="D725" s="927"/>
      <c r="E725" s="927"/>
      <c r="F725" s="927"/>
      <c r="G725" s="927"/>
      <c r="H725" s="927"/>
      <c r="I725" s="927"/>
      <c r="J725" s="927"/>
      <c r="K725" s="927"/>
      <c r="L725" s="927"/>
      <c r="M725" s="927"/>
      <c r="N725" s="927"/>
      <c r="O725" s="927"/>
      <c r="P725" s="927"/>
      <c r="Q725" s="927"/>
      <c r="R725" s="927"/>
      <c r="S725" s="927"/>
      <c r="T725" s="927"/>
      <c r="U725" s="927"/>
      <c r="V725" s="927"/>
      <c r="W725" s="927"/>
      <c r="X725" s="927"/>
      <c r="Y725" s="927"/>
      <c r="Z725" s="927"/>
      <c r="AA725" s="927"/>
      <c r="AB725" s="927"/>
      <c r="AC725" s="927"/>
      <c r="AD725" s="927"/>
      <c r="AE725" s="927"/>
      <c r="AF725" s="927"/>
      <c r="AG725" s="927"/>
      <c r="AH725" s="927"/>
      <c r="AI725" s="927"/>
      <c r="AJ725" s="927"/>
      <c r="AK725" s="927"/>
      <c r="AM725" s="41"/>
      <c r="BA725" s="41"/>
      <c r="BB725" s="41"/>
      <c r="BC725" s="41"/>
      <c r="BD725" s="41"/>
      <c r="BE725" s="41"/>
      <c r="BF725" s="41"/>
      <c r="BG725" s="858">
        <f t="shared" si="31"/>
        <v>0</v>
      </c>
      <c r="BH725" s="862">
        <f t="shared" si="32"/>
        <v>0</v>
      </c>
      <c r="BI725" s="863" t="str">
        <f t="shared" si="33"/>
        <v xml:space="preserve"> </v>
      </c>
      <c r="BJ725" s="41"/>
      <c r="BK725" s="41"/>
      <c r="BL725" s="41"/>
      <c r="BM725" s="41"/>
      <c r="BN725" s="41"/>
      <c r="BO725" s="41"/>
      <c r="BP725" s="581" t="s">
        <v>851</v>
      </c>
      <c r="BQ725" s="580">
        <v>1444</v>
      </c>
      <c r="BR725" s="580">
        <v>1546</v>
      </c>
      <c r="BS725" s="580">
        <v>1856</v>
      </c>
      <c r="BT725" s="580">
        <v>2144</v>
      </c>
      <c r="BU725" s="580">
        <v>2392</v>
      </c>
      <c r="BV725" s="580">
        <v>2640</v>
      </c>
      <c r="BX725" s="41"/>
      <c r="BY725" s="41"/>
      <c r="BZ725" s="41"/>
      <c r="CA725" s="41"/>
      <c r="CB725" s="41"/>
      <c r="CC725" s="41"/>
      <c r="CD725" s="41"/>
      <c r="CE725" s="41"/>
      <c r="CF725" s="41"/>
      <c r="CG725" s="41"/>
      <c r="CH725" s="41"/>
      <c r="CI725" s="41"/>
      <c r="CJ725" s="41"/>
      <c r="CK725" s="41"/>
      <c r="CL725" s="41"/>
      <c r="CM725" s="41"/>
      <c r="CN725" s="41"/>
      <c r="CO725" s="41"/>
      <c r="CP725" s="41"/>
      <c r="CQ725" s="41"/>
      <c r="CR725" s="41"/>
      <c r="CS725" s="41"/>
    </row>
    <row r="726" spans="1:97" ht="12.95" customHeight="1">
      <c r="A726" s="3"/>
      <c r="B726" s="62"/>
      <c r="C726" s="971" t="s">
        <v>1584</v>
      </c>
      <c r="D726" s="971"/>
      <c r="E726" s="971"/>
      <c r="F726" s="971"/>
      <c r="G726" s="971"/>
      <c r="H726" s="971"/>
      <c r="I726" s="971"/>
      <c r="J726" s="971"/>
      <c r="K726" s="971"/>
      <c r="L726" s="971"/>
      <c r="M726" s="971"/>
      <c r="N726" s="971"/>
      <c r="O726" s="971"/>
      <c r="P726" s="971"/>
      <c r="Q726" s="971"/>
      <c r="R726" s="971"/>
      <c r="S726" s="971"/>
      <c r="T726" s="971"/>
      <c r="U726" s="971"/>
      <c r="V726" s="971"/>
      <c r="W726" s="971"/>
      <c r="X726" s="971"/>
      <c r="Y726" s="971"/>
      <c r="Z726" s="971"/>
      <c r="AA726" s="971"/>
      <c r="AB726" s="971"/>
      <c r="AC726" s="971"/>
      <c r="AD726" s="971"/>
      <c r="AE726" s="971"/>
      <c r="AF726" s="971"/>
      <c r="AG726" s="971"/>
      <c r="AH726" s="971"/>
      <c r="AI726" s="971"/>
      <c r="AJ726" s="971"/>
      <c r="AK726" s="971"/>
      <c r="AL726" s="971"/>
      <c r="AM726" s="971"/>
      <c r="BA726" s="41"/>
      <c r="BB726" s="41"/>
      <c r="BC726" s="41"/>
      <c r="BD726" s="41"/>
      <c r="BE726" s="41"/>
      <c r="BF726" s="41"/>
      <c r="BG726" s="858">
        <f t="shared" si="31"/>
        <v>0</v>
      </c>
      <c r="BH726" s="862">
        <f t="shared" si="32"/>
        <v>0</v>
      </c>
      <c r="BI726" s="863" t="str">
        <f t="shared" si="33"/>
        <v xml:space="preserve"> </v>
      </c>
      <c r="BJ726" s="41"/>
      <c r="BK726" s="41"/>
      <c r="BL726" s="41"/>
      <c r="BM726" s="41"/>
      <c r="BN726" s="41"/>
      <c r="BO726" s="41"/>
      <c r="BP726" s="581" t="s">
        <v>852</v>
      </c>
      <c r="BQ726" s="580">
        <v>1444</v>
      </c>
      <c r="BR726" s="580">
        <v>1546</v>
      </c>
      <c r="BS726" s="580">
        <v>1856</v>
      </c>
      <c r="BT726" s="580">
        <v>2144</v>
      </c>
      <c r="BU726" s="580">
        <v>2392</v>
      </c>
      <c r="BV726" s="580">
        <v>2640</v>
      </c>
      <c r="BX726" s="41"/>
      <c r="BY726" s="41"/>
      <c r="BZ726" s="41"/>
      <c r="CA726" s="41"/>
      <c r="CB726" s="41"/>
      <c r="CC726" s="41"/>
      <c r="CD726" s="41"/>
      <c r="CE726" s="41"/>
      <c r="CF726" s="41"/>
      <c r="CG726" s="41"/>
      <c r="CH726" s="41"/>
      <c r="CI726" s="41"/>
      <c r="CJ726" s="41"/>
      <c r="CK726" s="41"/>
      <c r="CL726" s="41"/>
      <c r="CM726" s="41"/>
      <c r="CN726" s="41"/>
      <c r="CO726" s="41"/>
      <c r="CP726" s="41"/>
      <c r="CQ726" s="41"/>
      <c r="CR726" s="41"/>
      <c r="CS726" s="41"/>
    </row>
    <row r="727" spans="1:97" ht="12.95" customHeight="1">
      <c r="A727" s="3"/>
      <c r="B727" s="62"/>
      <c r="C727" s="971"/>
      <c r="D727" s="971"/>
      <c r="E727" s="971"/>
      <c r="F727" s="971"/>
      <c r="G727" s="971"/>
      <c r="H727" s="971"/>
      <c r="I727" s="971"/>
      <c r="J727" s="971"/>
      <c r="K727" s="971"/>
      <c r="L727" s="971"/>
      <c r="M727" s="971"/>
      <c r="N727" s="971"/>
      <c r="O727" s="971"/>
      <c r="P727" s="971"/>
      <c r="Q727" s="971"/>
      <c r="R727" s="971"/>
      <c r="S727" s="971"/>
      <c r="T727" s="971"/>
      <c r="U727" s="971"/>
      <c r="V727" s="971"/>
      <c r="W727" s="971"/>
      <c r="X727" s="971"/>
      <c r="Y727" s="971"/>
      <c r="Z727" s="971"/>
      <c r="AA727" s="971"/>
      <c r="AB727" s="971"/>
      <c r="AC727" s="971"/>
      <c r="AD727" s="971"/>
      <c r="AE727" s="971"/>
      <c r="AF727" s="971"/>
      <c r="AG727" s="971"/>
      <c r="AH727" s="971"/>
      <c r="AI727" s="971"/>
      <c r="AJ727" s="971"/>
      <c r="AK727" s="971"/>
      <c r="AL727" s="971"/>
      <c r="AM727" s="971"/>
      <c r="BA727" s="41"/>
      <c r="BB727" s="41"/>
      <c r="BC727" s="41"/>
      <c r="BD727" s="41"/>
      <c r="BE727" s="41"/>
      <c r="BF727" s="41"/>
      <c r="BG727" s="858">
        <f t="shared" si="31"/>
        <v>0</v>
      </c>
      <c r="BH727" s="862">
        <f t="shared" si="32"/>
        <v>0</v>
      </c>
      <c r="BI727" s="863" t="str">
        <f t="shared" si="33"/>
        <v xml:space="preserve"> </v>
      </c>
      <c r="BJ727" s="41"/>
      <c r="BK727" s="41"/>
      <c r="BL727" s="41"/>
      <c r="BM727" s="41"/>
      <c r="BN727" s="41"/>
      <c r="BO727" s="41"/>
      <c r="BP727" s="581" t="s">
        <v>853</v>
      </c>
      <c r="BQ727" s="580">
        <v>1444</v>
      </c>
      <c r="BR727" s="580">
        <v>1546</v>
      </c>
      <c r="BS727" s="580">
        <v>1856</v>
      </c>
      <c r="BT727" s="580">
        <v>2144</v>
      </c>
      <c r="BU727" s="580">
        <v>2392</v>
      </c>
      <c r="BV727" s="580">
        <v>2640</v>
      </c>
      <c r="BX727" s="41"/>
      <c r="BY727" s="41"/>
      <c r="BZ727" s="41"/>
      <c r="CA727" s="41"/>
      <c r="CB727" s="41"/>
      <c r="CC727" s="41"/>
      <c r="CD727" s="41"/>
      <c r="CE727" s="41"/>
      <c r="CF727" s="41"/>
      <c r="CG727" s="41"/>
      <c r="CH727" s="41"/>
      <c r="CI727" s="41"/>
      <c r="CJ727" s="41"/>
      <c r="CK727" s="41"/>
      <c r="CL727" s="41"/>
      <c r="CM727" s="41"/>
      <c r="CN727" s="41"/>
      <c r="CO727" s="41"/>
      <c r="CP727" s="41"/>
      <c r="CQ727" s="41"/>
      <c r="CR727" s="41"/>
      <c r="CS727" s="41"/>
    </row>
    <row r="728" spans="1:97" ht="12.95" customHeight="1">
      <c r="A728" s="3"/>
      <c r="B728" s="62"/>
      <c r="C728" s="971"/>
      <c r="D728" s="971"/>
      <c r="E728" s="971"/>
      <c r="F728" s="971"/>
      <c r="G728" s="971"/>
      <c r="H728" s="971"/>
      <c r="I728" s="971"/>
      <c r="J728" s="971"/>
      <c r="K728" s="971"/>
      <c r="L728" s="971"/>
      <c r="M728" s="971"/>
      <c r="N728" s="971"/>
      <c r="O728" s="971"/>
      <c r="P728" s="971"/>
      <c r="Q728" s="971"/>
      <c r="R728" s="971"/>
      <c r="S728" s="971"/>
      <c r="T728" s="971"/>
      <c r="U728" s="971"/>
      <c r="V728" s="971"/>
      <c r="W728" s="971"/>
      <c r="X728" s="971"/>
      <c r="Y728" s="971"/>
      <c r="Z728" s="971"/>
      <c r="AA728" s="971"/>
      <c r="AB728" s="971"/>
      <c r="AC728" s="971"/>
      <c r="AD728" s="971"/>
      <c r="AE728" s="971"/>
      <c r="AF728" s="971"/>
      <c r="AG728" s="971"/>
      <c r="AH728" s="971"/>
      <c r="AI728" s="971"/>
      <c r="AJ728" s="971"/>
      <c r="AK728" s="971"/>
      <c r="AL728" s="971"/>
      <c r="AM728" s="971"/>
      <c r="BA728" s="41"/>
      <c r="BB728" s="41"/>
      <c r="BC728" s="41"/>
      <c r="BD728" s="41"/>
      <c r="BE728" s="41"/>
      <c r="BF728" s="41"/>
      <c r="BG728" s="858">
        <f t="shared" si="31"/>
        <v>0</v>
      </c>
      <c r="BH728" s="862">
        <f t="shared" si="32"/>
        <v>0</v>
      </c>
      <c r="BI728" s="863" t="str">
        <f t="shared" si="33"/>
        <v xml:space="preserve"> </v>
      </c>
      <c r="BJ728" s="41"/>
      <c r="BK728" s="41"/>
      <c r="BL728" s="41"/>
      <c r="BM728" s="41"/>
      <c r="BN728" s="41"/>
      <c r="BO728" s="41"/>
      <c r="BP728" s="581" t="s">
        <v>854</v>
      </c>
      <c r="BQ728" s="580">
        <v>1444</v>
      </c>
      <c r="BR728" s="580">
        <v>1546</v>
      </c>
      <c r="BS728" s="580">
        <v>1856</v>
      </c>
      <c r="BT728" s="580">
        <v>2144</v>
      </c>
      <c r="BU728" s="580">
        <v>2392</v>
      </c>
      <c r="BV728" s="580">
        <v>2640</v>
      </c>
      <c r="BX728" s="41"/>
      <c r="BY728" s="41"/>
      <c r="BZ728" s="41"/>
      <c r="CA728" s="41"/>
      <c r="CB728" s="41"/>
      <c r="CC728" s="41"/>
      <c r="CD728" s="41"/>
      <c r="CE728" s="41"/>
      <c r="CF728" s="41"/>
      <c r="CG728" s="41"/>
      <c r="CH728" s="41"/>
      <c r="CI728" s="41"/>
      <c r="CJ728" s="41"/>
      <c r="CK728" s="41"/>
      <c r="CL728" s="41"/>
      <c r="CM728" s="41"/>
      <c r="CN728" s="41"/>
      <c r="CO728" s="41"/>
      <c r="CP728" s="41"/>
      <c r="CQ728" s="41"/>
      <c r="CR728" s="41"/>
      <c r="CS728" s="41"/>
    </row>
    <row r="729" spans="1:97" ht="12.95" customHeight="1">
      <c r="A729" s="3"/>
      <c r="B729" s="62"/>
      <c r="C729" s="971"/>
      <c r="D729" s="971"/>
      <c r="E729" s="971"/>
      <c r="F729" s="971"/>
      <c r="G729" s="971"/>
      <c r="H729" s="971"/>
      <c r="I729" s="971"/>
      <c r="J729" s="971"/>
      <c r="K729" s="971"/>
      <c r="L729" s="971"/>
      <c r="M729" s="971"/>
      <c r="N729" s="971"/>
      <c r="O729" s="971"/>
      <c r="P729" s="971"/>
      <c r="Q729" s="971"/>
      <c r="R729" s="971"/>
      <c r="S729" s="971"/>
      <c r="T729" s="971"/>
      <c r="U729" s="971"/>
      <c r="V729" s="971"/>
      <c r="W729" s="971"/>
      <c r="X729" s="971"/>
      <c r="Y729" s="971"/>
      <c r="Z729" s="971"/>
      <c r="AA729" s="971"/>
      <c r="AB729" s="971"/>
      <c r="AC729" s="971"/>
      <c r="AD729" s="971"/>
      <c r="AE729" s="971"/>
      <c r="AF729" s="971"/>
      <c r="AG729" s="971"/>
      <c r="AH729" s="971"/>
      <c r="AI729" s="971"/>
      <c r="AJ729" s="971"/>
      <c r="AK729" s="971"/>
      <c r="AL729" s="971"/>
      <c r="AM729" s="971"/>
      <c r="BA729" s="41"/>
      <c r="BB729" s="41"/>
      <c r="BC729" s="41"/>
      <c r="BD729" s="41"/>
      <c r="BE729" s="41"/>
      <c r="BF729" s="41"/>
      <c r="BG729" s="858">
        <f t="shared" si="31"/>
        <v>0</v>
      </c>
      <c r="BH729" s="862">
        <f t="shared" si="32"/>
        <v>0</v>
      </c>
      <c r="BI729" s="863" t="str">
        <f t="shared" si="33"/>
        <v xml:space="preserve"> </v>
      </c>
      <c r="BJ729" s="41"/>
      <c r="BK729" s="41"/>
      <c r="BL729" s="41"/>
      <c r="BM729" s="41"/>
      <c r="BN729" s="41"/>
      <c r="BO729" s="41"/>
      <c r="BP729" s="581" t="s">
        <v>22</v>
      </c>
      <c r="BQ729" s="580">
        <v>1542</v>
      </c>
      <c r="BR729" s="580">
        <v>1652</v>
      </c>
      <c r="BS729" s="580">
        <v>1982</v>
      </c>
      <c r="BT729" s="580">
        <v>2290</v>
      </c>
      <c r="BU729" s="580">
        <v>2554</v>
      </c>
      <c r="BV729" s="580">
        <v>2820</v>
      </c>
      <c r="BX729" s="41"/>
      <c r="BY729" s="41"/>
      <c r="BZ729" s="41"/>
      <c r="CA729" s="41"/>
      <c r="CB729" s="41"/>
      <c r="CC729" s="41"/>
      <c r="CD729" s="41"/>
      <c r="CE729" s="41"/>
      <c r="CF729" s="41"/>
      <c r="CG729" s="41"/>
      <c r="CH729" s="41"/>
      <c r="CI729" s="41"/>
      <c r="CJ729" s="41"/>
      <c r="CK729" s="41"/>
      <c r="CL729" s="41"/>
      <c r="CM729" s="41"/>
      <c r="CN729" s="41"/>
      <c r="CO729" s="41"/>
      <c r="CP729" s="41"/>
      <c r="CQ729" s="41"/>
      <c r="CR729" s="41"/>
      <c r="CS729" s="41"/>
    </row>
    <row r="730" spans="1:97" ht="12.95" customHeight="1">
      <c r="A730" s="3"/>
      <c r="B730" s="62"/>
      <c r="C730" s="971"/>
      <c r="D730" s="971"/>
      <c r="E730" s="971"/>
      <c r="F730" s="971"/>
      <c r="G730" s="971"/>
      <c r="H730" s="971"/>
      <c r="I730" s="971"/>
      <c r="J730" s="971"/>
      <c r="K730" s="971"/>
      <c r="L730" s="971"/>
      <c r="M730" s="971"/>
      <c r="N730" s="971"/>
      <c r="O730" s="971"/>
      <c r="P730" s="971"/>
      <c r="Q730" s="971"/>
      <c r="R730" s="971"/>
      <c r="S730" s="971"/>
      <c r="T730" s="971"/>
      <c r="U730" s="971"/>
      <c r="V730" s="971"/>
      <c r="W730" s="971"/>
      <c r="X730" s="971"/>
      <c r="Y730" s="971"/>
      <c r="Z730" s="971"/>
      <c r="AA730" s="971"/>
      <c r="AB730" s="971"/>
      <c r="AC730" s="971"/>
      <c r="AD730" s="971"/>
      <c r="AE730" s="971"/>
      <c r="AF730" s="971"/>
      <c r="AG730" s="971"/>
      <c r="AH730" s="971"/>
      <c r="AI730" s="971"/>
      <c r="AJ730" s="971"/>
      <c r="AK730" s="971"/>
      <c r="AL730" s="971"/>
      <c r="AM730" s="971"/>
      <c r="BA730" s="41"/>
      <c r="BB730" s="41"/>
      <c r="BC730" s="41"/>
      <c r="BD730" s="41"/>
      <c r="BE730" s="41"/>
      <c r="BF730" s="41"/>
      <c r="BG730" s="858">
        <f t="shared" si="31"/>
        <v>0</v>
      </c>
      <c r="BH730" s="862">
        <f t="shared" si="32"/>
        <v>0</v>
      </c>
      <c r="BI730" s="863" t="str">
        <f t="shared" si="33"/>
        <v xml:space="preserve"> </v>
      </c>
      <c r="BJ730" s="41"/>
      <c r="BK730" s="41"/>
      <c r="BL730" s="41"/>
      <c r="BM730" s="41"/>
      <c r="BN730" s="41"/>
      <c r="BO730" s="41"/>
      <c r="BP730" s="581" t="s">
        <v>855</v>
      </c>
      <c r="BQ730" s="580">
        <v>2324</v>
      </c>
      <c r="BR730" s="580">
        <v>2490</v>
      </c>
      <c r="BS730" s="580">
        <v>2990</v>
      </c>
      <c r="BT730" s="580">
        <v>3452</v>
      </c>
      <c r="BU730" s="580">
        <v>3852</v>
      </c>
      <c r="BV730" s="580">
        <v>4250</v>
      </c>
      <c r="BX730" s="41"/>
      <c r="BY730" s="41"/>
      <c r="BZ730" s="41"/>
      <c r="CA730" s="41"/>
      <c r="CB730" s="41"/>
      <c r="CC730" s="41"/>
      <c r="CD730" s="41"/>
      <c r="CE730" s="41"/>
      <c r="CF730" s="41"/>
      <c r="CG730" s="41"/>
      <c r="CH730" s="41"/>
      <c r="CI730" s="41"/>
      <c r="CJ730" s="41"/>
      <c r="CK730" s="41"/>
      <c r="CL730" s="41"/>
      <c r="CM730" s="41"/>
      <c r="CN730" s="41"/>
      <c r="CO730" s="41"/>
      <c r="CP730" s="41"/>
      <c r="CQ730" s="41"/>
      <c r="CR730" s="41"/>
      <c r="CS730" s="41"/>
    </row>
    <row r="731" spans="1:97" ht="12.95" customHeight="1">
      <c r="B731" s="62"/>
      <c r="C731" s="971"/>
      <c r="D731" s="971"/>
      <c r="E731" s="971"/>
      <c r="F731" s="971"/>
      <c r="G731" s="971"/>
      <c r="H731" s="971"/>
      <c r="I731" s="971"/>
      <c r="J731" s="971"/>
      <c r="K731" s="971"/>
      <c r="L731" s="971"/>
      <c r="M731" s="971"/>
      <c r="N731" s="971"/>
      <c r="O731" s="971"/>
      <c r="P731" s="971"/>
      <c r="Q731" s="971"/>
      <c r="R731" s="971"/>
      <c r="S731" s="971"/>
      <c r="T731" s="971"/>
      <c r="U731" s="971"/>
      <c r="V731" s="971"/>
      <c r="W731" s="971"/>
      <c r="X731" s="971"/>
      <c r="Y731" s="971"/>
      <c r="Z731" s="971"/>
      <c r="AA731" s="971"/>
      <c r="AB731" s="971"/>
      <c r="AC731" s="971"/>
      <c r="AD731" s="971"/>
      <c r="AE731" s="971"/>
      <c r="AF731" s="971"/>
      <c r="AG731" s="971"/>
      <c r="AH731" s="971"/>
      <c r="AI731" s="971"/>
      <c r="AJ731" s="971"/>
      <c r="AK731" s="971"/>
      <c r="AL731" s="971"/>
      <c r="AM731" s="971"/>
      <c r="BA731" s="41"/>
      <c r="BB731" s="41"/>
      <c r="BC731" s="41"/>
      <c r="BD731" s="41"/>
      <c r="BE731" s="41"/>
      <c r="BF731" s="41"/>
      <c r="BG731" s="861">
        <f t="shared" si="31"/>
        <v>0</v>
      </c>
      <c r="BH731" s="862">
        <f t="shared" si="32"/>
        <v>0</v>
      </c>
      <c r="BI731" s="863" t="str">
        <f t="shared" si="33"/>
        <v xml:space="preserve"> </v>
      </c>
      <c r="BJ731" s="41"/>
      <c r="BK731" s="41"/>
      <c r="BL731" s="41"/>
      <c r="BM731" s="41"/>
      <c r="BN731" s="41"/>
      <c r="BO731" s="41"/>
      <c r="BP731" s="581" t="s">
        <v>856</v>
      </c>
      <c r="BQ731" s="580">
        <v>1836</v>
      </c>
      <c r="BR731" s="580">
        <v>1968</v>
      </c>
      <c r="BS731" s="580">
        <v>2362</v>
      </c>
      <c r="BT731" s="580">
        <v>2726</v>
      </c>
      <c r="BU731" s="580">
        <v>3042</v>
      </c>
      <c r="BV731" s="580">
        <v>3356</v>
      </c>
      <c r="BX731" s="41"/>
      <c r="BY731" s="41"/>
      <c r="BZ731" s="41"/>
      <c r="CA731" s="41"/>
      <c r="CB731" s="41"/>
      <c r="CC731" s="41"/>
      <c r="CD731" s="41"/>
      <c r="CE731" s="41"/>
      <c r="CF731" s="41"/>
      <c r="CG731" s="41"/>
      <c r="CH731" s="41"/>
      <c r="CI731" s="41"/>
      <c r="CJ731" s="41"/>
      <c r="CK731" s="41"/>
      <c r="CL731" s="41"/>
      <c r="CM731" s="41"/>
      <c r="CN731" s="41"/>
      <c r="CO731" s="41"/>
      <c r="CP731" s="41"/>
      <c r="CQ731" s="41"/>
      <c r="CR731" s="41"/>
      <c r="CS731" s="41"/>
    </row>
    <row r="732" spans="1:97" ht="12.95" customHeight="1">
      <c r="B732" s="62"/>
      <c r="C732" s="971"/>
      <c r="D732" s="971"/>
      <c r="E732" s="971"/>
      <c r="F732" s="971"/>
      <c r="G732" s="971"/>
      <c r="H732" s="971"/>
      <c r="I732" s="971"/>
      <c r="J732" s="971"/>
      <c r="K732" s="971"/>
      <c r="L732" s="971"/>
      <c r="M732" s="971"/>
      <c r="N732" s="971"/>
      <c r="O732" s="971"/>
      <c r="P732" s="971"/>
      <c r="Q732" s="971"/>
      <c r="R732" s="971"/>
      <c r="S732" s="971"/>
      <c r="T732" s="971"/>
      <c r="U732" s="971"/>
      <c r="V732" s="971"/>
      <c r="W732" s="971"/>
      <c r="X732" s="971"/>
      <c r="Y732" s="971"/>
      <c r="Z732" s="971"/>
      <c r="AA732" s="971"/>
      <c r="AB732" s="971"/>
      <c r="AC732" s="971"/>
      <c r="AD732" s="971"/>
      <c r="AE732" s="971"/>
      <c r="AF732" s="971"/>
      <c r="AG732" s="971"/>
      <c r="AH732" s="971"/>
      <c r="AI732" s="971"/>
      <c r="AJ732" s="971"/>
      <c r="AK732" s="971"/>
      <c r="AL732" s="971"/>
      <c r="AM732" s="971"/>
      <c r="BA732" s="41"/>
      <c r="BB732" s="41"/>
      <c r="BC732" s="41"/>
      <c r="BD732" s="41"/>
      <c r="BE732" s="41"/>
      <c r="BF732" s="41"/>
      <c r="BG732" s="859">
        <f>SUM(BG707:BG731)</f>
        <v>38</v>
      </c>
      <c r="BH732" s="860">
        <f>SUM(BH707:BH731)</f>
        <v>0.99999999999999978</v>
      </c>
      <c r="BI732" s="860">
        <f>SUM(BI707:BI731)</f>
        <v>0.45537229645302724</v>
      </c>
      <c r="BJ732" s="41"/>
      <c r="BK732" s="41"/>
      <c r="BL732" s="41"/>
      <c r="BM732" s="41"/>
      <c r="BN732" s="41"/>
      <c r="BO732" s="41"/>
      <c r="BP732" s="581" t="s">
        <v>857</v>
      </c>
      <c r="BQ732" s="580">
        <v>1444</v>
      </c>
      <c r="BR732" s="580">
        <v>1546</v>
      </c>
      <c r="BS732" s="580">
        <v>1856</v>
      </c>
      <c r="BT732" s="580">
        <v>2144</v>
      </c>
      <c r="BU732" s="580">
        <v>2392</v>
      </c>
      <c r="BV732" s="580">
        <v>2640</v>
      </c>
      <c r="BX732" s="41"/>
      <c r="BY732" s="41"/>
      <c r="BZ732" s="41"/>
      <c r="CA732" s="41"/>
      <c r="CB732" s="41"/>
      <c r="CC732" s="41"/>
      <c r="CD732" s="41"/>
      <c r="CE732" s="41"/>
      <c r="CF732" s="41"/>
      <c r="CG732" s="41"/>
      <c r="CH732" s="41"/>
      <c r="CI732" s="41"/>
      <c r="CJ732" s="41"/>
      <c r="CK732" s="41"/>
      <c r="CL732" s="41"/>
      <c r="CM732" s="41"/>
      <c r="CN732" s="41"/>
      <c r="CO732" s="41"/>
      <c r="CP732" s="41"/>
      <c r="CQ732" s="41"/>
      <c r="CR732" s="41"/>
      <c r="CS732" s="41"/>
    </row>
    <row r="733" spans="1:97" ht="12.95" customHeight="1">
      <c r="B733" s="62"/>
      <c r="C733" s="971"/>
      <c r="D733" s="971"/>
      <c r="E733" s="971"/>
      <c r="F733" s="971"/>
      <c r="G733" s="971"/>
      <c r="H733" s="971"/>
      <c r="I733" s="971"/>
      <c r="J733" s="971"/>
      <c r="K733" s="971"/>
      <c r="L733" s="971"/>
      <c r="M733" s="971"/>
      <c r="N733" s="971"/>
      <c r="O733" s="971"/>
      <c r="P733" s="971"/>
      <c r="Q733" s="971"/>
      <c r="R733" s="971"/>
      <c r="S733" s="971"/>
      <c r="T733" s="971"/>
      <c r="U733" s="971"/>
      <c r="V733" s="971"/>
      <c r="W733" s="971"/>
      <c r="X733" s="971"/>
      <c r="Y733" s="971"/>
      <c r="Z733" s="971"/>
      <c r="AA733" s="971"/>
      <c r="AB733" s="971"/>
      <c r="AC733" s="971"/>
      <c r="AD733" s="971"/>
      <c r="AE733" s="971"/>
      <c r="AF733" s="971"/>
      <c r="AG733" s="971"/>
      <c r="AH733" s="971"/>
      <c r="AI733" s="971"/>
      <c r="AJ733" s="971"/>
      <c r="AK733" s="971"/>
      <c r="AL733" s="971"/>
      <c r="AM733" s="971"/>
      <c r="BA733" s="41"/>
      <c r="BB733" s="41"/>
      <c r="BC733" s="41"/>
      <c r="BD733" s="41"/>
      <c r="BE733" s="41"/>
      <c r="BF733" s="41"/>
      <c r="BG733" s="41"/>
      <c r="BH733" s="41"/>
      <c r="BI733" s="41"/>
      <c r="BJ733" s="41"/>
      <c r="BK733" s="41"/>
      <c r="BL733" s="41"/>
      <c r="BM733" s="41"/>
      <c r="BN733" s="41"/>
      <c r="BO733" s="41"/>
      <c r="BP733" s="466"/>
      <c r="BQ733" s="316"/>
      <c r="BR733" s="467"/>
      <c r="BS733" s="467"/>
      <c r="BT733" s="467"/>
      <c r="BU733" s="467"/>
      <c r="BV733" s="467"/>
      <c r="BW733" s="467"/>
      <c r="BX733" s="41"/>
      <c r="BY733" s="41"/>
      <c r="BZ733" s="41"/>
      <c r="CA733" s="41"/>
      <c r="CB733" s="41"/>
      <c r="CC733" s="41"/>
      <c r="CD733" s="41"/>
      <c r="CE733" s="41"/>
      <c r="CF733" s="41"/>
      <c r="CG733" s="41"/>
      <c r="CH733" s="41"/>
      <c r="CI733" s="41"/>
      <c r="CJ733" s="41"/>
      <c r="CK733" s="41"/>
      <c r="CL733" s="41"/>
      <c r="CM733" s="41"/>
      <c r="CN733" s="41"/>
      <c r="CO733" s="41"/>
      <c r="CP733" s="41"/>
      <c r="CQ733" s="41"/>
      <c r="CR733" s="41"/>
      <c r="CS733" s="41"/>
    </row>
    <row r="734" spans="1:97" ht="12.95" customHeight="1">
      <c r="J734" s="1250" t="s">
        <v>58</v>
      </c>
      <c r="K734" s="1251"/>
      <c r="L734" s="1251"/>
      <c r="M734" s="1251"/>
      <c r="N734" s="1252"/>
      <c r="O734" s="1265" t="s">
        <v>270</v>
      </c>
      <c r="P734" s="1265"/>
      <c r="Q734" s="1265"/>
      <c r="R734" s="1265"/>
      <c r="S734" s="1265"/>
      <c r="T734" s="1497" t="s">
        <v>2087</v>
      </c>
      <c r="U734" s="1498"/>
      <c r="V734" s="1498"/>
      <c r="W734" s="1499"/>
      <c r="X734" s="1250" t="s">
        <v>624</v>
      </c>
      <c r="Y734" s="1251"/>
      <c r="Z734" s="1251"/>
      <c r="AA734" s="1251"/>
      <c r="AB734" s="1252"/>
      <c r="AC734" s="1250" t="s">
        <v>271</v>
      </c>
      <c r="AD734" s="1251"/>
      <c r="AE734" s="1251"/>
      <c r="AF734" s="1251"/>
      <c r="AG734" s="1252"/>
      <c r="AM734" s="41"/>
      <c r="BN734" s="41"/>
      <c r="BO734" s="41"/>
      <c r="BP734" s="41"/>
      <c r="BQ734" s="41"/>
      <c r="BR734" s="41"/>
      <c r="BS734" s="41"/>
      <c r="BT734" s="41"/>
      <c r="BU734" s="41"/>
      <c r="BV734" s="41"/>
      <c r="BW734" s="41"/>
      <c r="BX734" s="41"/>
      <c r="BY734" s="41"/>
      <c r="BZ734" s="41"/>
      <c r="CA734" s="41"/>
      <c r="CB734" s="41"/>
      <c r="CC734" s="41"/>
      <c r="CD734" s="41"/>
      <c r="CE734" s="41"/>
      <c r="CF734" s="41"/>
      <c r="CG734" s="41"/>
      <c r="CH734" s="41"/>
      <c r="CI734" s="41"/>
      <c r="CJ734" s="41"/>
      <c r="CK734" s="41"/>
      <c r="CL734" s="41"/>
      <c r="CM734" s="41"/>
      <c r="CN734" s="41"/>
      <c r="CO734" s="41"/>
      <c r="CP734" s="41"/>
      <c r="CQ734" s="41"/>
      <c r="CR734" s="41"/>
      <c r="CS734" s="41"/>
    </row>
    <row r="735" spans="1:97" ht="12.95" customHeight="1">
      <c r="J735" s="1253"/>
      <c r="K735" s="1254"/>
      <c r="L735" s="1254"/>
      <c r="M735" s="1254"/>
      <c r="N735" s="1255"/>
      <c r="O735" s="1265"/>
      <c r="P735" s="1265"/>
      <c r="Q735" s="1265"/>
      <c r="R735" s="1265"/>
      <c r="S735" s="1265"/>
      <c r="T735" s="1500"/>
      <c r="U735" s="1501"/>
      <c r="V735" s="1501"/>
      <c r="W735" s="1502"/>
      <c r="X735" s="1253"/>
      <c r="Y735" s="1254"/>
      <c r="Z735" s="1254"/>
      <c r="AA735" s="1254"/>
      <c r="AB735" s="1255"/>
      <c r="AC735" s="1253"/>
      <c r="AD735" s="1254"/>
      <c r="AE735" s="1254"/>
      <c r="AF735" s="1254"/>
      <c r="AG735" s="1255"/>
      <c r="AM735" s="41"/>
      <c r="AN735" s="41"/>
      <c r="AO735" s="41"/>
      <c r="AP735" s="41"/>
      <c r="AQ735" s="41"/>
      <c r="AR735" s="41"/>
      <c r="AS735" s="41"/>
      <c r="AT735" s="41"/>
      <c r="AU735" s="41"/>
      <c r="AV735" s="41"/>
      <c r="AW735" s="41"/>
      <c r="AX735" s="41"/>
      <c r="AY735" s="41"/>
      <c r="AZ735" s="41"/>
      <c r="BA735" s="41"/>
      <c r="BB735" s="41"/>
      <c r="BC735" s="41"/>
      <c r="BD735" s="41"/>
      <c r="BE735" s="41"/>
      <c r="BF735" s="41"/>
      <c r="BG735" s="41"/>
      <c r="BH735" s="41"/>
      <c r="BI735" s="41"/>
      <c r="BJ735" s="41"/>
      <c r="BK735" s="41"/>
      <c r="BL735" s="41"/>
      <c r="BM735" s="41"/>
      <c r="BN735" s="41"/>
      <c r="BO735" s="41"/>
      <c r="BP735" s="41"/>
      <c r="BQ735" s="41"/>
      <c r="BR735" s="41"/>
      <c r="BS735" s="41"/>
      <c r="BT735" s="41"/>
      <c r="BU735" s="41"/>
      <c r="BV735" s="41"/>
      <c r="BW735" s="41"/>
      <c r="BX735" s="41"/>
      <c r="BY735" s="41"/>
      <c r="BZ735" s="41"/>
      <c r="CA735" s="41"/>
      <c r="CB735" s="41"/>
      <c r="CC735" s="41"/>
      <c r="CD735" s="41"/>
      <c r="CE735" s="41"/>
      <c r="CF735" s="41"/>
      <c r="CG735" s="41"/>
      <c r="CH735" s="41"/>
      <c r="CI735" s="41"/>
      <c r="CJ735" s="41"/>
      <c r="CK735" s="41"/>
      <c r="CL735" s="41"/>
      <c r="CM735" s="41"/>
      <c r="CN735" s="41"/>
      <c r="CO735" s="41"/>
      <c r="CP735" s="41"/>
      <c r="CQ735" s="41"/>
      <c r="CR735" s="41"/>
      <c r="CS735" s="41"/>
    </row>
    <row r="736" spans="1:97" ht="12.95" customHeight="1">
      <c r="J736" s="1253"/>
      <c r="K736" s="1254"/>
      <c r="L736" s="1254"/>
      <c r="M736" s="1254"/>
      <c r="N736" s="1255"/>
      <c r="O736" s="1265"/>
      <c r="P736" s="1265"/>
      <c r="Q736" s="1265"/>
      <c r="R736" s="1265"/>
      <c r="S736" s="1265"/>
      <c r="T736" s="1500"/>
      <c r="U736" s="1501"/>
      <c r="V736" s="1501"/>
      <c r="W736" s="1502"/>
      <c r="X736" s="1253"/>
      <c r="Y736" s="1254"/>
      <c r="Z736" s="1254"/>
      <c r="AA736" s="1254"/>
      <c r="AB736" s="1255"/>
      <c r="AC736" s="1253"/>
      <c r="AD736" s="1254"/>
      <c r="AE736" s="1254"/>
      <c r="AF736" s="1254"/>
      <c r="AG736" s="1255"/>
      <c r="AM736" s="41"/>
      <c r="AN736" s="41"/>
      <c r="AO736" s="41"/>
      <c r="AP736" s="41"/>
      <c r="AQ736" s="41"/>
      <c r="AR736" s="41"/>
      <c r="AS736" s="41"/>
      <c r="AT736" s="41"/>
      <c r="AU736" s="41"/>
      <c r="AV736" s="41"/>
      <c r="AW736" s="41"/>
      <c r="AX736" s="41"/>
      <c r="AY736" s="41"/>
      <c r="AZ736" s="41"/>
      <c r="BA736" s="41"/>
      <c r="BB736" s="41"/>
      <c r="BC736" s="41"/>
      <c r="BD736" s="41"/>
      <c r="BE736" s="928"/>
      <c r="BF736" s="928"/>
      <c r="BG736" s="928"/>
      <c r="BH736" s="928"/>
      <c r="BI736" s="928"/>
      <c r="BJ736" s="928"/>
      <c r="BK736" s="928"/>
      <c r="BL736" s="928"/>
      <c r="BM736" s="928"/>
      <c r="BN736" s="928"/>
      <c r="BO736" s="928"/>
      <c r="BP736" s="928"/>
      <c r="BQ736" s="928"/>
      <c r="BR736" s="928"/>
      <c r="BS736" s="928"/>
      <c r="BT736" s="928"/>
      <c r="BU736" s="928"/>
      <c r="BV736" s="928"/>
      <c r="BW736" s="928"/>
      <c r="BX736" s="928"/>
      <c r="BY736" s="928"/>
      <c r="BZ736" s="928"/>
      <c r="CA736" s="928"/>
      <c r="CB736" s="928"/>
      <c r="CC736" s="928"/>
      <c r="CD736" s="928"/>
      <c r="CE736" s="928"/>
      <c r="CF736" s="928"/>
      <c r="CG736" s="928"/>
      <c r="CH736" s="928"/>
      <c r="CI736" s="928"/>
      <c r="CJ736" s="928"/>
      <c r="CK736" s="928"/>
      <c r="CL736" s="41"/>
      <c r="CM736" s="41"/>
      <c r="CN736" s="41"/>
      <c r="CO736" s="41"/>
      <c r="CP736" s="41"/>
      <c r="CQ736" s="41"/>
      <c r="CR736" s="41"/>
      <c r="CS736" s="41"/>
    </row>
    <row r="737" spans="1:97" ht="12.95" customHeight="1">
      <c r="J737" s="1256"/>
      <c r="K737" s="1257"/>
      <c r="L737" s="1257"/>
      <c r="M737" s="1257"/>
      <c r="N737" s="1258"/>
      <c r="O737" s="1265"/>
      <c r="P737" s="1265"/>
      <c r="Q737" s="1265"/>
      <c r="R737" s="1265"/>
      <c r="S737" s="1265"/>
      <c r="T737" s="1506"/>
      <c r="U737" s="1507"/>
      <c r="V737" s="1507"/>
      <c r="W737" s="1508"/>
      <c r="X737" s="1256"/>
      <c r="Y737" s="1257"/>
      <c r="Z737" s="1257"/>
      <c r="AA737" s="1257"/>
      <c r="AB737" s="1258"/>
      <c r="AC737" s="1256"/>
      <c r="AD737" s="1257"/>
      <c r="AE737" s="1257"/>
      <c r="AF737" s="1257"/>
      <c r="AG737" s="1258"/>
      <c r="AM737" s="41"/>
      <c r="AN737" s="41"/>
      <c r="AO737" s="41"/>
      <c r="AP737" s="41"/>
      <c r="AQ737" s="41"/>
      <c r="AR737" s="41"/>
      <c r="AS737" s="41"/>
      <c r="AT737" s="41"/>
      <c r="AU737" s="41"/>
      <c r="AV737" s="41"/>
      <c r="AW737" s="41"/>
      <c r="AX737" s="41"/>
      <c r="AY737" s="41"/>
      <c r="AZ737" s="41"/>
      <c r="BA737" s="41"/>
      <c r="BB737" s="41"/>
      <c r="BC737" s="41"/>
      <c r="BD737" s="41"/>
      <c r="BE737" s="928"/>
      <c r="BF737" s="928"/>
      <c r="BG737" s="928"/>
      <c r="BH737" s="928"/>
      <c r="BI737" s="928"/>
      <c r="BJ737" s="928"/>
      <c r="BK737" s="928"/>
      <c r="BL737" s="928"/>
      <c r="BM737" s="928"/>
      <c r="BN737" s="928"/>
      <c r="BO737" s="928"/>
      <c r="BP737" s="928"/>
      <c r="BQ737" s="928"/>
      <c r="BR737" s="928"/>
      <c r="BS737" s="928"/>
      <c r="BT737" s="928"/>
      <c r="BU737" s="928"/>
      <c r="BV737" s="928"/>
      <c r="BW737" s="928"/>
      <c r="BX737" s="928"/>
      <c r="BY737" s="928"/>
      <c r="BZ737" s="928"/>
      <c r="CA737" s="928"/>
      <c r="CB737" s="928"/>
      <c r="CC737" s="928"/>
      <c r="CD737" s="928"/>
      <c r="CE737" s="928"/>
      <c r="CF737" s="928"/>
      <c r="CG737" s="928"/>
      <c r="CH737" s="928"/>
      <c r="CI737" s="928"/>
      <c r="CJ737" s="928"/>
      <c r="CK737" s="928"/>
      <c r="CL737" s="41"/>
      <c r="CM737" s="41"/>
      <c r="CN737" s="41"/>
      <c r="CO737" s="41"/>
      <c r="CP737" s="41"/>
      <c r="CQ737" s="41"/>
      <c r="CR737" s="41"/>
      <c r="CS737" s="41"/>
    </row>
    <row r="738" spans="1:97" ht="12.95" customHeight="1">
      <c r="J738" s="1222" t="s">
        <v>817</v>
      </c>
      <c r="K738" s="1223"/>
      <c r="L738" s="1223"/>
      <c r="M738" s="1223"/>
      <c r="N738" s="1224"/>
      <c r="O738" s="1226">
        <v>1</v>
      </c>
      <c r="P738" s="1226"/>
      <c r="Q738" s="1226"/>
      <c r="R738" s="1226"/>
      <c r="S738" s="1226"/>
      <c r="T738" s="1227">
        <v>1174</v>
      </c>
      <c r="U738" s="1228"/>
      <c r="V738" s="1228"/>
      <c r="W738" s="1229"/>
      <c r="X738" s="1230"/>
      <c r="Y738" s="1231"/>
      <c r="Z738" s="1231"/>
      <c r="AA738" s="1231"/>
      <c r="AB738" s="1232"/>
      <c r="AC738" s="1233">
        <f>X738*O738</f>
        <v>0</v>
      </c>
      <c r="AD738" s="1234"/>
      <c r="AE738" s="1234"/>
      <c r="AF738" s="1234"/>
      <c r="AG738" s="1235"/>
      <c r="AM738" s="41"/>
      <c r="AN738" s="41"/>
      <c r="AO738" s="41"/>
      <c r="AP738" s="41"/>
      <c r="AQ738" s="41"/>
      <c r="AR738" s="41"/>
      <c r="AS738" s="41"/>
      <c r="AT738" s="41"/>
      <c r="AU738" s="41"/>
      <c r="AV738" s="41"/>
      <c r="AW738" s="41"/>
      <c r="AX738" s="41"/>
      <c r="AY738" s="41"/>
      <c r="AZ738" s="41"/>
      <c r="BA738" s="41"/>
      <c r="BB738" s="41"/>
      <c r="BC738" s="41"/>
      <c r="BD738" s="41"/>
      <c r="BE738" s="41"/>
      <c r="BF738" s="41"/>
      <c r="BG738" s="41"/>
      <c r="BH738" s="41"/>
      <c r="BI738" s="41"/>
      <c r="BJ738" s="41"/>
      <c r="BK738" s="41"/>
      <c r="BL738" s="41"/>
      <c r="BM738" s="41"/>
      <c r="BN738" s="41"/>
      <c r="BO738" s="41"/>
      <c r="BP738" s="41"/>
      <c r="BQ738" s="41"/>
      <c r="BR738" s="41"/>
      <c r="BS738" s="41"/>
      <c r="BT738" s="41"/>
      <c r="BU738" s="41"/>
      <c r="BV738" s="41"/>
      <c r="BW738" s="41"/>
      <c r="BX738" s="41"/>
      <c r="BY738" s="41"/>
      <c r="BZ738" s="41"/>
      <c r="CA738" s="41"/>
      <c r="CB738" s="41"/>
      <c r="CC738" s="41"/>
      <c r="CD738" s="41"/>
      <c r="CE738" s="41"/>
      <c r="CF738" s="41"/>
      <c r="CG738" s="41"/>
      <c r="CH738" s="41"/>
      <c r="CI738" s="41"/>
      <c r="CJ738" s="41"/>
      <c r="CK738" s="41"/>
      <c r="CL738" s="41"/>
      <c r="CM738" s="41"/>
      <c r="CN738" s="41"/>
      <c r="CO738" s="41"/>
      <c r="CP738" s="41"/>
      <c r="CQ738" s="41"/>
      <c r="CR738" s="41"/>
      <c r="CS738" s="41"/>
    </row>
    <row r="739" spans="1:97" ht="12.95" customHeight="1">
      <c r="J739" s="1222"/>
      <c r="K739" s="1223"/>
      <c r="L739" s="1223"/>
      <c r="M739" s="1223"/>
      <c r="N739" s="1224"/>
      <c r="O739" s="1226"/>
      <c r="P739" s="1226"/>
      <c r="Q739" s="1226"/>
      <c r="R739" s="1226"/>
      <c r="S739" s="1226"/>
      <c r="T739" s="1227"/>
      <c r="U739" s="1228"/>
      <c r="V739" s="1228"/>
      <c r="W739" s="1229"/>
      <c r="X739" s="1230"/>
      <c r="Y739" s="1231"/>
      <c r="Z739" s="1231"/>
      <c r="AA739" s="1231"/>
      <c r="AB739" s="1232"/>
      <c r="AC739" s="1233">
        <f>X739*O739</f>
        <v>0</v>
      </c>
      <c r="AD739" s="1234"/>
      <c r="AE739" s="1234"/>
      <c r="AF739" s="1234"/>
      <c r="AG739" s="1235"/>
      <c r="AM739" s="41"/>
      <c r="AN739" s="41"/>
      <c r="AO739" s="41"/>
      <c r="AP739" s="41"/>
      <c r="AQ739" s="41"/>
      <c r="AR739" s="41"/>
      <c r="AS739" s="41"/>
      <c r="AT739" s="41"/>
      <c r="AU739" s="41"/>
      <c r="AV739" s="41"/>
      <c r="AW739" s="41"/>
      <c r="AX739" s="41"/>
      <c r="AY739" s="41"/>
      <c r="AZ739" s="41"/>
      <c r="BA739" s="41"/>
      <c r="BB739" s="41"/>
      <c r="BC739" s="41"/>
      <c r="BD739" s="41"/>
      <c r="BE739" s="41"/>
      <c r="BF739" s="41"/>
      <c r="BG739" s="41"/>
      <c r="BH739" s="41"/>
      <c r="BI739" s="41"/>
      <c r="BJ739" s="41"/>
      <c r="BK739" s="41"/>
      <c r="BL739" s="41"/>
      <c r="BM739" s="41"/>
      <c r="BN739" s="41"/>
      <c r="BO739" s="41"/>
      <c r="BP739" s="41"/>
      <c r="BQ739" s="41"/>
      <c r="BR739" s="41"/>
      <c r="BS739" s="41"/>
      <c r="BT739" s="41"/>
      <c r="BU739" s="41"/>
      <c r="BV739" s="41"/>
      <c r="BW739" s="41"/>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row>
    <row r="740" spans="1:97" ht="12.95" customHeight="1">
      <c r="J740" s="1222"/>
      <c r="K740" s="1223"/>
      <c r="L740" s="1223"/>
      <c r="M740" s="1223"/>
      <c r="N740" s="1224"/>
      <c r="O740" s="1226"/>
      <c r="P740" s="1226"/>
      <c r="Q740" s="1226"/>
      <c r="R740" s="1226"/>
      <c r="S740" s="1226"/>
      <c r="T740" s="1227"/>
      <c r="U740" s="1228"/>
      <c r="V740" s="1228"/>
      <c r="W740" s="1229"/>
      <c r="X740" s="1230"/>
      <c r="Y740" s="1231"/>
      <c r="Z740" s="1231"/>
      <c r="AA740" s="1231"/>
      <c r="AB740" s="1232"/>
      <c r="AC740" s="1233">
        <f>X740*O740</f>
        <v>0</v>
      </c>
      <c r="AD740" s="1234"/>
      <c r="AE740" s="1234"/>
      <c r="AF740" s="1234"/>
      <c r="AG740" s="1235"/>
      <c r="AM740" s="41"/>
      <c r="AN740" s="41"/>
      <c r="AO740" s="41"/>
      <c r="AP740" s="41"/>
      <c r="AQ740" s="41"/>
      <c r="AR740" s="41"/>
      <c r="AS740" s="41"/>
      <c r="AT740" s="41"/>
      <c r="AU740" s="41"/>
      <c r="AV740" s="41"/>
      <c r="AW740" s="41"/>
      <c r="AX740" s="41"/>
      <c r="AY740" s="41"/>
      <c r="AZ740" s="41"/>
      <c r="BA740" s="41"/>
      <c r="BB740" s="41"/>
      <c r="BC740" s="41"/>
      <c r="BD740" s="41"/>
      <c r="BE740" s="41"/>
      <c r="BF740" s="41"/>
      <c r="BG740" s="41"/>
      <c r="BH740" s="41"/>
      <c r="BI740" s="41"/>
      <c r="BJ740" s="41"/>
      <c r="BK740" s="41"/>
      <c r="BL740" s="41"/>
      <c r="BM740" s="41"/>
      <c r="BN740" s="41"/>
      <c r="BO740" s="41"/>
      <c r="BP740" s="41"/>
      <c r="BQ740" s="41"/>
      <c r="BR740" s="41"/>
      <c r="BS740" s="41"/>
      <c r="BT740" s="41"/>
      <c r="BU740" s="41"/>
      <c r="BV740" s="41"/>
      <c r="BW740" s="41"/>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row>
    <row r="741" spans="1:97" ht="12.95" customHeight="1">
      <c r="J741" s="1222"/>
      <c r="K741" s="1223"/>
      <c r="L741" s="1223"/>
      <c r="M741" s="1223"/>
      <c r="N741" s="1224"/>
      <c r="O741" s="1226"/>
      <c r="P741" s="1226"/>
      <c r="Q741" s="1226"/>
      <c r="R741" s="1226"/>
      <c r="S741" s="1226"/>
      <c r="T741" s="1227"/>
      <c r="U741" s="1228"/>
      <c r="V741" s="1228"/>
      <c r="W741" s="1229"/>
      <c r="X741" s="1230"/>
      <c r="Y741" s="1231"/>
      <c r="Z741" s="1231"/>
      <c r="AA741" s="1231"/>
      <c r="AB741" s="1232"/>
      <c r="AC741" s="1233">
        <f>X741*O741</f>
        <v>0</v>
      </c>
      <c r="AD741" s="1234"/>
      <c r="AE741" s="1234"/>
      <c r="AF741" s="1234"/>
      <c r="AG741" s="1235"/>
      <c r="AM741" s="41"/>
      <c r="AN741" s="41"/>
      <c r="AO741" s="41"/>
      <c r="AP741" s="41"/>
      <c r="AQ741" s="41"/>
      <c r="AR741" s="41"/>
      <c r="AS741" s="41"/>
      <c r="AT741" s="41"/>
      <c r="AU741" s="41"/>
      <c r="AV741" s="41"/>
      <c r="AW741" s="41"/>
      <c r="AX741" s="41"/>
      <c r="AY741" s="41"/>
      <c r="AZ741" s="41"/>
      <c r="BA741" s="41"/>
      <c r="BB741" s="41"/>
      <c r="BC741" s="41"/>
      <c r="BD741" s="41"/>
      <c r="BE741" s="41"/>
      <c r="BF741" s="41"/>
      <c r="BG741" s="41"/>
      <c r="BH741" s="41"/>
      <c r="BI741" s="41"/>
      <c r="BJ741" s="41"/>
      <c r="BK741" s="41"/>
      <c r="BL741" s="41"/>
      <c r="BM741" s="41"/>
      <c r="BN741" s="41"/>
      <c r="BO741" s="41"/>
      <c r="BP741" s="41"/>
      <c r="BQ741" s="41"/>
      <c r="BR741" s="41"/>
      <c r="BS741" s="41"/>
      <c r="BT741" s="41"/>
      <c r="BU741" s="41"/>
      <c r="BV741" s="41"/>
      <c r="BW741" s="41"/>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row>
    <row r="742" spans="1:97" ht="12.95" customHeight="1">
      <c r="J742" s="1091" t="s">
        <v>917</v>
      </c>
      <c r="K742" s="1092"/>
      <c r="L742" s="1092"/>
      <c r="M742" s="1092"/>
      <c r="N742" s="1094"/>
      <c r="O742" s="1244">
        <f>SUM(O738:S741)</f>
        <v>1</v>
      </c>
      <c r="P742" s="1309"/>
      <c r="Q742" s="1309"/>
      <c r="R742" s="1309"/>
      <c r="S742" s="1245"/>
      <c r="X742" s="1091" t="s">
        <v>916</v>
      </c>
      <c r="Y742" s="1092"/>
      <c r="Z742" s="1092"/>
      <c r="AA742" s="1092"/>
      <c r="AB742" s="1094"/>
      <c r="AC742" s="1233">
        <f>SUM(AC738:AG741)</f>
        <v>0</v>
      </c>
      <c r="AD742" s="1234"/>
      <c r="AE742" s="1234"/>
      <c r="AF742" s="1234"/>
      <c r="AG742" s="1235"/>
      <c r="AM742" s="41"/>
      <c r="AN742" s="41"/>
      <c r="AO742" s="41"/>
      <c r="AP742" s="41"/>
      <c r="AQ742" s="41"/>
      <c r="AR742" s="41"/>
      <c r="AS742" s="41"/>
      <c r="AT742" s="41"/>
      <c r="AU742" s="41"/>
      <c r="AV742" s="41"/>
      <c r="AW742" s="41"/>
      <c r="AX742" s="41"/>
      <c r="AY742" s="41"/>
      <c r="AZ742" s="41"/>
      <c r="BA742" s="41"/>
      <c r="BB742" s="41"/>
      <c r="BC742" s="41"/>
      <c r="BD742" s="41"/>
      <c r="BE742" s="41"/>
      <c r="BF742" s="41"/>
      <c r="BG742" s="41"/>
      <c r="BH742" s="41"/>
      <c r="BI742" s="41"/>
      <c r="BJ742" s="41"/>
      <c r="BK742" s="41"/>
      <c r="BL742" s="41"/>
      <c r="BM742" s="41"/>
      <c r="BN742" s="41"/>
      <c r="BO742" s="41"/>
      <c r="BP742" s="41"/>
      <c r="BQ742" s="41"/>
      <c r="BR742" s="41"/>
      <c r="BS742" s="41"/>
      <c r="BT742" s="41"/>
      <c r="BU742" s="41"/>
      <c r="BV742" s="41"/>
      <c r="BW742" s="41"/>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row>
    <row r="743" spans="1:97" ht="12.95" customHeight="1">
      <c r="J743" s="62"/>
      <c r="K743" s="62"/>
      <c r="L743" s="62"/>
      <c r="M743" s="62"/>
      <c r="N743" s="62"/>
      <c r="O743" s="10"/>
      <c r="P743" s="10"/>
      <c r="Q743" s="10"/>
      <c r="R743" s="10"/>
      <c r="S743" s="10"/>
      <c r="T743" s="62"/>
      <c r="U743" s="62"/>
      <c r="V743" s="62"/>
      <c r="W743" s="62"/>
      <c r="X743" s="62"/>
      <c r="Y743" s="293"/>
      <c r="Z743" s="1"/>
      <c r="AA743" s="1"/>
      <c r="AB743" s="1"/>
      <c r="AC743" s="1"/>
      <c r="AM743" s="41"/>
      <c r="AN743" s="41"/>
      <c r="AO743" s="41"/>
      <c r="AP743" s="41"/>
      <c r="AQ743" s="41"/>
      <c r="AR743" s="41"/>
      <c r="AS743" s="41"/>
      <c r="AT743" s="41"/>
      <c r="AU743" s="41"/>
      <c r="AV743" s="41"/>
      <c r="AW743" s="41"/>
      <c r="AX743" s="41"/>
      <c r="AY743" s="41"/>
      <c r="AZ743" s="41"/>
      <c r="BA743" s="41"/>
      <c r="BB743" s="41"/>
      <c r="BC743" s="41"/>
      <c r="BD743" s="41"/>
      <c r="BE743" s="41"/>
      <c r="BF743" s="41"/>
      <c r="BG743" s="41"/>
      <c r="BH743" s="41"/>
      <c r="BI743" s="41"/>
      <c r="BJ743" s="41"/>
      <c r="BK743" s="41"/>
      <c r="BL743" s="41"/>
      <c r="BM743" s="41"/>
      <c r="BN743" s="41"/>
      <c r="BO743" s="41"/>
      <c r="BP743" s="41"/>
      <c r="BQ743" s="41"/>
      <c r="BR743" s="41"/>
      <c r="BS743" s="41"/>
      <c r="BT743" s="41"/>
      <c r="BU743" s="41"/>
      <c r="BV743" s="41"/>
      <c r="BW743" s="41"/>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row>
    <row r="744" spans="1:97" ht="12.95" customHeight="1">
      <c r="B744" s="62"/>
      <c r="C744" s="62"/>
      <c r="D744" s="62"/>
      <c r="E744" s="62"/>
      <c r="F744" s="62"/>
      <c r="G744" s="10"/>
      <c r="H744" s="10"/>
      <c r="I744" s="10"/>
      <c r="J744" s="1115" t="s">
        <v>510</v>
      </c>
      <c r="K744" s="1115"/>
      <c r="L744" s="62"/>
      <c r="M744" s="424" t="s">
        <v>1316</v>
      </c>
      <c r="N744" s="62"/>
      <c r="O744" s="62"/>
      <c r="P744" s="62"/>
      <c r="Q744" s="10"/>
      <c r="R744" s="10"/>
      <c r="S744" s="10"/>
      <c r="T744" s="10"/>
      <c r="U744" s="10"/>
      <c r="AM744" s="41"/>
      <c r="AN744" s="41"/>
      <c r="AO744" s="41"/>
      <c r="AP744" s="41"/>
      <c r="AQ744" s="41"/>
      <c r="AR744" s="41"/>
      <c r="AS744" s="41"/>
      <c r="AT744" s="41"/>
      <c r="AU744" s="41"/>
      <c r="AV744" s="41"/>
      <c r="AW744" s="41"/>
      <c r="AX744" s="41"/>
      <c r="AY744" s="41"/>
      <c r="AZ744" s="41"/>
      <c r="BA744" s="41"/>
      <c r="BB744" s="41"/>
      <c r="BC744" s="41"/>
      <c r="BD744" s="41"/>
      <c r="BE744" s="41"/>
      <c r="BF744" s="41"/>
      <c r="BG744" s="41"/>
      <c r="BH744" s="41"/>
      <c r="BI744" s="41"/>
      <c r="BJ744" s="41"/>
      <c r="BK744" s="41"/>
      <c r="BL744" s="41"/>
      <c r="BM744" s="41"/>
      <c r="BN744" s="41"/>
      <c r="BO744" s="41"/>
      <c r="BP744" s="41"/>
      <c r="BQ744" s="41"/>
      <c r="BR744" s="41"/>
      <c r="BS744" s="41"/>
      <c r="BT744" s="41"/>
      <c r="BU744" s="41"/>
      <c r="BV744" s="41"/>
      <c r="BW744" s="41"/>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row>
    <row r="745" spans="1:97" ht="12.95" customHeight="1">
      <c r="B745" s="62"/>
      <c r="C745" s="62"/>
      <c r="D745" s="62"/>
      <c r="E745" s="62"/>
      <c r="F745" s="62"/>
      <c r="G745" s="10"/>
      <c r="H745" s="10"/>
      <c r="I745" s="10"/>
      <c r="J745" s="10"/>
      <c r="K745" s="10"/>
      <c r="L745" s="62"/>
      <c r="M745" s="424" t="s">
        <v>2229</v>
      </c>
      <c r="N745" s="62"/>
      <c r="O745" s="62"/>
      <c r="P745" s="62"/>
      <c r="Q745" s="10"/>
      <c r="R745" s="10"/>
      <c r="S745" s="10"/>
      <c r="T745" s="10"/>
      <c r="U745" s="10"/>
      <c r="AM745" s="41"/>
      <c r="AN745" s="41"/>
      <c r="AO745" s="41"/>
      <c r="AP745" s="41"/>
      <c r="AQ745" s="41"/>
      <c r="AR745" s="41"/>
      <c r="AS745" s="41"/>
      <c r="AT745" s="41"/>
      <c r="AU745" s="41"/>
      <c r="AV745" s="41"/>
      <c r="AW745" s="41"/>
      <c r="AX745" s="41"/>
      <c r="AY745" s="41"/>
      <c r="AZ745" s="41"/>
      <c r="BA745" s="41"/>
      <c r="BB745" s="41"/>
      <c r="BC745" s="41"/>
      <c r="BD745" s="41"/>
      <c r="BE745" s="41"/>
      <c r="BF745" s="41"/>
      <c r="BG745" s="41"/>
      <c r="BH745" s="41"/>
      <c r="BI745" s="41"/>
      <c r="BJ745" s="41"/>
      <c r="BK745" s="41"/>
      <c r="BL745" s="41"/>
      <c r="BM745" s="41"/>
      <c r="BN745" s="41"/>
      <c r="BO745" s="41"/>
      <c r="BP745" s="41"/>
      <c r="BQ745" s="41"/>
      <c r="BR745" s="41"/>
      <c r="BS745" s="41"/>
      <c r="BT745" s="41"/>
      <c r="BU745" s="41"/>
      <c r="BV745" s="41"/>
      <c r="BW745" s="41"/>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row>
    <row r="746" spans="1:97" ht="12.95" customHeight="1">
      <c r="A746" s="3" t="s">
        <v>127</v>
      </c>
      <c r="B746" s="63"/>
      <c r="C746" s="63" t="s">
        <v>274</v>
      </c>
      <c r="D746" s="62"/>
      <c r="E746" s="62"/>
      <c r="F746" s="62"/>
      <c r="G746" s="10"/>
      <c r="H746" s="10"/>
      <c r="I746" s="10"/>
      <c r="J746" s="10"/>
      <c r="K746" s="10"/>
      <c r="L746" s="62"/>
      <c r="M746" s="62"/>
      <c r="N746" s="62"/>
      <c r="O746" s="62"/>
      <c r="P746" s="62"/>
      <c r="Q746" s="10"/>
      <c r="R746" s="10"/>
      <c r="S746" s="10"/>
      <c r="T746" s="10"/>
      <c r="U746" s="10"/>
      <c r="AM746" s="41"/>
      <c r="AN746" s="41"/>
      <c r="AO746" s="41"/>
      <c r="AP746" s="41"/>
      <c r="AQ746" s="41"/>
      <c r="AR746" s="41"/>
      <c r="AS746" s="41"/>
      <c r="AT746" s="41"/>
      <c r="AU746" s="41"/>
      <c r="AV746" s="41"/>
      <c r="AW746" s="41"/>
      <c r="AX746" s="41"/>
      <c r="AY746" s="41"/>
      <c r="AZ746" s="41"/>
      <c r="BA746" s="41"/>
      <c r="BB746" s="41"/>
      <c r="BC746" s="41"/>
      <c r="BD746" s="41"/>
      <c r="BE746" s="41"/>
      <c r="BF746" s="41"/>
      <c r="BG746" s="41"/>
      <c r="BH746" s="41"/>
      <c r="BI746" s="41"/>
      <c r="BJ746" s="41"/>
      <c r="BK746" s="41"/>
      <c r="BL746" s="41"/>
      <c r="BM746" s="41"/>
      <c r="BN746" s="41"/>
      <c r="BO746" s="41"/>
      <c r="BP746" s="41"/>
      <c r="BQ746" s="41"/>
      <c r="BR746" s="41"/>
      <c r="BS746" s="41"/>
      <c r="BT746" s="41"/>
      <c r="BU746" s="41"/>
      <c r="BV746" s="41"/>
      <c r="BW746" s="41"/>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row>
    <row r="747" spans="1:97" ht="12.95" customHeight="1">
      <c r="B747" s="62"/>
      <c r="C747" s="62"/>
      <c r="D747" s="62"/>
      <c r="E747" s="62"/>
      <c r="F747" s="62"/>
      <c r="G747" s="10"/>
      <c r="H747" s="10"/>
      <c r="I747" s="10"/>
      <c r="J747" s="10"/>
      <c r="K747" s="10"/>
      <c r="L747" s="62"/>
      <c r="M747" s="62"/>
      <c r="N747" s="62"/>
      <c r="O747" s="62"/>
      <c r="P747" s="62"/>
      <c r="Q747" s="10"/>
      <c r="R747" s="10"/>
      <c r="S747" s="10"/>
      <c r="T747" s="10"/>
      <c r="U747" s="10"/>
      <c r="AM747" s="41"/>
      <c r="AN747" s="41"/>
      <c r="AO747" s="41"/>
      <c r="AP747" s="41"/>
      <c r="AQ747" s="41"/>
      <c r="AR747" s="41"/>
      <c r="AS747" s="41"/>
      <c r="AT747" s="41"/>
      <c r="AU747" s="41"/>
      <c r="AV747" s="41"/>
      <c r="AW747" s="41"/>
      <c r="AX747" s="41"/>
      <c r="AY747" s="41"/>
      <c r="AZ747" s="41"/>
      <c r="BA747" s="41"/>
      <c r="BB747" s="41"/>
      <c r="BC747" s="41"/>
      <c r="BD747" s="41"/>
      <c r="BE747" s="41"/>
      <c r="BF747" s="41"/>
      <c r="BG747" s="41"/>
      <c r="BH747" s="41"/>
      <c r="BI747" s="41"/>
      <c r="BJ747" s="41"/>
      <c r="BK747" s="41"/>
      <c r="BL747" s="41"/>
      <c r="BM747" s="41"/>
      <c r="BN747" s="41"/>
      <c r="BO747" s="41"/>
      <c r="BP747" s="41"/>
      <c r="BQ747" s="41"/>
      <c r="BR747" s="41"/>
      <c r="BS747" s="41"/>
      <c r="BT747" s="41"/>
      <c r="BU747" s="41"/>
      <c r="BV747" s="41"/>
      <c r="BW747" s="41"/>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row>
    <row r="748" spans="1:97" ht="12.95" customHeight="1">
      <c r="J748" s="1250" t="s">
        <v>58</v>
      </c>
      <c r="K748" s="1251"/>
      <c r="L748" s="1251"/>
      <c r="M748" s="1251"/>
      <c r="N748" s="1252"/>
      <c r="O748" s="1265" t="s">
        <v>270</v>
      </c>
      <c r="P748" s="1265"/>
      <c r="Q748" s="1265"/>
      <c r="R748" s="1265"/>
      <c r="S748" s="1265"/>
      <c r="T748" s="1497" t="s">
        <v>2087</v>
      </c>
      <c r="U748" s="1498"/>
      <c r="V748" s="1498"/>
      <c r="W748" s="1499"/>
      <c r="X748" s="1250" t="s">
        <v>624</v>
      </c>
      <c r="Y748" s="1251"/>
      <c r="Z748" s="1251"/>
      <c r="AA748" s="1251"/>
      <c r="AB748" s="1252"/>
      <c r="AC748" s="1250" t="s">
        <v>271</v>
      </c>
      <c r="AD748" s="1251"/>
      <c r="AE748" s="1251"/>
      <c r="AF748" s="1251"/>
      <c r="AG748" s="1252"/>
      <c r="AM748" s="41"/>
      <c r="AN748" s="41"/>
      <c r="AO748" s="41"/>
      <c r="AP748" s="41"/>
      <c r="AQ748" s="41"/>
      <c r="AR748" s="41"/>
      <c r="AS748" s="41"/>
      <c r="AT748" s="41"/>
      <c r="AU748" s="41"/>
      <c r="AV748" s="41"/>
      <c r="AW748" s="41"/>
      <c r="AX748" s="41"/>
      <c r="AY748" s="41"/>
      <c r="AZ748" s="41"/>
      <c r="BA748" s="41"/>
      <c r="BB748" s="41"/>
      <c r="BC748" s="41"/>
      <c r="BD748" s="41"/>
      <c r="BE748" s="41"/>
      <c r="BF748" s="41"/>
      <c r="BG748" s="41"/>
      <c r="BH748" s="41"/>
      <c r="BI748" s="41"/>
      <c r="BJ748" s="41"/>
      <c r="BK748" s="41"/>
      <c r="BL748" s="41"/>
      <c r="BM748" s="41"/>
      <c r="BN748" s="41"/>
      <c r="BO748" s="41"/>
      <c r="BP748" s="41"/>
      <c r="BQ748" s="41"/>
      <c r="BR748" s="41"/>
      <c r="BS748" s="41"/>
      <c r="BT748" s="41"/>
      <c r="BU748" s="41"/>
      <c r="BV748" s="41"/>
      <c r="BW748" s="41"/>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row>
    <row r="749" spans="1:97" ht="12.95" customHeight="1">
      <c r="J749" s="1253"/>
      <c r="K749" s="1254"/>
      <c r="L749" s="1254"/>
      <c r="M749" s="1254"/>
      <c r="N749" s="1255"/>
      <c r="O749" s="1265"/>
      <c r="P749" s="1265"/>
      <c r="Q749" s="1265"/>
      <c r="R749" s="1265"/>
      <c r="S749" s="1265"/>
      <c r="T749" s="1500"/>
      <c r="U749" s="1501"/>
      <c r="V749" s="1501"/>
      <c r="W749" s="1502"/>
      <c r="X749" s="1253"/>
      <c r="Y749" s="1254"/>
      <c r="Z749" s="1254"/>
      <c r="AA749" s="1254"/>
      <c r="AB749" s="1255"/>
      <c r="AC749" s="1253"/>
      <c r="AD749" s="1254"/>
      <c r="AE749" s="1254"/>
      <c r="AF749" s="1254"/>
      <c r="AG749" s="1255"/>
      <c r="AM749" s="41"/>
      <c r="AN749" s="41"/>
      <c r="AO749" s="41"/>
      <c r="AP749" s="41"/>
      <c r="AQ749" s="41"/>
      <c r="AR749" s="41"/>
      <c r="AS749" s="41"/>
      <c r="AT749" s="41"/>
      <c r="AU749" s="41"/>
      <c r="AV749" s="41"/>
      <c r="AW749" s="41"/>
      <c r="AX749" s="41"/>
      <c r="AY749" s="41"/>
      <c r="AZ749" s="41"/>
      <c r="BA749" s="41"/>
      <c r="BB749" s="41"/>
      <c r="BC749" s="41"/>
      <c r="BD749" s="41"/>
      <c r="BE749" s="41"/>
      <c r="BF749" s="41"/>
      <c r="BG749" s="41"/>
      <c r="BH749" s="41"/>
      <c r="BI749" s="41"/>
      <c r="BJ749" s="41"/>
      <c r="BK749" s="41"/>
      <c r="BL749" s="41"/>
      <c r="BM749" s="41"/>
      <c r="BN749" s="41"/>
      <c r="BO749" s="41"/>
      <c r="BP749" s="41"/>
      <c r="BQ749" s="41"/>
      <c r="BR749" s="41"/>
      <c r="BS749" s="41"/>
      <c r="BT749" s="41"/>
      <c r="BU749" s="41"/>
      <c r="BV749" s="41"/>
      <c r="BW749" s="41"/>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row>
    <row r="750" spans="1:97" ht="12.95" customHeight="1">
      <c r="J750" s="1253"/>
      <c r="K750" s="1254"/>
      <c r="L750" s="1254"/>
      <c r="M750" s="1254"/>
      <c r="N750" s="1255"/>
      <c r="O750" s="1265"/>
      <c r="P750" s="1265"/>
      <c r="Q750" s="1265"/>
      <c r="R750" s="1265"/>
      <c r="S750" s="1265"/>
      <c r="T750" s="1500"/>
      <c r="U750" s="1501"/>
      <c r="V750" s="1501"/>
      <c r="W750" s="1502"/>
      <c r="X750" s="1253"/>
      <c r="Y750" s="1254"/>
      <c r="Z750" s="1254"/>
      <c r="AA750" s="1254"/>
      <c r="AB750" s="1255"/>
      <c r="AC750" s="1253"/>
      <c r="AD750" s="1254"/>
      <c r="AE750" s="1254"/>
      <c r="AF750" s="1254"/>
      <c r="AG750" s="1255"/>
      <c r="AM750" s="41"/>
      <c r="AN750" s="41"/>
      <c r="AO750" s="41"/>
      <c r="AP750" s="41"/>
      <c r="AQ750" s="41"/>
      <c r="AR750" s="41"/>
      <c r="AS750" s="41"/>
      <c r="AT750" s="41"/>
      <c r="AU750" s="41"/>
      <c r="AV750" s="41"/>
      <c r="AW750" s="41"/>
      <c r="AX750" s="41"/>
      <c r="AY750" s="41"/>
      <c r="AZ750" s="41"/>
      <c r="BA750" s="41"/>
      <c r="BB750" s="41"/>
      <c r="BC750" s="41"/>
      <c r="BD750" s="41"/>
      <c r="BE750" s="41"/>
      <c r="BF750" s="41"/>
      <c r="BG750" s="41"/>
      <c r="BH750" s="41"/>
      <c r="BI750" s="41"/>
      <c r="BJ750" s="41"/>
      <c r="BK750" s="41"/>
      <c r="BL750" s="41"/>
      <c r="BM750" s="41"/>
      <c r="BN750" s="41"/>
      <c r="BO750" s="41"/>
      <c r="BP750" s="41"/>
      <c r="BQ750" s="41"/>
      <c r="BR750" s="41"/>
      <c r="BS750" s="41"/>
      <c r="BT750" s="41"/>
      <c r="BU750" s="41"/>
      <c r="BV750" s="41"/>
      <c r="BW750" s="41"/>
      <c r="BX750" s="41"/>
      <c r="BY750" s="41"/>
      <c r="BZ750" s="41"/>
      <c r="CA750" s="41"/>
      <c r="CB750" s="41"/>
      <c r="CC750" s="41"/>
      <c r="CD750" s="41"/>
      <c r="CE750" s="41"/>
      <c r="CF750" s="41"/>
      <c r="CG750" s="41"/>
      <c r="CH750" s="41"/>
      <c r="CI750" s="41"/>
      <c r="CJ750" s="41"/>
      <c r="CK750" s="41"/>
      <c r="CL750" s="41"/>
      <c r="CM750" s="41"/>
      <c r="CN750" s="41"/>
      <c r="CO750" s="41"/>
      <c r="CP750" s="41"/>
      <c r="CQ750" s="41"/>
      <c r="CR750" s="41"/>
      <c r="CS750" s="41"/>
    </row>
    <row r="751" spans="1:97" ht="12.95" customHeight="1">
      <c r="J751" s="1256"/>
      <c r="K751" s="1257"/>
      <c r="L751" s="1257"/>
      <c r="M751" s="1257"/>
      <c r="N751" s="1258"/>
      <c r="O751" s="1265"/>
      <c r="P751" s="1265"/>
      <c r="Q751" s="1265"/>
      <c r="R751" s="1265"/>
      <c r="S751" s="1265"/>
      <c r="T751" s="1506"/>
      <c r="U751" s="1507"/>
      <c r="V751" s="1507"/>
      <c r="W751" s="1508"/>
      <c r="X751" s="1256"/>
      <c r="Y751" s="1257"/>
      <c r="Z751" s="1257"/>
      <c r="AA751" s="1257"/>
      <c r="AB751" s="1258"/>
      <c r="AC751" s="1256"/>
      <c r="AD751" s="1257"/>
      <c r="AE751" s="1257"/>
      <c r="AF751" s="1257"/>
      <c r="AG751" s="1258"/>
      <c r="AM751" s="41"/>
      <c r="AN751" s="41"/>
      <c r="AO751" s="41"/>
      <c r="AP751" s="41"/>
      <c r="AQ751" s="41"/>
      <c r="AR751" s="41"/>
      <c r="AS751" s="41"/>
      <c r="AT751" s="41"/>
      <c r="AU751" s="41"/>
      <c r="AV751" s="41"/>
      <c r="AW751" s="41"/>
      <c r="AX751" s="41"/>
      <c r="AY751" s="41"/>
      <c r="AZ751" s="41"/>
      <c r="BA751" s="41"/>
      <c r="BB751" s="41"/>
      <c r="BC751" s="41"/>
      <c r="BD751" s="41"/>
      <c r="BE751" s="41"/>
      <c r="BF751" s="41"/>
      <c r="BG751" s="41"/>
      <c r="BH751" s="41"/>
      <c r="BI751" s="41"/>
      <c r="BJ751" s="41"/>
      <c r="BK751" s="41"/>
      <c r="BL751" s="41"/>
      <c r="BM751" s="41"/>
      <c r="BN751" s="41"/>
      <c r="BO751" s="41"/>
      <c r="BP751" s="41"/>
      <c r="BQ751" s="41"/>
      <c r="BR751" s="41"/>
      <c r="BS751" s="41"/>
      <c r="BT751" s="41"/>
      <c r="BU751" s="41"/>
      <c r="BV751" s="41"/>
      <c r="BW751" s="41"/>
      <c r="BX751" s="41"/>
      <c r="BY751" s="41"/>
      <c r="BZ751" s="41"/>
      <c r="CA751" s="41"/>
      <c r="CB751" s="41"/>
      <c r="CC751" s="41"/>
      <c r="CD751" s="41"/>
      <c r="CE751" s="41"/>
      <c r="CF751" s="41"/>
      <c r="CG751" s="41"/>
      <c r="CH751" s="41"/>
      <c r="CI751" s="41"/>
      <c r="CJ751" s="41"/>
      <c r="CK751" s="41"/>
      <c r="CL751" s="41"/>
      <c r="CM751" s="41"/>
      <c r="CN751" s="41"/>
      <c r="CO751" s="41"/>
      <c r="CP751" s="41"/>
      <c r="CQ751" s="41"/>
      <c r="CR751" s="41"/>
      <c r="CS751" s="41"/>
    </row>
    <row r="752" spans="1:97" ht="12.95" customHeight="1">
      <c r="J752" s="1222"/>
      <c r="K752" s="1223"/>
      <c r="L752" s="1223"/>
      <c r="M752" s="1223"/>
      <c r="N752" s="1224"/>
      <c r="O752" s="1226"/>
      <c r="P752" s="1226"/>
      <c r="Q752" s="1226"/>
      <c r="R752" s="1226"/>
      <c r="S752" s="1226"/>
      <c r="T752" s="1227"/>
      <c r="U752" s="1228"/>
      <c r="V752" s="1228"/>
      <c r="W752" s="1229"/>
      <c r="X752" s="1230"/>
      <c r="Y752" s="1231"/>
      <c r="Z752" s="1231"/>
      <c r="AA752" s="1231"/>
      <c r="AB752" s="1232"/>
      <c r="AC752" s="1233">
        <f t="shared" ref="AC752:AC761" si="34">X752*O752</f>
        <v>0</v>
      </c>
      <c r="AD752" s="1234"/>
      <c r="AE752" s="1234"/>
      <c r="AF752" s="1234"/>
      <c r="AG752" s="1235"/>
      <c r="AM752" s="41"/>
      <c r="AN752" s="41"/>
      <c r="AO752" s="41"/>
      <c r="AP752" s="41"/>
      <c r="AQ752" s="41"/>
      <c r="AR752" s="41"/>
      <c r="AS752" s="41"/>
      <c r="AT752" s="41"/>
      <c r="AU752" s="41"/>
      <c r="AV752" s="41"/>
      <c r="AW752" s="41"/>
      <c r="AX752" s="41"/>
      <c r="AY752" s="41"/>
      <c r="AZ752" s="41"/>
      <c r="BA752" s="41"/>
      <c r="BB752" s="41"/>
      <c r="BC752" s="41"/>
      <c r="BD752" s="41"/>
      <c r="BE752" s="41"/>
      <c r="BF752" s="41"/>
      <c r="BG752" s="41"/>
      <c r="BH752" s="41"/>
      <c r="BI752" s="41"/>
      <c r="BJ752" s="41"/>
      <c r="BK752" s="41"/>
      <c r="BL752" s="41"/>
      <c r="BM752" s="41"/>
      <c r="BN752" s="41"/>
      <c r="BO752" s="41"/>
      <c r="BP752" s="41"/>
      <c r="BQ752" s="41"/>
      <c r="BR752" s="41"/>
      <c r="BS752" s="41"/>
      <c r="BT752" s="41"/>
      <c r="BU752" s="41"/>
      <c r="BV752" s="41"/>
      <c r="BW752" s="41"/>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row>
    <row r="753" spans="1:97" ht="12.95" customHeight="1">
      <c r="J753" s="1222"/>
      <c r="K753" s="1223"/>
      <c r="L753" s="1223"/>
      <c r="M753" s="1223"/>
      <c r="N753" s="1224"/>
      <c r="O753" s="1226"/>
      <c r="P753" s="1226"/>
      <c r="Q753" s="1226"/>
      <c r="R753" s="1226"/>
      <c r="S753" s="1226"/>
      <c r="T753" s="1227"/>
      <c r="U753" s="1228"/>
      <c r="V753" s="1228"/>
      <c r="W753" s="1229"/>
      <c r="X753" s="1230"/>
      <c r="Y753" s="1231"/>
      <c r="Z753" s="1231"/>
      <c r="AA753" s="1231"/>
      <c r="AB753" s="1232"/>
      <c r="AC753" s="1233">
        <f t="shared" si="34"/>
        <v>0</v>
      </c>
      <c r="AD753" s="1234"/>
      <c r="AE753" s="1234"/>
      <c r="AF753" s="1234"/>
      <c r="AG753" s="1235"/>
      <c r="AM753" s="41"/>
      <c r="AN753" s="41"/>
      <c r="AO753" s="41"/>
      <c r="AP753" s="41"/>
      <c r="AQ753" s="41"/>
      <c r="AR753" s="41"/>
      <c r="AS753" s="41"/>
      <c r="AT753" s="41"/>
      <c r="AU753" s="41"/>
      <c r="AV753" s="41"/>
      <c r="AW753" s="41"/>
      <c r="AX753" s="41"/>
      <c r="AY753" s="41"/>
      <c r="AZ753" s="41"/>
      <c r="BA753" s="41"/>
      <c r="BB753" s="41"/>
      <c r="BC753" s="41"/>
      <c r="BD753" s="41"/>
      <c r="BE753" s="41"/>
      <c r="BF753" s="41"/>
      <c r="BG753" s="41"/>
      <c r="BH753" s="41"/>
      <c r="BI753" s="41"/>
      <c r="BJ753" s="41"/>
      <c r="BK753" s="41"/>
      <c r="BL753" s="41"/>
      <c r="BM753" s="41"/>
      <c r="BN753" s="41"/>
      <c r="BO753" s="41"/>
      <c r="BP753" s="41"/>
      <c r="BQ753" s="41"/>
      <c r="BR753" s="41"/>
      <c r="BS753" s="41"/>
      <c r="BT753" s="41"/>
      <c r="BU753" s="41"/>
      <c r="BV753" s="41"/>
      <c r="BW753" s="41"/>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row>
    <row r="754" spans="1:97" ht="12.95" customHeight="1">
      <c r="J754" s="1222"/>
      <c r="K754" s="1223"/>
      <c r="L754" s="1223"/>
      <c r="M754" s="1223"/>
      <c r="N754" s="1224"/>
      <c r="O754" s="1226"/>
      <c r="P754" s="1226"/>
      <c r="Q754" s="1226"/>
      <c r="R754" s="1226"/>
      <c r="S754" s="1226"/>
      <c r="T754" s="1227"/>
      <c r="U754" s="1228"/>
      <c r="V754" s="1228"/>
      <c r="W754" s="1229"/>
      <c r="X754" s="1230"/>
      <c r="Y754" s="1231"/>
      <c r="Z754" s="1231"/>
      <c r="AA754" s="1231"/>
      <c r="AB754" s="1232"/>
      <c r="AC754" s="1233">
        <f t="shared" si="34"/>
        <v>0</v>
      </c>
      <c r="AD754" s="1234"/>
      <c r="AE754" s="1234"/>
      <c r="AF754" s="1234"/>
      <c r="AG754" s="1235"/>
      <c r="AM754" s="41"/>
      <c r="AN754" s="41"/>
      <c r="AO754" s="41"/>
      <c r="AP754" s="41"/>
      <c r="AQ754" s="41"/>
      <c r="AR754" s="41"/>
      <c r="AS754" s="41"/>
      <c r="AT754" s="41"/>
      <c r="AU754" s="41"/>
      <c r="AV754" s="41"/>
      <c r="AW754" s="41"/>
      <c r="AX754" s="41"/>
      <c r="AY754" s="41"/>
      <c r="AZ754" s="41"/>
      <c r="BA754" s="41"/>
      <c r="BB754" s="41"/>
      <c r="BC754" s="41"/>
      <c r="BD754" s="41"/>
      <c r="BE754" s="41"/>
      <c r="BF754" s="41"/>
      <c r="BG754" s="41"/>
      <c r="BH754" s="41"/>
      <c r="BI754" s="41"/>
      <c r="BJ754" s="41"/>
      <c r="BK754" s="41"/>
      <c r="BL754" s="41"/>
      <c r="BM754" s="41"/>
      <c r="BN754" s="41"/>
      <c r="BO754" s="41"/>
      <c r="BP754" s="41"/>
      <c r="BQ754" s="41"/>
      <c r="BR754" s="41"/>
      <c r="BS754" s="41"/>
      <c r="BT754" s="41"/>
      <c r="BU754" s="41"/>
      <c r="BV754" s="41"/>
      <c r="BW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row>
    <row r="755" spans="1:97" ht="12.95" customHeight="1">
      <c r="J755" s="1222"/>
      <c r="K755" s="1223"/>
      <c r="L755" s="1223"/>
      <c r="M755" s="1223"/>
      <c r="N755" s="1224"/>
      <c r="O755" s="1226"/>
      <c r="P755" s="1226"/>
      <c r="Q755" s="1226"/>
      <c r="R755" s="1226"/>
      <c r="S755" s="1226"/>
      <c r="T755" s="1227"/>
      <c r="U755" s="1228"/>
      <c r="V755" s="1228"/>
      <c r="W755" s="1229"/>
      <c r="X755" s="1230"/>
      <c r="Y755" s="1231"/>
      <c r="Z755" s="1231"/>
      <c r="AA755" s="1231"/>
      <c r="AB755" s="1232"/>
      <c r="AC755" s="1233">
        <f t="shared" si="34"/>
        <v>0</v>
      </c>
      <c r="AD755" s="1234"/>
      <c r="AE755" s="1234"/>
      <c r="AF755" s="1234"/>
      <c r="AG755" s="1235"/>
      <c r="AL755" s="41"/>
      <c r="AM755" s="41"/>
      <c r="AN755" s="41"/>
      <c r="AO755" s="41"/>
      <c r="AP755" s="41"/>
      <c r="AQ755" s="41"/>
      <c r="AR755" s="41"/>
      <c r="AS755" s="41"/>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1"/>
      <c r="BQ755" s="41"/>
      <c r="BR755" s="41"/>
      <c r="BS755" s="41"/>
      <c r="BT755" s="41"/>
      <c r="BU755" s="41"/>
      <c r="BV755" s="41"/>
      <c r="BW755" s="41"/>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row>
    <row r="756" spans="1:97" ht="12.95" customHeight="1">
      <c r="J756" s="1222"/>
      <c r="K756" s="1223"/>
      <c r="L756" s="1223"/>
      <c r="M756" s="1223"/>
      <c r="N756" s="1224"/>
      <c r="O756" s="1226"/>
      <c r="P756" s="1226"/>
      <c r="Q756" s="1226"/>
      <c r="R756" s="1226"/>
      <c r="S756" s="1226"/>
      <c r="T756" s="1227"/>
      <c r="U756" s="1228"/>
      <c r="V756" s="1228"/>
      <c r="W756" s="1229"/>
      <c r="X756" s="1230"/>
      <c r="Y756" s="1231"/>
      <c r="Z756" s="1231"/>
      <c r="AA756" s="1231"/>
      <c r="AB756" s="1232"/>
      <c r="AC756" s="1233">
        <f t="shared" si="34"/>
        <v>0</v>
      </c>
      <c r="AD756" s="1234"/>
      <c r="AE756" s="1234"/>
      <c r="AF756" s="1234"/>
      <c r="AG756" s="1235"/>
      <c r="AL756" s="41"/>
      <c r="AM756" s="41"/>
      <c r="AN756" s="41"/>
      <c r="AO756" s="41"/>
      <c r="AP756" s="41"/>
      <c r="AQ756" s="41"/>
      <c r="AR756" s="41"/>
      <c r="AS756" s="41"/>
      <c r="AT756" s="41"/>
      <c r="AU756" s="41"/>
      <c r="AV756" s="41"/>
      <c r="AW756" s="41"/>
      <c r="AX756" s="41"/>
      <c r="AY756" s="41"/>
      <c r="AZ756" s="41"/>
      <c r="BA756" s="41"/>
      <c r="BB756" s="41"/>
      <c r="BC756" s="41"/>
      <c r="BD756" s="41"/>
      <c r="BE756" s="41"/>
      <c r="BF756" s="41"/>
      <c r="BG756" s="41"/>
      <c r="BH756" s="41"/>
      <c r="BI756" s="41"/>
      <c r="BJ756" s="41"/>
      <c r="BK756" s="41"/>
      <c r="BL756" s="41"/>
      <c r="BM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row>
    <row r="757" spans="1:97" ht="12.95" customHeight="1">
      <c r="J757" s="1222"/>
      <c r="K757" s="1223"/>
      <c r="L757" s="1223"/>
      <c r="M757" s="1223"/>
      <c r="N757" s="1224"/>
      <c r="O757" s="1226"/>
      <c r="P757" s="1226"/>
      <c r="Q757" s="1226"/>
      <c r="R757" s="1226"/>
      <c r="S757" s="1226"/>
      <c r="T757" s="1227"/>
      <c r="U757" s="1228"/>
      <c r="V757" s="1228"/>
      <c r="W757" s="1229"/>
      <c r="X757" s="1230"/>
      <c r="Y757" s="1231"/>
      <c r="Z757" s="1231"/>
      <c r="AA757" s="1231"/>
      <c r="AB757" s="1232"/>
      <c r="AC757" s="1233">
        <f t="shared" si="34"/>
        <v>0</v>
      </c>
      <c r="AD757" s="1234"/>
      <c r="AE757" s="1234"/>
      <c r="AF757" s="1234"/>
      <c r="AG757" s="1235"/>
      <c r="AL757" s="41"/>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row>
    <row r="758" spans="1:97" ht="12.95" customHeight="1">
      <c r="J758" s="1222"/>
      <c r="K758" s="1223"/>
      <c r="L758" s="1223"/>
      <c r="M758" s="1223"/>
      <c r="N758" s="1224"/>
      <c r="O758" s="1226"/>
      <c r="P758" s="1226"/>
      <c r="Q758" s="1226"/>
      <c r="R758" s="1226"/>
      <c r="S758" s="1226"/>
      <c r="T758" s="1227"/>
      <c r="U758" s="1228"/>
      <c r="V758" s="1228"/>
      <c r="W758" s="1229"/>
      <c r="X758" s="1230"/>
      <c r="Y758" s="1231"/>
      <c r="Z758" s="1231"/>
      <c r="AA758" s="1231"/>
      <c r="AB758" s="1232"/>
      <c r="AC758" s="1233">
        <f t="shared" si="34"/>
        <v>0</v>
      </c>
      <c r="AD758" s="1234"/>
      <c r="AE758" s="1234"/>
      <c r="AF758" s="1234"/>
      <c r="AG758" s="1235"/>
      <c r="AL758" s="41"/>
      <c r="AM758" s="41"/>
      <c r="AN758" s="41"/>
      <c r="AO758" s="41"/>
      <c r="AP758" s="41"/>
      <c r="AQ758" s="41"/>
      <c r="AR758" s="41"/>
      <c r="AS758" s="41"/>
      <c r="AT758" s="41"/>
      <c r="AU758" s="41"/>
      <c r="AV758" s="41"/>
      <c r="AW758" s="41"/>
      <c r="AX758" s="41"/>
      <c r="AY758" s="41"/>
      <c r="AZ758" s="41"/>
      <c r="BA758" s="41"/>
      <c r="BB758" s="41"/>
      <c r="BC758" s="41"/>
      <c r="BD758" s="41"/>
      <c r="BE758" s="41"/>
      <c r="BF758" s="41"/>
      <c r="BG758" s="41"/>
      <c r="BH758" s="41"/>
      <c r="BI758" s="41"/>
      <c r="BJ758" s="41"/>
      <c r="BK758" s="41"/>
      <c r="BL758" s="41"/>
      <c r="BM758" s="41"/>
      <c r="BN758" s="41"/>
      <c r="BO758" s="41"/>
      <c r="BP758" s="41"/>
      <c r="BQ758" s="41"/>
      <c r="BR758" s="41"/>
      <c r="BS758" s="41"/>
      <c r="BT758" s="41"/>
      <c r="BU758" s="41"/>
      <c r="BV758" s="41"/>
      <c r="BW758" s="41"/>
      <c r="BX758" s="41"/>
      <c r="BY758" s="41"/>
      <c r="BZ758" s="41"/>
      <c r="CA758" s="41"/>
      <c r="CB758" s="41"/>
      <c r="CC758" s="41"/>
      <c r="CD758" s="41"/>
      <c r="CE758" s="41"/>
      <c r="CF758" s="41"/>
      <c r="CG758" s="41"/>
      <c r="CH758" s="41"/>
      <c r="CI758" s="41"/>
      <c r="CJ758" s="41"/>
      <c r="CK758" s="41"/>
      <c r="CL758" s="41"/>
      <c r="CM758" s="41"/>
      <c r="CN758" s="41"/>
      <c r="CO758" s="41"/>
      <c r="CP758" s="41"/>
      <c r="CQ758" s="41"/>
      <c r="CR758" s="41"/>
      <c r="CS758" s="41"/>
    </row>
    <row r="759" spans="1:97" ht="12.95" customHeight="1">
      <c r="J759" s="1222"/>
      <c r="K759" s="1223"/>
      <c r="L759" s="1223"/>
      <c r="M759" s="1223"/>
      <c r="N759" s="1224"/>
      <c r="O759" s="1226"/>
      <c r="P759" s="1226"/>
      <c r="Q759" s="1226"/>
      <c r="R759" s="1226"/>
      <c r="S759" s="1226"/>
      <c r="T759" s="1227"/>
      <c r="U759" s="1228"/>
      <c r="V759" s="1228"/>
      <c r="W759" s="1229"/>
      <c r="X759" s="1230"/>
      <c r="Y759" s="1231"/>
      <c r="Z759" s="1231"/>
      <c r="AA759" s="1231"/>
      <c r="AB759" s="1232"/>
      <c r="AC759" s="1233">
        <f t="shared" si="34"/>
        <v>0</v>
      </c>
      <c r="AD759" s="1234"/>
      <c r="AE759" s="1234"/>
      <c r="AF759" s="1234"/>
      <c r="AG759" s="1235"/>
      <c r="AL759" s="41"/>
      <c r="AM759" s="41"/>
      <c r="AN759" s="41"/>
      <c r="AO759" s="41"/>
      <c r="AP759" s="41"/>
      <c r="AQ759" s="41"/>
      <c r="AR759" s="41"/>
      <c r="AS759" s="41"/>
      <c r="AT759" s="41"/>
      <c r="AU759" s="41"/>
      <c r="AV759" s="41"/>
      <c r="AW759" s="41"/>
      <c r="AX759" s="41"/>
      <c r="AY759" s="41"/>
      <c r="AZ759" s="41"/>
      <c r="BA759" s="41"/>
      <c r="BB759" s="41"/>
      <c r="BC759" s="41"/>
      <c r="BD759" s="41"/>
      <c r="BE759" s="41"/>
      <c r="BF759" s="41"/>
      <c r="BG759" s="41"/>
      <c r="BH759" s="41"/>
      <c r="BI759" s="41"/>
      <c r="BJ759" s="41"/>
      <c r="BK759" s="41"/>
      <c r="BL759" s="41"/>
      <c r="BM759" s="41"/>
      <c r="BN759" s="41"/>
      <c r="BO759" s="41"/>
      <c r="BP759" s="41"/>
      <c r="BQ759" s="41"/>
      <c r="BR759" s="41"/>
      <c r="BS759" s="41"/>
      <c r="BT759" s="41"/>
      <c r="BU759" s="41"/>
      <c r="BV759" s="41"/>
      <c r="BW759" s="41"/>
      <c r="BX759" s="41"/>
      <c r="BY759" s="41"/>
      <c r="BZ759" s="41"/>
      <c r="CA759" s="41"/>
      <c r="CB759" s="41"/>
      <c r="CC759" s="41"/>
      <c r="CD759" s="41"/>
      <c r="CE759" s="41"/>
      <c r="CF759" s="41"/>
      <c r="CG759" s="41"/>
      <c r="CH759" s="41"/>
      <c r="CI759" s="41"/>
      <c r="CJ759" s="41"/>
      <c r="CK759" s="41"/>
      <c r="CL759" s="41"/>
      <c r="CM759" s="41"/>
      <c r="CN759" s="41"/>
      <c r="CO759" s="41"/>
      <c r="CP759" s="41"/>
      <c r="CQ759" s="41"/>
      <c r="CR759" s="41"/>
      <c r="CS759" s="41"/>
    </row>
    <row r="760" spans="1:97" ht="12.95" customHeight="1">
      <c r="J760" s="1222"/>
      <c r="K760" s="1223"/>
      <c r="L760" s="1223"/>
      <c r="M760" s="1223"/>
      <c r="N760" s="1224"/>
      <c r="O760" s="1226"/>
      <c r="P760" s="1226"/>
      <c r="Q760" s="1226"/>
      <c r="R760" s="1226"/>
      <c r="S760" s="1226"/>
      <c r="T760" s="1227"/>
      <c r="U760" s="1228"/>
      <c r="V760" s="1228"/>
      <c r="W760" s="1229"/>
      <c r="X760" s="1230"/>
      <c r="Y760" s="1231"/>
      <c r="Z760" s="1231"/>
      <c r="AA760" s="1231"/>
      <c r="AB760" s="1232"/>
      <c r="AC760" s="1233">
        <f t="shared" si="34"/>
        <v>0</v>
      </c>
      <c r="AD760" s="1234"/>
      <c r="AE760" s="1234"/>
      <c r="AF760" s="1234"/>
      <c r="AG760" s="1235"/>
      <c r="AL760" s="41"/>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row>
    <row r="761" spans="1:97" ht="12.95" customHeight="1">
      <c r="J761" s="1222"/>
      <c r="K761" s="1223"/>
      <c r="L761" s="1223"/>
      <c r="M761" s="1223"/>
      <c r="N761" s="1224"/>
      <c r="O761" s="1226"/>
      <c r="P761" s="1226"/>
      <c r="Q761" s="1226"/>
      <c r="R761" s="1226"/>
      <c r="S761" s="1226"/>
      <c r="T761" s="1227"/>
      <c r="U761" s="1228"/>
      <c r="V761" s="1228"/>
      <c r="W761" s="1229"/>
      <c r="X761" s="1230"/>
      <c r="Y761" s="1231"/>
      <c r="Z761" s="1231"/>
      <c r="AA761" s="1231"/>
      <c r="AB761" s="1232"/>
      <c r="AC761" s="1233">
        <f t="shared" si="34"/>
        <v>0</v>
      </c>
      <c r="AD761" s="1234"/>
      <c r="AE761" s="1234"/>
      <c r="AF761" s="1234"/>
      <c r="AG761" s="1235"/>
      <c r="AL761" s="41"/>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row>
    <row r="762" spans="1:97" ht="12.95" customHeight="1">
      <c r="J762" s="1091" t="s">
        <v>917</v>
      </c>
      <c r="K762" s="1092"/>
      <c r="L762" s="1092"/>
      <c r="M762" s="1092"/>
      <c r="N762" s="1094"/>
      <c r="O762" s="1238">
        <f>SUM(O752:S761)</f>
        <v>0</v>
      </c>
      <c r="P762" s="1238"/>
      <c r="Q762" s="1238"/>
      <c r="R762" s="1238"/>
      <c r="S762" s="1238"/>
      <c r="X762" s="434" t="s">
        <v>916</v>
      </c>
      <c r="Y762" s="168"/>
      <c r="Z762" s="168"/>
      <c r="AA762" s="168"/>
      <c r="AB762" s="849"/>
      <c r="AC762" s="1233">
        <f>SUM(AC752:AG761)</f>
        <v>0</v>
      </c>
      <c r="AD762" s="1234"/>
      <c r="AE762" s="1234"/>
      <c r="AF762" s="1234"/>
      <c r="AG762" s="1235"/>
      <c r="AL762" s="41"/>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row>
    <row r="763" spans="1:97" ht="12.95" customHeight="1">
      <c r="AL763" s="41"/>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row>
    <row r="764" spans="1:97" ht="12.95" customHeight="1">
      <c r="J764" s="8"/>
      <c r="K764" s="9"/>
      <c r="L764" s="9"/>
      <c r="M764" s="9"/>
      <c r="N764" s="9"/>
      <c r="O764" s="9"/>
      <c r="P764" s="9"/>
      <c r="Q764" s="9"/>
      <c r="R764" s="9"/>
      <c r="S764" s="9"/>
      <c r="T764" s="9"/>
      <c r="U764" s="9"/>
      <c r="V764" s="9"/>
      <c r="W764" s="9"/>
      <c r="X764" s="60" t="s">
        <v>814</v>
      </c>
      <c r="Y764" s="1156">
        <f>T717+AC742+AC762</f>
        <v>27504</v>
      </c>
      <c r="Z764" s="1156"/>
      <c r="AA764" s="1156"/>
      <c r="AB764" s="1156"/>
      <c r="AC764" s="1156"/>
      <c r="AL764" s="41"/>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row>
    <row r="765" spans="1:97" ht="12.95" customHeight="1">
      <c r="J765" s="53"/>
      <c r="K765" s="54"/>
      <c r="L765" s="54"/>
      <c r="M765" s="54"/>
      <c r="N765" s="54"/>
      <c r="O765" s="54"/>
      <c r="P765" s="54"/>
      <c r="Q765" s="54"/>
      <c r="R765" s="54"/>
      <c r="S765" s="54"/>
      <c r="T765" s="54"/>
      <c r="U765" s="54"/>
      <c r="V765" s="54"/>
      <c r="W765" s="54"/>
      <c r="X765" s="171" t="s">
        <v>815</v>
      </c>
      <c r="Y765" s="1156">
        <f>(T717+AC742+AC762)*12</f>
        <v>330048</v>
      </c>
      <c r="Z765" s="1156"/>
      <c r="AA765" s="1156"/>
      <c r="AB765" s="1156"/>
      <c r="AC765" s="1156"/>
      <c r="AL765" s="41"/>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row>
    <row r="766" spans="1:97" ht="12.95" customHeight="1">
      <c r="B766" s="3"/>
      <c r="X766" s="2"/>
      <c r="Y766" s="2"/>
      <c r="Z766" s="2"/>
      <c r="AA766" s="2"/>
      <c r="AB766" s="2"/>
      <c r="AC766" s="2"/>
      <c r="AD766" s="2"/>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row>
    <row r="767" spans="1:97" ht="12.95" customHeight="1">
      <c r="A767" s="3" t="s">
        <v>130</v>
      </c>
      <c r="B767" s="3"/>
      <c r="C767" s="3" t="s">
        <v>162</v>
      </c>
      <c r="X767" s="2"/>
      <c r="Y767" s="2"/>
      <c r="Z767" s="2"/>
      <c r="AA767" s="2"/>
      <c r="AB767" s="2"/>
      <c r="AC767" s="2"/>
      <c r="AD767" s="2"/>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row>
    <row r="768" spans="1:97" ht="12.95" customHeight="1">
      <c r="A768" s="3"/>
      <c r="B768" s="3"/>
      <c r="C768" s="3" t="s">
        <v>1218</v>
      </c>
      <c r="X768" s="2"/>
      <c r="Y768" s="2"/>
      <c r="Z768" s="2"/>
      <c r="AA768" s="2"/>
      <c r="AB768" s="2"/>
      <c r="AC768" s="2"/>
      <c r="AD768" s="2"/>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row>
    <row r="769" spans="1:97" ht="12.95" customHeight="1">
      <c r="B769" s="3"/>
      <c r="X769" s="2"/>
      <c r="Y769" s="2"/>
      <c r="Z769" s="2"/>
      <c r="AA769" s="2"/>
      <c r="AB769" s="2"/>
      <c r="AC769" s="2"/>
      <c r="AD769" s="2"/>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row>
    <row r="770" spans="1:97" ht="12.95" customHeight="1">
      <c r="H770" s="8" t="s">
        <v>347</v>
      </c>
      <c r="I770" s="9"/>
      <c r="J770" s="9"/>
      <c r="K770" s="9"/>
      <c r="L770" s="9"/>
      <c r="M770" s="9"/>
      <c r="N770" s="9"/>
      <c r="O770" s="9"/>
      <c r="P770" s="9"/>
      <c r="Q770" s="9"/>
      <c r="R770" s="9"/>
      <c r="S770" s="9"/>
      <c r="T770" s="9"/>
      <c r="U770" s="9"/>
      <c r="V770" s="9"/>
      <c r="W770" s="9"/>
      <c r="X770" s="9"/>
      <c r="Y770" s="9"/>
      <c r="Z770" s="1262">
        <v>19</v>
      </c>
      <c r="AA770" s="1263"/>
      <c r="AB770" s="1263"/>
      <c r="AC770" s="1263"/>
      <c r="AD770" s="1263"/>
      <c r="AE770" s="1264"/>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row>
    <row r="771" spans="1:97" ht="12.95" customHeight="1">
      <c r="H771" s="8" t="s">
        <v>348</v>
      </c>
      <c r="I771" s="9"/>
      <c r="J771" s="9"/>
      <c r="K771" s="9"/>
      <c r="L771" s="9"/>
      <c r="M771" s="9"/>
      <c r="N771" s="9"/>
      <c r="O771" s="9"/>
      <c r="P771" s="9"/>
      <c r="Q771" s="9"/>
      <c r="R771" s="9"/>
      <c r="S771" s="9"/>
      <c r="T771" s="9"/>
      <c r="U771" s="9"/>
      <c r="V771" s="9"/>
      <c r="W771" s="9"/>
      <c r="X771" s="9"/>
      <c r="Y771" s="9"/>
      <c r="Z771" s="1443">
        <v>20</v>
      </c>
      <c r="AA771" s="1263"/>
      <c r="AB771" s="1263"/>
      <c r="AC771" s="1263"/>
      <c r="AD771" s="1263"/>
      <c r="AE771" s="1264"/>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row>
    <row r="772" spans="1:97" ht="12.95" customHeight="1">
      <c r="H772" s="8" t="s">
        <v>724</v>
      </c>
      <c r="I772" s="9"/>
      <c r="J772" s="9"/>
      <c r="K772" s="9"/>
      <c r="L772" s="9"/>
      <c r="M772" s="9"/>
      <c r="N772" s="9"/>
      <c r="O772" s="9"/>
      <c r="P772" s="9"/>
      <c r="Q772" s="9"/>
      <c r="R772" s="9"/>
      <c r="S772" s="9"/>
      <c r="T772" s="9"/>
      <c r="U772" s="9"/>
      <c r="V772" s="9"/>
      <c r="W772" s="9"/>
      <c r="X772" s="9"/>
      <c r="Y772" s="9"/>
      <c r="Z772" s="1444">
        <v>52451</v>
      </c>
      <c r="AA772" s="1205"/>
      <c r="AB772" s="1205"/>
      <c r="AC772" s="1205"/>
      <c r="AD772" s="1205"/>
      <c r="AE772" s="1206"/>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row>
    <row r="773" spans="1:97" ht="12.95" customHeight="1">
      <c r="H773" s="8"/>
      <c r="I773" s="9"/>
      <c r="J773" s="9"/>
      <c r="K773" s="9"/>
      <c r="L773" s="9"/>
      <c r="M773" s="9"/>
      <c r="N773" s="9"/>
      <c r="O773" s="9"/>
      <c r="P773" s="9"/>
      <c r="Q773" s="9"/>
      <c r="R773" s="9"/>
      <c r="S773" s="9"/>
      <c r="T773" s="9"/>
      <c r="U773" s="9"/>
      <c r="V773" s="9"/>
      <c r="W773" s="9"/>
      <c r="X773" s="9"/>
      <c r="Y773" s="59" t="s">
        <v>812</v>
      </c>
      <c r="Z773" s="1153">
        <f>'Subsidy Contract Calculation'!I30</f>
        <v>178068</v>
      </c>
      <c r="AA773" s="1154"/>
      <c r="AB773" s="1154"/>
      <c r="AC773" s="1154"/>
      <c r="AD773" s="1154"/>
      <c r="AE773" s="1155"/>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row>
    <row r="774" spans="1:97" ht="12.95" customHeight="1">
      <c r="X774" s="2"/>
      <c r="Y774" s="2"/>
      <c r="Z774" s="2"/>
      <c r="AA774" s="2"/>
      <c r="AB774" s="2"/>
      <c r="AC774" s="2"/>
      <c r="AD774" s="2"/>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row>
    <row r="775" spans="1:97" ht="12.95" customHeight="1">
      <c r="A775" s="3" t="s">
        <v>131</v>
      </c>
      <c r="B775" s="3"/>
      <c r="C775" s="3" t="s">
        <v>275</v>
      </c>
      <c r="X775" s="2"/>
      <c r="Y775" s="2"/>
      <c r="Z775" s="2"/>
      <c r="AA775" s="2"/>
      <c r="AB775" s="2"/>
      <c r="AC775" s="2"/>
      <c r="AD775" s="2"/>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row>
    <row r="776" spans="1:97" ht="12.95" customHeight="1">
      <c r="X776" s="2"/>
      <c r="Y776" s="2"/>
      <c r="Z776" s="2"/>
      <c r="AA776" s="2"/>
      <c r="AB776" s="2"/>
      <c r="AC776" s="2"/>
      <c r="AD776" s="2"/>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row>
    <row r="777" spans="1:97" ht="12.95" customHeight="1">
      <c r="H777" s="8" t="s">
        <v>725</v>
      </c>
      <c r="I777" s="9"/>
      <c r="J777" s="9"/>
      <c r="K777" s="9"/>
      <c r="L777" s="9"/>
      <c r="M777" s="9"/>
      <c r="N777" s="9"/>
      <c r="O777" s="9"/>
      <c r="P777" s="9"/>
      <c r="Q777" s="9"/>
      <c r="R777" s="9"/>
      <c r="S777" s="9"/>
      <c r="T777" s="9"/>
      <c r="U777" s="9"/>
      <c r="V777" s="9"/>
      <c r="W777" s="9"/>
      <c r="X777" s="9"/>
      <c r="Y777" s="9"/>
      <c r="Z777" s="1144">
        <v>0</v>
      </c>
      <c r="AA777" s="1145"/>
      <c r="AB777" s="1145"/>
      <c r="AC777" s="1145"/>
      <c r="AD777" s="1145"/>
      <c r="AE777" s="1146"/>
      <c r="AM777" s="41"/>
      <c r="AN777" s="41"/>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row>
    <row r="778" spans="1:97" ht="12.95" customHeight="1">
      <c r="H778" s="8" t="s">
        <v>726</v>
      </c>
      <c r="I778" s="9"/>
      <c r="J778" s="9"/>
      <c r="K778" s="9"/>
      <c r="L778" s="9"/>
      <c r="M778" s="9"/>
      <c r="N778" s="9"/>
      <c r="O778" s="9"/>
      <c r="P778" s="9"/>
      <c r="Q778" s="9"/>
      <c r="R778" s="9"/>
      <c r="S778" s="9"/>
      <c r="T778" s="9"/>
      <c r="U778" s="9"/>
      <c r="V778" s="9"/>
      <c r="W778" s="9"/>
      <c r="X778" s="9"/>
      <c r="Y778" s="9"/>
      <c r="Z778" s="1144"/>
      <c r="AA778" s="1145"/>
      <c r="AB778" s="1145"/>
      <c r="AC778" s="1145"/>
      <c r="AD778" s="1145"/>
      <c r="AE778" s="1146"/>
      <c r="AM778" s="41"/>
      <c r="AN778" s="41"/>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row>
    <row r="779" spans="1:97" ht="12.95" customHeight="1">
      <c r="H779" s="8" t="s">
        <v>727</v>
      </c>
      <c r="I779" s="9"/>
      <c r="J779" s="9"/>
      <c r="K779" s="9"/>
      <c r="L779" s="9"/>
      <c r="M779" s="9"/>
      <c r="N779" s="9"/>
      <c r="O779" s="9"/>
      <c r="P779" s="9"/>
      <c r="Q779" s="9"/>
      <c r="R779" s="9"/>
      <c r="S779" s="9"/>
      <c r="T779" s="9"/>
      <c r="U779" s="9"/>
      <c r="V779" s="9"/>
      <c r="W779" s="9"/>
      <c r="X779" s="9"/>
      <c r="Y779" s="9"/>
      <c r="Z779" s="1144"/>
      <c r="AA779" s="1145"/>
      <c r="AB779" s="1145"/>
      <c r="AC779" s="1145"/>
      <c r="AD779" s="1145"/>
      <c r="AE779" s="1146"/>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row>
    <row r="780" spans="1:97" ht="12.95" customHeight="1">
      <c r="H780" s="8" t="s">
        <v>728</v>
      </c>
      <c r="I780" s="9"/>
      <c r="J780" s="9"/>
      <c r="K780" s="9"/>
      <c r="L780" s="9"/>
      <c r="M780" s="9"/>
      <c r="N780" s="9"/>
      <c r="O780" s="9"/>
      <c r="P780" s="1157" t="s">
        <v>592</v>
      </c>
      <c r="Q780" s="1142"/>
      <c r="R780" s="1142"/>
      <c r="S780" s="1142"/>
      <c r="T780" s="1142"/>
      <c r="U780" s="1142"/>
      <c r="V780" s="1142"/>
      <c r="W780" s="1142"/>
      <c r="X780" s="1142"/>
      <c r="Y780" s="1143"/>
      <c r="Z780" s="1144"/>
      <c r="AA780" s="1145"/>
      <c r="AB780" s="1145"/>
      <c r="AC780" s="1145"/>
      <c r="AD780" s="1145"/>
      <c r="AE780" s="1146"/>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row>
    <row r="781" spans="1:97" ht="12.95" customHeight="1">
      <c r="H781" s="8"/>
      <c r="I781" s="9"/>
      <c r="J781" s="9"/>
      <c r="K781" s="9"/>
      <c r="L781" s="9"/>
      <c r="M781" s="9"/>
      <c r="N781" s="9"/>
      <c r="O781" s="9"/>
      <c r="P781" s="9"/>
      <c r="Q781" s="9"/>
      <c r="R781" s="9"/>
      <c r="S781" s="9"/>
      <c r="T781" s="9"/>
      <c r="U781" s="9"/>
      <c r="V781" s="9"/>
      <c r="W781" s="9"/>
      <c r="X781" s="9"/>
      <c r="Y781" s="59" t="s">
        <v>813</v>
      </c>
      <c r="Z781" s="1150">
        <f>SUM(Z777:AE780)</f>
        <v>0</v>
      </c>
      <c r="AA781" s="1151"/>
      <c r="AB781" s="1151"/>
      <c r="AC781" s="1151"/>
      <c r="AD781" s="1151"/>
      <c r="AE781" s="1152"/>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row>
    <row r="782" spans="1:97" ht="12.95" customHeight="1">
      <c r="H782" s="8"/>
      <c r="I782" s="9"/>
      <c r="J782" s="9"/>
      <c r="K782" s="9"/>
      <c r="L782" s="9"/>
      <c r="M782" s="9"/>
      <c r="N782" s="9"/>
      <c r="O782" s="9"/>
      <c r="P782" s="9"/>
      <c r="Q782" s="9"/>
      <c r="R782" s="9"/>
      <c r="S782" s="9"/>
      <c r="T782" s="9"/>
      <c r="U782" s="9"/>
      <c r="V782" s="9"/>
      <c r="W782" s="9"/>
      <c r="X782" s="9"/>
      <c r="Y782" s="59" t="s">
        <v>690</v>
      </c>
      <c r="Z782" s="1150">
        <f>Z781+Y765+Z773</f>
        <v>508116</v>
      </c>
      <c r="AA782" s="1151"/>
      <c r="AB782" s="1151"/>
      <c r="AC782" s="1151"/>
      <c r="AD782" s="1151"/>
      <c r="AE782" s="1152"/>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row>
    <row r="783" spans="1:97" ht="12.95" customHeight="1">
      <c r="X783" s="2"/>
      <c r="Y783" s="2"/>
      <c r="Z783" s="2"/>
      <c r="AA783" s="2"/>
      <c r="AB783" s="2"/>
      <c r="AC783" s="2"/>
      <c r="AD783" s="2"/>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row>
    <row r="784" spans="1:97" ht="12.95" customHeight="1">
      <c r="A784" s="3" t="s">
        <v>133</v>
      </c>
      <c r="B784" s="3"/>
      <c r="C784" s="3" t="s">
        <v>379</v>
      </c>
      <c r="W784" s="62"/>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row>
    <row r="785" spans="3:97" ht="12.95" customHeight="1">
      <c r="C785" s="4" t="s">
        <v>1084</v>
      </c>
      <c r="W785" s="62"/>
      <c r="AM785" s="41"/>
      <c r="AN785" s="41"/>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row>
    <row r="786" spans="3:97" ht="12.95" customHeight="1">
      <c r="C786" s="36"/>
      <c r="W786" s="62"/>
      <c r="AM786" s="41"/>
      <c r="AN786" s="41"/>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row>
    <row r="787" spans="3:97" ht="12.95" customHeight="1">
      <c r="C787" s="6"/>
      <c r="D787" s="7"/>
      <c r="E787" s="7"/>
      <c r="F787" s="7"/>
      <c r="G787" s="7"/>
      <c r="H787" s="7"/>
      <c r="I787" s="7"/>
      <c r="J787" s="7"/>
      <c r="K787" s="7"/>
      <c r="L787" s="64"/>
      <c r="M787" s="1173" t="s">
        <v>918</v>
      </c>
      <c r="N787" s="1173"/>
      <c r="O787" s="1173"/>
      <c r="P787" s="1511"/>
      <c r="Q787" s="1225" t="s">
        <v>277</v>
      </c>
      <c r="R787" s="1225"/>
      <c r="S787" s="1225"/>
      <c r="T787" s="1225"/>
      <c r="U787" s="1225" t="s">
        <v>278</v>
      </c>
      <c r="V787" s="1225"/>
      <c r="W787" s="1225"/>
      <c r="X787" s="1225"/>
      <c r="Y787" s="1225" t="s">
        <v>279</v>
      </c>
      <c r="Z787" s="1225"/>
      <c r="AA787" s="1225"/>
      <c r="AB787" s="1225"/>
      <c r="AC787" s="1225" t="s">
        <v>35</v>
      </c>
      <c r="AD787" s="1225"/>
      <c r="AE787" s="1225"/>
      <c r="AF787" s="1225"/>
      <c r="AG787" s="1510" t="s">
        <v>593</v>
      </c>
      <c r="AH787" s="1510"/>
      <c r="AI787" s="1510"/>
      <c r="AJ787" s="1510"/>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row>
    <row r="788" spans="3:97" ht="12.95" customHeight="1">
      <c r="C788" s="53"/>
      <c r="D788" s="54"/>
      <c r="E788" s="54"/>
      <c r="F788" s="54"/>
      <c r="G788" s="54"/>
      <c r="H788" s="54"/>
      <c r="I788" s="54"/>
      <c r="J788" s="54"/>
      <c r="K788" s="54"/>
      <c r="L788" s="55"/>
      <c r="M788" s="1177"/>
      <c r="N788" s="1177"/>
      <c r="O788" s="1177"/>
      <c r="P788" s="1270"/>
      <c r="Q788" s="1225"/>
      <c r="R788" s="1225"/>
      <c r="S788" s="1225"/>
      <c r="T788" s="1225"/>
      <c r="U788" s="1225"/>
      <c r="V788" s="1225"/>
      <c r="W788" s="1225"/>
      <c r="X788" s="1225"/>
      <c r="Y788" s="1225"/>
      <c r="Z788" s="1225"/>
      <c r="AA788" s="1225"/>
      <c r="AB788" s="1225"/>
      <c r="AC788" s="1225"/>
      <c r="AD788" s="1225"/>
      <c r="AE788" s="1225"/>
      <c r="AF788" s="1225"/>
      <c r="AG788" s="1510"/>
      <c r="AH788" s="1510"/>
      <c r="AI788" s="1510"/>
      <c r="AJ788" s="1510"/>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row>
    <row r="789" spans="3:97" ht="12.95" customHeight="1">
      <c r="C789" s="1332" t="s">
        <v>729</v>
      </c>
      <c r="D789" s="1292"/>
      <c r="E789" s="1292"/>
      <c r="F789" s="1292"/>
      <c r="G789" s="1292"/>
      <c r="H789" s="1292"/>
      <c r="I789" s="54"/>
      <c r="J789" s="54"/>
      <c r="K789" s="54"/>
      <c r="L789" s="55"/>
      <c r="M789" s="1239">
        <v>13</v>
      </c>
      <c r="N789" s="1239"/>
      <c r="O789" s="1239"/>
      <c r="P789" s="1239"/>
      <c r="Q789" s="1239">
        <v>15</v>
      </c>
      <c r="R789" s="1239"/>
      <c r="S789" s="1239"/>
      <c r="T789" s="1239"/>
      <c r="U789" s="1239">
        <v>18</v>
      </c>
      <c r="V789" s="1239"/>
      <c r="W789" s="1239"/>
      <c r="X789" s="1239"/>
      <c r="Y789" s="1239">
        <v>21</v>
      </c>
      <c r="Z789" s="1239"/>
      <c r="AA789" s="1239"/>
      <c r="AB789" s="1239"/>
      <c r="AC789" s="1059"/>
      <c r="AD789" s="1060"/>
      <c r="AE789" s="1060"/>
      <c r="AF789" s="1061"/>
      <c r="AG789" s="1059"/>
      <c r="AH789" s="1060"/>
      <c r="AI789" s="1060"/>
      <c r="AJ789" s="1061"/>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row>
    <row r="790" spans="3:97" ht="12.95" customHeight="1">
      <c r="C790" s="1236" t="s">
        <v>730</v>
      </c>
      <c r="D790" s="1237"/>
      <c r="E790" s="1237"/>
      <c r="F790" s="1237"/>
      <c r="G790" s="1237"/>
      <c r="H790" s="1237"/>
      <c r="I790" s="9"/>
      <c r="J790" s="9"/>
      <c r="K790" s="9"/>
      <c r="L790" s="52"/>
      <c r="M790" s="1239">
        <v>8</v>
      </c>
      <c r="N790" s="1239"/>
      <c r="O790" s="1239"/>
      <c r="P790" s="1239"/>
      <c r="Q790" s="1239">
        <v>10</v>
      </c>
      <c r="R790" s="1239"/>
      <c r="S790" s="1239"/>
      <c r="T790" s="1239"/>
      <c r="U790" s="1239">
        <v>13</v>
      </c>
      <c r="V790" s="1239"/>
      <c r="W790" s="1239"/>
      <c r="X790" s="1239"/>
      <c r="Y790" s="1239">
        <v>29</v>
      </c>
      <c r="Z790" s="1239"/>
      <c r="AA790" s="1239"/>
      <c r="AB790" s="1239"/>
      <c r="AC790" s="1059"/>
      <c r="AD790" s="1060"/>
      <c r="AE790" s="1060"/>
      <c r="AF790" s="1061"/>
      <c r="AG790" s="1059"/>
      <c r="AH790" s="1060"/>
      <c r="AI790" s="1060"/>
      <c r="AJ790" s="1061"/>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row>
    <row r="791" spans="3:97" ht="12.95" customHeight="1">
      <c r="C791" s="1236" t="s">
        <v>76</v>
      </c>
      <c r="D791" s="1237"/>
      <c r="E791" s="1237"/>
      <c r="F791" s="1237"/>
      <c r="G791" s="1237"/>
      <c r="H791" s="1237"/>
      <c r="I791" s="66"/>
      <c r="J791" s="66"/>
      <c r="K791" s="66"/>
      <c r="L791" s="67"/>
      <c r="M791" s="1239">
        <v>7</v>
      </c>
      <c r="N791" s="1239"/>
      <c r="O791" s="1239"/>
      <c r="P791" s="1239"/>
      <c r="Q791" s="1239">
        <v>8</v>
      </c>
      <c r="R791" s="1239"/>
      <c r="S791" s="1239"/>
      <c r="T791" s="1239"/>
      <c r="U791" s="1239">
        <v>12</v>
      </c>
      <c r="V791" s="1239"/>
      <c r="W791" s="1239"/>
      <c r="X791" s="1239"/>
      <c r="Y791" s="1239">
        <v>15</v>
      </c>
      <c r="Z791" s="1239"/>
      <c r="AA791" s="1239"/>
      <c r="AB791" s="1239"/>
      <c r="AC791" s="1059"/>
      <c r="AD791" s="1060"/>
      <c r="AE791" s="1060"/>
      <c r="AF791" s="1061"/>
      <c r="AG791" s="1059"/>
      <c r="AH791" s="1060"/>
      <c r="AI791" s="1060"/>
      <c r="AJ791" s="1061"/>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row>
    <row r="792" spans="3:97" ht="12.95" customHeight="1">
      <c r="C792" s="1236" t="s">
        <v>189</v>
      </c>
      <c r="D792" s="1237"/>
      <c r="E792" s="1237"/>
      <c r="F792" s="1237"/>
      <c r="G792" s="1237"/>
      <c r="H792" s="1237"/>
      <c r="I792" s="66"/>
      <c r="J792" s="66"/>
      <c r="K792" s="66"/>
      <c r="L792" s="67"/>
      <c r="M792" s="1239"/>
      <c r="N792" s="1239"/>
      <c r="O792" s="1239"/>
      <c r="P792" s="1239"/>
      <c r="Q792" s="1239"/>
      <c r="R792" s="1239"/>
      <c r="S792" s="1239"/>
      <c r="T792" s="1239"/>
      <c r="U792" s="1239"/>
      <c r="V792" s="1239"/>
      <c r="W792" s="1239"/>
      <c r="X792" s="1239"/>
      <c r="Y792" s="1239"/>
      <c r="Z792" s="1239"/>
      <c r="AA792" s="1239"/>
      <c r="AB792" s="1239"/>
      <c r="AC792" s="1059"/>
      <c r="AD792" s="1060"/>
      <c r="AE792" s="1060"/>
      <c r="AF792" s="1061"/>
      <c r="AG792" s="1059"/>
      <c r="AH792" s="1060"/>
      <c r="AI792" s="1060"/>
      <c r="AJ792" s="1061"/>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row>
    <row r="793" spans="3:97" ht="12.95" customHeight="1">
      <c r="C793" s="1236" t="s">
        <v>827</v>
      </c>
      <c r="D793" s="1237"/>
      <c r="E793" s="1237"/>
      <c r="F793" s="1237"/>
      <c r="G793" s="1237"/>
      <c r="H793" s="1237"/>
      <c r="I793" s="66"/>
      <c r="J793" s="66"/>
      <c r="K793" s="66"/>
      <c r="L793" s="67"/>
      <c r="M793" s="1239">
        <v>20</v>
      </c>
      <c r="N793" s="1239"/>
      <c r="O793" s="1239"/>
      <c r="P793" s="1239"/>
      <c r="Q793" s="1239">
        <v>24</v>
      </c>
      <c r="R793" s="1239"/>
      <c r="S793" s="1239"/>
      <c r="T793" s="1239"/>
      <c r="U793" s="1239">
        <v>36</v>
      </c>
      <c r="V793" s="1239"/>
      <c r="W793" s="1239"/>
      <c r="X793" s="1239"/>
      <c r="Y793" s="1239">
        <v>48</v>
      </c>
      <c r="Z793" s="1239"/>
      <c r="AA793" s="1239"/>
      <c r="AB793" s="1239"/>
      <c r="AC793" s="1059"/>
      <c r="AD793" s="1060"/>
      <c r="AE793" s="1060"/>
      <c r="AF793" s="1061"/>
      <c r="AG793" s="1059"/>
      <c r="AH793" s="1060"/>
      <c r="AI793" s="1060"/>
      <c r="AJ793" s="1061"/>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row>
    <row r="794" spans="3:97" ht="12.95" customHeight="1">
      <c r="C794" s="1387" t="s">
        <v>986</v>
      </c>
      <c r="D794" s="1237"/>
      <c r="E794" s="1237"/>
      <c r="F794" s="1237"/>
      <c r="G794" s="1237"/>
      <c r="H794" s="1237"/>
      <c r="I794" s="66"/>
      <c r="J794" s="66"/>
      <c r="K794" s="66"/>
      <c r="L794" s="67"/>
      <c r="M794" s="1239"/>
      <c r="N794" s="1239"/>
      <c r="O794" s="1239"/>
      <c r="P794" s="1239"/>
      <c r="Q794" s="1239"/>
      <c r="R794" s="1239"/>
      <c r="S794" s="1239"/>
      <c r="T794" s="1239"/>
      <c r="U794" s="1239"/>
      <c r="V794" s="1239"/>
      <c r="W794" s="1239"/>
      <c r="X794" s="1239"/>
      <c r="Y794" s="1239"/>
      <c r="Z794" s="1239"/>
      <c r="AA794" s="1239"/>
      <c r="AB794" s="1239"/>
      <c r="AC794" s="1059"/>
      <c r="AD794" s="1060"/>
      <c r="AE794" s="1060"/>
      <c r="AF794" s="1061"/>
      <c r="AG794" s="1059"/>
      <c r="AH794" s="1060"/>
      <c r="AI794" s="1060"/>
      <c r="AJ794" s="1061"/>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row>
    <row r="795" spans="3:97" ht="12.95" customHeight="1">
      <c r="C795" s="65" t="s">
        <v>280</v>
      </c>
      <c r="D795" s="66"/>
      <c r="E795" s="66"/>
      <c r="F795" s="1141" t="s">
        <v>2460</v>
      </c>
      <c r="G795" s="1142"/>
      <c r="H795" s="1142"/>
      <c r="I795" s="1142"/>
      <c r="J795" s="1142"/>
      <c r="K795" s="1142"/>
      <c r="L795" s="1142"/>
      <c r="M795" s="1239">
        <f>14-4</f>
        <v>10</v>
      </c>
      <c r="N795" s="1239"/>
      <c r="O795" s="1239"/>
      <c r="P795" s="1239"/>
      <c r="Q795" s="1239">
        <f>17-4</f>
        <v>13</v>
      </c>
      <c r="R795" s="1239"/>
      <c r="S795" s="1239"/>
      <c r="T795" s="1239"/>
      <c r="U795" s="1239">
        <f>23-4</f>
        <v>19</v>
      </c>
      <c r="V795" s="1239"/>
      <c r="W795" s="1239"/>
      <c r="X795" s="1239"/>
      <c r="Y795" s="1239">
        <f>30-4</f>
        <v>26</v>
      </c>
      <c r="Z795" s="1239"/>
      <c r="AA795" s="1239"/>
      <c r="AB795" s="1239"/>
      <c r="AC795" s="1059"/>
      <c r="AD795" s="1060"/>
      <c r="AE795" s="1060"/>
      <c r="AF795" s="1061"/>
      <c r="AG795" s="1059"/>
      <c r="AH795" s="1060"/>
      <c r="AI795" s="1060"/>
      <c r="AJ795" s="1061"/>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row>
    <row r="796" spans="3:97" ht="12.95" customHeight="1">
      <c r="C796" s="1091" t="s">
        <v>916</v>
      </c>
      <c r="D796" s="1092"/>
      <c r="E796" s="1092"/>
      <c r="F796" s="1092"/>
      <c r="G796" s="1092"/>
      <c r="H796" s="1092"/>
      <c r="I796" s="1092"/>
      <c r="J796" s="1092"/>
      <c r="K796" s="1092"/>
      <c r="L796" s="1094"/>
      <c r="M796" s="1308">
        <f>SUM(M789:P795)</f>
        <v>58</v>
      </c>
      <c r="N796" s="1308"/>
      <c r="O796" s="1308"/>
      <c r="P796" s="1308"/>
      <c r="Q796" s="1308">
        <f>SUM(Q789:T795)</f>
        <v>70</v>
      </c>
      <c r="R796" s="1308"/>
      <c r="S796" s="1308"/>
      <c r="T796" s="1308"/>
      <c r="U796" s="1308">
        <f>SUM(U789:X795)</f>
        <v>98</v>
      </c>
      <c r="V796" s="1308"/>
      <c r="W796" s="1308"/>
      <c r="X796" s="1308"/>
      <c r="Y796" s="1308">
        <f>SUM(Y789:AB795)</f>
        <v>139</v>
      </c>
      <c r="Z796" s="1308"/>
      <c r="AA796" s="1308"/>
      <c r="AB796" s="1308"/>
      <c r="AC796" s="1308">
        <f>SUM(AC789:AF795)</f>
        <v>0</v>
      </c>
      <c r="AD796" s="1308"/>
      <c r="AE796" s="1308"/>
      <c r="AF796" s="1308"/>
      <c r="AG796" s="1308">
        <f>SUM(AG789:AJ795)</f>
        <v>0</v>
      </c>
      <c r="AH796" s="1308"/>
      <c r="AI796" s="1308"/>
      <c r="AJ796" s="1308"/>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row>
    <row r="797" spans="3:97" ht="12.95" customHeight="1">
      <c r="C797" s="63" t="s">
        <v>987</v>
      </c>
      <c r="D797" s="62"/>
      <c r="E797" s="62"/>
      <c r="F797" s="62"/>
      <c r="G797" s="62"/>
      <c r="H797" s="62"/>
      <c r="I797" s="62"/>
      <c r="J797" s="62"/>
      <c r="K797" s="62"/>
      <c r="L797" s="62"/>
      <c r="M797" s="181"/>
      <c r="N797" s="181"/>
      <c r="O797" s="181"/>
      <c r="P797" s="181"/>
      <c r="Q797" s="181"/>
      <c r="R797" s="181"/>
      <c r="S797" s="181"/>
      <c r="T797" s="181"/>
      <c r="U797" s="181"/>
      <c r="V797" s="181"/>
      <c r="W797" s="181"/>
      <c r="X797" s="181"/>
      <c r="Y797" s="181"/>
      <c r="Z797" s="181"/>
      <c r="AA797" s="181"/>
      <c r="AB797" s="181"/>
      <c r="AC797" s="181"/>
      <c r="AD797" s="181"/>
      <c r="AE797" s="181"/>
      <c r="AF797" s="181"/>
      <c r="AG797" s="181"/>
      <c r="AH797" s="181"/>
      <c r="AI797" s="181"/>
      <c r="AJ797" s="181"/>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row>
    <row r="798" spans="3:97" ht="12.95" customHeight="1">
      <c r="C798" s="63" t="s">
        <v>988</v>
      </c>
      <c r="D798" s="62"/>
      <c r="E798" s="62"/>
      <c r="F798" s="62"/>
      <c r="G798" s="62"/>
      <c r="H798" s="62"/>
      <c r="I798" s="62"/>
      <c r="J798" s="62"/>
      <c r="K798" s="62"/>
      <c r="L798" s="62"/>
      <c r="M798" s="181"/>
      <c r="N798" s="181"/>
      <c r="O798" s="181"/>
      <c r="P798" s="181"/>
      <c r="Q798" s="181"/>
      <c r="R798" s="181"/>
      <c r="S798" s="181"/>
      <c r="T798" s="181"/>
      <c r="U798" s="181"/>
      <c r="V798" s="181"/>
      <c r="W798" s="181"/>
      <c r="X798" s="181"/>
      <c r="Y798" s="181"/>
      <c r="Z798" s="181"/>
      <c r="AA798" s="181"/>
      <c r="AB798" s="181"/>
      <c r="AC798" s="181"/>
      <c r="AD798" s="181"/>
      <c r="AE798" s="181"/>
      <c r="AF798" s="181"/>
      <c r="AG798" s="181"/>
      <c r="AH798" s="181"/>
      <c r="AI798" s="181"/>
      <c r="AJ798" s="181"/>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row>
    <row r="799" spans="3:97" ht="12.95" customHeight="1">
      <c r="C799" s="62"/>
      <c r="D799" s="62"/>
      <c r="E799" s="62"/>
      <c r="F799" s="62"/>
      <c r="G799" s="62"/>
      <c r="H799" s="62"/>
      <c r="I799" s="62"/>
      <c r="J799" s="62"/>
      <c r="K799" s="62"/>
      <c r="L799" s="62"/>
      <c r="M799" s="181"/>
      <c r="N799" s="181"/>
      <c r="O799" s="181"/>
      <c r="P799" s="181"/>
      <c r="Q799" s="181"/>
      <c r="R799" s="181"/>
      <c r="S799" s="181"/>
      <c r="T799" s="181"/>
      <c r="U799" s="181"/>
      <c r="V799" s="181"/>
      <c r="W799" s="181"/>
      <c r="X799" s="181"/>
      <c r="Y799" s="181"/>
      <c r="Z799" s="181"/>
      <c r="AA799" s="181"/>
      <c r="AB799" s="181"/>
      <c r="AC799" s="181"/>
      <c r="AD799" s="181"/>
      <c r="AE799" s="181"/>
      <c r="AF799" s="181"/>
      <c r="AG799" s="181"/>
      <c r="AH799" s="181"/>
      <c r="AI799" s="181"/>
      <c r="AJ799" s="181"/>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row>
    <row r="800" spans="3:97" ht="12.95" customHeight="1">
      <c r="C800" s="3" t="s">
        <v>741</v>
      </c>
      <c r="R800" s="12"/>
      <c r="S800" s="12"/>
      <c r="T800" s="12"/>
      <c r="U800" s="12"/>
      <c r="V800" s="12"/>
      <c r="W800" s="12"/>
      <c r="X800" s="12"/>
      <c r="Y800" s="12"/>
      <c r="Z800" s="12"/>
      <c r="AA800" s="12"/>
      <c r="AB800" s="12"/>
      <c r="AC800" s="12"/>
      <c r="AD800" s="12"/>
      <c r="AE800" s="12"/>
      <c r="AF800" s="12"/>
      <c r="AG800" s="12"/>
      <c r="AH800" s="12"/>
      <c r="AI800" s="12"/>
      <c r="AJ800" s="12"/>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row>
    <row r="801" spans="1:97" ht="12.95" customHeight="1">
      <c r="C801" s="1518" t="s">
        <v>2419</v>
      </c>
      <c r="D801" s="1519"/>
      <c r="E801" s="1519"/>
      <c r="F801" s="1519"/>
      <c r="G801" s="1519"/>
      <c r="H801" s="1519"/>
      <c r="I801" s="1519"/>
      <c r="J801" s="1519"/>
      <c r="K801" s="1519"/>
      <c r="L801" s="1519"/>
      <c r="M801" s="1519"/>
      <c r="N801" s="1519"/>
      <c r="O801" s="1519"/>
      <c r="P801" s="1519"/>
      <c r="Q801" s="1519"/>
      <c r="R801" s="1519"/>
      <c r="S801" s="1519"/>
      <c r="T801" s="1519"/>
      <c r="U801" s="1519"/>
      <c r="V801" s="1519"/>
      <c r="W801" s="1519"/>
      <c r="X801" s="1519"/>
      <c r="Y801" s="1519"/>
      <c r="Z801" s="1519"/>
      <c r="AA801" s="1519"/>
      <c r="AB801" s="1519"/>
      <c r="AC801" s="1519"/>
      <c r="AD801" s="1519"/>
      <c r="AE801" s="1519"/>
      <c r="AF801" s="1519"/>
      <c r="AG801" s="1519"/>
      <c r="AH801" s="1519"/>
      <c r="AI801" s="1519"/>
      <c r="AJ801" s="1520"/>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row>
    <row r="802" spans="1:97" ht="12.95" customHeight="1">
      <c r="C802" s="5" t="s">
        <v>1747</v>
      </c>
      <c r="D802" s="5"/>
      <c r="E802" s="5"/>
      <c r="F802" s="5"/>
      <c r="G802" s="5"/>
      <c r="H802" s="5"/>
      <c r="I802" s="5"/>
      <c r="J802" s="5"/>
      <c r="K802" s="5"/>
      <c r="L802" s="5"/>
      <c r="M802" s="5"/>
      <c r="N802" s="5"/>
      <c r="O802" s="5"/>
      <c r="P802" s="5"/>
      <c r="Q802" s="5"/>
      <c r="R802" s="5"/>
      <c r="S802" s="5"/>
      <c r="T802" s="5"/>
      <c r="U802" s="5"/>
      <c r="V802" s="5"/>
      <c r="W802" s="5"/>
      <c r="X802" s="5"/>
      <c r="Y802" s="5"/>
      <c r="Z802" s="5"/>
      <c r="AA802" s="5"/>
      <c r="AB802" s="5"/>
      <c r="AC802" s="5"/>
      <c r="AD802" s="5"/>
      <c r="AE802" s="5"/>
      <c r="AF802" s="5"/>
      <c r="AG802" s="5"/>
      <c r="AH802" s="5"/>
      <c r="AI802" s="5"/>
      <c r="AJ802" s="5"/>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row>
    <row r="803" spans="1:97" ht="12.95" customHeight="1">
      <c r="C803" s="3"/>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row>
    <row r="804" spans="1:97" ht="12.95" customHeight="1">
      <c r="A804" s="3" t="s">
        <v>391</v>
      </c>
      <c r="C804" s="3" t="s">
        <v>674</v>
      </c>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row>
    <row r="805" spans="1:97" ht="12.95" customHeight="1">
      <c r="AM805" s="41"/>
      <c r="AO805" s="21"/>
      <c r="AP805" s="21"/>
      <c r="AQ805" s="21"/>
      <c r="AR805" s="21"/>
      <c r="AS805" s="21"/>
      <c r="AT805" s="21"/>
      <c r="AU805" s="21"/>
      <c r="AV805" s="21"/>
      <c r="AW805" s="21" t="s">
        <v>446</v>
      </c>
      <c r="AY805" s="21"/>
      <c r="AZ805" s="21"/>
      <c r="BA805" s="1181" t="s">
        <v>392</v>
      </c>
      <c r="BB805" s="1182"/>
      <c r="BC805" s="41"/>
      <c r="BD805" s="41"/>
      <c r="BE805" s="41"/>
      <c r="BF805" s="21" t="s">
        <v>448</v>
      </c>
      <c r="BG805" s="21"/>
      <c r="BH805" s="21"/>
      <c r="BI805" s="21"/>
      <c r="BJ805" s="21"/>
      <c r="BK805" s="21"/>
      <c r="BL805" s="21"/>
      <c r="BM805" s="21"/>
      <c r="BN805" s="21"/>
      <c r="BO805" s="1178" t="str">
        <f>T189</f>
        <v>Fresno</v>
      </c>
      <c r="BP805" s="1179"/>
      <c r="BQ805" s="1179"/>
      <c r="BR805" s="1179"/>
      <c r="BS805" s="1179"/>
      <c r="BT805" s="1179"/>
      <c r="BU805" s="1180"/>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row>
    <row r="806" spans="1:97" ht="12.95" customHeight="1">
      <c r="C806" s="3" t="s">
        <v>495</v>
      </c>
      <c r="J806" s="8" t="s">
        <v>346</v>
      </c>
      <c r="K806" s="9"/>
      <c r="L806" s="9"/>
      <c r="M806" s="9"/>
      <c r="N806" s="9"/>
      <c r="O806" s="9"/>
      <c r="P806" s="9"/>
      <c r="Q806" s="9"/>
      <c r="R806" s="9"/>
      <c r="S806" s="9"/>
      <c r="T806" s="9"/>
      <c r="U806" s="9"/>
      <c r="V806" s="52"/>
      <c r="W806" s="1195">
        <v>800</v>
      </c>
      <c r="X806" s="1195"/>
      <c r="Y806" s="1195"/>
      <c r="Z806" s="1195"/>
      <c r="AA806" s="1195"/>
      <c r="AB806" s="1195"/>
      <c r="AC806" s="1195"/>
      <c r="AM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row>
    <row r="807" spans="1:97" s="21" customFormat="1" ht="12.95" customHeight="1">
      <c r="A807"/>
      <c r="B807"/>
      <c r="C807"/>
      <c r="D807"/>
      <c r="E807"/>
      <c r="F807"/>
      <c r="G807"/>
      <c r="H807"/>
      <c r="I807"/>
      <c r="J807" s="8" t="s">
        <v>345</v>
      </c>
      <c r="K807" s="9"/>
      <c r="L807" s="9"/>
      <c r="M807" s="9"/>
      <c r="N807" s="9"/>
      <c r="O807" s="9"/>
      <c r="P807" s="9"/>
      <c r="Q807" s="9"/>
      <c r="R807" s="9"/>
      <c r="S807" s="9"/>
      <c r="T807" s="9"/>
      <c r="U807" s="9"/>
      <c r="V807" s="52"/>
      <c r="W807" s="1195">
        <v>5000</v>
      </c>
      <c r="X807" s="1195"/>
      <c r="Y807" s="1195"/>
      <c r="Z807" s="1195"/>
      <c r="AA807" s="1195"/>
      <c r="AB807" s="1195"/>
      <c r="AC807" s="1195"/>
      <c r="AD807"/>
      <c r="AE807"/>
      <c r="AF807"/>
      <c r="AG807"/>
      <c r="AH807"/>
      <c r="AI807"/>
      <c r="AJ807"/>
      <c r="AK807"/>
      <c r="AL807"/>
      <c r="AM807" s="38"/>
      <c r="AN807" s="38"/>
      <c r="BA807" s="75" t="s">
        <v>394</v>
      </c>
      <c r="BC807" s="40"/>
      <c r="BD807" s="40"/>
      <c r="BE807" s="40"/>
      <c r="BF807" s="40"/>
      <c r="BG807" s="40"/>
    </row>
    <row r="808" spans="1:97" s="21" customFormat="1" ht="12.95" customHeight="1">
      <c r="A808"/>
      <c r="B808"/>
      <c r="C808"/>
      <c r="D808"/>
      <c r="E808"/>
      <c r="F808"/>
      <c r="G808"/>
      <c r="H808"/>
      <c r="I808"/>
      <c r="J808" s="8" t="s">
        <v>344</v>
      </c>
      <c r="K808" s="9"/>
      <c r="L808" s="9"/>
      <c r="M808" s="9"/>
      <c r="N808" s="9"/>
      <c r="O808" s="9"/>
      <c r="P808" s="9"/>
      <c r="Q808" s="9"/>
      <c r="R808" s="9"/>
      <c r="S808" s="9"/>
      <c r="T808" s="9"/>
      <c r="U808" s="9"/>
      <c r="V808" s="52"/>
      <c r="W808" s="1195">
        <v>15000</v>
      </c>
      <c r="X808" s="1195"/>
      <c r="Y808" s="1195"/>
      <c r="Z808" s="1195"/>
      <c r="AA808" s="1195"/>
      <c r="AB808" s="1195"/>
      <c r="AC808" s="1195"/>
      <c r="AD808"/>
      <c r="AE808"/>
      <c r="AF808"/>
      <c r="AG808"/>
      <c r="AH808"/>
      <c r="AI808"/>
      <c r="AJ808"/>
      <c r="AK808"/>
      <c r="AL808"/>
      <c r="AM808" s="38"/>
      <c r="AN808" s="38"/>
      <c r="BA808" s="75"/>
      <c r="BC808" s="40"/>
      <c r="BD808" s="40"/>
      <c r="BE808" s="40"/>
      <c r="BF808" s="40"/>
      <c r="BG808" s="40"/>
    </row>
    <row r="809" spans="1:97" s="21" customFormat="1" ht="12.95" customHeight="1">
      <c r="A809"/>
      <c r="B809"/>
      <c r="C809"/>
      <c r="D809"/>
      <c r="E809"/>
      <c r="F809"/>
      <c r="G809"/>
      <c r="H809"/>
      <c r="I809"/>
      <c r="J809" s="8" t="s">
        <v>343</v>
      </c>
      <c r="K809" s="9"/>
      <c r="L809" s="9"/>
      <c r="M809" s="9"/>
      <c r="N809" s="9"/>
      <c r="O809" s="9"/>
      <c r="P809" s="9"/>
      <c r="Q809" s="9"/>
      <c r="R809" s="9"/>
      <c r="S809" s="9"/>
      <c r="T809" s="9"/>
      <c r="U809" s="9"/>
      <c r="V809" s="52"/>
      <c r="W809" s="1195">
        <v>27000</v>
      </c>
      <c r="X809" s="1195"/>
      <c r="Y809" s="1195"/>
      <c r="Z809" s="1195"/>
      <c r="AA809" s="1195"/>
      <c r="AB809" s="1195"/>
      <c r="AC809" s="1195"/>
      <c r="AD809"/>
      <c r="AE809"/>
      <c r="AF809"/>
      <c r="AG809"/>
      <c r="AH809"/>
      <c r="AI809"/>
      <c r="AJ809"/>
      <c r="AK809"/>
      <c r="AL809"/>
      <c r="AM809" s="38"/>
      <c r="AN809" s="38"/>
      <c r="BA809" s="75" t="s">
        <v>392</v>
      </c>
      <c r="BB809" s="39" t="s">
        <v>2325</v>
      </c>
      <c r="BC809" s="40"/>
      <c r="BD809" s="40"/>
      <c r="BE809" s="40"/>
      <c r="BF809" s="40"/>
      <c r="BG809" s="40"/>
      <c r="BI809" s="39" t="s">
        <v>2326</v>
      </c>
      <c r="BO809" s="76"/>
      <c r="BP809" s="76"/>
      <c r="BQ809" s="76"/>
      <c r="BR809" s="76"/>
      <c r="BS809" s="76"/>
      <c r="BT809" s="76"/>
      <c r="BU809" s="76"/>
      <c r="BV809" s="76"/>
      <c r="BW809" s="76"/>
      <c r="BX809" s="76"/>
      <c r="BY809" s="76"/>
      <c r="BZ809" s="76"/>
      <c r="CA809" s="76"/>
      <c r="CB809" s="76"/>
      <c r="CC809" s="76"/>
      <c r="CD809" s="76"/>
      <c r="CE809" s="76"/>
      <c r="CF809" s="76"/>
      <c r="CG809" s="76"/>
      <c r="CH809" s="76"/>
      <c r="CI809" s="76"/>
      <c r="CJ809" s="76"/>
      <c r="CK809" s="76"/>
      <c r="CL809" s="76"/>
      <c r="CM809" s="76"/>
      <c r="CN809" s="76"/>
      <c r="CO809" s="76"/>
      <c r="CP809" s="76"/>
      <c r="CQ809" s="76"/>
      <c r="CR809" s="76"/>
      <c r="CS809" s="76"/>
    </row>
    <row r="810" spans="1:97" s="21" customFormat="1" ht="12.95" customHeight="1">
      <c r="A810"/>
      <c r="B810"/>
      <c r="C810"/>
      <c r="D810"/>
      <c r="E810"/>
      <c r="F810"/>
      <c r="G810"/>
      <c r="H810"/>
      <c r="I810"/>
      <c r="J810" s="8" t="s">
        <v>297</v>
      </c>
      <c r="K810" s="9"/>
      <c r="L810" s="9"/>
      <c r="M810" s="1141" t="s">
        <v>2429</v>
      </c>
      <c r="N810" s="1142"/>
      <c r="O810" s="1142"/>
      <c r="P810" s="1142"/>
      <c r="Q810" s="1142"/>
      <c r="R810" s="1142"/>
      <c r="S810" s="1142"/>
      <c r="T810" s="1142"/>
      <c r="U810" s="1142"/>
      <c r="V810" s="1143"/>
      <c r="W810" s="1195">
        <v>2500</v>
      </c>
      <c r="X810" s="1195"/>
      <c r="Y810" s="1195"/>
      <c r="Z810" s="1195"/>
      <c r="AA810" s="1195"/>
      <c r="AB810" s="1195"/>
      <c r="AC810" s="1195"/>
      <c r="AD810"/>
      <c r="AE810"/>
      <c r="AF810"/>
      <c r="AG810"/>
      <c r="AH810"/>
      <c r="AI810"/>
      <c r="AJ810"/>
      <c r="AK810"/>
      <c r="AL810"/>
      <c r="AM810" s="38"/>
      <c r="AN810" s="38"/>
      <c r="BA810" s="75"/>
      <c r="BB810" s="39"/>
      <c r="BC810" s="40"/>
      <c r="BD810" s="40"/>
      <c r="BE810" s="40"/>
      <c r="BF810" s="40"/>
      <c r="BG810" s="40"/>
      <c r="BI810" s="39"/>
      <c r="BO810" s="76"/>
      <c r="BP810" s="76"/>
      <c r="BQ810" s="76"/>
      <c r="BR810" s="76"/>
      <c r="BS810" s="76"/>
      <c r="BT810" s="76"/>
      <c r="BU810" s="76"/>
      <c r="BV810" s="76"/>
      <c r="BW810" s="76"/>
      <c r="BX810" s="76"/>
      <c r="BY810" s="76"/>
      <c r="BZ810" s="76"/>
      <c r="CA810" s="76"/>
      <c r="CB810" s="76"/>
      <c r="CC810" s="76"/>
      <c r="CD810" s="76"/>
      <c r="CE810" s="76"/>
      <c r="CF810" s="76"/>
      <c r="CG810" s="76"/>
      <c r="CH810" s="76"/>
      <c r="CI810" s="76"/>
      <c r="CJ810" s="76"/>
      <c r="CK810" s="76"/>
      <c r="CL810" s="76"/>
      <c r="CM810" s="76"/>
      <c r="CN810" s="76"/>
      <c r="CO810" s="76"/>
      <c r="CP810" s="76"/>
      <c r="CQ810" s="76"/>
      <c r="CR810" s="76"/>
      <c r="CS810" s="76"/>
    </row>
    <row r="811" spans="1:97" s="21" customFormat="1" ht="12.95" customHeight="1">
      <c r="A811"/>
      <c r="B811"/>
      <c r="C811"/>
      <c r="D811"/>
      <c r="E811"/>
      <c r="F811"/>
      <c r="G811"/>
      <c r="H811"/>
      <c r="I811"/>
      <c r="J811" s="8"/>
      <c r="K811" s="9"/>
      <c r="L811" s="9"/>
      <c r="M811" s="9"/>
      <c r="N811" s="9"/>
      <c r="O811" s="9"/>
      <c r="P811" s="9"/>
      <c r="Q811" s="9"/>
      <c r="R811" s="9"/>
      <c r="S811" s="9"/>
      <c r="T811" s="9"/>
      <c r="U811" s="9"/>
      <c r="V811" s="60" t="s">
        <v>494</v>
      </c>
      <c r="W811" s="1150">
        <f>SUM(W806:AC810)</f>
        <v>50300</v>
      </c>
      <c r="X811" s="1151"/>
      <c r="Y811" s="1151"/>
      <c r="Z811" s="1151"/>
      <c r="AA811" s="1151"/>
      <c r="AB811" s="1151"/>
      <c r="AC811" s="1152"/>
      <c r="AD811"/>
      <c r="AE811"/>
      <c r="AF811"/>
      <c r="AG811"/>
      <c r="AH811"/>
      <c r="AI811"/>
      <c r="AJ811"/>
      <c r="AK811"/>
      <c r="AL811"/>
      <c r="AM811" s="38"/>
      <c r="AN811" s="38"/>
      <c r="BA811" s="75" t="s">
        <v>394</v>
      </c>
      <c r="BB811" s="39"/>
      <c r="BC811" s="40"/>
      <c r="BD811" s="40"/>
      <c r="BE811" s="40"/>
      <c r="BF811" s="40"/>
      <c r="BG811" s="40"/>
      <c r="BI811" s="39"/>
      <c r="BO811" s="76"/>
      <c r="BP811" s="76"/>
      <c r="BQ811" s="76"/>
      <c r="BR811" s="76"/>
      <c r="BS811" s="76"/>
      <c r="BT811" s="76"/>
      <c r="BU811" s="76"/>
      <c r="BV811" s="76"/>
      <c r="BW811" s="76"/>
      <c r="BX811" s="76"/>
      <c r="BY811" s="76"/>
      <c r="BZ811" s="76"/>
      <c r="CA811" s="76"/>
      <c r="CB811" s="76"/>
      <c r="CC811" s="76"/>
      <c r="CD811" s="76"/>
      <c r="CE811" s="76"/>
      <c r="CF811" s="76"/>
      <c r="CG811" s="76"/>
      <c r="CH811" s="76"/>
      <c r="CI811" s="76"/>
      <c r="CJ811" s="76"/>
      <c r="CK811" s="76"/>
      <c r="CL811" s="76"/>
      <c r="CM811" s="76"/>
      <c r="CN811" s="76"/>
      <c r="CO811" s="76"/>
      <c r="CP811" s="76"/>
      <c r="CQ811" s="76"/>
      <c r="CR811" s="76"/>
      <c r="CS811" s="76"/>
    </row>
    <row r="812" spans="1:97" s="21" customFormat="1" ht="12.95" customHeight="1">
      <c r="A812"/>
      <c r="B812"/>
      <c r="C812"/>
      <c r="D812"/>
      <c r="E812"/>
      <c r="F812"/>
      <c r="G812"/>
      <c r="H812"/>
      <c r="I812"/>
      <c r="J812"/>
      <c r="K812"/>
      <c r="L812"/>
      <c r="M812"/>
      <c r="N812"/>
      <c r="O812"/>
      <c r="P812"/>
      <c r="Q812"/>
      <c r="R812"/>
      <c r="S812"/>
      <c r="T812"/>
      <c r="U812"/>
      <c r="V812"/>
      <c r="W812"/>
      <c r="X812"/>
      <c r="Y812"/>
      <c r="Z812"/>
      <c r="AA812"/>
      <c r="AB812"/>
      <c r="AC812"/>
      <c r="AD812"/>
      <c r="AE812"/>
      <c r="AF812"/>
      <c r="AG812"/>
      <c r="AH812"/>
      <c r="AI812"/>
      <c r="AJ812"/>
      <c r="AK812"/>
      <c r="AL812"/>
      <c r="AM812" s="38"/>
      <c r="AN812" s="38"/>
      <c r="BA812" s="75"/>
      <c r="BB812" s="39"/>
      <c r="BC812" s="40"/>
      <c r="BD812" s="40"/>
      <c r="BE812" s="40"/>
      <c r="BF812" s="40"/>
      <c r="BG812" s="40"/>
      <c r="BI812" s="39"/>
      <c r="BO812" s="76"/>
      <c r="BP812" s="76"/>
      <c r="BQ812" s="76"/>
      <c r="BR812" s="76"/>
      <c r="BS812" s="76"/>
      <c r="BT812" s="76"/>
      <c r="BU812" s="76"/>
      <c r="BV812" s="76"/>
      <c r="BW812" s="76"/>
      <c r="BX812" s="76"/>
      <c r="BY812" s="76"/>
      <c r="BZ812" s="76"/>
      <c r="CA812" s="76"/>
      <c r="CB812" s="76"/>
      <c r="CC812" s="76"/>
      <c r="CD812" s="76"/>
      <c r="CE812" s="76"/>
      <c r="CF812" s="76"/>
      <c r="CG812" s="76"/>
      <c r="CH812" s="76"/>
      <c r="CI812" s="76"/>
      <c r="CJ812" s="76"/>
      <c r="CK812" s="76"/>
      <c r="CL812" s="76"/>
      <c r="CM812" s="76"/>
      <c r="CN812" s="76"/>
      <c r="CO812" s="76"/>
      <c r="CP812" s="76"/>
      <c r="CQ812" s="76"/>
      <c r="CR812" s="76"/>
      <c r="CS812" s="76"/>
    </row>
    <row r="813" spans="1:97" s="21" customFormat="1" ht="12.95" customHeight="1">
      <c r="A813"/>
      <c r="B813"/>
      <c r="C813" s="3" t="s">
        <v>496</v>
      </c>
      <c r="D813"/>
      <c r="E813"/>
      <c r="F813"/>
      <c r="G813"/>
      <c r="H813"/>
      <c r="I813"/>
      <c r="J813" s="1091" t="s">
        <v>497</v>
      </c>
      <c r="K813" s="1092"/>
      <c r="L813" s="1092"/>
      <c r="M813" s="1092"/>
      <c r="N813" s="1092"/>
      <c r="O813" s="1092"/>
      <c r="P813" s="1092"/>
      <c r="Q813" s="1092"/>
      <c r="R813" s="1092"/>
      <c r="S813" s="1092"/>
      <c r="T813" s="1092"/>
      <c r="U813" s="1092"/>
      <c r="V813" s="1094"/>
      <c r="W813" s="1144">
        <v>27360</v>
      </c>
      <c r="X813" s="1145"/>
      <c r="Y813" s="1145"/>
      <c r="Z813" s="1145"/>
      <c r="AA813" s="1145"/>
      <c r="AB813" s="1145"/>
      <c r="AC813" s="1146"/>
      <c r="AD813"/>
      <c r="AE813"/>
      <c r="AF813"/>
      <c r="AG813"/>
      <c r="AH813"/>
      <c r="AI813"/>
      <c r="AJ813"/>
      <c r="AK813"/>
      <c r="AL813"/>
      <c r="AM813" s="38"/>
      <c r="AN813" s="38"/>
      <c r="BA813" s="75"/>
      <c r="BB813" s="39"/>
      <c r="BC813" s="40"/>
      <c r="BD813" s="40"/>
      <c r="BE813" s="40"/>
      <c r="BF813" s="40"/>
      <c r="BG813" s="40"/>
      <c r="BI813" s="39"/>
      <c r="BO813" s="76"/>
      <c r="BP813" s="76"/>
      <c r="BQ813" s="76"/>
      <c r="BR813" s="76"/>
      <c r="BS813" s="76"/>
      <c r="BT813" s="76"/>
      <c r="BU813" s="76"/>
      <c r="BV813" s="76"/>
      <c r="BW813" s="76"/>
      <c r="BX813" s="76"/>
      <c r="BY813" s="76"/>
      <c r="BZ813" s="76"/>
      <c r="CA813" s="76"/>
      <c r="CB813" s="76"/>
      <c r="CC813" s="76"/>
      <c r="CD813" s="76"/>
      <c r="CE813" s="76"/>
      <c r="CF813" s="76"/>
      <c r="CG813" s="76"/>
      <c r="CH813" s="76"/>
      <c r="CI813" s="76"/>
      <c r="CJ813" s="76"/>
      <c r="CK813" s="76"/>
      <c r="CL813" s="76"/>
      <c r="CM813" s="76"/>
      <c r="CN813" s="76"/>
      <c r="CO813" s="76"/>
      <c r="CP813" s="76"/>
      <c r="CQ813" s="76"/>
      <c r="CR813" s="76"/>
      <c r="CS813" s="76"/>
    </row>
    <row r="814" spans="1:97" s="21" customFormat="1" ht="12.95" customHeight="1">
      <c r="A814"/>
      <c r="B814"/>
      <c r="C814"/>
      <c r="D814"/>
      <c r="E814"/>
      <c r="F814"/>
      <c r="G814"/>
      <c r="H814"/>
      <c r="I814"/>
      <c r="J814"/>
      <c r="K814"/>
      <c r="L814"/>
      <c r="M814"/>
      <c r="N814"/>
      <c r="O814"/>
      <c r="P814"/>
      <c r="Q814"/>
      <c r="R814"/>
      <c r="S814"/>
      <c r="T814"/>
      <c r="U814"/>
      <c r="V814"/>
      <c r="W814"/>
      <c r="X814"/>
      <c r="Y814"/>
      <c r="Z814"/>
      <c r="AA814"/>
      <c r="AB814"/>
      <c r="AC814"/>
      <c r="AD814"/>
      <c r="AE814"/>
      <c r="AF814"/>
      <c r="AG814"/>
      <c r="AH814"/>
      <c r="AI814"/>
      <c r="AJ814"/>
      <c r="AK814"/>
      <c r="AL814"/>
      <c r="BA814" s="75"/>
      <c r="BB814" s="39"/>
      <c r="BC814" s="40"/>
      <c r="BD814" s="40"/>
      <c r="BE814" s="40"/>
      <c r="BF814" s="40"/>
      <c r="BG814" s="40"/>
      <c r="BI814" s="39"/>
      <c r="BO814" s="76"/>
      <c r="BP814" s="76"/>
      <c r="BQ814" s="76"/>
      <c r="BR814" s="76"/>
      <c r="BS814" s="76"/>
      <c r="BT814" s="76"/>
      <c r="BU814" s="76"/>
      <c r="BV814" s="76"/>
      <c r="BW814" s="76"/>
      <c r="BX814" s="76"/>
      <c r="BY814" s="76"/>
      <c r="BZ814" s="76"/>
      <c r="CA814" s="76"/>
      <c r="CB814" s="76"/>
      <c r="CC814" s="76"/>
      <c r="CD814" s="76"/>
      <c r="CE814" s="76"/>
      <c r="CF814" s="76"/>
      <c r="CG814" s="76"/>
      <c r="CH814" s="76"/>
      <c r="CI814" s="76"/>
      <c r="CJ814" s="76"/>
      <c r="CK814" s="76"/>
      <c r="CL814" s="76"/>
      <c r="CM814" s="76"/>
      <c r="CN814" s="76"/>
      <c r="CO814" s="76"/>
      <c r="CP814" s="76"/>
      <c r="CQ814" s="76"/>
      <c r="CR814" s="76"/>
      <c r="CS814" s="76"/>
    </row>
    <row r="815" spans="1:97" s="21" customFormat="1" ht="12.95" customHeight="1">
      <c r="A815"/>
      <c r="B815"/>
      <c r="C815" s="3" t="s">
        <v>769</v>
      </c>
      <c r="D815"/>
      <c r="E815"/>
      <c r="F815"/>
      <c r="G815"/>
      <c r="H815"/>
      <c r="I815"/>
      <c r="J815" s="8" t="s">
        <v>342</v>
      </c>
      <c r="K815" s="9"/>
      <c r="L815" s="9"/>
      <c r="M815" s="9"/>
      <c r="N815" s="9"/>
      <c r="O815" s="9"/>
      <c r="P815" s="9"/>
      <c r="Q815" s="9"/>
      <c r="R815" s="9"/>
      <c r="S815" s="9"/>
      <c r="T815" s="9"/>
      <c r="U815" s="9"/>
      <c r="V815" s="52"/>
      <c r="W815" s="1218"/>
      <c r="X815" s="1218"/>
      <c r="Y815" s="1218"/>
      <c r="Z815" s="1218"/>
      <c r="AA815" s="1218"/>
      <c r="AB815" s="1218"/>
      <c r="AC815" s="1218"/>
      <c r="AD815"/>
      <c r="AE815"/>
      <c r="AF815"/>
      <c r="AG815"/>
      <c r="AH815"/>
      <c r="AI815"/>
      <c r="AJ815"/>
      <c r="AK815"/>
      <c r="AL815"/>
      <c r="BC815" s="40"/>
      <c r="BD815" s="40"/>
      <c r="BE815" s="40"/>
      <c r="BF815" s="40"/>
      <c r="BG815" s="40"/>
      <c r="BO815" s="76"/>
      <c r="BP815" s="76"/>
      <c r="BQ815" s="76"/>
      <c r="BR815" s="76"/>
      <c r="BS815" s="76"/>
      <c r="BT815" s="76"/>
      <c r="BU815" s="76"/>
      <c r="BV815" s="76"/>
      <c r="BW815" s="76"/>
      <c r="BX815" s="76"/>
      <c r="BY815" s="76"/>
      <c r="BZ815" s="76"/>
      <c r="CA815" s="76"/>
      <c r="CB815" s="76"/>
      <c r="CC815" s="76"/>
      <c r="CD815" s="76"/>
      <c r="CE815" s="76"/>
      <c r="CF815" s="76"/>
      <c r="CG815" s="76"/>
      <c r="CH815" s="76"/>
      <c r="CI815" s="76"/>
      <c r="CJ815" s="76"/>
      <c r="CK815" s="76"/>
      <c r="CL815" s="76"/>
      <c r="CM815" s="76"/>
      <c r="CN815" s="76"/>
      <c r="CO815" s="76"/>
      <c r="CP815" s="76"/>
      <c r="CQ815" s="76"/>
      <c r="CR815" s="76"/>
      <c r="CS815" s="76"/>
    </row>
    <row r="816" spans="1:97" s="21" customFormat="1" ht="12.95" customHeight="1">
      <c r="A816"/>
      <c r="B816"/>
      <c r="C816"/>
      <c r="D816"/>
      <c r="E816"/>
      <c r="F816"/>
      <c r="G816"/>
      <c r="H816"/>
      <c r="I816"/>
      <c r="J816" s="8" t="s">
        <v>341</v>
      </c>
      <c r="K816" s="9"/>
      <c r="L816" s="9"/>
      <c r="M816" s="9"/>
      <c r="N816" s="9"/>
      <c r="O816" s="9"/>
      <c r="P816" s="9"/>
      <c r="Q816" s="9"/>
      <c r="R816" s="9"/>
      <c r="S816" s="9"/>
      <c r="T816" s="9"/>
      <c r="U816" s="9"/>
      <c r="V816" s="52"/>
      <c r="W816" s="1218">
        <v>10000</v>
      </c>
      <c r="X816" s="1218"/>
      <c r="Y816" s="1218"/>
      <c r="Z816" s="1218"/>
      <c r="AA816" s="1218"/>
      <c r="AB816" s="1218"/>
      <c r="AC816" s="1218"/>
      <c r="AD816"/>
      <c r="AE816"/>
      <c r="AF816"/>
      <c r="AG816"/>
      <c r="AH816"/>
      <c r="AI816"/>
      <c r="AJ816"/>
      <c r="AK816"/>
      <c r="AL816"/>
      <c r="BC816" s="40"/>
      <c r="BD816" s="40"/>
      <c r="BE816" s="40"/>
      <c r="BF816" s="40"/>
      <c r="BG816" s="40"/>
      <c r="BO816" s="76"/>
      <c r="BP816" s="76"/>
      <c r="BQ816" s="76"/>
      <c r="BR816" s="76"/>
      <c r="BS816" s="76"/>
      <c r="BT816" s="76"/>
      <c r="BU816" s="76"/>
      <c r="BV816" s="76"/>
      <c r="BW816" s="76"/>
      <c r="BX816" s="76"/>
      <c r="BY816" s="76"/>
      <c r="BZ816" s="76"/>
      <c r="CA816" s="76"/>
      <c r="CB816" s="76"/>
      <c r="CC816" s="76"/>
      <c r="CD816" s="76"/>
      <c r="CE816" s="76"/>
      <c r="CF816" s="76"/>
      <c r="CG816" s="76"/>
      <c r="CH816" s="76"/>
      <c r="CI816" s="76"/>
      <c r="CJ816" s="76"/>
      <c r="CK816" s="76"/>
      <c r="CL816" s="76"/>
      <c r="CM816" s="76"/>
      <c r="CN816" s="76"/>
      <c r="CO816" s="76"/>
      <c r="CP816" s="76"/>
      <c r="CQ816" s="76"/>
      <c r="CR816" s="76"/>
      <c r="CS816" s="76"/>
    </row>
    <row r="817" spans="1:97" s="21" customFormat="1" ht="12.95" customHeight="1">
      <c r="A817"/>
      <c r="B817"/>
      <c r="C817"/>
      <c r="D817"/>
      <c r="E817"/>
      <c r="F817"/>
      <c r="G817"/>
      <c r="H817"/>
      <c r="I817"/>
      <c r="J817" s="8" t="s">
        <v>827</v>
      </c>
      <c r="K817" s="9"/>
      <c r="L817" s="9"/>
      <c r="M817" s="9"/>
      <c r="N817" s="9"/>
      <c r="O817" s="9"/>
      <c r="P817" s="9"/>
      <c r="Q817" s="9"/>
      <c r="R817" s="9"/>
      <c r="S817" s="9"/>
      <c r="T817" s="9"/>
      <c r="U817" s="9"/>
      <c r="V817" s="52"/>
      <c r="W817" s="1218">
        <v>30000</v>
      </c>
      <c r="X817" s="1218"/>
      <c r="Y817" s="1218"/>
      <c r="Z817" s="1218"/>
      <c r="AA817" s="1218"/>
      <c r="AB817" s="1218"/>
      <c r="AC817" s="1218"/>
      <c r="AD817"/>
      <c r="AE817"/>
      <c r="AF817"/>
      <c r="AG817"/>
      <c r="AH817"/>
      <c r="AI817"/>
      <c r="AJ817"/>
      <c r="AK817"/>
      <c r="AL817"/>
      <c r="BC817" s="77" t="s">
        <v>447</v>
      </c>
      <c r="BD817" s="78" t="s">
        <v>470</v>
      </c>
      <c r="BE817" s="78" t="s">
        <v>816</v>
      </c>
      <c r="BF817" s="78" t="s">
        <v>817</v>
      </c>
      <c r="BG817" s="78" t="s">
        <v>828</v>
      </c>
      <c r="BJ817" s="77" t="s">
        <v>447</v>
      </c>
      <c r="BK817" s="78" t="s">
        <v>470</v>
      </c>
      <c r="BL817" s="78" t="s">
        <v>816</v>
      </c>
      <c r="BM817" s="78" t="s">
        <v>817</v>
      </c>
      <c r="BN817" s="78" t="s">
        <v>828</v>
      </c>
      <c r="BO817" s="76"/>
      <c r="BP817" s="76"/>
      <c r="BQ817" s="76"/>
      <c r="BR817" s="76"/>
      <c r="BS817" s="76"/>
      <c r="BT817" s="76"/>
      <c r="BU817" s="76"/>
      <c r="BV817" s="76"/>
      <c r="BW817" s="76"/>
      <c r="BX817" s="76"/>
      <c r="BY817" s="76"/>
      <c r="BZ817" s="76"/>
      <c r="CA817" s="76"/>
      <c r="CB817" s="76"/>
      <c r="CC817" s="76"/>
      <c r="CD817" s="76"/>
      <c r="CE817" s="76"/>
      <c r="CF817" s="76"/>
      <c r="CG817" s="76"/>
      <c r="CH817" s="76"/>
      <c r="CI817" s="76"/>
      <c r="CJ817" s="76"/>
      <c r="CK817" s="76"/>
      <c r="CL817" s="76"/>
      <c r="CM817" s="76"/>
      <c r="CN817" s="76"/>
      <c r="CO817" s="76"/>
      <c r="CP817" s="76"/>
      <c r="CQ817" s="76"/>
      <c r="CR817" s="76"/>
      <c r="CS817" s="76"/>
    </row>
    <row r="818" spans="1:97" s="21" customFormat="1" ht="12.95" customHeight="1">
      <c r="A818"/>
      <c r="B818"/>
      <c r="C818"/>
      <c r="D818"/>
      <c r="E818"/>
      <c r="F818"/>
      <c r="G818"/>
      <c r="H818"/>
      <c r="I818"/>
      <c r="J818" s="68" t="s">
        <v>490</v>
      </c>
      <c r="K818" s="9"/>
      <c r="L818" s="9"/>
      <c r="M818" s="9"/>
      <c r="N818" s="9"/>
      <c r="O818" s="9"/>
      <c r="P818" s="9"/>
      <c r="Q818" s="9"/>
      <c r="R818" s="9"/>
      <c r="S818" s="9"/>
      <c r="T818" s="9"/>
      <c r="U818" s="9"/>
      <c r="V818" s="52"/>
      <c r="W818" s="1218">
        <v>20000</v>
      </c>
      <c r="X818" s="1218"/>
      <c r="Y818" s="1218"/>
      <c r="Z818" s="1218"/>
      <c r="AA818" s="1218"/>
      <c r="AB818" s="1218"/>
      <c r="AC818" s="1218"/>
      <c r="AD818"/>
      <c r="AE818"/>
      <c r="AF818"/>
      <c r="AG818"/>
      <c r="AH818"/>
      <c r="AI818"/>
      <c r="AJ818"/>
      <c r="AK818"/>
      <c r="AL818"/>
      <c r="BC818" s="318"/>
      <c r="BD818" s="319"/>
      <c r="BE818" s="319"/>
      <c r="BF818" s="319"/>
      <c r="BG818" s="319"/>
      <c r="BJ818" s="318"/>
      <c r="BK818" s="319"/>
      <c r="BL818" s="319"/>
      <c r="BM818" s="319"/>
      <c r="BN818" s="319"/>
      <c r="BO818" s="76"/>
      <c r="BP818" s="76"/>
      <c r="BQ818" s="76"/>
      <c r="BR818" s="76"/>
      <c r="BS818" s="76"/>
      <c r="BT818" s="76"/>
      <c r="BU818" s="76"/>
      <c r="BV818" s="76"/>
      <c r="BW818" s="76"/>
      <c r="BX818" s="76"/>
      <c r="BY818" s="76"/>
      <c r="BZ818" s="76"/>
      <c r="CA818" s="76"/>
      <c r="CB818" s="76"/>
      <c r="CC818" s="76"/>
      <c r="CD818" s="76"/>
      <c r="CE818" s="76"/>
      <c r="CF818" s="76"/>
      <c r="CG818" s="76"/>
      <c r="CH818" s="76"/>
      <c r="CI818" s="76"/>
      <c r="CJ818" s="76"/>
      <c r="CK818" s="76"/>
      <c r="CL818" s="76"/>
      <c r="CM818" s="76"/>
      <c r="CN818" s="76"/>
      <c r="CO818" s="76"/>
      <c r="CP818" s="76"/>
      <c r="CQ818" s="76"/>
      <c r="CR818" s="76"/>
      <c r="CS818" s="76"/>
    </row>
    <row r="819" spans="1:97" s="5" customFormat="1" ht="12.95" customHeight="1">
      <c r="A819"/>
      <c r="B819"/>
      <c r="C819"/>
      <c r="D819"/>
      <c r="E819"/>
      <c r="F819"/>
      <c r="G819"/>
      <c r="H819"/>
      <c r="I819"/>
      <c r="J819" s="69"/>
      <c r="K819" s="54"/>
      <c r="L819" s="54"/>
      <c r="M819" s="54"/>
      <c r="N819" s="54"/>
      <c r="O819" s="54"/>
      <c r="P819" s="54"/>
      <c r="Q819" s="54"/>
      <c r="R819" s="54"/>
      <c r="S819" s="54"/>
      <c r="T819" s="54"/>
      <c r="U819" s="54"/>
      <c r="V819" s="60" t="s">
        <v>13</v>
      </c>
      <c r="W819" s="1217">
        <f>SUM(W815:AC818)</f>
        <v>60000</v>
      </c>
      <c r="X819" s="1217"/>
      <c r="Y819" s="1217"/>
      <c r="Z819" s="1217"/>
      <c r="AA819" s="1217"/>
      <c r="AB819" s="1217"/>
      <c r="AC819" s="1217"/>
      <c r="AD819"/>
      <c r="AE819"/>
      <c r="AF819"/>
      <c r="AG819"/>
      <c r="AH819"/>
      <c r="AI819"/>
      <c r="AJ819"/>
      <c r="AK819"/>
      <c r="AL819"/>
      <c r="AR819" s="21"/>
      <c r="AS819" s="21"/>
      <c r="AT819" s="21"/>
      <c r="AU819" s="21"/>
      <c r="AV819" s="21"/>
      <c r="AW819" s="21"/>
      <c r="AX819" s="21"/>
      <c r="AY819" s="21"/>
      <c r="AZ819" s="21"/>
      <c r="BA819" s="21"/>
      <c r="BB819" s="30" t="s">
        <v>450</v>
      </c>
      <c r="BC819" s="550">
        <v>473390</v>
      </c>
      <c r="BD819" s="550">
        <v>545814</v>
      </c>
      <c r="BE819" s="550">
        <v>658400</v>
      </c>
      <c r="BF819" s="550">
        <v>842752</v>
      </c>
      <c r="BG819" s="550">
        <v>938878</v>
      </c>
      <c r="BH819" s="21"/>
      <c r="BI819" s="30" t="s">
        <v>450</v>
      </c>
      <c r="BJ819" s="550">
        <v>473390</v>
      </c>
      <c r="BK819" s="550">
        <v>545814</v>
      </c>
      <c r="BL819" s="550">
        <v>658400</v>
      </c>
      <c r="BM819" s="550">
        <v>842752</v>
      </c>
      <c r="BN819" s="550">
        <v>938878</v>
      </c>
      <c r="BO819" s="43"/>
      <c r="BP819" s="43"/>
      <c r="BQ819" s="43"/>
      <c r="BR819" s="43"/>
      <c r="BS819" s="43"/>
      <c r="BT819" s="43"/>
      <c r="BU819" s="43"/>
      <c r="BV819" s="43"/>
      <c r="BW819" s="43"/>
      <c r="BX819" s="43"/>
      <c r="BY819" s="43"/>
      <c r="BZ819" s="43"/>
      <c r="CA819" s="43"/>
      <c r="CB819" s="43"/>
      <c r="CC819" s="43"/>
      <c r="CD819" s="43"/>
      <c r="CE819" s="43"/>
      <c r="CF819" s="43"/>
      <c r="CG819" s="43"/>
      <c r="CH819" s="43"/>
      <c r="CI819" s="43"/>
      <c r="CJ819" s="43"/>
      <c r="CK819" s="43"/>
      <c r="CL819" s="43"/>
      <c r="CM819" s="43"/>
      <c r="CN819" s="43"/>
      <c r="CO819" s="43"/>
      <c r="CP819" s="43"/>
      <c r="CQ819" s="43"/>
      <c r="CR819" s="43"/>
      <c r="CS819" s="43"/>
    </row>
    <row r="820" spans="1:97" s="5" customFormat="1" ht="12.95" customHeight="1">
      <c r="A820"/>
      <c r="B820"/>
      <c r="C820"/>
      <c r="D820"/>
      <c r="E820"/>
      <c r="F820"/>
      <c r="G820"/>
      <c r="H820"/>
      <c r="I820"/>
      <c r="J820"/>
      <c r="K820"/>
      <c r="L820"/>
      <c r="M820"/>
      <c r="N820"/>
      <c r="O820"/>
      <c r="P820"/>
      <c r="Q820"/>
      <c r="R820"/>
      <c r="S820"/>
      <c r="T820"/>
      <c r="U820"/>
      <c r="V820"/>
      <c r="W820"/>
      <c r="X820"/>
      <c r="Y820"/>
      <c r="Z820"/>
      <c r="AA820"/>
      <c r="AB820"/>
      <c r="AC820"/>
      <c r="AD820"/>
      <c r="AE820"/>
      <c r="AF820"/>
      <c r="AG820"/>
      <c r="AH820"/>
      <c r="AI820"/>
      <c r="AJ820"/>
      <c r="AK820"/>
      <c r="AL820"/>
      <c r="AR820" s="21"/>
      <c r="AS820" s="21"/>
      <c r="AT820" s="21"/>
      <c r="AU820" s="21"/>
      <c r="AV820" s="21"/>
      <c r="AW820" s="21"/>
      <c r="AX820" s="21"/>
      <c r="AY820" s="21"/>
      <c r="AZ820" s="21"/>
      <c r="BA820" s="21"/>
      <c r="BB820" s="30" t="s">
        <v>451</v>
      </c>
      <c r="BC820" s="549">
        <v>352022</v>
      </c>
      <c r="BD820" s="549">
        <v>405878</v>
      </c>
      <c r="BE820" s="549">
        <v>489600</v>
      </c>
      <c r="BF820" s="549">
        <v>626688</v>
      </c>
      <c r="BG820" s="549">
        <v>698170</v>
      </c>
      <c r="BH820" s="21"/>
      <c r="BI820" s="30" t="s">
        <v>451</v>
      </c>
      <c r="BJ820" s="549">
        <v>352022</v>
      </c>
      <c r="BK820" s="549">
        <v>405878</v>
      </c>
      <c r="BL820" s="549">
        <v>489600</v>
      </c>
      <c r="BM820" s="549">
        <v>626688</v>
      </c>
      <c r="BN820" s="549">
        <v>698170</v>
      </c>
      <c r="BO820" s="43"/>
      <c r="BP820" s="43"/>
      <c r="BQ820" s="43"/>
      <c r="BR820" s="43"/>
      <c r="BS820" s="43"/>
      <c r="BT820" s="43"/>
      <c r="BU820" s="43"/>
      <c r="BV820" s="43"/>
      <c r="BW820" s="43"/>
      <c r="BX820" s="43"/>
      <c r="BY820" s="43"/>
      <c r="BZ820" s="43"/>
      <c r="CA820" s="43"/>
      <c r="CB820" s="43"/>
      <c r="CC820" s="43"/>
      <c r="CD820" s="43"/>
      <c r="CE820" s="43"/>
      <c r="CF820" s="43"/>
      <c r="CG820" s="43"/>
      <c r="CH820" s="43"/>
      <c r="CI820" s="43"/>
      <c r="CJ820" s="43"/>
      <c r="CK820" s="43"/>
      <c r="CL820" s="43"/>
      <c r="CM820" s="43"/>
      <c r="CN820" s="43"/>
      <c r="CO820" s="43"/>
      <c r="CP820" s="43"/>
      <c r="CQ820" s="43"/>
      <c r="CR820" s="43"/>
      <c r="CS820" s="43"/>
    </row>
    <row r="821" spans="1:97" s="5" customFormat="1" ht="12.95" customHeight="1">
      <c r="A821"/>
      <c r="B821"/>
      <c r="C821" s="3" t="s">
        <v>498</v>
      </c>
      <c r="D821"/>
      <c r="E821"/>
      <c r="F821"/>
      <c r="G821"/>
      <c r="H821"/>
      <c r="I821"/>
      <c r="J821" s="8" t="s">
        <v>489</v>
      </c>
      <c r="K821" s="9"/>
      <c r="L821" s="9"/>
      <c r="M821" s="9"/>
      <c r="N821" s="9"/>
      <c r="O821" s="9"/>
      <c r="P821" s="9"/>
      <c r="Q821" s="9"/>
      <c r="R821" s="9"/>
      <c r="S821" s="9"/>
      <c r="T821" s="9"/>
      <c r="U821" s="9"/>
      <c r="V821" s="52"/>
      <c r="W821" s="1513">
        <v>32500</v>
      </c>
      <c r="X821" s="1514"/>
      <c r="Y821" s="1514"/>
      <c r="Z821" s="1514"/>
      <c r="AA821" s="1514"/>
      <c r="AB821" s="1514"/>
      <c r="AC821" s="1515"/>
      <c r="AD821"/>
      <c r="AE821"/>
      <c r="AF821"/>
      <c r="AG821"/>
      <c r="AH821"/>
      <c r="AI821"/>
      <c r="AJ821"/>
      <c r="AK821"/>
      <c r="AL821"/>
      <c r="AR821" s="21"/>
      <c r="AS821" s="21"/>
      <c r="AT821" s="21"/>
      <c r="AU821" s="21"/>
      <c r="AV821" s="21"/>
      <c r="AW821" s="21"/>
      <c r="AX821" s="21"/>
      <c r="AY821" s="21"/>
      <c r="AZ821" s="21"/>
      <c r="BA821" s="21"/>
      <c r="BB821" s="30" t="s">
        <v>78</v>
      </c>
      <c r="BC821" s="550">
        <v>352022</v>
      </c>
      <c r="BD821" s="550">
        <v>405878</v>
      </c>
      <c r="BE821" s="550">
        <v>489600</v>
      </c>
      <c r="BF821" s="550">
        <v>626688</v>
      </c>
      <c r="BG821" s="550">
        <v>698170</v>
      </c>
      <c r="BH821" s="21"/>
      <c r="BI821" s="30" t="s">
        <v>78</v>
      </c>
      <c r="BJ821" s="550">
        <v>352022</v>
      </c>
      <c r="BK821" s="550">
        <v>405878</v>
      </c>
      <c r="BL821" s="550">
        <v>489600</v>
      </c>
      <c r="BM821" s="550">
        <v>626688</v>
      </c>
      <c r="BN821" s="550">
        <v>698170</v>
      </c>
      <c r="BO821" s="43"/>
      <c r="BP821" s="43"/>
      <c r="BQ821" s="43"/>
      <c r="BR821" s="43"/>
      <c r="BS821" s="43"/>
      <c r="BT821" s="43"/>
      <c r="BU821" s="43"/>
      <c r="BV821" s="43"/>
      <c r="BW821" s="43"/>
      <c r="BX821" s="43"/>
      <c r="BY821" s="43"/>
      <c r="BZ821" s="43"/>
      <c r="CA821" s="43"/>
      <c r="CB821" s="43"/>
      <c r="CC821" s="43"/>
      <c r="CD821" s="43"/>
      <c r="CE821" s="43"/>
      <c r="CF821" s="43"/>
      <c r="CG821" s="43"/>
      <c r="CH821" s="43"/>
      <c r="CI821" s="43"/>
      <c r="CJ821" s="43"/>
      <c r="CK821" s="43"/>
      <c r="CL821" s="43"/>
      <c r="CM821" s="43"/>
      <c r="CN821" s="43"/>
      <c r="CO821" s="43"/>
      <c r="CP821" s="43"/>
      <c r="CQ821" s="43"/>
      <c r="CR821" s="43"/>
      <c r="CS821" s="43"/>
    </row>
    <row r="822" spans="1:97" s="5" customFormat="1" ht="12.95" customHeight="1">
      <c r="A822"/>
      <c r="B822"/>
      <c r="C822" s="3"/>
      <c r="D822"/>
      <c r="E822"/>
      <c r="F822"/>
      <c r="G822"/>
      <c r="H822"/>
      <c r="I822"/>
      <c r="J822" s="214" t="s">
        <v>2025</v>
      </c>
      <c r="K822" s="9"/>
      <c r="L822" s="9"/>
      <c r="M822" s="9"/>
      <c r="N822" s="9"/>
      <c r="O822" s="9"/>
      <c r="P822" s="9"/>
      <c r="Q822" s="9"/>
      <c r="R822" s="9"/>
      <c r="S822" s="9"/>
      <c r="T822" s="1266">
        <v>1</v>
      </c>
      <c r="U822" s="1267"/>
      <c r="V822" s="1268"/>
      <c r="W822" s="816"/>
      <c r="X822" s="817"/>
      <c r="Y822" s="817"/>
      <c r="Z822" s="817"/>
      <c r="AA822" s="817"/>
      <c r="AB822" s="817"/>
      <c r="AC822" s="818"/>
      <c r="AD822"/>
      <c r="AE822"/>
      <c r="AF822"/>
      <c r="AG822"/>
      <c r="AH822"/>
      <c r="AI822"/>
      <c r="AJ822"/>
      <c r="AK822"/>
      <c r="AL822"/>
      <c r="AR822" s="21"/>
      <c r="AS822" s="21"/>
      <c r="AT822" s="21"/>
      <c r="AU822" s="21"/>
      <c r="AV822" s="21"/>
      <c r="AW822" s="21"/>
      <c r="AX822" s="21"/>
      <c r="AY822" s="21"/>
      <c r="AZ822" s="21"/>
      <c r="BA822" s="21"/>
      <c r="BB822" s="30" t="s">
        <v>80</v>
      </c>
      <c r="BC822" s="549">
        <v>319236</v>
      </c>
      <c r="BD822" s="549">
        <v>368076</v>
      </c>
      <c r="BE822" s="549">
        <v>444000</v>
      </c>
      <c r="BF822" s="549">
        <v>568320</v>
      </c>
      <c r="BG822" s="549">
        <v>633144</v>
      </c>
      <c r="BH822" s="21"/>
      <c r="BI822" s="30" t="s">
        <v>80</v>
      </c>
      <c r="BJ822" s="549">
        <v>319236</v>
      </c>
      <c r="BK822" s="549">
        <v>368076</v>
      </c>
      <c r="BL822" s="549">
        <v>444000</v>
      </c>
      <c r="BM822" s="549">
        <v>568320</v>
      </c>
      <c r="BN822" s="549">
        <v>633144</v>
      </c>
      <c r="BO822" s="43"/>
      <c r="BP822" s="43"/>
      <c r="BQ822" s="43"/>
      <c r="BR822" s="43"/>
      <c r="BS822" s="43"/>
      <c r="BT822" s="43"/>
      <c r="BU822" s="43"/>
      <c r="BV822" s="43"/>
      <c r="BW822" s="43"/>
      <c r="BX822" s="43"/>
      <c r="BY822" s="43"/>
      <c r="BZ822" s="43"/>
      <c r="CA822" s="43"/>
      <c r="CB822" s="43"/>
      <c r="CC822" s="43"/>
      <c r="CD822" s="43"/>
      <c r="CE822" s="43"/>
      <c r="CF822" s="43"/>
      <c r="CG822" s="43"/>
      <c r="CH822" s="43"/>
      <c r="CI822" s="43"/>
      <c r="CJ822" s="43"/>
      <c r="CK822" s="43"/>
      <c r="CL822" s="43"/>
      <c r="CM822" s="43"/>
      <c r="CN822" s="43"/>
      <c r="CO822" s="43"/>
      <c r="CP822" s="43"/>
      <c r="CQ822" s="43"/>
      <c r="CR822" s="43"/>
      <c r="CS822" s="43"/>
    </row>
    <row r="823" spans="1:97" s="5" customFormat="1" ht="12.95" customHeight="1">
      <c r="A823"/>
      <c r="B823"/>
      <c r="C823" s="3" t="s">
        <v>907</v>
      </c>
      <c r="D823"/>
      <c r="E823"/>
      <c r="F823"/>
      <c r="G823"/>
      <c r="H823"/>
      <c r="I823"/>
      <c r="J823" s="8" t="s">
        <v>488</v>
      </c>
      <c r="K823" s="9"/>
      <c r="L823" s="9"/>
      <c r="M823" s="9"/>
      <c r="N823" s="9"/>
      <c r="O823" s="9"/>
      <c r="P823" s="9"/>
      <c r="Q823" s="9"/>
      <c r="R823" s="9"/>
      <c r="S823" s="9"/>
      <c r="T823" s="9"/>
      <c r="U823" s="9"/>
      <c r="V823" s="52"/>
      <c r="W823" s="1513">
        <v>20000</v>
      </c>
      <c r="X823" s="1514"/>
      <c r="Y823" s="1514"/>
      <c r="Z823" s="1514"/>
      <c r="AA823" s="1514"/>
      <c r="AB823" s="1514"/>
      <c r="AC823" s="1515"/>
      <c r="AD823"/>
      <c r="AE823"/>
      <c r="AF823"/>
      <c r="AG823"/>
      <c r="AH823"/>
      <c r="AI823"/>
      <c r="AJ823"/>
      <c r="AK823"/>
      <c r="AL823" s="23"/>
      <c r="AR823" s="21"/>
      <c r="AS823" s="21"/>
      <c r="AT823" s="21"/>
      <c r="AU823" s="21"/>
      <c r="AV823" s="21"/>
      <c r="AW823" s="21"/>
      <c r="AX823" s="21"/>
      <c r="AY823" s="21"/>
      <c r="AZ823" s="21"/>
      <c r="BA823" s="21"/>
      <c r="BB823" s="30" t="s">
        <v>81</v>
      </c>
      <c r="BC823" s="550">
        <v>352022</v>
      </c>
      <c r="BD823" s="550">
        <v>405878</v>
      </c>
      <c r="BE823" s="550">
        <v>489600</v>
      </c>
      <c r="BF823" s="550">
        <v>626688</v>
      </c>
      <c r="BG823" s="550">
        <v>698170</v>
      </c>
      <c r="BH823" s="21"/>
      <c r="BI823" s="30" t="s">
        <v>81</v>
      </c>
      <c r="BJ823" s="550">
        <v>352022</v>
      </c>
      <c r="BK823" s="550">
        <v>405878</v>
      </c>
      <c r="BL823" s="550">
        <v>489600</v>
      </c>
      <c r="BM823" s="550">
        <v>626688</v>
      </c>
      <c r="BN823" s="550">
        <v>698170</v>
      </c>
      <c r="BO823" s="43"/>
      <c r="BP823" s="43"/>
      <c r="BQ823" s="43"/>
      <c r="BR823" s="43"/>
      <c r="BS823" s="43"/>
      <c r="BT823" s="43"/>
      <c r="BU823" s="43"/>
      <c r="BV823" s="43"/>
      <c r="BW823" s="43"/>
      <c r="BX823" s="43"/>
      <c r="BY823" s="43"/>
      <c r="BZ823" s="43"/>
      <c r="CA823" s="43"/>
      <c r="CB823" s="43"/>
      <c r="CC823" s="43"/>
      <c r="CD823" s="43"/>
      <c r="CE823" s="43"/>
      <c r="CF823" s="43"/>
      <c r="CG823" s="43"/>
      <c r="CH823" s="43"/>
      <c r="CI823" s="43"/>
      <c r="CJ823" s="43"/>
      <c r="CK823" s="43"/>
      <c r="CL823" s="43"/>
      <c r="CM823" s="43"/>
      <c r="CN823" s="43"/>
      <c r="CO823" s="43"/>
      <c r="CP823" s="43"/>
      <c r="CQ823" s="43"/>
      <c r="CR823" s="43"/>
      <c r="CS823" s="43"/>
    </row>
    <row r="824" spans="1:97" s="5" customFormat="1" ht="12.95" customHeight="1">
      <c r="A824"/>
      <c r="B824"/>
      <c r="C824" s="3"/>
      <c r="D824"/>
      <c r="E824"/>
      <c r="F824"/>
      <c r="G824"/>
      <c r="H824"/>
      <c r="I824"/>
      <c r="J824" s="214" t="s">
        <v>2026</v>
      </c>
      <c r="K824" s="9"/>
      <c r="L824" s="9"/>
      <c r="M824" s="9"/>
      <c r="N824" s="9"/>
      <c r="O824" s="9"/>
      <c r="P824" s="9"/>
      <c r="Q824" s="9"/>
      <c r="R824" s="9"/>
      <c r="S824" s="9"/>
      <c r="T824" s="1266">
        <v>1</v>
      </c>
      <c r="U824" s="1267"/>
      <c r="V824" s="1268"/>
      <c r="W824" s="816"/>
      <c r="X824" s="817"/>
      <c r="Y824" s="817"/>
      <c r="Z824" s="817"/>
      <c r="AA824" s="817"/>
      <c r="AB824" s="817"/>
      <c r="AC824" s="818"/>
      <c r="AD824"/>
      <c r="AE824"/>
      <c r="AF824"/>
      <c r="AG824"/>
      <c r="AH824"/>
      <c r="AI824"/>
      <c r="AJ824"/>
      <c r="AK824"/>
      <c r="AL824" s="23"/>
      <c r="AR824" s="21"/>
      <c r="AS824" s="21"/>
      <c r="AT824" s="21"/>
      <c r="AU824" s="21"/>
      <c r="AV824" s="21"/>
      <c r="AW824" s="21"/>
      <c r="AX824" s="21"/>
      <c r="AY824" s="21"/>
      <c r="AZ824" s="21"/>
      <c r="BA824" s="21"/>
      <c r="BB824" s="30" t="s">
        <v>82</v>
      </c>
      <c r="BC824" s="549">
        <v>352022</v>
      </c>
      <c r="BD824" s="549">
        <v>405878</v>
      </c>
      <c r="BE824" s="549">
        <v>489600</v>
      </c>
      <c r="BF824" s="549">
        <v>626688</v>
      </c>
      <c r="BG824" s="549">
        <v>698170</v>
      </c>
      <c r="BH824" s="21"/>
      <c r="BI824" s="30" t="s">
        <v>82</v>
      </c>
      <c r="BJ824" s="549">
        <v>352022</v>
      </c>
      <c r="BK824" s="549">
        <v>405878</v>
      </c>
      <c r="BL824" s="549">
        <v>489600</v>
      </c>
      <c r="BM824" s="549">
        <v>626688</v>
      </c>
      <c r="BN824" s="549">
        <v>698170</v>
      </c>
      <c r="BO824" s="43"/>
      <c r="BP824" s="43"/>
      <c r="BQ824" s="43"/>
      <c r="BR824" s="43"/>
      <c r="BS824" s="43"/>
      <c r="BT824" s="43"/>
      <c r="BU824" s="43"/>
      <c r="BV824" s="43"/>
      <c r="BW824" s="43"/>
      <c r="BX824" s="43"/>
      <c r="BY824" s="43"/>
      <c r="BZ824" s="43"/>
      <c r="CA824" s="43"/>
      <c r="CB824" s="43"/>
      <c r="CC824" s="43"/>
      <c r="CD824" s="43"/>
      <c r="CE824" s="43"/>
      <c r="CF824" s="43"/>
      <c r="CG824" s="43"/>
      <c r="CH824" s="43"/>
      <c r="CI824" s="43"/>
      <c r="CJ824" s="43"/>
      <c r="CK824" s="43"/>
      <c r="CL824" s="43"/>
      <c r="CM824" s="43"/>
      <c r="CN824" s="43"/>
      <c r="CO824" s="43"/>
      <c r="CP824" s="43"/>
      <c r="CQ824" s="43"/>
      <c r="CR824" s="43"/>
      <c r="CS824" s="43"/>
    </row>
    <row r="825" spans="1:97" s="5" customFormat="1" ht="12.95" customHeight="1">
      <c r="A825"/>
      <c r="B825"/>
      <c r="C825"/>
      <c r="D825"/>
      <c r="E825"/>
      <c r="F825"/>
      <c r="G825"/>
      <c r="H825"/>
      <c r="I825"/>
      <c r="J825" s="8" t="s">
        <v>297</v>
      </c>
      <c r="K825" s="9"/>
      <c r="L825" s="9"/>
      <c r="M825" s="1141" t="s">
        <v>2430</v>
      </c>
      <c r="N825" s="1142"/>
      <c r="O825" s="1142"/>
      <c r="P825" s="1142"/>
      <c r="Q825" s="1142"/>
      <c r="R825" s="1142"/>
      <c r="S825" s="1142"/>
      <c r="T825" s="1142"/>
      <c r="U825" s="1142"/>
      <c r="V825" s="1143"/>
      <c r="W825" s="1513">
        <v>24000</v>
      </c>
      <c r="X825" s="1514"/>
      <c r="Y825" s="1514"/>
      <c r="Z825" s="1514"/>
      <c r="AA825" s="1514"/>
      <c r="AB825" s="1514"/>
      <c r="AC825" s="1515"/>
      <c r="AD825"/>
      <c r="AE825"/>
      <c r="AF825"/>
      <c r="AG825"/>
      <c r="AH825"/>
      <c r="AI825"/>
      <c r="AJ825"/>
      <c r="AK825"/>
      <c r="AL825" s="23"/>
      <c r="AR825" s="21"/>
      <c r="AS825" s="21"/>
      <c r="AT825" s="21"/>
      <c r="AU825" s="21"/>
      <c r="AV825" s="21"/>
      <c r="AW825" s="21"/>
      <c r="AX825" s="21"/>
      <c r="AY825" s="21"/>
      <c r="AZ825" s="21"/>
      <c r="BA825" s="21"/>
      <c r="BB825" s="30" t="s">
        <v>504</v>
      </c>
      <c r="BC825" s="550">
        <v>473390</v>
      </c>
      <c r="BD825" s="550">
        <v>545814</v>
      </c>
      <c r="BE825" s="550">
        <v>658400</v>
      </c>
      <c r="BF825" s="550">
        <v>842752</v>
      </c>
      <c r="BG825" s="550">
        <v>938878</v>
      </c>
      <c r="BH825" s="21"/>
      <c r="BI825" s="30" t="s">
        <v>504</v>
      </c>
      <c r="BJ825" s="550">
        <v>473390</v>
      </c>
      <c r="BK825" s="550">
        <v>545814</v>
      </c>
      <c r="BL825" s="550">
        <v>658400</v>
      </c>
      <c r="BM825" s="550">
        <v>842752</v>
      </c>
      <c r="BN825" s="550">
        <v>938878</v>
      </c>
      <c r="BO825" s="43"/>
      <c r="BP825" s="43"/>
      <c r="BQ825" s="43"/>
      <c r="BR825" s="43"/>
      <c r="BS825" s="43"/>
      <c r="BT825" s="43"/>
      <c r="BU825" s="43"/>
      <c r="BV825" s="43"/>
      <c r="BW825" s="43"/>
      <c r="BX825" s="43"/>
      <c r="BY825" s="43"/>
      <c r="BZ825" s="43"/>
      <c r="CA825" s="43"/>
      <c r="CB825" s="43"/>
      <c r="CC825" s="43"/>
      <c r="CD825" s="43"/>
      <c r="CE825" s="43"/>
      <c r="CF825" s="43"/>
      <c r="CG825" s="43"/>
      <c r="CH825" s="43"/>
      <c r="CI825" s="43"/>
      <c r="CJ825" s="43"/>
      <c r="CK825" s="43"/>
      <c r="CL825" s="43"/>
      <c r="CM825" s="43"/>
      <c r="CN825" s="43"/>
      <c r="CO825" s="43"/>
      <c r="CP825" s="43"/>
      <c r="CQ825" s="43"/>
      <c r="CR825" s="43"/>
      <c r="CS825" s="43"/>
    </row>
    <row r="826" spans="1:97" s="5" customFormat="1" ht="12.95" customHeight="1">
      <c r="A826"/>
      <c r="B826"/>
      <c r="C826"/>
      <c r="D826"/>
      <c r="E826"/>
      <c r="F826"/>
      <c r="G826"/>
      <c r="H826"/>
      <c r="I826"/>
      <c r="J826" s="8"/>
      <c r="K826" s="9"/>
      <c r="L826" s="9"/>
      <c r="M826" s="9"/>
      <c r="N826" s="9"/>
      <c r="O826" s="9"/>
      <c r="P826" s="9"/>
      <c r="Q826" s="9"/>
      <c r="R826" s="9"/>
      <c r="S826" s="9"/>
      <c r="T826" s="9"/>
      <c r="U826" s="9"/>
      <c r="V826" s="60" t="s">
        <v>14</v>
      </c>
      <c r="W826" s="1212">
        <f>SUM(W821:AC825)</f>
        <v>76500</v>
      </c>
      <c r="X826" s="1213"/>
      <c r="Y826" s="1213"/>
      <c r="Z826" s="1213"/>
      <c r="AA826" s="1213"/>
      <c r="AB826" s="1213"/>
      <c r="AC826" s="1214"/>
      <c r="AD826"/>
      <c r="AE826"/>
      <c r="AF826"/>
      <c r="AG826"/>
      <c r="AH826"/>
      <c r="AI826"/>
      <c r="AJ826"/>
      <c r="AK826"/>
      <c r="AL826" s="23"/>
      <c r="AM826" s="38"/>
      <c r="AN826" s="38"/>
      <c r="AO826" s="21"/>
      <c r="AP826" s="21"/>
      <c r="AQ826" s="21"/>
      <c r="AR826" s="21"/>
      <c r="AS826" s="21"/>
      <c r="AT826" s="21"/>
      <c r="AU826" s="21"/>
      <c r="AV826" s="21"/>
      <c r="AW826" s="21"/>
      <c r="AX826" s="21"/>
      <c r="AY826" s="21"/>
      <c r="AZ826" s="21"/>
      <c r="BA826" s="21"/>
      <c r="BB826" s="30" t="s">
        <v>505</v>
      </c>
      <c r="BC826" s="549">
        <v>352022</v>
      </c>
      <c r="BD826" s="549">
        <v>405878</v>
      </c>
      <c r="BE826" s="549">
        <v>489600</v>
      </c>
      <c r="BF826" s="549">
        <v>626688</v>
      </c>
      <c r="BG826" s="549">
        <v>698170</v>
      </c>
      <c r="BH826" s="21"/>
      <c r="BI826" s="30" t="s">
        <v>505</v>
      </c>
      <c r="BJ826" s="549">
        <v>352022</v>
      </c>
      <c r="BK826" s="549">
        <v>405878</v>
      </c>
      <c r="BL826" s="549">
        <v>489600</v>
      </c>
      <c r="BM826" s="549">
        <v>626688</v>
      </c>
      <c r="BN826" s="549">
        <v>698170</v>
      </c>
      <c r="BO826" s="43"/>
      <c r="BP826" s="43"/>
      <c r="BQ826" s="43"/>
      <c r="BR826" s="43"/>
      <c r="BS826" s="43"/>
      <c r="BT826" s="43"/>
      <c r="BU826" s="43"/>
      <c r="BV826" s="43"/>
      <c r="BW826" s="43"/>
      <c r="BX826" s="43"/>
      <c r="BY826" s="43"/>
      <c r="BZ826" s="43"/>
      <c r="CA826" s="43"/>
      <c r="CB826" s="43"/>
      <c r="CC826" s="43"/>
      <c r="CD826" s="43"/>
      <c r="CE826" s="43"/>
      <c r="CF826" s="43"/>
      <c r="CG826" s="43"/>
      <c r="CH826" s="43"/>
      <c r="CI826" s="43"/>
      <c r="CJ826" s="43"/>
      <c r="CK826" s="43"/>
      <c r="CL826" s="43"/>
      <c r="CM826" s="43"/>
      <c r="CN826" s="43"/>
      <c r="CO826" s="43"/>
      <c r="CP826" s="43"/>
      <c r="CQ826" s="43"/>
      <c r="CR826" s="43"/>
      <c r="CS826" s="43"/>
    </row>
    <row r="827" spans="1:97" s="5" customFormat="1" ht="12.95" customHeight="1">
      <c r="A827"/>
      <c r="B827"/>
      <c r="C827"/>
      <c r="D827"/>
      <c r="E827"/>
      <c r="F827"/>
      <c r="G827"/>
      <c r="H827"/>
      <c r="I827"/>
      <c r="J827" s="8"/>
      <c r="K827" s="9"/>
      <c r="L827" s="9"/>
      <c r="M827" s="9"/>
      <c r="N827" s="9"/>
      <c r="O827" s="9"/>
      <c r="P827" s="9"/>
      <c r="Q827" s="9"/>
      <c r="R827" s="9"/>
      <c r="S827" s="9"/>
      <c r="T827" s="9"/>
      <c r="U827" s="9"/>
      <c r="V827" s="60" t="s">
        <v>15</v>
      </c>
      <c r="W827" s="1513">
        <v>20000</v>
      </c>
      <c r="X827" s="1514"/>
      <c r="Y827" s="1514"/>
      <c r="Z827" s="1514"/>
      <c r="AA827" s="1514"/>
      <c r="AB827" s="1514"/>
      <c r="AC827" s="1515"/>
      <c r="AD827"/>
      <c r="AE827"/>
      <c r="AF827"/>
      <c r="AG827"/>
      <c r="AH827"/>
      <c r="AI827"/>
      <c r="AJ827"/>
      <c r="AK827"/>
      <c r="AL827" s="23"/>
      <c r="AM827" s="38"/>
      <c r="AN827" s="38"/>
      <c r="AO827" s="21"/>
      <c r="AP827" s="21"/>
      <c r="AQ827" s="21"/>
      <c r="AR827" s="21"/>
      <c r="AS827" s="21"/>
      <c r="AT827" s="21"/>
      <c r="AU827" s="21"/>
      <c r="AV827" s="21"/>
      <c r="AW827" s="21"/>
      <c r="AX827" s="21"/>
      <c r="AY827" s="21"/>
      <c r="AZ827" s="21"/>
      <c r="BA827" s="21"/>
      <c r="BB827" s="30" t="s">
        <v>506</v>
      </c>
      <c r="BC827" s="550">
        <v>331890</v>
      </c>
      <c r="BD827" s="550">
        <v>382666</v>
      </c>
      <c r="BE827" s="550">
        <v>461600</v>
      </c>
      <c r="BF827" s="550">
        <v>590848</v>
      </c>
      <c r="BG827" s="550">
        <v>658242</v>
      </c>
      <c r="BH827" s="21"/>
      <c r="BI827" s="30" t="s">
        <v>506</v>
      </c>
      <c r="BJ827" s="550">
        <v>331890</v>
      </c>
      <c r="BK827" s="550">
        <v>382666</v>
      </c>
      <c r="BL827" s="550">
        <v>461600</v>
      </c>
      <c r="BM827" s="550">
        <v>590848</v>
      </c>
      <c r="BN827" s="550">
        <v>658242</v>
      </c>
      <c r="BO827" s="43"/>
      <c r="BP827" s="43"/>
      <c r="BQ827" s="43"/>
      <c r="BR827" s="43"/>
      <c r="BS827" s="43"/>
      <c r="BT827" s="43"/>
      <c r="BU827" s="43"/>
      <c r="BV827" s="43"/>
      <c r="BW827" s="43"/>
      <c r="BX827" s="43"/>
      <c r="BY827" s="43"/>
      <c r="BZ827" s="43"/>
      <c r="CA827" s="43"/>
      <c r="CB827" s="43"/>
      <c r="CC827" s="43"/>
      <c r="CD827" s="43"/>
      <c r="CE827" s="43"/>
      <c r="CF827" s="43"/>
      <c r="CG827" s="43"/>
      <c r="CH827" s="43"/>
      <c r="CI827" s="43"/>
      <c r="CJ827" s="43"/>
      <c r="CK827" s="43"/>
      <c r="CL827" s="43"/>
      <c r="CM827" s="43"/>
      <c r="CN827" s="43"/>
      <c r="CO827" s="43"/>
      <c r="CP827" s="43"/>
      <c r="CQ827" s="43"/>
      <c r="CR827" s="43"/>
      <c r="CS827" s="43"/>
    </row>
    <row r="828" spans="1:97" s="5" customFormat="1" ht="12.95" customHeight="1">
      <c r="A828"/>
      <c r="B828"/>
      <c r="C828"/>
      <c r="D828"/>
      <c r="E828"/>
      <c r="F828"/>
      <c r="G828"/>
      <c r="H828"/>
      <c r="I828"/>
      <c r="J828"/>
      <c r="K828"/>
      <c r="L828"/>
      <c r="M828"/>
      <c r="N828"/>
      <c r="O828"/>
      <c r="P828"/>
      <c r="Q828"/>
      <c r="R828"/>
      <c r="S828"/>
      <c r="T828"/>
      <c r="U828"/>
      <c r="V828"/>
      <c r="W828"/>
      <c r="X828"/>
      <c r="Y828"/>
      <c r="Z828"/>
      <c r="AA828"/>
      <c r="AB828"/>
      <c r="AC828"/>
      <c r="AD828"/>
      <c r="AE828"/>
      <c r="AF828"/>
      <c r="AG828"/>
      <c r="AH828"/>
      <c r="AI828"/>
      <c r="AJ828"/>
      <c r="AK828"/>
      <c r="AL828"/>
      <c r="AM828" s="38"/>
      <c r="AN828" s="38"/>
      <c r="AO828" s="21"/>
      <c r="AP828" s="21"/>
      <c r="AQ828" s="21"/>
      <c r="AR828" s="21"/>
      <c r="AS828" s="21"/>
      <c r="AT828" s="21"/>
      <c r="AU828" s="21"/>
      <c r="AV828" s="21"/>
      <c r="AW828" s="21"/>
      <c r="AX828" s="21"/>
      <c r="AY828" s="21"/>
      <c r="AZ828" s="21"/>
      <c r="BA828" s="21"/>
      <c r="BB828" s="30" t="s">
        <v>508</v>
      </c>
      <c r="BC828" s="549">
        <v>307732</v>
      </c>
      <c r="BD828" s="549">
        <v>354812</v>
      </c>
      <c r="BE828" s="549">
        <v>428000</v>
      </c>
      <c r="BF828" s="549">
        <v>547840</v>
      </c>
      <c r="BG828" s="549">
        <v>610328</v>
      </c>
      <c r="BH828" s="21"/>
      <c r="BI828" s="30" t="s">
        <v>508</v>
      </c>
      <c r="BJ828" s="549">
        <v>307732</v>
      </c>
      <c r="BK828" s="549">
        <v>354812</v>
      </c>
      <c r="BL828" s="549">
        <v>428000</v>
      </c>
      <c r="BM828" s="549">
        <v>547840</v>
      </c>
      <c r="BN828" s="549">
        <v>610328</v>
      </c>
      <c r="BO828" s="43"/>
      <c r="BP828" s="43"/>
      <c r="BQ828" s="43"/>
      <c r="BR828" s="43"/>
      <c r="BS828" s="43"/>
      <c r="BT828" s="43"/>
      <c r="BU828" s="43"/>
      <c r="BV828" s="43"/>
      <c r="BW828" s="43"/>
      <c r="BX828" s="43"/>
      <c r="BY828" s="43"/>
      <c r="BZ828" s="43"/>
      <c r="CA828" s="43"/>
      <c r="CB828" s="43"/>
      <c r="CC828" s="43"/>
      <c r="CD828" s="43"/>
      <c r="CE828" s="43"/>
      <c r="CF828" s="43"/>
      <c r="CG828" s="43"/>
      <c r="CH828" s="43"/>
      <c r="CI828" s="43"/>
      <c r="CJ828" s="43"/>
      <c r="CK828" s="43"/>
      <c r="CL828" s="43"/>
      <c r="CM828" s="43"/>
      <c r="CN828" s="43"/>
      <c r="CO828" s="43"/>
      <c r="CP828" s="43"/>
      <c r="CQ828" s="43"/>
      <c r="CR828" s="43"/>
      <c r="CS828" s="43"/>
    </row>
    <row r="829" spans="1:97" s="5" customFormat="1" ht="12.95" customHeight="1">
      <c r="A829"/>
      <c r="B829"/>
      <c r="C829" s="3" t="s">
        <v>59</v>
      </c>
      <c r="D829"/>
      <c r="E829"/>
      <c r="F829"/>
      <c r="G829"/>
      <c r="H829"/>
      <c r="I829"/>
      <c r="J829" s="8" t="s">
        <v>760</v>
      </c>
      <c r="K829" s="9"/>
      <c r="L829" s="9"/>
      <c r="M829" s="9"/>
      <c r="N829" s="9"/>
      <c r="O829" s="9"/>
      <c r="P829" s="9"/>
      <c r="Q829" s="9"/>
      <c r="R829" s="9"/>
      <c r="S829" s="9"/>
      <c r="T829" s="9"/>
      <c r="U829" s="9"/>
      <c r="V829" s="52"/>
      <c r="W829" s="1195">
        <v>8000</v>
      </c>
      <c r="X829" s="1195"/>
      <c r="Y829" s="1195"/>
      <c r="Z829" s="1195"/>
      <c r="AA829" s="1195"/>
      <c r="AB829" s="1195"/>
      <c r="AC829" s="1195"/>
      <c r="AD829"/>
      <c r="AE829"/>
      <c r="AF829"/>
      <c r="AG829"/>
      <c r="AH829"/>
      <c r="AI829"/>
      <c r="AJ829"/>
      <c r="AK829"/>
      <c r="AL829"/>
      <c r="AM829" s="38"/>
      <c r="AN829" s="38"/>
      <c r="AO829" s="21"/>
      <c r="AP829" s="21"/>
      <c r="AQ829" s="21"/>
      <c r="AR829" s="21"/>
      <c r="AS829" s="21"/>
      <c r="AT829" s="21"/>
      <c r="AU829" s="21"/>
      <c r="AV829" s="21"/>
      <c r="AW829" s="21"/>
      <c r="AX829" s="21"/>
      <c r="AY829" s="21"/>
      <c r="AZ829" s="21"/>
      <c r="BA829" s="21"/>
      <c r="BB829" s="30" t="s">
        <v>511</v>
      </c>
      <c r="BC829" s="550">
        <v>352022</v>
      </c>
      <c r="BD829" s="550">
        <v>405878</v>
      </c>
      <c r="BE829" s="550">
        <v>489600</v>
      </c>
      <c r="BF829" s="550">
        <v>626688</v>
      </c>
      <c r="BG829" s="550">
        <v>698170</v>
      </c>
      <c r="BH829" s="21"/>
      <c r="BI829" s="30" t="s">
        <v>511</v>
      </c>
      <c r="BJ829" s="550">
        <v>352022</v>
      </c>
      <c r="BK829" s="550">
        <v>405878</v>
      </c>
      <c r="BL829" s="550">
        <v>489600</v>
      </c>
      <c r="BM829" s="550">
        <v>626688</v>
      </c>
      <c r="BN829" s="550">
        <v>698170</v>
      </c>
      <c r="BO829" s="43"/>
      <c r="BP829" s="43"/>
      <c r="BQ829" s="43"/>
      <c r="BR829" s="43"/>
      <c r="BS829" s="43"/>
      <c r="BT829" s="43"/>
      <c r="BU829" s="43"/>
      <c r="BV829" s="43"/>
      <c r="BW829" s="43"/>
      <c r="BX829" s="43"/>
      <c r="BY829" s="43"/>
      <c r="BZ829" s="43"/>
      <c r="CA829" s="43"/>
      <c r="CB829" s="43"/>
      <c r="CC829" s="43"/>
      <c r="CD829" s="43"/>
      <c r="CE829" s="43"/>
      <c r="CF829" s="43"/>
      <c r="CG829" s="43"/>
      <c r="CH829" s="43"/>
      <c r="CI829" s="43"/>
      <c r="CJ829" s="43"/>
      <c r="CK829" s="43"/>
      <c r="CL829" s="43"/>
      <c r="CM829" s="43"/>
      <c r="CN829" s="43"/>
      <c r="CO829" s="43"/>
      <c r="CP829" s="43"/>
      <c r="CQ829" s="43"/>
      <c r="CR829" s="43"/>
      <c r="CS829" s="43"/>
    </row>
    <row r="830" spans="1:97" s="5" customFormat="1" ht="12.95" customHeight="1">
      <c r="A830"/>
      <c r="B830"/>
      <c r="C830"/>
      <c r="D830"/>
      <c r="E830"/>
      <c r="F830"/>
      <c r="G830"/>
      <c r="H830"/>
      <c r="I830"/>
      <c r="J830" s="8" t="s">
        <v>657</v>
      </c>
      <c r="K830" s="9"/>
      <c r="L830" s="9"/>
      <c r="M830" s="9"/>
      <c r="N830" s="9"/>
      <c r="O830" s="9"/>
      <c r="P830" s="9"/>
      <c r="Q830" s="9"/>
      <c r="R830" s="9"/>
      <c r="S830" s="9"/>
      <c r="T830" s="9"/>
      <c r="U830" s="9"/>
      <c r="V830" s="52"/>
      <c r="W830" s="1195">
        <v>30000</v>
      </c>
      <c r="X830" s="1195"/>
      <c r="Y830" s="1195"/>
      <c r="Z830" s="1195"/>
      <c r="AA830" s="1195"/>
      <c r="AB830" s="1195"/>
      <c r="AC830" s="1195"/>
      <c r="AD830"/>
      <c r="AE830"/>
      <c r="AF830"/>
      <c r="AG830"/>
      <c r="AH830"/>
      <c r="AI830"/>
      <c r="AJ830"/>
      <c r="AK830"/>
      <c r="AL830"/>
      <c r="AM830" s="38"/>
      <c r="AN830" s="38"/>
      <c r="AO830" s="21"/>
      <c r="AP830" s="21"/>
      <c r="AQ830" s="21"/>
      <c r="AR830" s="21"/>
      <c r="AS830" s="21"/>
      <c r="AT830" s="21"/>
      <c r="AU830" s="21"/>
      <c r="AV830" s="21"/>
      <c r="AW830" s="21"/>
      <c r="AX830" s="21"/>
      <c r="AY830" s="21"/>
      <c r="AZ830" s="21"/>
      <c r="BA830" s="21"/>
      <c r="BB830" s="30" t="s">
        <v>512</v>
      </c>
      <c r="BC830" s="549">
        <v>352022</v>
      </c>
      <c r="BD830" s="549">
        <v>405878</v>
      </c>
      <c r="BE830" s="549">
        <v>489600</v>
      </c>
      <c r="BF830" s="549">
        <v>626688</v>
      </c>
      <c r="BG830" s="549">
        <v>698170</v>
      </c>
      <c r="BH830" s="21"/>
      <c r="BI830" s="30" t="s">
        <v>512</v>
      </c>
      <c r="BJ830" s="549">
        <v>352022</v>
      </c>
      <c r="BK830" s="549">
        <v>405878</v>
      </c>
      <c r="BL830" s="549">
        <v>489600</v>
      </c>
      <c r="BM830" s="549">
        <v>626688</v>
      </c>
      <c r="BN830" s="549">
        <v>698170</v>
      </c>
      <c r="BO830" s="43"/>
      <c r="BP830" s="43"/>
      <c r="BQ830" s="43"/>
      <c r="BR830" s="43"/>
      <c r="BS830" s="43"/>
      <c r="BT830" s="43"/>
      <c r="BU830" s="43"/>
      <c r="BV830" s="43"/>
      <c r="BW830" s="43"/>
      <c r="BX830" s="43"/>
      <c r="BY830" s="43"/>
      <c r="BZ830" s="43"/>
      <c r="CA830" s="43"/>
      <c r="CB830" s="43"/>
      <c r="CC830" s="43"/>
      <c r="CD830" s="43"/>
      <c r="CE830" s="43"/>
      <c r="CF830" s="43"/>
      <c r="CG830" s="43"/>
      <c r="CH830" s="43"/>
      <c r="CI830" s="43"/>
      <c r="CJ830" s="43"/>
      <c r="CK830" s="43"/>
      <c r="CL830" s="43"/>
      <c r="CM830" s="43"/>
      <c r="CN830" s="43"/>
      <c r="CO830" s="43"/>
      <c r="CP830" s="43"/>
      <c r="CQ830" s="43"/>
      <c r="CR830" s="43"/>
      <c r="CS830" s="43"/>
    </row>
    <row r="831" spans="1:97" s="5" customFormat="1" ht="12.95" customHeight="1">
      <c r="A831"/>
      <c r="B831"/>
      <c r="C831"/>
      <c r="D831"/>
      <c r="E831"/>
      <c r="F831"/>
      <c r="G831"/>
      <c r="H831"/>
      <c r="I831"/>
      <c r="J831" s="8" t="s">
        <v>656</v>
      </c>
      <c r="K831" s="9"/>
      <c r="L831" s="9"/>
      <c r="M831" s="9"/>
      <c r="N831" s="9"/>
      <c r="O831" s="9"/>
      <c r="P831" s="9"/>
      <c r="Q831" s="9"/>
      <c r="R831" s="9"/>
      <c r="S831" s="9"/>
      <c r="T831" s="9"/>
      <c r="U831" s="9"/>
      <c r="V831" s="52"/>
      <c r="W831" s="1195">
        <v>14000</v>
      </c>
      <c r="X831" s="1195"/>
      <c r="Y831" s="1195"/>
      <c r="Z831" s="1195"/>
      <c r="AA831" s="1195"/>
      <c r="AB831" s="1195"/>
      <c r="AC831" s="1195"/>
      <c r="AD831"/>
      <c r="AE831"/>
      <c r="AF831"/>
      <c r="AG831"/>
      <c r="AH831"/>
      <c r="AI831"/>
      <c r="AJ831"/>
      <c r="AK831"/>
      <c r="AL831"/>
      <c r="AM831" s="38"/>
      <c r="AN831" s="38"/>
      <c r="AO831" s="21"/>
      <c r="AP831" s="21"/>
      <c r="AQ831" s="21"/>
      <c r="AR831" s="21"/>
      <c r="AS831" s="21"/>
      <c r="AT831" s="21"/>
      <c r="AU831" s="21"/>
      <c r="AV831" s="21"/>
      <c r="AW831" s="21"/>
      <c r="AX831" s="21"/>
      <c r="AY831" s="21"/>
      <c r="AZ831" s="21"/>
      <c r="BA831" s="21"/>
      <c r="BB831" s="30" t="s">
        <v>514</v>
      </c>
      <c r="BC831" s="550">
        <v>314634</v>
      </c>
      <c r="BD831" s="550">
        <v>362770</v>
      </c>
      <c r="BE831" s="550">
        <v>437600</v>
      </c>
      <c r="BF831" s="550">
        <v>560128</v>
      </c>
      <c r="BG831" s="550">
        <v>624018</v>
      </c>
      <c r="BH831" s="21"/>
      <c r="BI831" s="30" t="s">
        <v>514</v>
      </c>
      <c r="BJ831" s="550">
        <v>314634</v>
      </c>
      <c r="BK831" s="550">
        <v>362770</v>
      </c>
      <c r="BL831" s="550">
        <v>437600</v>
      </c>
      <c r="BM831" s="550">
        <v>560128</v>
      </c>
      <c r="BN831" s="550">
        <v>624018</v>
      </c>
      <c r="BO831" s="43"/>
      <c r="BP831" s="43"/>
      <c r="BQ831" s="43"/>
      <c r="BR831" s="43"/>
      <c r="BS831" s="43"/>
      <c r="BT831" s="43"/>
      <c r="BU831" s="43"/>
      <c r="BV831" s="43"/>
      <c r="BW831" s="43"/>
      <c r="BX831" s="43"/>
      <c r="BY831" s="43"/>
      <c r="BZ831" s="43"/>
      <c r="CA831" s="43"/>
      <c r="CB831" s="43"/>
      <c r="CC831" s="43"/>
      <c r="CD831" s="43"/>
      <c r="CE831" s="43"/>
      <c r="CF831" s="43"/>
      <c r="CG831" s="43"/>
      <c r="CH831" s="43"/>
      <c r="CI831" s="43"/>
      <c r="CJ831" s="43"/>
      <c r="CK831" s="43"/>
      <c r="CL831" s="43"/>
      <c r="CM831" s="43"/>
      <c r="CN831" s="43"/>
      <c r="CO831" s="43"/>
      <c r="CP831" s="43"/>
      <c r="CQ831" s="43"/>
      <c r="CR831" s="43"/>
      <c r="CS831" s="43"/>
    </row>
    <row r="832" spans="1:97" s="5" customFormat="1" ht="12.95" customHeight="1">
      <c r="A832"/>
      <c r="B832"/>
      <c r="C832"/>
      <c r="D832"/>
      <c r="E832"/>
      <c r="F832"/>
      <c r="G832"/>
      <c r="H832"/>
      <c r="I832"/>
      <c r="J832" s="8" t="s">
        <v>655</v>
      </c>
      <c r="K832" s="9"/>
      <c r="L832" s="9"/>
      <c r="M832" s="9"/>
      <c r="N832" s="9"/>
      <c r="O832" s="9"/>
      <c r="P832" s="9"/>
      <c r="Q832" s="9"/>
      <c r="R832" s="9"/>
      <c r="S832" s="9"/>
      <c r="T832" s="9"/>
      <c r="U832" s="9"/>
      <c r="V832" s="52"/>
      <c r="W832" s="1195">
        <v>2300</v>
      </c>
      <c r="X832" s="1195"/>
      <c r="Y832" s="1195"/>
      <c r="Z832" s="1195"/>
      <c r="AA832" s="1195"/>
      <c r="AB832" s="1195"/>
      <c r="AC832" s="1195"/>
      <c r="AD832"/>
      <c r="AE832"/>
      <c r="AF832"/>
      <c r="AG832"/>
      <c r="AH832"/>
      <c r="AI832"/>
      <c r="AJ832"/>
      <c r="AK832"/>
      <c r="AL832"/>
      <c r="AM832" s="38"/>
      <c r="AN832" s="38"/>
      <c r="AO832" s="21"/>
      <c r="AP832" s="21"/>
      <c r="AQ832" s="21"/>
      <c r="AR832" s="21"/>
      <c r="AS832" s="21"/>
      <c r="AT832" s="21"/>
      <c r="AU832" s="21"/>
      <c r="AV832" s="21"/>
      <c r="AW832" s="21"/>
      <c r="AX832" s="21"/>
      <c r="AY832" s="21"/>
      <c r="AZ832" s="21"/>
      <c r="BA832" s="21"/>
      <c r="BB832" s="30" t="s">
        <v>515</v>
      </c>
      <c r="BC832" s="549">
        <v>352022</v>
      </c>
      <c r="BD832" s="549">
        <v>405878</v>
      </c>
      <c r="BE832" s="549">
        <v>489600</v>
      </c>
      <c r="BF832" s="549">
        <v>626688</v>
      </c>
      <c r="BG832" s="549">
        <v>698170</v>
      </c>
      <c r="BH832" s="21"/>
      <c r="BI832" s="30" t="s">
        <v>515</v>
      </c>
      <c r="BJ832" s="549">
        <v>352022</v>
      </c>
      <c r="BK832" s="549">
        <v>405878</v>
      </c>
      <c r="BL832" s="549">
        <v>489600</v>
      </c>
      <c r="BM832" s="549">
        <v>626688</v>
      </c>
      <c r="BN832" s="549">
        <v>698170</v>
      </c>
      <c r="BO832" s="43"/>
      <c r="BP832" s="43"/>
      <c r="BQ832" s="43"/>
      <c r="BR832" s="43"/>
      <c r="BS832" s="43"/>
      <c r="BT832" s="43"/>
      <c r="BU832" s="43"/>
      <c r="BV832" s="43"/>
      <c r="BW832" s="43"/>
      <c r="BX832" s="43"/>
      <c r="BY832" s="43"/>
      <c r="BZ832" s="43"/>
      <c r="CA832" s="43"/>
      <c r="CB832" s="43"/>
      <c r="CC832" s="43"/>
      <c r="CD832" s="43"/>
      <c r="CE832" s="43"/>
      <c r="CF832" s="43"/>
      <c r="CG832" s="43"/>
      <c r="CH832" s="43"/>
      <c r="CI832" s="43"/>
      <c r="CJ832" s="43"/>
      <c r="CK832" s="43"/>
      <c r="CL832" s="43"/>
      <c r="CM832" s="43"/>
      <c r="CN832" s="43"/>
      <c r="CO832" s="43"/>
      <c r="CP832" s="43"/>
      <c r="CQ832" s="43"/>
      <c r="CR832" s="43"/>
      <c r="CS832" s="43"/>
    </row>
    <row r="833" spans="1:97" s="5" customFormat="1" ht="12.95" customHeight="1">
      <c r="A833"/>
      <c r="B833"/>
      <c r="C833"/>
      <c r="D833"/>
      <c r="E833"/>
      <c r="F833"/>
      <c r="G833"/>
      <c r="H833"/>
      <c r="I833"/>
      <c r="J833" s="8" t="s">
        <v>654</v>
      </c>
      <c r="K833" s="9"/>
      <c r="L833" s="9"/>
      <c r="M833" s="9"/>
      <c r="N833" s="9"/>
      <c r="O833" s="9"/>
      <c r="P833" s="9"/>
      <c r="Q833" s="9"/>
      <c r="R833" s="9"/>
      <c r="S833" s="9"/>
      <c r="T833" s="9"/>
      <c r="U833" s="9"/>
      <c r="V833" s="52"/>
      <c r="W833" s="1195">
        <v>8000</v>
      </c>
      <c r="X833" s="1195"/>
      <c r="Y833" s="1195"/>
      <c r="Z833" s="1195"/>
      <c r="AA833" s="1195"/>
      <c r="AB833" s="1195"/>
      <c r="AC833" s="1195"/>
      <c r="AD833"/>
      <c r="AE833"/>
      <c r="AF833"/>
      <c r="AG833"/>
      <c r="AH833"/>
      <c r="AI833"/>
      <c r="AJ833"/>
      <c r="AK833"/>
      <c r="AL833"/>
      <c r="AM833" s="38"/>
      <c r="AN833" s="38"/>
      <c r="AO833" s="21"/>
      <c r="AP833" s="21"/>
      <c r="AQ833" s="21"/>
      <c r="AR833" s="21"/>
      <c r="AS833" s="21"/>
      <c r="AT833" s="21"/>
      <c r="AU833" s="21"/>
      <c r="AV833" s="21"/>
      <c r="AW833" s="21"/>
      <c r="AX833" s="21"/>
      <c r="AY833" s="21"/>
      <c r="AZ833" s="21"/>
      <c r="BA833" s="21"/>
      <c r="BB833" s="30" t="s">
        <v>516</v>
      </c>
      <c r="BC833" s="550">
        <v>307732</v>
      </c>
      <c r="BD833" s="550">
        <v>354812</v>
      </c>
      <c r="BE833" s="550">
        <v>428000</v>
      </c>
      <c r="BF833" s="550">
        <v>547840</v>
      </c>
      <c r="BG833" s="550">
        <v>610328</v>
      </c>
      <c r="BH833" s="21"/>
      <c r="BI833" s="30" t="s">
        <v>516</v>
      </c>
      <c r="BJ833" s="550">
        <v>307732</v>
      </c>
      <c r="BK833" s="550">
        <v>354812</v>
      </c>
      <c r="BL833" s="550">
        <v>428000</v>
      </c>
      <c r="BM833" s="550">
        <v>547840</v>
      </c>
      <c r="BN833" s="550">
        <v>610328</v>
      </c>
      <c r="BO833" s="43"/>
      <c r="BP833" s="43"/>
      <c r="BQ833" s="43"/>
      <c r="BR833" s="43"/>
      <c r="BS833" s="43"/>
      <c r="BT833" s="43"/>
      <c r="BU833" s="43"/>
      <c r="BV833" s="43"/>
      <c r="BW833" s="43"/>
      <c r="BX833" s="43"/>
      <c r="BY833" s="43"/>
      <c r="BZ833" s="43"/>
      <c r="CA833" s="43"/>
      <c r="CB833" s="43"/>
      <c r="CC833" s="43"/>
      <c r="CD833" s="43"/>
      <c r="CE833" s="43"/>
      <c r="CF833" s="43"/>
      <c r="CG833" s="43"/>
      <c r="CH833" s="43"/>
      <c r="CI833" s="43"/>
      <c r="CJ833" s="43"/>
      <c r="CK833" s="43"/>
      <c r="CL833" s="43"/>
      <c r="CM833" s="43"/>
      <c r="CN833" s="43"/>
      <c r="CO833" s="43"/>
      <c r="CP833" s="43"/>
      <c r="CQ833" s="43"/>
      <c r="CR833" s="43"/>
      <c r="CS833" s="43"/>
    </row>
    <row r="834" spans="1:97" ht="12.95" customHeight="1">
      <c r="J834" s="8" t="s">
        <v>653</v>
      </c>
      <c r="K834" s="9"/>
      <c r="L834" s="9"/>
      <c r="M834" s="9"/>
      <c r="N834" s="9"/>
      <c r="O834" s="9"/>
      <c r="P834" s="9"/>
      <c r="Q834" s="9"/>
      <c r="R834" s="9"/>
      <c r="S834" s="9"/>
      <c r="T834" s="9"/>
      <c r="U834" s="9"/>
      <c r="V834" s="52"/>
      <c r="W834" s="1195"/>
      <c r="X834" s="1195"/>
      <c r="Y834" s="1195"/>
      <c r="Z834" s="1195"/>
      <c r="AA834" s="1195"/>
      <c r="AB834" s="1195"/>
      <c r="AC834" s="1195"/>
      <c r="AM834" s="41"/>
      <c r="AN834" s="41"/>
      <c r="AO834" s="41"/>
      <c r="AP834" s="41"/>
      <c r="AQ834" s="41"/>
      <c r="AR834" s="41"/>
      <c r="AS834" s="41"/>
      <c r="AT834" s="41"/>
      <c r="AU834" s="41"/>
      <c r="AV834" s="41"/>
      <c r="AW834" s="41"/>
      <c r="AX834" s="41"/>
      <c r="AY834" s="41"/>
      <c r="AZ834" s="41"/>
      <c r="BA834" s="41"/>
      <c r="BB834" s="30" t="s">
        <v>518</v>
      </c>
      <c r="BC834" s="549">
        <v>307732</v>
      </c>
      <c r="BD834" s="549">
        <v>354812</v>
      </c>
      <c r="BE834" s="549">
        <v>428000</v>
      </c>
      <c r="BF834" s="549">
        <v>547840</v>
      </c>
      <c r="BG834" s="549">
        <v>610328</v>
      </c>
      <c r="BH834" s="21"/>
      <c r="BI834" s="30" t="s">
        <v>518</v>
      </c>
      <c r="BJ834" s="549">
        <v>307732</v>
      </c>
      <c r="BK834" s="549">
        <v>354812</v>
      </c>
      <c r="BL834" s="549">
        <v>428000</v>
      </c>
      <c r="BM834" s="549">
        <v>547840</v>
      </c>
      <c r="BN834" s="549">
        <v>610328</v>
      </c>
      <c r="BO834" s="41"/>
      <c r="BP834" s="41"/>
      <c r="BQ834" s="41"/>
      <c r="BR834" s="41"/>
      <c r="BS834" s="41"/>
      <c r="BT834" s="41"/>
      <c r="BU834" s="41"/>
      <c r="BV834" s="41"/>
      <c r="BW834" s="41"/>
      <c r="BX834" s="41"/>
      <c r="BY834" s="41"/>
      <c r="BZ834" s="41"/>
      <c r="CA834" s="41"/>
      <c r="CB834" s="41"/>
      <c r="CC834" s="41"/>
      <c r="CD834" s="41"/>
      <c r="CE834" s="41"/>
      <c r="CF834" s="41"/>
      <c r="CG834" s="41"/>
      <c r="CH834" s="41"/>
      <c r="CI834" s="41"/>
      <c r="CJ834" s="41"/>
      <c r="CK834" s="41"/>
      <c r="CL834" s="41"/>
      <c r="CM834" s="41"/>
      <c r="CN834" s="41"/>
      <c r="CO834" s="41"/>
      <c r="CP834" s="41"/>
      <c r="CQ834" s="41"/>
      <c r="CR834" s="41"/>
      <c r="CS834" s="41"/>
    </row>
    <row r="835" spans="1:97" ht="12.95" customHeight="1">
      <c r="J835" s="8" t="s">
        <v>297</v>
      </c>
      <c r="K835" s="9"/>
      <c r="L835" s="9"/>
      <c r="M835" s="1157" t="s">
        <v>592</v>
      </c>
      <c r="N835" s="1142"/>
      <c r="O835" s="1142"/>
      <c r="P835" s="1142"/>
      <c r="Q835" s="1142"/>
      <c r="R835" s="1142"/>
      <c r="S835" s="1142"/>
      <c r="T835" s="1142"/>
      <c r="U835" s="1142"/>
      <c r="V835" s="1143"/>
      <c r="W835" s="1195"/>
      <c r="X835" s="1195"/>
      <c r="Y835" s="1195"/>
      <c r="Z835" s="1195"/>
      <c r="AA835" s="1195"/>
      <c r="AB835" s="1195"/>
      <c r="AC835" s="1195"/>
      <c r="AM835" s="41"/>
      <c r="AN835" s="41"/>
      <c r="AO835" s="41"/>
      <c r="AP835" s="41"/>
      <c r="AQ835" s="41"/>
      <c r="AR835" s="41"/>
      <c r="AS835" s="41"/>
      <c r="AT835" s="41"/>
      <c r="AU835" s="41"/>
      <c r="AV835" s="41"/>
      <c r="AW835" s="41"/>
      <c r="AX835" s="41"/>
      <c r="AY835" s="41"/>
      <c r="AZ835" s="41"/>
      <c r="BA835" s="41"/>
      <c r="BB835" s="30" t="s">
        <v>519</v>
      </c>
      <c r="BC835" s="550">
        <v>352022</v>
      </c>
      <c r="BD835" s="550">
        <v>405878</v>
      </c>
      <c r="BE835" s="550">
        <v>489600</v>
      </c>
      <c r="BF835" s="550">
        <v>626688</v>
      </c>
      <c r="BG835" s="550">
        <v>698170</v>
      </c>
      <c r="BH835" s="21"/>
      <c r="BI835" s="30" t="s">
        <v>519</v>
      </c>
      <c r="BJ835" s="550">
        <v>352022</v>
      </c>
      <c r="BK835" s="550">
        <v>405878</v>
      </c>
      <c r="BL835" s="550">
        <v>489600</v>
      </c>
      <c r="BM835" s="550">
        <v>626688</v>
      </c>
      <c r="BN835" s="550">
        <v>698170</v>
      </c>
      <c r="BO835" s="41"/>
      <c r="BP835" s="41"/>
      <c r="BQ835" s="41"/>
      <c r="BR835" s="41"/>
      <c r="BS835" s="41"/>
      <c r="BT835" s="41"/>
      <c r="BU835" s="41"/>
      <c r="BV835" s="41"/>
      <c r="BW835" s="41"/>
      <c r="BX835" s="41"/>
      <c r="BY835" s="41"/>
      <c r="BZ835" s="41"/>
      <c r="CA835" s="41"/>
      <c r="CB835" s="41"/>
      <c r="CC835" s="41"/>
      <c r="CD835" s="41"/>
      <c r="CE835" s="41"/>
      <c r="CF835" s="41"/>
      <c r="CG835" s="41"/>
      <c r="CH835" s="41"/>
      <c r="CI835" s="41"/>
      <c r="CJ835" s="41"/>
      <c r="CK835" s="41"/>
      <c r="CL835" s="41"/>
      <c r="CM835" s="41"/>
      <c r="CN835" s="41"/>
      <c r="CO835" s="41"/>
      <c r="CP835" s="41"/>
      <c r="CQ835" s="41"/>
      <c r="CR835" s="41"/>
      <c r="CS835" s="41"/>
    </row>
    <row r="836" spans="1:97" ht="12.95" customHeight="1">
      <c r="J836" s="8"/>
      <c r="K836" s="9"/>
      <c r="L836" s="9"/>
      <c r="M836" s="9"/>
      <c r="N836" s="9"/>
      <c r="O836" s="9"/>
      <c r="P836" s="9"/>
      <c r="Q836" s="9"/>
      <c r="R836" s="9"/>
      <c r="S836" s="9"/>
      <c r="T836" s="9"/>
      <c r="U836" s="9"/>
      <c r="V836" s="60" t="s">
        <v>16</v>
      </c>
      <c r="W836" s="1156">
        <f>SUM(W829:AC835)</f>
        <v>62300</v>
      </c>
      <c r="X836" s="1156"/>
      <c r="Y836" s="1156"/>
      <c r="Z836" s="1156"/>
      <c r="AA836" s="1156"/>
      <c r="AB836" s="1156"/>
      <c r="AC836" s="1156"/>
      <c r="AM836" s="41"/>
      <c r="AN836" s="41"/>
      <c r="AO836" s="41"/>
      <c r="AP836" s="41"/>
      <c r="AQ836" s="41"/>
      <c r="AR836" s="41"/>
      <c r="AS836" s="41"/>
      <c r="AT836" s="41"/>
      <c r="AU836" s="41"/>
      <c r="AV836" s="41"/>
      <c r="AW836" s="41"/>
      <c r="AX836" s="41"/>
      <c r="AY836" s="41"/>
      <c r="AZ836" s="41"/>
      <c r="BA836" s="41"/>
      <c r="BB836" s="30" t="s">
        <v>629</v>
      </c>
      <c r="BC836" s="549">
        <v>352022</v>
      </c>
      <c r="BD836" s="549">
        <v>405878</v>
      </c>
      <c r="BE836" s="549">
        <v>489600</v>
      </c>
      <c r="BF836" s="549">
        <v>626688</v>
      </c>
      <c r="BG836" s="549">
        <v>698170</v>
      </c>
      <c r="BH836" s="21"/>
      <c r="BI836" s="30" t="s">
        <v>629</v>
      </c>
      <c r="BJ836" s="549">
        <v>352022</v>
      </c>
      <c r="BK836" s="549">
        <v>405878</v>
      </c>
      <c r="BL836" s="549">
        <v>489600</v>
      </c>
      <c r="BM836" s="549">
        <v>626688</v>
      </c>
      <c r="BN836" s="549">
        <v>698170</v>
      </c>
      <c r="BO836" s="41"/>
      <c r="BP836" s="41"/>
      <c r="BQ836" s="41"/>
      <c r="BR836" s="41"/>
      <c r="BS836" s="41"/>
      <c r="BT836" s="41"/>
      <c r="BU836" s="41"/>
      <c r="BV836" s="41"/>
      <c r="BW836" s="41"/>
      <c r="BX836" s="41"/>
      <c r="BY836" s="41"/>
      <c r="BZ836" s="41"/>
      <c r="CA836" s="41"/>
      <c r="CB836" s="41"/>
      <c r="CC836" s="41"/>
      <c r="CD836" s="41"/>
      <c r="CE836" s="41"/>
      <c r="CF836" s="41"/>
      <c r="CG836" s="41"/>
      <c r="CH836" s="41"/>
      <c r="CI836" s="41"/>
      <c r="CJ836" s="41"/>
      <c r="CK836" s="41"/>
      <c r="CL836" s="41"/>
      <c r="CM836" s="41"/>
      <c r="CN836" s="41"/>
      <c r="CO836" s="41"/>
      <c r="CP836" s="41"/>
      <c r="CQ836" s="41"/>
      <c r="CR836" s="41"/>
      <c r="CS836" s="41"/>
    </row>
    <row r="837" spans="1:97" ht="12.95" customHeight="1">
      <c r="AM837" s="41"/>
      <c r="AN837" s="41"/>
      <c r="AO837" s="41"/>
      <c r="AP837" s="41"/>
      <c r="AQ837" s="41"/>
      <c r="AR837" s="41"/>
      <c r="AS837" s="41"/>
      <c r="AT837" s="41"/>
      <c r="AU837" s="41"/>
      <c r="AV837" s="41"/>
      <c r="AW837" s="41"/>
      <c r="AX837" s="41"/>
      <c r="AY837" s="41"/>
      <c r="AZ837" s="41"/>
      <c r="BA837" s="41"/>
      <c r="BB837" s="30" t="s">
        <v>630</v>
      </c>
      <c r="BC837" s="550">
        <v>437727</v>
      </c>
      <c r="BD837" s="550">
        <v>504695</v>
      </c>
      <c r="BE837" s="550">
        <v>608800</v>
      </c>
      <c r="BF837" s="550">
        <v>779264</v>
      </c>
      <c r="BG837" s="550">
        <v>868149</v>
      </c>
      <c r="BH837" s="21"/>
      <c r="BI837" s="30" t="s">
        <v>630</v>
      </c>
      <c r="BJ837" s="550">
        <v>437727</v>
      </c>
      <c r="BK837" s="550">
        <v>504695</v>
      </c>
      <c r="BL837" s="550">
        <v>608800</v>
      </c>
      <c r="BM837" s="550">
        <v>779264</v>
      </c>
      <c r="BN837" s="550">
        <v>868149</v>
      </c>
      <c r="BO837" s="41"/>
      <c r="BP837" s="41"/>
      <c r="BQ837" s="41"/>
      <c r="BR837" s="41"/>
      <c r="BS837" s="41"/>
      <c r="BT837" s="41"/>
      <c r="BU837" s="41"/>
      <c r="BV837" s="41"/>
      <c r="BW837" s="41"/>
      <c r="BX837" s="41"/>
      <c r="BY837" s="41"/>
      <c r="BZ837" s="41"/>
      <c r="CA837" s="41"/>
      <c r="CB837" s="41"/>
      <c r="CC837" s="41"/>
      <c r="CD837" s="41"/>
      <c r="CE837" s="41"/>
      <c r="CF837" s="41"/>
      <c r="CG837" s="41"/>
      <c r="CH837" s="41"/>
      <c r="CI837" s="41"/>
      <c r="CJ837" s="41"/>
      <c r="CK837" s="41"/>
      <c r="CL837" s="41"/>
      <c r="CM837" s="41"/>
      <c r="CN837" s="41"/>
      <c r="CO837" s="41"/>
      <c r="CP837" s="41"/>
      <c r="CQ837" s="41"/>
      <c r="CR837" s="41"/>
      <c r="CS837" s="41"/>
    </row>
    <row r="838" spans="1:97" ht="12.95" customHeight="1">
      <c r="C838" s="3" t="s">
        <v>1952</v>
      </c>
      <c r="J838" s="8" t="s">
        <v>297</v>
      </c>
      <c r="K838" s="9"/>
      <c r="L838" s="9"/>
      <c r="M838" s="1141" t="s">
        <v>2431</v>
      </c>
      <c r="N838" s="1142"/>
      <c r="O838" s="1142"/>
      <c r="P838" s="1142"/>
      <c r="Q838" s="1142"/>
      <c r="R838" s="1142"/>
      <c r="S838" s="1142"/>
      <c r="T838" s="1142"/>
      <c r="U838" s="1142"/>
      <c r="V838" s="1143"/>
      <c r="W838" s="1144"/>
      <c r="X838" s="1145"/>
      <c r="Y838" s="1145"/>
      <c r="Z838" s="1145"/>
      <c r="AA838" s="1145"/>
      <c r="AB838" s="1145"/>
      <c r="AC838" s="1146"/>
      <c r="AM838" s="41"/>
      <c r="AN838" s="41"/>
      <c r="AO838" s="41"/>
      <c r="AP838" s="41"/>
      <c r="AQ838" s="41"/>
      <c r="AR838" s="41"/>
      <c r="AS838" s="41"/>
      <c r="AT838" s="41"/>
      <c r="AU838" s="41"/>
      <c r="AV838" s="41"/>
      <c r="AW838" s="41"/>
      <c r="AX838" s="41"/>
      <c r="AY838" s="41"/>
      <c r="AZ838" s="41"/>
      <c r="BA838" s="41"/>
      <c r="BB838" s="30" t="s">
        <v>632</v>
      </c>
      <c r="BC838" s="549">
        <v>307732</v>
      </c>
      <c r="BD838" s="549">
        <v>354812</v>
      </c>
      <c r="BE838" s="549">
        <v>428000</v>
      </c>
      <c r="BF838" s="549">
        <v>547840</v>
      </c>
      <c r="BG838" s="549">
        <v>610328</v>
      </c>
      <c r="BH838" s="21"/>
      <c r="BI838" s="30" t="s">
        <v>632</v>
      </c>
      <c r="BJ838" s="549">
        <v>307732</v>
      </c>
      <c r="BK838" s="549">
        <v>354812</v>
      </c>
      <c r="BL838" s="549">
        <v>428000</v>
      </c>
      <c r="BM838" s="549">
        <v>547840</v>
      </c>
      <c r="BN838" s="549">
        <v>610328</v>
      </c>
      <c r="BO838" s="41"/>
      <c r="BP838" s="41"/>
      <c r="BQ838" s="41"/>
      <c r="BR838" s="41"/>
      <c r="BS838" s="41"/>
      <c r="BT838" s="41"/>
      <c r="BU838" s="41"/>
      <c r="BV838" s="41"/>
      <c r="BW838" s="41"/>
      <c r="BX838" s="41"/>
      <c r="BY838" s="41"/>
      <c r="BZ838" s="41"/>
      <c r="CA838" s="41"/>
      <c r="CB838" s="41"/>
      <c r="CC838" s="41"/>
      <c r="CD838" s="41"/>
      <c r="CE838" s="41"/>
      <c r="CF838" s="41"/>
      <c r="CG838" s="41"/>
      <c r="CH838" s="41"/>
      <c r="CI838" s="41"/>
      <c r="CJ838" s="41"/>
      <c r="CK838" s="41"/>
      <c r="CL838" s="41"/>
      <c r="CM838" s="41"/>
      <c r="CN838" s="41"/>
      <c r="CO838" s="41"/>
      <c r="CP838" s="41"/>
      <c r="CQ838" s="41"/>
      <c r="CR838" s="41"/>
      <c r="CS838" s="41"/>
    </row>
    <row r="839" spans="1:97" ht="12.95" customHeight="1">
      <c r="C839" s="3" t="s">
        <v>1953</v>
      </c>
      <c r="J839" s="8" t="s">
        <v>297</v>
      </c>
      <c r="K839" s="9"/>
      <c r="L839" s="9"/>
      <c r="M839" s="1141" t="s">
        <v>2432</v>
      </c>
      <c r="N839" s="1142"/>
      <c r="O839" s="1142"/>
      <c r="P839" s="1142"/>
      <c r="Q839" s="1142"/>
      <c r="R839" s="1142"/>
      <c r="S839" s="1142"/>
      <c r="T839" s="1142"/>
      <c r="U839" s="1142"/>
      <c r="V839" s="1143"/>
      <c r="W839" s="1144">
        <v>1100</v>
      </c>
      <c r="X839" s="1145"/>
      <c r="Y839" s="1145"/>
      <c r="Z839" s="1145"/>
      <c r="AA839" s="1145"/>
      <c r="AB839" s="1145"/>
      <c r="AC839" s="1146"/>
      <c r="AM839" s="41"/>
      <c r="AN839" s="41"/>
      <c r="AO839" s="41"/>
      <c r="AP839" s="41"/>
      <c r="AQ839" s="41"/>
      <c r="AR839" s="41"/>
      <c r="AS839" s="41"/>
      <c r="AT839" s="41"/>
      <c r="AU839" s="41"/>
      <c r="AV839" s="41"/>
      <c r="AW839" s="41"/>
      <c r="AX839" s="41"/>
      <c r="AY839" s="41"/>
      <c r="AZ839" s="41"/>
      <c r="BA839" s="41"/>
      <c r="BB839" s="30" t="s">
        <v>633</v>
      </c>
      <c r="BC839" s="550">
        <v>384234</v>
      </c>
      <c r="BD839" s="550">
        <v>443018</v>
      </c>
      <c r="BE839" s="550">
        <v>534400</v>
      </c>
      <c r="BF839" s="550">
        <v>684032</v>
      </c>
      <c r="BG839" s="550">
        <v>762054</v>
      </c>
      <c r="BH839" s="21"/>
      <c r="BI839" s="30" t="s">
        <v>633</v>
      </c>
      <c r="BJ839" s="550">
        <v>384234</v>
      </c>
      <c r="BK839" s="550">
        <v>443018</v>
      </c>
      <c r="BL839" s="550">
        <v>534400</v>
      </c>
      <c r="BM839" s="550">
        <v>684032</v>
      </c>
      <c r="BN839" s="550">
        <v>762054</v>
      </c>
      <c r="BO839" s="41"/>
      <c r="BP839" s="41"/>
      <c r="BQ839" s="41"/>
      <c r="BR839" s="41"/>
      <c r="BS839" s="41"/>
      <c r="BT839" s="41"/>
      <c r="BU839" s="41"/>
      <c r="BV839" s="41"/>
      <c r="BW839" s="41"/>
      <c r="BX839" s="41"/>
      <c r="BY839" s="41"/>
      <c r="BZ839" s="41"/>
      <c r="CA839" s="41"/>
      <c r="CB839" s="41"/>
      <c r="CC839" s="41"/>
      <c r="CD839" s="41"/>
      <c r="CE839" s="41"/>
      <c r="CF839" s="41"/>
      <c r="CG839" s="41"/>
      <c r="CH839" s="41"/>
      <c r="CI839" s="41"/>
      <c r="CJ839" s="41"/>
      <c r="CK839" s="41"/>
      <c r="CL839" s="41"/>
      <c r="CM839" s="41"/>
      <c r="CN839" s="41"/>
      <c r="CO839" s="41"/>
      <c r="CP839" s="41"/>
      <c r="CQ839" s="41"/>
      <c r="CR839" s="41"/>
      <c r="CS839" s="41"/>
    </row>
    <row r="840" spans="1:97" s="5" customFormat="1" ht="12.95" customHeight="1">
      <c r="A840"/>
      <c r="B840"/>
      <c r="C840"/>
      <c r="D840"/>
      <c r="E840"/>
      <c r="F840"/>
      <c r="G840"/>
      <c r="H840"/>
      <c r="I840"/>
      <c r="J840" s="8" t="s">
        <v>297</v>
      </c>
      <c r="K840" s="9"/>
      <c r="L840" s="9"/>
      <c r="M840" s="1141"/>
      <c r="N840" s="1142"/>
      <c r="O840" s="1142"/>
      <c r="P840" s="1142"/>
      <c r="Q840" s="1142"/>
      <c r="R840" s="1142"/>
      <c r="S840" s="1142"/>
      <c r="T840" s="1142"/>
      <c r="U840" s="1142"/>
      <c r="V840" s="1143"/>
      <c r="W840" s="1144"/>
      <c r="X840" s="1145"/>
      <c r="Y840" s="1145"/>
      <c r="Z840" s="1145"/>
      <c r="AA840" s="1145"/>
      <c r="AB840" s="1145"/>
      <c r="AC840" s="1146"/>
      <c r="AD840"/>
      <c r="AE840"/>
      <c r="AF840"/>
      <c r="AG840"/>
      <c r="AH840"/>
      <c r="AI840"/>
      <c r="AJ840"/>
      <c r="AK840"/>
      <c r="AL840"/>
      <c r="AM840" s="38"/>
      <c r="AN840" s="38"/>
      <c r="AO840" s="21"/>
      <c r="AP840" s="21"/>
      <c r="AQ840" s="21"/>
      <c r="AR840" s="21"/>
      <c r="AS840" s="21"/>
      <c r="AT840" s="21"/>
      <c r="AU840" s="21"/>
      <c r="AV840" s="21"/>
      <c r="AW840" s="21"/>
      <c r="AX840" s="21"/>
      <c r="AY840" s="21"/>
      <c r="AZ840" s="21"/>
      <c r="BA840" s="21"/>
      <c r="BB840" s="30" t="s">
        <v>634</v>
      </c>
      <c r="BC840" s="549">
        <v>352022</v>
      </c>
      <c r="BD840" s="549">
        <v>405878</v>
      </c>
      <c r="BE840" s="549">
        <v>489600</v>
      </c>
      <c r="BF840" s="549">
        <v>626688</v>
      </c>
      <c r="BG840" s="549">
        <v>698170</v>
      </c>
      <c r="BH840" s="21"/>
      <c r="BI840" s="30" t="s">
        <v>634</v>
      </c>
      <c r="BJ840" s="549">
        <v>352022</v>
      </c>
      <c r="BK840" s="549">
        <v>405878</v>
      </c>
      <c r="BL840" s="549">
        <v>489600</v>
      </c>
      <c r="BM840" s="549">
        <v>626688</v>
      </c>
      <c r="BN840" s="549">
        <v>698170</v>
      </c>
      <c r="BO840" s="43"/>
      <c r="BP840" s="43"/>
      <c r="BQ840" s="43"/>
      <c r="BR840" s="43"/>
      <c r="BS840" s="43"/>
      <c r="BT840" s="43"/>
      <c r="BU840" s="43"/>
      <c r="BV840" s="43"/>
      <c r="BW840" s="43"/>
      <c r="BX840" s="43"/>
      <c r="BY840" s="43"/>
      <c r="BZ840" s="43"/>
      <c r="CA840" s="43"/>
      <c r="CB840" s="43"/>
      <c r="CC840" s="43"/>
      <c r="CD840" s="43"/>
      <c r="CE840" s="43"/>
      <c r="CF840" s="43"/>
      <c r="CG840" s="43"/>
      <c r="CH840" s="43"/>
      <c r="CI840" s="43"/>
      <c r="CJ840" s="43"/>
      <c r="CK840" s="43"/>
      <c r="CL840" s="43"/>
      <c r="CM840" s="43"/>
      <c r="CN840" s="43"/>
      <c r="CO840" s="43"/>
      <c r="CP840" s="43"/>
      <c r="CQ840" s="43"/>
      <c r="CR840" s="43"/>
      <c r="CS840" s="43"/>
    </row>
    <row r="841" spans="1:97" s="5" customFormat="1" ht="12.95" customHeight="1">
      <c r="A841"/>
      <c r="B841"/>
      <c r="C841"/>
      <c r="D841"/>
      <c r="E841"/>
      <c r="F841"/>
      <c r="G841"/>
      <c r="H841"/>
      <c r="I841"/>
      <c r="J841" s="8" t="s">
        <v>297</v>
      </c>
      <c r="K841" s="9"/>
      <c r="L841" s="9"/>
      <c r="M841" s="1157" t="s">
        <v>592</v>
      </c>
      <c r="N841" s="1142"/>
      <c r="O841" s="1142"/>
      <c r="P841" s="1142"/>
      <c r="Q841" s="1142"/>
      <c r="R841" s="1142"/>
      <c r="S841" s="1142"/>
      <c r="T841" s="1142"/>
      <c r="U841" s="1142"/>
      <c r="V841" s="1143"/>
      <c r="W841" s="1144"/>
      <c r="X841" s="1145"/>
      <c r="Y841" s="1145"/>
      <c r="Z841" s="1145"/>
      <c r="AA841" s="1145"/>
      <c r="AB841" s="1145"/>
      <c r="AC841" s="1146"/>
      <c r="AD841"/>
      <c r="AE841"/>
      <c r="AF841"/>
      <c r="AG841"/>
      <c r="AH841"/>
      <c r="AI841"/>
      <c r="AJ841"/>
      <c r="AK841"/>
      <c r="AL841"/>
      <c r="AM841" s="38"/>
      <c r="AN841" s="38"/>
      <c r="AO841" s="21"/>
      <c r="AP841" s="21"/>
      <c r="AQ841" s="21"/>
      <c r="AR841" s="21"/>
      <c r="AS841" s="21"/>
      <c r="AT841" s="21"/>
      <c r="AU841" s="21"/>
      <c r="AV841" s="21"/>
      <c r="AW841" s="21"/>
      <c r="AX841" s="21"/>
      <c r="AY841" s="21"/>
      <c r="AZ841" s="21"/>
      <c r="BA841" s="21"/>
      <c r="BB841" s="30" t="s">
        <v>635</v>
      </c>
      <c r="BC841" s="550">
        <v>352022</v>
      </c>
      <c r="BD841" s="550">
        <v>405878</v>
      </c>
      <c r="BE841" s="550">
        <v>489600</v>
      </c>
      <c r="BF841" s="550">
        <v>626688</v>
      </c>
      <c r="BG841" s="550">
        <v>698170</v>
      </c>
      <c r="BH841" s="21"/>
      <c r="BI841" s="30" t="s">
        <v>635</v>
      </c>
      <c r="BJ841" s="550">
        <v>352022</v>
      </c>
      <c r="BK841" s="550">
        <v>405878</v>
      </c>
      <c r="BL841" s="550">
        <v>489600</v>
      </c>
      <c r="BM841" s="550">
        <v>626688</v>
      </c>
      <c r="BN841" s="550">
        <v>698170</v>
      </c>
      <c r="BO841" s="43"/>
      <c r="BP841" s="43"/>
      <c r="BQ841" s="43"/>
      <c r="BR841" s="43"/>
      <c r="BS841" s="43"/>
      <c r="BT841" s="43"/>
      <c r="BU841" s="43"/>
      <c r="BV841" s="43"/>
      <c r="BW841" s="43"/>
      <c r="BX841" s="43"/>
      <c r="BY841" s="43"/>
      <c r="BZ841" s="43"/>
      <c r="CA841" s="43"/>
      <c r="CB841" s="43"/>
      <c r="CC841" s="43"/>
      <c r="CD841" s="43"/>
      <c r="CE841" s="43"/>
      <c r="CF841" s="43"/>
      <c r="CG841" s="43"/>
      <c r="CH841" s="43"/>
      <c r="CI841" s="43"/>
      <c r="CJ841" s="43"/>
      <c r="CK841" s="43"/>
      <c r="CL841" s="43"/>
      <c r="CM841" s="43"/>
      <c r="CN841" s="43"/>
      <c r="CO841" s="43"/>
      <c r="CP841" s="43"/>
      <c r="CQ841" s="43"/>
      <c r="CR841" s="43"/>
      <c r="CS841" s="43"/>
    </row>
    <row r="842" spans="1:97" s="5" customFormat="1" ht="12.95" customHeight="1">
      <c r="A842"/>
      <c r="B842"/>
      <c r="C842"/>
      <c r="D842"/>
      <c r="E842"/>
      <c r="F842"/>
      <c r="G842"/>
      <c r="H842"/>
      <c r="I842"/>
      <c r="J842" s="8" t="s">
        <v>297</v>
      </c>
      <c r="K842" s="9"/>
      <c r="L842" s="9"/>
      <c r="M842" s="1157" t="s">
        <v>592</v>
      </c>
      <c r="N842" s="1142"/>
      <c r="O842" s="1142"/>
      <c r="P842" s="1142"/>
      <c r="Q842" s="1142"/>
      <c r="R842" s="1142"/>
      <c r="S842" s="1142"/>
      <c r="T842" s="1142"/>
      <c r="U842" s="1142"/>
      <c r="V842" s="1143"/>
      <c r="W842" s="1144"/>
      <c r="X842" s="1145"/>
      <c r="Y842" s="1145"/>
      <c r="Z842" s="1145"/>
      <c r="AA842" s="1145"/>
      <c r="AB842" s="1145"/>
      <c r="AC842" s="1146"/>
      <c r="AD842"/>
      <c r="AE842"/>
      <c r="AF842"/>
      <c r="AG842"/>
      <c r="AH842"/>
      <c r="AI842"/>
      <c r="AJ842"/>
      <c r="AK842"/>
      <c r="AL842"/>
      <c r="AM842" s="38"/>
      <c r="AN842" s="38"/>
      <c r="AO842" s="21"/>
      <c r="AP842" s="21"/>
      <c r="AQ842" s="21"/>
      <c r="AR842" s="21"/>
      <c r="AS842" s="21"/>
      <c r="AT842" s="21"/>
      <c r="AU842" s="21"/>
      <c r="AV842" s="21"/>
      <c r="AW842" s="21"/>
      <c r="AX842" s="21"/>
      <c r="AY842" s="21"/>
      <c r="AZ842" s="21"/>
      <c r="BA842" s="21"/>
      <c r="BB842" s="30" t="s">
        <v>637</v>
      </c>
      <c r="BC842" s="549">
        <v>307732</v>
      </c>
      <c r="BD842" s="549">
        <v>354812</v>
      </c>
      <c r="BE842" s="549">
        <v>428000</v>
      </c>
      <c r="BF842" s="549">
        <v>547840</v>
      </c>
      <c r="BG842" s="549">
        <v>610328</v>
      </c>
      <c r="BH842" s="21"/>
      <c r="BI842" s="30" t="s">
        <v>637</v>
      </c>
      <c r="BJ842" s="549">
        <v>307732</v>
      </c>
      <c r="BK842" s="549">
        <v>354812</v>
      </c>
      <c r="BL842" s="549">
        <v>428000</v>
      </c>
      <c r="BM842" s="549">
        <v>547840</v>
      </c>
      <c r="BN842" s="549">
        <v>610328</v>
      </c>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row>
    <row r="843" spans="1:97" s="5" customFormat="1" ht="12.95" customHeight="1">
      <c r="A843"/>
      <c r="B843"/>
      <c r="C843"/>
      <c r="D843"/>
      <c r="E843"/>
      <c r="F843"/>
      <c r="G843"/>
      <c r="H843"/>
      <c r="I843"/>
      <c r="J843" s="8"/>
      <c r="K843" s="9"/>
      <c r="L843" s="9"/>
      <c r="M843" s="9"/>
      <c r="N843" s="9"/>
      <c r="O843" s="9"/>
      <c r="P843" s="9"/>
      <c r="Q843" s="9"/>
      <c r="R843" s="9"/>
      <c r="S843" s="9"/>
      <c r="T843" s="9"/>
      <c r="U843" s="9"/>
      <c r="V843" s="60" t="s">
        <v>17</v>
      </c>
      <c r="W843" s="1150">
        <f>SUM(W838:AC842)</f>
        <v>1100</v>
      </c>
      <c r="X843" s="1151"/>
      <c r="Y843" s="1151"/>
      <c r="Z843" s="1151"/>
      <c r="AA843" s="1151"/>
      <c r="AB843" s="1151"/>
      <c r="AC843" s="1152"/>
      <c r="AD843"/>
      <c r="AE843"/>
      <c r="AF843"/>
      <c r="AG843"/>
      <c r="AH843"/>
      <c r="AI843"/>
      <c r="AJ843"/>
      <c r="AK843"/>
      <c r="AL843"/>
      <c r="AM843" s="38"/>
      <c r="AN843" s="38"/>
      <c r="AO843" s="21"/>
      <c r="AP843" s="21"/>
      <c r="AQ843" s="21"/>
      <c r="AR843" s="21"/>
      <c r="AS843" s="21"/>
      <c r="AT843" s="21"/>
      <c r="AU843" s="21"/>
      <c r="AV843" s="21"/>
      <c r="AW843" s="21"/>
      <c r="AX843" s="21"/>
      <c r="AY843" s="21"/>
      <c r="AZ843" s="21"/>
      <c r="BA843" s="21"/>
      <c r="BB843" s="30" t="s">
        <v>638</v>
      </c>
      <c r="BC843" s="550">
        <v>352022</v>
      </c>
      <c r="BD843" s="550">
        <v>405878</v>
      </c>
      <c r="BE843" s="550">
        <v>489600</v>
      </c>
      <c r="BF843" s="550">
        <v>626688</v>
      </c>
      <c r="BG843" s="550">
        <v>698170</v>
      </c>
      <c r="BH843" s="21"/>
      <c r="BI843" s="30" t="s">
        <v>638</v>
      </c>
      <c r="BJ843" s="550">
        <v>352022</v>
      </c>
      <c r="BK843" s="550">
        <v>405878</v>
      </c>
      <c r="BL843" s="550">
        <v>489600</v>
      </c>
      <c r="BM843" s="550">
        <v>626688</v>
      </c>
      <c r="BN843" s="550">
        <v>698170</v>
      </c>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row>
    <row r="844" spans="1:97" s="5" customFormat="1" ht="12.95" customHeight="1">
      <c r="A844"/>
      <c r="B844"/>
      <c r="C844"/>
      <c r="D844"/>
      <c r="E844"/>
      <c r="F844"/>
      <c r="G844"/>
      <c r="H844"/>
      <c r="I844"/>
      <c r="J844"/>
      <c r="K844"/>
      <c r="L844"/>
      <c r="M844"/>
      <c r="N844"/>
      <c r="O844"/>
      <c r="P844"/>
      <c r="Q844"/>
      <c r="R844"/>
      <c r="S844"/>
      <c r="T844"/>
      <c r="U844"/>
      <c r="V844" s="62"/>
      <c r="W844" s="70"/>
      <c r="X844" s="70"/>
      <c r="Y844" s="70"/>
      <c r="Z844" s="70"/>
      <c r="AA844" s="70"/>
      <c r="AB844" s="70"/>
      <c r="AC844"/>
      <c r="AD844"/>
      <c r="AE844"/>
      <c r="AF844"/>
      <c r="AG844"/>
      <c r="AH844"/>
      <c r="AI844"/>
      <c r="AJ844"/>
      <c r="AK844"/>
      <c r="AL844"/>
      <c r="AM844" s="38"/>
      <c r="AN844" s="38"/>
      <c r="AO844" s="21"/>
      <c r="AP844" s="21"/>
      <c r="AQ844" s="21"/>
      <c r="AR844" s="21"/>
      <c r="AS844" s="21"/>
      <c r="AT844" s="21"/>
      <c r="AU844" s="21"/>
      <c r="AV844" s="21"/>
      <c r="AW844" s="21"/>
      <c r="AX844" s="21"/>
      <c r="AY844" s="21"/>
      <c r="AZ844" s="21"/>
      <c r="BA844" s="21"/>
      <c r="BB844" s="30" t="s">
        <v>639</v>
      </c>
      <c r="BC844" s="549">
        <v>352022</v>
      </c>
      <c r="BD844" s="549">
        <v>405878</v>
      </c>
      <c r="BE844" s="549">
        <v>489600</v>
      </c>
      <c r="BF844" s="549">
        <v>626688</v>
      </c>
      <c r="BG844" s="549">
        <v>698170</v>
      </c>
      <c r="BH844" s="21"/>
      <c r="BI844" s="30" t="s">
        <v>639</v>
      </c>
      <c r="BJ844" s="549">
        <v>352022</v>
      </c>
      <c r="BK844" s="549">
        <v>405878</v>
      </c>
      <c r="BL844" s="549">
        <v>489600</v>
      </c>
      <c r="BM844" s="549">
        <v>626688</v>
      </c>
      <c r="BN844" s="549">
        <v>698170</v>
      </c>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row>
    <row r="845" spans="1:97" s="5" customFormat="1" ht="12.95" customHeight="1">
      <c r="A845"/>
      <c r="B845"/>
      <c r="C845" s="3" t="s">
        <v>159</v>
      </c>
      <c r="D845"/>
      <c r="E845"/>
      <c r="F845"/>
      <c r="G845"/>
      <c r="H845"/>
      <c r="I845"/>
      <c r="J845"/>
      <c r="K845"/>
      <c r="L845"/>
      <c r="M845"/>
      <c r="N845"/>
      <c r="O845"/>
      <c r="P845"/>
      <c r="Q845"/>
      <c r="R845"/>
      <c r="S845"/>
      <c r="T845"/>
      <c r="U845"/>
      <c r="V845" s="62"/>
      <c r="W845" s="70"/>
      <c r="X845" s="70"/>
      <c r="Y845" s="70"/>
      <c r="Z845" s="70"/>
      <c r="AA845" s="70"/>
      <c r="AB845" s="70"/>
      <c r="AC845"/>
      <c r="AD845"/>
      <c r="AE845"/>
      <c r="AF845"/>
      <c r="AG845"/>
      <c r="AH845"/>
      <c r="AI845"/>
      <c r="AJ845"/>
      <c r="AK845"/>
      <c r="AL845"/>
      <c r="AM845" s="38"/>
      <c r="AN845" s="38"/>
      <c r="AO845" s="21"/>
      <c r="AP845" s="21"/>
      <c r="AQ845" s="21"/>
      <c r="AR845" s="21"/>
      <c r="AS845" s="21"/>
      <c r="AT845" s="21"/>
      <c r="AU845" s="21"/>
      <c r="AV845" s="21"/>
      <c r="AW845" s="21"/>
      <c r="AX845" s="21"/>
      <c r="AY845" s="21"/>
      <c r="AZ845" s="21"/>
      <c r="BA845" s="21"/>
      <c r="BB845" s="30" t="s">
        <v>602</v>
      </c>
      <c r="BC845" s="550">
        <v>387110</v>
      </c>
      <c r="BD845" s="550">
        <v>446334</v>
      </c>
      <c r="BE845" s="550">
        <v>538400</v>
      </c>
      <c r="BF845" s="550">
        <v>689152</v>
      </c>
      <c r="BG845" s="550">
        <v>767758</v>
      </c>
      <c r="BH845" s="21"/>
      <c r="BI845" s="30" t="s">
        <v>602</v>
      </c>
      <c r="BJ845" s="550">
        <v>387110</v>
      </c>
      <c r="BK845" s="550">
        <v>446334</v>
      </c>
      <c r="BL845" s="550">
        <v>538400</v>
      </c>
      <c r="BM845" s="550">
        <v>689152</v>
      </c>
      <c r="BN845" s="550">
        <v>767758</v>
      </c>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row>
    <row r="846" spans="1:97" s="5" customFormat="1" ht="12.95" customHeight="1">
      <c r="A846"/>
      <c r="B846"/>
      <c r="C846"/>
      <c r="D846"/>
      <c r="E846"/>
      <c r="F846"/>
      <c r="G846"/>
      <c r="H846"/>
      <c r="I846"/>
      <c r="J846"/>
      <c r="K846"/>
      <c r="L846"/>
      <c r="M846"/>
      <c r="N846"/>
      <c r="O846"/>
      <c r="P846"/>
      <c r="Q846"/>
      <c r="R846"/>
      <c r="S846"/>
      <c r="T846"/>
      <c r="U846"/>
      <c r="V846" s="62"/>
      <c r="W846" s="70"/>
      <c r="X846" s="70"/>
      <c r="Y846" s="70"/>
      <c r="Z846" s="70"/>
      <c r="AA846" s="70"/>
      <c r="AB846" s="70"/>
      <c r="AC846"/>
      <c r="AD846"/>
      <c r="AE846"/>
      <c r="AF846"/>
      <c r="AG846"/>
      <c r="AH846"/>
      <c r="AI846"/>
      <c r="AJ846"/>
      <c r="AK846"/>
      <c r="AL846"/>
      <c r="AM846" s="38"/>
      <c r="AN846" s="38"/>
      <c r="AO846" s="21"/>
      <c r="AP846" s="21"/>
      <c r="AQ846" s="21"/>
      <c r="AR846" s="21"/>
      <c r="AS846" s="21"/>
      <c r="AT846" s="21"/>
      <c r="AU846" s="21"/>
      <c r="AV846" s="21"/>
      <c r="AW846" s="21"/>
      <c r="AX846" s="21"/>
      <c r="AY846" s="21"/>
      <c r="AZ846" s="21"/>
      <c r="BA846" s="21"/>
      <c r="BB846" s="30" t="s">
        <v>604</v>
      </c>
      <c r="BC846" s="549">
        <v>384234</v>
      </c>
      <c r="BD846" s="549">
        <v>443018</v>
      </c>
      <c r="BE846" s="549">
        <v>534400</v>
      </c>
      <c r="BF846" s="549">
        <v>684032</v>
      </c>
      <c r="BG846" s="549">
        <v>762054</v>
      </c>
      <c r="BH846" s="21"/>
      <c r="BI846" s="30" t="s">
        <v>604</v>
      </c>
      <c r="BJ846" s="549">
        <v>384234</v>
      </c>
      <c r="BK846" s="549">
        <v>443018</v>
      </c>
      <c r="BL846" s="549">
        <v>534400</v>
      </c>
      <c r="BM846" s="549">
        <v>684032</v>
      </c>
      <c r="BN846" s="549">
        <v>762054</v>
      </c>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row>
    <row r="847" spans="1:97" s="5" customFormat="1" ht="12.95" customHeight="1">
      <c r="A847"/>
      <c r="B847"/>
      <c r="C847"/>
      <c r="D847"/>
      <c r="E847" s="8"/>
      <c r="F847" s="9"/>
      <c r="G847" s="9"/>
      <c r="H847" s="9"/>
      <c r="I847" s="9"/>
      <c r="J847" s="9"/>
      <c r="K847" s="9"/>
      <c r="L847" s="9"/>
      <c r="M847" s="9"/>
      <c r="N847" s="9"/>
      <c r="O847" s="9"/>
      <c r="P847" s="9"/>
      <c r="Q847" s="9"/>
      <c r="R847" s="9"/>
      <c r="S847" s="9"/>
      <c r="T847" s="9"/>
      <c r="U847" s="9"/>
      <c r="V847" s="9"/>
      <c r="W847" s="9"/>
      <c r="X847" s="9"/>
      <c r="Y847" s="9"/>
      <c r="Z847" s="9"/>
      <c r="AA847" s="9"/>
      <c r="AB847" s="60" t="s">
        <v>18</v>
      </c>
      <c r="AC847" s="1150">
        <f>W811+W819+W826+W827+W836+W843+W813</f>
        <v>297560</v>
      </c>
      <c r="AD847" s="1151"/>
      <c r="AE847" s="1151"/>
      <c r="AF847" s="1151"/>
      <c r="AG847" s="1151"/>
      <c r="AH847" s="1152"/>
      <c r="AI847"/>
      <c r="AJ847"/>
      <c r="AK847"/>
      <c r="AL847"/>
      <c r="AM847" s="38"/>
      <c r="AN847" s="38"/>
      <c r="AO847" s="21"/>
      <c r="AP847" s="21"/>
      <c r="AQ847" s="21"/>
      <c r="AR847" s="21"/>
      <c r="AS847" s="21"/>
      <c r="AT847" s="21"/>
      <c r="AU847" s="21"/>
      <c r="AV847" s="21"/>
      <c r="AW847" s="21"/>
      <c r="AX847" s="21"/>
      <c r="AY847" s="21"/>
      <c r="AZ847" s="21"/>
      <c r="BA847" s="21"/>
      <c r="BB847" s="30" t="s">
        <v>605</v>
      </c>
      <c r="BC847" s="550">
        <v>352022</v>
      </c>
      <c r="BD847" s="550">
        <v>405878</v>
      </c>
      <c r="BE847" s="550">
        <v>489600</v>
      </c>
      <c r="BF847" s="550">
        <v>626688</v>
      </c>
      <c r="BG847" s="550">
        <v>698170</v>
      </c>
      <c r="BH847" s="21"/>
      <c r="BI847" s="30" t="s">
        <v>605</v>
      </c>
      <c r="BJ847" s="550">
        <v>352022</v>
      </c>
      <c r="BK847" s="550">
        <v>405878</v>
      </c>
      <c r="BL847" s="550">
        <v>489600</v>
      </c>
      <c r="BM847" s="550">
        <v>626688</v>
      </c>
      <c r="BN847" s="550">
        <v>698170</v>
      </c>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row>
    <row r="848" spans="1:97" s="5" customFormat="1" ht="12.95" customHeight="1">
      <c r="A848"/>
      <c r="B848"/>
      <c r="C848"/>
      <c r="D848"/>
      <c r="E848" s="8"/>
      <c r="F848" s="9"/>
      <c r="G848" s="9"/>
      <c r="H848" s="9"/>
      <c r="I848" s="9"/>
      <c r="J848" s="9"/>
      <c r="K848" s="9"/>
      <c r="L848" s="9"/>
      <c r="M848" s="9"/>
      <c r="N848" s="9"/>
      <c r="O848" s="9"/>
      <c r="P848" s="9"/>
      <c r="Q848" s="9"/>
      <c r="R848" s="9"/>
      <c r="S848" s="9"/>
      <c r="T848" s="9"/>
      <c r="U848" s="9"/>
      <c r="V848" s="9"/>
      <c r="W848" s="9"/>
      <c r="X848" s="9"/>
      <c r="Y848" s="9"/>
      <c r="Z848" s="9"/>
      <c r="AA848" s="9"/>
      <c r="AB848" s="60" t="s">
        <v>733</v>
      </c>
      <c r="AC848" s="1526">
        <f>O762+O742+G717</f>
        <v>39</v>
      </c>
      <c r="AD848" s="1527"/>
      <c r="AE848" s="1527"/>
      <c r="AF848" s="1527"/>
      <c r="AG848" s="1527"/>
      <c r="AH848" s="1528"/>
      <c r="AI848"/>
      <c r="AJ848"/>
      <c r="AK848"/>
      <c r="AL848"/>
      <c r="AM848" s="38"/>
      <c r="AN848" s="38"/>
      <c r="AO848" s="21"/>
      <c r="AP848" s="21"/>
      <c r="AQ848" s="21"/>
      <c r="AR848" s="21"/>
      <c r="AS848" s="21"/>
      <c r="AT848" s="21"/>
      <c r="AU848" s="21"/>
      <c r="AV848" s="21"/>
      <c r="AW848" s="21"/>
      <c r="AX848" s="21"/>
      <c r="AY848" s="21"/>
      <c r="AZ848" s="21"/>
      <c r="BA848" s="21"/>
      <c r="BB848" s="30" t="s">
        <v>606</v>
      </c>
      <c r="BC848" s="549">
        <v>396888</v>
      </c>
      <c r="BD848" s="549">
        <v>457608</v>
      </c>
      <c r="BE848" s="549">
        <v>552000</v>
      </c>
      <c r="BF848" s="549">
        <v>706560</v>
      </c>
      <c r="BG848" s="549">
        <v>787152</v>
      </c>
      <c r="BH848" s="21"/>
      <c r="BI848" s="30" t="s">
        <v>606</v>
      </c>
      <c r="BJ848" s="549">
        <v>396888</v>
      </c>
      <c r="BK848" s="549">
        <v>457608</v>
      </c>
      <c r="BL848" s="549">
        <v>552000</v>
      </c>
      <c r="BM848" s="549">
        <v>706560</v>
      </c>
      <c r="BN848" s="549">
        <v>787152</v>
      </c>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row>
    <row r="849" spans="1:97" s="5" customFormat="1" ht="12.95" customHeight="1" thickBot="1">
      <c r="A849"/>
      <c r="B849"/>
      <c r="C849"/>
      <c r="D849"/>
      <c r="E849" s="1272" t="s">
        <v>367</v>
      </c>
      <c r="F849" s="1273"/>
      <c r="G849" s="1273"/>
      <c r="H849" s="1273"/>
      <c r="I849" s="1273"/>
      <c r="J849" s="1273"/>
      <c r="K849" s="1273"/>
      <c r="L849" s="1273"/>
      <c r="M849" s="1273"/>
      <c r="N849" s="1273"/>
      <c r="O849" s="1273"/>
      <c r="P849" s="1273"/>
      <c r="Q849" s="1273"/>
      <c r="R849" s="1273"/>
      <c r="S849" s="1273"/>
      <c r="T849" s="1273"/>
      <c r="U849" s="1273"/>
      <c r="V849" s="1273"/>
      <c r="W849" s="1273"/>
      <c r="X849" s="1273"/>
      <c r="Y849" s="1273"/>
      <c r="Z849" s="1273"/>
      <c r="AA849" s="1273"/>
      <c r="AB849" s="1274"/>
      <c r="AC849" s="1516">
        <f>IF(ISERROR((ROUNDDOWN(AC847/AC848,0))),0,(ROUNDDOWN(AC847/AC848,0)))</f>
        <v>7629</v>
      </c>
      <c r="AD849" s="1517"/>
      <c r="AE849" s="1517"/>
      <c r="AF849" s="1517"/>
      <c r="AG849" s="1517"/>
      <c r="AH849" s="1517"/>
      <c r="AI849"/>
      <c r="AJ849"/>
      <c r="AK849"/>
      <c r="AL849" s="3"/>
      <c r="AM849" s="38"/>
      <c r="AN849" s="38"/>
      <c r="AO849" s="21"/>
      <c r="AP849" s="21"/>
      <c r="AQ849" s="21"/>
      <c r="AR849" s="21"/>
      <c r="AS849" s="21"/>
      <c r="AT849" s="21"/>
      <c r="AU849" s="21"/>
      <c r="AV849" s="21"/>
      <c r="AW849" s="21"/>
      <c r="AX849" s="21"/>
      <c r="AY849" s="21"/>
      <c r="AZ849" s="21"/>
      <c r="BA849" s="21"/>
      <c r="BB849" s="30" t="s">
        <v>607</v>
      </c>
      <c r="BC849" s="550">
        <v>331890</v>
      </c>
      <c r="BD849" s="550">
        <v>382666</v>
      </c>
      <c r="BE849" s="550">
        <v>461600</v>
      </c>
      <c r="BF849" s="550">
        <v>590848</v>
      </c>
      <c r="BG849" s="550">
        <v>658242</v>
      </c>
      <c r="BH849" s="21"/>
      <c r="BI849" s="30" t="s">
        <v>607</v>
      </c>
      <c r="BJ849" s="550">
        <v>331890</v>
      </c>
      <c r="BK849" s="550">
        <v>382666</v>
      </c>
      <c r="BL849" s="550">
        <v>461600</v>
      </c>
      <c r="BM849" s="550">
        <v>590848</v>
      </c>
      <c r="BN849" s="550">
        <v>658242</v>
      </c>
      <c r="BO849" s="43"/>
      <c r="BP849" s="43"/>
      <c r="BQ849" s="43"/>
      <c r="BR849" s="43"/>
      <c r="BS849" s="43"/>
      <c r="BT849" s="43"/>
      <c r="BU849" s="43"/>
      <c r="BV849" s="43"/>
      <c r="BW849" s="43"/>
      <c r="BX849" s="43"/>
      <c r="BY849" s="43"/>
      <c r="BZ849" s="43"/>
      <c r="CA849" s="43"/>
      <c r="CB849" s="43"/>
      <c r="CC849" s="43"/>
      <c r="CD849" s="43"/>
      <c r="CE849" s="43"/>
      <c r="CF849" s="43"/>
      <c r="CG849" s="43"/>
      <c r="CH849" s="43"/>
      <c r="CI849" s="43"/>
      <c r="CJ849" s="43"/>
      <c r="CK849" s="43"/>
      <c r="CL849" s="43"/>
      <c r="CM849" s="43"/>
      <c r="CN849" s="43"/>
      <c r="CO849" s="43"/>
      <c r="CP849" s="43"/>
      <c r="CQ849" s="43"/>
      <c r="CR849" s="43"/>
      <c r="CS849" s="43"/>
    </row>
    <row r="850" spans="1:97" s="5" customFormat="1" ht="12.95" customHeight="1" thickTop="1">
      <c r="A850"/>
      <c r="B850"/>
      <c r="C850"/>
      <c r="D850"/>
      <c r="E850" s="53"/>
      <c r="F850" s="54"/>
      <c r="G850" s="54"/>
      <c r="H850" s="54"/>
      <c r="I850" s="54"/>
      <c r="J850" s="54"/>
      <c r="K850" s="54"/>
      <c r="L850" s="54"/>
      <c r="M850" s="54"/>
      <c r="N850" s="54"/>
      <c r="O850" s="54"/>
      <c r="P850" s="54"/>
      <c r="Q850" s="54"/>
      <c r="R850" s="54"/>
      <c r="S850" s="54"/>
      <c r="T850" s="54"/>
      <c r="U850" s="54"/>
      <c r="V850" s="54"/>
      <c r="W850" s="54"/>
      <c r="X850" s="54"/>
      <c r="Y850" s="54"/>
      <c r="Z850" s="54"/>
      <c r="AA850" s="54"/>
      <c r="AB850" s="801" t="s">
        <v>675</v>
      </c>
      <c r="AC850" s="1194">
        <f>(AC847+AC852+AC853+AC851)/4</f>
        <v>106682.75</v>
      </c>
      <c r="AD850" s="1522"/>
      <c r="AE850" s="1522"/>
      <c r="AF850" s="1522"/>
      <c r="AG850" s="1522"/>
      <c r="AH850" s="1522"/>
      <c r="AI850"/>
      <c r="AJ850"/>
      <c r="AK850"/>
      <c r="AL850"/>
      <c r="AM850" s="38"/>
      <c r="AN850" s="38"/>
      <c r="AO850" s="21"/>
      <c r="AP850" s="21"/>
      <c r="AQ850" s="21"/>
      <c r="AR850" s="21"/>
      <c r="AS850" s="21"/>
      <c r="AT850" s="21"/>
      <c r="AU850" s="21"/>
      <c r="AV850" s="21"/>
      <c r="AW850" s="21"/>
      <c r="AX850" s="21"/>
      <c r="AY850" s="21"/>
      <c r="AZ850" s="21"/>
      <c r="BA850" s="21"/>
      <c r="BB850" s="30" t="s">
        <v>609</v>
      </c>
      <c r="BC850" s="549">
        <v>352022</v>
      </c>
      <c r="BD850" s="549">
        <v>405878</v>
      </c>
      <c r="BE850" s="549">
        <v>489600</v>
      </c>
      <c r="BF850" s="549">
        <v>626688</v>
      </c>
      <c r="BG850" s="549">
        <v>698170</v>
      </c>
      <c r="BH850" s="21"/>
      <c r="BI850" s="30" t="s">
        <v>609</v>
      </c>
      <c r="BJ850" s="549">
        <v>352022</v>
      </c>
      <c r="BK850" s="549">
        <v>405878</v>
      </c>
      <c r="BL850" s="549">
        <v>489600</v>
      </c>
      <c r="BM850" s="549">
        <v>626688</v>
      </c>
      <c r="BN850" s="549">
        <v>698170</v>
      </c>
      <c r="BO850" s="43"/>
      <c r="BP850" s="43"/>
      <c r="BQ850" s="43"/>
      <c r="BR850" s="43"/>
      <c r="BS850" s="43"/>
      <c r="BT850" s="43"/>
      <c r="BU850" s="43"/>
      <c r="BV850" s="43"/>
      <c r="BW850" s="43"/>
      <c r="BX850" s="43"/>
      <c r="BY850" s="43"/>
      <c r="BZ850" s="43"/>
      <c r="CA850" s="43"/>
      <c r="CB850" s="43"/>
      <c r="CC850" s="43"/>
      <c r="CD850" s="43"/>
      <c r="CE850" s="43"/>
      <c r="CF850" s="43"/>
      <c r="CG850" s="43"/>
      <c r="CH850" s="43"/>
      <c r="CI850" s="43"/>
      <c r="CJ850" s="43"/>
      <c r="CK850" s="43"/>
      <c r="CL850" s="43"/>
      <c r="CM850" s="43"/>
      <c r="CN850" s="43"/>
      <c r="CO850" s="43"/>
      <c r="CP850" s="43"/>
      <c r="CQ850" s="43"/>
      <c r="CR850" s="43"/>
      <c r="CS850" s="43"/>
    </row>
    <row r="851" spans="1:97" s="5" customFormat="1" ht="12.95" customHeight="1">
      <c r="A851"/>
      <c r="B851"/>
      <c r="C851"/>
      <c r="D851"/>
      <c r="E851" s="8"/>
      <c r="F851" s="9"/>
      <c r="G851" s="9"/>
      <c r="H851" s="9"/>
      <c r="I851" s="9"/>
      <c r="J851" s="9"/>
      <c r="K851" s="9"/>
      <c r="L851" s="9"/>
      <c r="M851" s="9"/>
      <c r="N851" s="9"/>
      <c r="O851" s="9"/>
      <c r="P851" s="9"/>
      <c r="Q851" s="9"/>
      <c r="R851" s="9"/>
      <c r="S851" s="9"/>
      <c r="T851" s="9"/>
      <c r="U851" s="9"/>
      <c r="V851" s="9"/>
      <c r="W851" s="9"/>
      <c r="X851" s="9"/>
      <c r="Y851" s="9"/>
      <c r="Z851" s="9"/>
      <c r="AA851" s="9"/>
      <c r="AB851" s="60" t="s">
        <v>1749</v>
      </c>
      <c r="AC851" s="1146">
        <v>10000</v>
      </c>
      <c r="AD851" s="1195"/>
      <c r="AE851" s="1195"/>
      <c r="AF851" s="1195"/>
      <c r="AG851" s="1195"/>
      <c r="AH851" s="1195"/>
      <c r="AI851"/>
      <c r="AJ851"/>
      <c r="AK851"/>
      <c r="AL851"/>
      <c r="AM851" s="38"/>
      <c r="AN851" s="38"/>
      <c r="AO851" s="21"/>
      <c r="AP851" s="21"/>
      <c r="AQ851" s="21"/>
      <c r="AR851" s="21"/>
      <c r="AS851" s="21"/>
      <c r="AT851" s="21"/>
      <c r="AU851" s="21"/>
      <c r="AV851" s="21"/>
      <c r="AW851" s="21"/>
      <c r="AX851" s="21"/>
      <c r="AY851" s="21"/>
      <c r="AZ851" s="21"/>
      <c r="BA851" s="21"/>
      <c r="BB851" s="30" t="s">
        <v>610</v>
      </c>
      <c r="BC851" s="550">
        <v>314634</v>
      </c>
      <c r="BD851" s="550">
        <v>362770</v>
      </c>
      <c r="BE851" s="550">
        <v>437600</v>
      </c>
      <c r="BF851" s="550">
        <v>560128</v>
      </c>
      <c r="BG851" s="550">
        <v>624018</v>
      </c>
      <c r="BH851" s="21"/>
      <c r="BI851" s="30" t="s">
        <v>610</v>
      </c>
      <c r="BJ851" s="550">
        <v>314634</v>
      </c>
      <c r="BK851" s="550">
        <v>362770</v>
      </c>
      <c r="BL851" s="550">
        <v>437600</v>
      </c>
      <c r="BM851" s="550">
        <v>560128</v>
      </c>
      <c r="BN851" s="550">
        <v>624018</v>
      </c>
      <c r="BO851" s="43"/>
      <c r="BP851" s="43"/>
      <c r="BQ851" s="43"/>
      <c r="BR851" s="43"/>
      <c r="BS851" s="43"/>
      <c r="BT851" s="43"/>
      <c r="BU851" s="43"/>
      <c r="BV851" s="43"/>
      <c r="BW851" s="43"/>
      <c r="BX851" s="43"/>
      <c r="BY851" s="43"/>
      <c r="BZ851" s="43"/>
      <c r="CA851" s="43"/>
      <c r="CB851" s="43"/>
      <c r="CC851" s="43"/>
      <c r="CD851" s="43"/>
      <c r="CE851" s="43"/>
      <c r="CF851" s="43"/>
      <c r="CG851" s="43"/>
      <c r="CH851" s="43"/>
      <c r="CI851" s="43"/>
      <c r="CJ851" s="43"/>
      <c r="CK851" s="43"/>
      <c r="CL851" s="43"/>
      <c r="CM851" s="43"/>
      <c r="CN851" s="43"/>
      <c r="CO851" s="43"/>
      <c r="CP851" s="43"/>
      <c r="CQ851" s="43"/>
      <c r="CR851" s="43"/>
      <c r="CS851" s="43"/>
    </row>
    <row r="852" spans="1:97" s="5" customFormat="1" ht="12.95" customHeight="1">
      <c r="A852"/>
      <c r="B852"/>
      <c r="C852"/>
      <c r="D852"/>
      <c r="E852" s="8"/>
      <c r="F852" s="9"/>
      <c r="G852" s="9"/>
      <c r="H852" s="9"/>
      <c r="I852" s="9"/>
      <c r="J852" s="9"/>
      <c r="K852" s="9"/>
      <c r="L852" s="9"/>
      <c r="M852" s="9"/>
      <c r="N852" s="9"/>
      <c r="O852" s="9"/>
      <c r="P852" s="9"/>
      <c r="Q852" s="9"/>
      <c r="R852" s="9"/>
      <c r="S852" s="9"/>
      <c r="T852" s="9"/>
      <c r="U852" s="9"/>
      <c r="V852" s="9"/>
      <c r="W852" s="9"/>
      <c r="X852" s="9"/>
      <c r="Y852" s="9"/>
      <c r="Z852" s="9"/>
      <c r="AA852" s="9"/>
      <c r="AB852" s="60" t="s">
        <v>146</v>
      </c>
      <c r="AC852" s="1144">
        <v>99671</v>
      </c>
      <c r="AD852" s="1145"/>
      <c r="AE852" s="1145"/>
      <c r="AF852" s="1145"/>
      <c r="AG852" s="1145"/>
      <c r="AH852" s="1146"/>
      <c r="AI852"/>
      <c r="AJ852"/>
      <c r="AK852"/>
      <c r="AL852"/>
      <c r="AM852" s="38"/>
      <c r="AN852" s="38"/>
      <c r="AO852" s="21"/>
      <c r="AP852" s="21"/>
      <c r="AQ852" s="21"/>
      <c r="AR852" s="21"/>
      <c r="AS852" s="21"/>
      <c r="AT852" s="21"/>
      <c r="AU852" s="21"/>
      <c r="AV852" s="21"/>
      <c r="AW852" s="21"/>
      <c r="AX852" s="21"/>
      <c r="AY852" s="21"/>
      <c r="AZ852" s="21"/>
      <c r="BA852" s="21"/>
      <c r="BB852" s="30" t="s">
        <v>449</v>
      </c>
      <c r="BC852" s="549">
        <v>331890</v>
      </c>
      <c r="BD852" s="549">
        <v>382666</v>
      </c>
      <c r="BE852" s="549">
        <v>461600</v>
      </c>
      <c r="BF852" s="549">
        <v>590848</v>
      </c>
      <c r="BG852" s="549">
        <v>658242</v>
      </c>
      <c r="BH852" s="21"/>
      <c r="BI852" s="30" t="s">
        <v>449</v>
      </c>
      <c r="BJ852" s="549">
        <v>331890</v>
      </c>
      <c r="BK852" s="549">
        <v>382666</v>
      </c>
      <c r="BL852" s="549">
        <v>461600</v>
      </c>
      <c r="BM852" s="549">
        <v>590848</v>
      </c>
      <c r="BN852" s="549">
        <v>658242</v>
      </c>
      <c r="BO852" s="43"/>
      <c r="BP852" s="43"/>
      <c r="BQ852" s="43"/>
      <c r="BR852" s="43"/>
      <c r="BS852" s="43"/>
      <c r="BT852" s="43"/>
      <c r="BU852" s="43"/>
      <c r="BV852" s="43"/>
      <c r="BW852" s="43"/>
      <c r="BX852" s="43"/>
      <c r="BY852" s="43"/>
      <c r="BZ852" s="43"/>
      <c r="CA852" s="43"/>
      <c r="CB852" s="43"/>
      <c r="CC852" s="43"/>
      <c r="CD852" s="43"/>
      <c r="CE852" s="43"/>
      <c r="CF852" s="43"/>
      <c r="CG852" s="43"/>
      <c r="CH852" s="43"/>
      <c r="CI852" s="43"/>
      <c r="CJ852" s="43"/>
      <c r="CK852" s="43"/>
      <c r="CL852" s="43"/>
      <c r="CM852" s="43"/>
      <c r="CN852" s="43"/>
      <c r="CO852" s="43"/>
      <c r="CP852" s="43"/>
      <c r="CQ852" s="43"/>
      <c r="CR852" s="43"/>
      <c r="CS852" s="43"/>
    </row>
    <row r="853" spans="1:97" s="5" customFormat="1" ht="12.95" customHeight="1">
      <c r="A853"/>
      <c r="B853"/>
      <c r="C853"/>
      <c r="D853"/>
      <c r="E853" s="8"/>
      <c r="F853" s="9"/>
      <c r="G853" s="9"/>
      <c r="H853" s="9"/>
      <c r="I853" s="9"/>
      <c r="J853" s="9"/>
      <c r="K853" s="9"/>
      <c r="L853" s="9"/>
      <c r="M853" s="9"/>
      <c r="N853" s="9"/>
      <c r="O853" s="9"/>
      <c r="P853" s="9"/>
      <c r="Q853" s="9"/>
      <c r="R853" s="9"/>
      <c r="S853" s="9"/>
      <c r="T853" s="9"/>
      <c r="U853" s="9"/>
      <c r="V853" s="9"/>
      <c r="W853" s="9"/>
      <c r="X853" s="9"/>
      <c r="Y853" s="9"/>
      <c r="Z853" s="9"/>
      <c r="AA853" s="9"/>
      <c r="AB853" s="60" t="s">
        <v>742</v>
      </c>
      <c r="AC853" s="1144">
        <v>19500</v>
      </c>
      <c r="AD853" s="1145"/>
      <c r="AE853" s="1145"/>
      <c r="AF853" s="1145"/>
      <c r="AG853" s="1145"/>
      <c r="AH853" s="1146"/>
      <c r="AI853"/>
      <c r="AJ853"/>
      <c r="AK853"/>
      <c r="AL853"/>
      <c r="AM853" s="38"/>
      <c r="AN853" s="38"/>
      <c r="AO853" s="21"/>
      <c r="AP853" s="21"/>
      <c r="AQ853" s="21"/>
      <c r="AR853" s="21"/>
      <c r="AS853" s="21"/>
      <c r="AT853" s="21"/>
      <c r="AU853" s="21"/>
      <c r="AV853" s="21"/>
      <c r="AW853" s="21"/>
      <c r="AX853" s="21"/>
      <c r="AY853" s="21"/>
      <c r="AZ853" s="21"/>
      <c r="BA853" s="21"/>
      <c r="BB853" s="30" t="s">
        <v>612</v>
      </c>
      <c r="BC853" s="550">
        <v>352022</v>
      </c>
      <c r="BD853" s="550">
        <v>405878</v>
      </c>
      <c r="BE853" s="550">
        <v>489600</v>
      </c>
      <c r="BF853" s="550">
        <v>626688</v>
      </c>
      <c r="BG853" s="550">
        <v>698170</v>
      </c>
      <c r="BH853" s="21"/>
      <c r="BI853" s="30" t="s">
        <v>612</v>
      </c>
      <c r="BJ853" s="550">
        <v>352022</v>
      </c>
      <c r="BK853" s="550">
        <v>405878</v>
      </c>
      <c r="BL853" s="550">
        <v>489600</v>
      </c>
      <c r="BM853" s="550">
        <v>626688</v>
      </c>
      <c r="BN853" s="550">
        <v>698170</v>
      </c>
      <c r="BO853" s="43"/>
      <c r="BP853" s="43"/>
      <c r="BQ853" s="43"/>
      <c r="BR853" s="43"/>
      <c r="BS853" s="43"/>
      <c r="BT853" s="43"/>
      <c r="BU853" s="43"/>
      <c r="BV853" s="43"/>
      <c r="BW853" s="43"/>
      <c r="BX853" s="43"/>
      <c r="BY853" s="43"/>
      <c r="BZ853" s="43"/>
      <c r="CA853" s="43"/>
      <c r="CB853" s="43"/>
      <c r="CC853" s="43"/>
      <c r="CD853" s="43"/>
      <c r="CE853" s="43"/>
      <c r="CF853" s="43"/>
      <c r="CG853" s="43"/>
      <c r="CH853" s="43"/>
      <c r="CI853" s="43"/>
      <c r="CJ853" s="43"/>
      <c r="CK853" s="43"/>
      <c r="CL853" s="43"/>
      <c r="CM853" s="43"/>
      <c r="CN853" s="43"/>
      <c r="CO853" s="43"/>
      <c r="CP853" s="43"/>
      <c r="CQ853" s="43"/>
      <c r="CR853" s="43"/>
      <c r="CS853" s="43"/>
    </row>
    <row r="854" spans="1:97" s="21" customFormat="1" ht="12.95" customHeight="1">
      <c r="A854"/>
      <c r="B854"/>
      <c r="C854"/>
      <c r="D854"/>
      <c r="E854" s="8"/>
      <c r="F854" s="9"/>
      <c r="G854" s="9"/>
      <c r="H854" s="9"/>
      <c r="I854" s="9"/>
      <c r="J854" s="9"/>
      <c r="K854" s="9"/>
      <c r="L854" s="9"/>
      <c r="M854" s="9"/>
      <c r="N854" s="9"/>
      <c r="O854" s="9"/>
      <c r="P854" s="9"/>
      <c r="Q854" s="9"/>
      <c r="R854" s="9"/>
      <c r="S854" s="9"/>
      <c r="T854" s="9"/>
      <c r="U854" s="9"/>
      <c r="V854" s="9"/>
      <c r="W854" s="9"/>
      <c r="X854" s="9"/>
      <c r="Y854" s="9"/>
      <c r="Z854" s="9"/>
      <c r="AA854" s="9"/>
      <c r="AB854" s="60" t="s">
        <v>2028</v>
      </c>
      <c r="AC854" s="1144"/>
      <c r="AD854" s="1145"/>
      <c r="AE854" s="1145"/>
      <c r="AF854" s="1145"/>
      <c r="AG854" s="1145"/>
      <c r="AH854" s="1146"/>
      <c r="AI854"/>
      <c r="AJ854"/>
      <c r="AK854"/>
      <c r="AL854"/>
      <c r="AM854" s="38"/>
      <c r="AN854" s="38"/>
      <c r="BB854" s="30" t="s">
        <v>613</v>
      </c>
      <c r="BC854" s="549">
        <v>314634</v>
      </c>
      <c r="BD854" s="549">
        <v>362770</v>
      </c>
      <c r="BE854" s="549">
        <v>437600</v>
      </c>
      <c r="BF854" s="549">
        <v>560128</v>
      </c>
      <c r="BG854" s="549">
        <v>624018</v>
      </c>
      <c r="BI854" s="30" t="s">
        <v>613</v>
      </c>
      <c r="BJ854" s="549">
        <v>314634</v>
      </c>
      <c r="BK854" s="549">
        <v>362770</v>
      </c>
      <c r="BL854" s="549">
        <v>437600</v>
      </c>
      <c r="BM854" s="549">
        <v>560128</v>
      </c>
      <c r="BN854" s="549">
        <v>624018</v>
      </c>
      <c r="BO854" s="76"/>
      <c r="BP854" s="76"/>
      <c r="BQ854" s="76"/>
      <c r="BR854" s="76"/>
      <c r="BS854" s="76"/>
      <c r="BT854" s="76"/>
      <c r="BU854" s="76"/>
      <c r="BV854" s="76"/>
      <c r="BW854" s="76"/>
      <c r="BX854" s="76"/>
      <c r="BY854" s="76"/>
      <c r="BZ854" s="76"/>
      <c r="CA854" s="76"/>
      <c r="CB854" s="76"/>
      <c r="CC854" s="76"/>
      <c r="CD854" s="76"/>
      <c r="CE854" s="76"/>
      <c r="CF854" s="76"/>
      <c r="CG854" s="76"/>
      <c r="CH854" s="76"/>
      <c r="CI854" s="76"/>
      <c r="CJ854" s="76"/>
      <c r="CK854" s="76"/>
      <c r="CL854" s="76"/>
      <c r="CM854" s="76"/>
      <c r="CN854" s="76"/>
      <c r="CO854" s="76"/>
      <c r="CP854" s="76"/>
      <c r="CQ854" s="76"/>
      <c r="CR854" s="76"/>
      <c r="CS854" s="76"/>
    </row>
    <row r="855" spans="1:97" s="21" customFormat="1" ht="12.95" customHeight="1">
      <c r="A855"/>
      <c r="B855"/>
      <c r="C855"/>
      <c r="D855"/>
      <c r="E855" s="8"/>
      <c r="F855" s="9"/>
      <c r="G855" s="9"/>
      <c r="H855" s="9"/>
      <c r="I855" s="9"/>
      <c r="J855" s="9"/>
      <c r="K855" s="9"/>
      <c r="L855" s="9"/>
      <c r="M855" s="9"/>
      <c r="N855" s="9"/>
      <c r="O855" s="9"/>
      <c r="P855" s="9"/>
      <c r="Q855" s="9"/>
      <c r="R855" s="9"/>
      <c r="S855" s="9"/>
      <c r="T855" s="9"/>
      <c r="U855" s="9"/>
      <c r="V855" s="9"/>
      <c r="W855" s="9"/>
      <c r="X855" s="9"/>
      <c r="Y855" s="9"/>
      <c r="Z855" s="9"/>
      <c r="AA855" s="9"/>
      <c r="AB855" s="60" t="s">
        <v>743</v>
      </c>
      <c r="AC855" s="1144"/>
      <c r="AD855" s="1145"/>
      <c r="AE855" s="1145"/>
      <c r="AF855" s="1145"/>
      <c r="AG855" s="1145"/>
      <c r="AH855" s="1146"/>
      <c r="AI855"/>
      <c r="AJ855"/>
      <c r="AK855"/>
      <c r="AL855"/>
      <c r="AM855" s="38"/>
      <c r="AN855" s="38"/>
      <c r="BB855" s="30" t="s">
        <v>614</v>
      </c>
      <c r="BC855" s="550">
        <v>353173</v>
      </c>
      <c r="BD855" s="550">
        <v>407205</v>
      </c>
      <c r="BE855" s="550">
        <v>491200</v>
      </c>
      <c r="BF855" s="550">
        <v>628736</v>
      </c>
      <c r="BG855" s="550">
        <v>700451</v>
      </c>
      <c r="BI855" s="30" t="s">
        <v>614</v>
      </c>
      <c r="BJ855" s="550">
        <v>353173</v>
      </c>
      <c r="BK855" s="550">
        <v>407205</v>
      </c>
      <c r="BL855" s="550">
        <v>491200</v>
      </c>
      <c r="BM855" s="550">
        <v>628736</v>
      </c>
      <c r="BN855" s="550">
        <v>700451</v>
      </c>
      <c r="BO855" s="76"/>
      <c r="BP855" s="76"/>
      <c r="BQ855" s="76"/>
      <c r="BR855" s="76"/>
      <c r="BS855" s="76"/>
      <c r="BT855" s="76"/>
      <c r="BU855" s="76"/>
      <c r="BV855" s="76"/>
      <c r="BW855" s="76"/>
      <c r="BX855" s="76"/>
      <c r="BY855" s="76"/>
      <c r="BZ855" s="76"/>
      <c r="CA855" s="76"/>
      <c r="CB855" s="76"/>
      <c r="CC855" s="76"/>
      <c r="CD855" s="76"/>
      <c r="CE855" s="76"/>
      <c r="CF855" s="76"/>
      <c r="CG855" s="76"/>
      <c r="CH855" s="76"/>
      <c r="CI855" s="76"/>
      <c r="CJ855" s="76"/>
      <c r="CK855" s="76"/>
      <c r="CL855" s="76"/>
      <c r="CM855" s="76"/>
      <c r="CN855" s="76"/>
      <c r="CO855" s="76"/>
      <c r="CP855" s="76"/>
      <c r="CQ855" s="76"/>
      <c r="CR855" s="76"/>
      <c r="CS855" s="76"/>
    </row>
    <row r="856" spans="1:97" s="21" customFormat="1" ht="12.95" customHeight="1">
      <c r="A856"/>
      <c r="B856"/>
      <c r="C856"/>
      <c r="D856"/>
      <c r="E856" s="8"/>
      <c r="F856" s="9"/>
      <c r="G856" s="9"/>
      <c r="H856" s="9"/>
      <c r="I856" s="9"/>
      <c r="J856" s="9"/>
      <c r="K856" s="9"/>
      <c r="L856" s="9"/>
      <c r="M856" s="9"/>
      <c r="N856" s="9"/>
      <c r="O856" s="9"/>
      <c r="P856" s="9"/>
      <c r="Q856" s="9"/>
      <c r="R856" s="9"/>
      <c r="S856" s="9"/>
      <c r="T856" s="9"/>
      <c r="U856" s="9"/>
      <c r="V856" s="9"/>
      <c r="W856" s="9"/>
      <c r="X856" s="9"/>
      <c r="Y856" s="9"/>
      <c r="Z856" s="9"/>
      <c r="AA856" s="9"/>
      <c r="AB856" s="60" t="s">
        <v>2027</v>
      </c>
      <c r="AC856" s="1149"/>
      <c r="AD856" s="1195"/>
      <c r="AE856" s="1195"/>
      <c r="AF856" s="1195"/>
      <c r="AG856" s="1195"/>
      <c r="AH856" s="1195"/>
      <c r="AI856"/>
      <c r="AJ856"/>
      <c r="AK856"/>
      <c r="AL856"/>
      <c r="AM856" s="38"/>
      <c r="AN856" s="38"/>
      <c r="BB856" s="30" t="s">
        <v>789</v>
      </c>
      <c r="BC856" s="549">
        <v>689665</v>
      </c>
      <c r="BD856" s="549">
        <v>795177</v>
      </c>
      <c r="BE856" s="549">
        <v>959200</v>
      </c>
      <c r="BF856" s="549">
        <v>1227776</v>
      </c>
      <c r="BG856" s="549">
        <v>1367819</v>
      </c>
      <c r="BI856" s="30" t="s">
        <v>789</v>
      </c>
      <c r="BJ856" s="549">
        <v>689665</v>
      </c>
      <c r="BK856" s="549">
        <v>795177</v>
      </c>
      <c r="BL856" s="549">
        <v>959200</v>
      </c>
      <c r="BM856" s="549">
        <v>1227776</v>
      </c>
      <c r="BN856" s="549">
        <v>1367819</v>
      </c>
      <c r="BO856" s="76"/>
      <c r="BP856" s="76"/>
      <c r="BQ856" s="76"/>
      <c r="BR856" s="76"/>
      <c r="BS856" s="76"/>
      <c r="BT856" s="76"/>
      <c r="BU856" s="76"/>
      <c r="BV856" s="76"/>
      <c r="BW856" s="76"/>
      <c r="BX856" s="76"/>
      <c r="BY856" s="76"/>
      <c r="BZ856" s="76"/>
      <c r="CA856" s="76"/>
      <c r="CB856" s="76"/>
      <c r="CC856" s="76"/>
      <c r="CD856" s="76"/>
      <c r="CE856" s="76"/>
      <c r="CF856" s="76"/>
      <c r="CG856" s="76"/>
      <c r="CH856" s="76"/>
      <c r="CI856" s="76"/>
      <c r="CJ856" s="76"/>
      <c r="CK856" s="76"/>
      <c r="CL856" s="76"/>
      <c r="CM856" s="76"/>
      <c r="CN856" s="76"/>
      <c r="CO856" s="76"/>
      <c r="CP856" s="76"/>
      <c r="CQ856" s="76"/>
      <c r="CR856" s="76"/>
      <c r="CS856" s="76"/>
    </row>
    <row r="857" spans="1:97" s="21" customFormat="1" ht="12.95" customHeight="1">
      <c r="A857"/>
      <c r="B857"/>
      <c r="C857"/>
      <c r="D857"/>
      <c r="E857" s="1440" t="s">
        <v>1259</v>
      </c>
      <c r="F857" s="1441"/>
      <c r="G857" s="1441"/>
      <c r="H857" s="1441"/>
      <c r="I857" s="1441"/>
      <c r="J857" s="1441"/>
      <c r="K857" s="1441"/>
      <c r="L857" s="1441"/>
      <c r="M857" s="1441"/>
      <c r="N857" s="1441"/>
      <c r="O857" s="1441"/>
      <c r="P857" s="1441"/>
      <c r="Q857" s="1441"/>
      <c r="R857" s="1441"/>
      <c r="S857" s="1441"/>
      <c r="T857" s="1441"/>
      <c r="U857" s="1441"/>
      <c r="V857" s="1441"/>
      <c r="W857" s="1441"/>
      <c r="X857" s="1441"/>
      <c r="Y857" s="1441"/>
      <c r="Z857" s="1441"/>
      <c r="AA857" s="1441"/>
      <c r="AB857" s="1442"/>
      <c r="AC857" s="1195"/>
      <c r="AD857" s="1195"/>
      <c r="AE857" s="1195"/>
      <c r="AF857" s="1195"/>
      <c r="AG857" s="1195"/>
      <c r="AH857" s="1195"/>
      <c r="AI857"/>
      <c r="AJ857"/>
      <c r="AK857"/>
      <c r="AL857"/>
      <c r="AM857" s="38"/>
      <c r="AN857" s="38"/>
      <c r="BB857" s="30" t="s">
        <v>790</v>
      </c>
      <c r="BC857" s="550">
        <v>307732</v>
      </c>
      <c r="BD857" s="550">
        <v>354812</v>
      </c>
      <c r="BE857" s="550">
        <v>428000</v>
      </c>
      <c r="BF857" s="550">
        <v>547840</v>
      </c>
      <c r="BG857" s="550">
        <v>610328</v>
      </c>
      <c r="BI857" s="30" t="s">
        <v>790</v>
      </c>
      <c r="BJ857" s="550">
        <v>307732</v>
      </c>
      <c r="BK857" s="550">
        <v>354812</v>
      </c>
      <c r="BL857" s="550">
        <v>428000</v>
      </c>
      <c r="BM857" s="550">
        <v>547840</v>
      </c>
      <c r="BN857" s="550">
        <v>610328</v>
      </c>
      <c r="BO857" s="76"/>
      <c r="BP857" s="76"/>
      <c r="BQ857" s="76"/>
      <c r="BR857" s="76"/>
      <c r="BS857" s="76"/>
      <c r="BT857" s="76"/>
      <c r="BU857" s="76"/>
      <c r="BV857" s="76"/>
      <c r="BW857" s="76"/>
      <c r="BX857" s="76"/>
      <c r="BY857" s="76"/>
      <c r="BZ857" s="76"/>
      <c r="CA857" s="76"/>
      <c r="CB857" s="76"/>
      <c r="CC857" s="76"/>
      <c r="CD857" s="76"/>
      <c r="CE857" s="76"/>
      <c r="CF857" s="76"/>
      <c r="CG857" s="76"/>
      <c r="CH857" s="76"/>
      <c r="CI857" s="76"/>
      <c r="CJ857" s="76"/>
      <c r="CK857" s="76"/>
      <c r="CL857" s="76"/>
      <c r="CM857" s="76"/>
      <c r="CN857" s="76"/>
      <c r="CO857" s="76"/>
      <c r="CP857" s="76"/>
      <c r="CQ857" s="76"/>
      <c r="CR857" s="76"/>
      <c r="CS857" s="76"/>
    </row>
    <row r="858" spans="1:97" s="21" customFormat="1" ht="12.95" customHeight="1">
      <c r="A858"/>
      <c r="B858"/>
      <c r="C858"/>
      <c r="D858"/>
      <c r="E858" s="1440" t="s">
        <v>1259</v>
      </c>
      <c r="F858" s="1441"/>
      <c r="G858" s="1441"/>
      <c r="H858" s="1441"/>
      <c r="I858" s="1441"/>
      <c r="J858" s="1441"/>
      <c r="K858" s="1441"/>
      <c r="L858" s="1441"/>
      <c r="M858" s="1441"/>
      <c r="N858" s="1441"/>
      <c r="O858" s="1441"/>
      <c r="P858" s="1441"/>
      <c r="Q858" s="1441"/>
      <c r="R858" s="1441"/>
      <c r="S858" s="1441"/>
      <c r="T858" s="1441"/>
      <c r="U858" s="1441"/>
      <c r="V858" s="1441"/>
      <c r="W858" s="1441"/>
      <c r="X858" s="1441"/>
      <c r="Y858" s="1441"/>
      <c r="Z858" s="1441"/>
      <c r="AA858" s="1441"/>
      <c r="AB858" s="1442"/>
      <c r="AC858" s="1195"/>
      <c r="AD858" s="1195"/>
      <c r="AE858" s="1195"/>
      <c r="AF858" s="1195"/>
      <c r="AG858" s="1195"/>
      <c r="AH858" s="1195"/>
      <c r="AI858"/>
      <c r="AJ858"/>
      <c r="AK858"/>
      <c r="AL858"/>
      <c r="AM858" s="38"/>
      <c r="AN858" s="38"/>
      <c r="BB858" s="30" t="s">
        <v>791</v>
      </c>
      <c r="BC858" s="549">
        <v>387110</v>
      </c>
      <c r="BD858" s="549">
        <v>446334</v>
      </c>
      <c r="BE858" s="549">
        <v>538400</v>
      </c>
      <c r="BF858" s="549">
        <v>689152</v>
      </c>
      <c r="BG858" s="549">
        <v>767758</v>
      </c>
      <c r="BI858" s="30" t="s">
        <v>791</v>
      </c>
      <c r="BJ858" s="549">
        <v>387110</v>
      </c>
      <c r="BK858" s="549">
        <v>446334</v>
      </c>
      <c r="BL858" s="549">
        <v>538400</v>
      </c>
      <c r="BM858" s="549">
        <v>689152</v>
      </c>
      <c r="BN858" s="549">
        <v>767758</v>
      </c>
      <c r="BO858" s="76"/>
      <c r="BP858" s="76"/>
      <c r="BQ858" s="76"/>
      <c r="BR858" s="76"/>
      <c r="BS858" s="76"/>
      <c r="BT858" s="76"/>
      <c r="BU858" s="76"/>
      <c r="BV858" s="76"/>
      <c r="BW858" s="76"/>
      <c r="BX858" s="76"/>
      <c r="BY858" s="76"/>
      <c r="BZ858" s="76"/>
      <c r="CA858" s="76"/>
      <c r="CB858" s="76"/>
      <c r="CC858" s="76"/>
      <c r="CD858" s="76"/>
      <c r="CE858" s="76"/>
      <c r="CF858" s="76"/>
      <c r="CG858" s="76"/>
      <c r="CH858" s="76"/>
      <c r="CI858" s="76"/>
      <c r="CJ858" s="76"/>
      <c r="CK858" s="76"/>
      <c r="CL858" s="76"/>
      <c r="CM858" s="76"/>
      <c r="CN858" s="76"/>
      <c r="CO858" s="76"/>
      <c r="CP858" s="76"/>
      <c r="CQ858" s="76"/>
      <c r="CR858" s="76"/>
      <c r="CS858" s="76"/>
    </row>
    <row r="859" spans="1:97" s="21" customFormat="1" ht="12.95" customHeight="1">
      <c r="A859"/>
      <c r="B859"/>
      <c r="C859"/>
      <c r="D859"/>
      <c r="E859"/>
      <c r="F859"/>
      <c r="G859"/>
      <c r="H859"/>
      <c r="I859"/>
      <c r="J859"/>
      <c r="K859"/>
      <c r="L859"/>
      <c r="M859"/>
      <c r="N859"/>
      <c r="O859"/>
      <c r="P859"/>
      <c r="Q859"/>
      <c r="R859"/>
      <c r="S859"/>
      <c r="T859"/>
      <c r="U859"/>
      <c r="V859"/>
      <c r="W859"/>
      <c r="X859"/>
      <c r="Y859"/>
      <c r="Z859"/>
      <c r="AA859"/>
      <c r="AB859" s="62"/>
      <c r="AC859" s="1521"/>
      <c r="AD859" s="1521"/>
      <c r="AE859" s="1521"/>
      <c r="AF859" s="1521"/>
      <c r="AG859" s="1521"/>
      <c r="AH859" s="1521"/>
      <c r="AI859"/>
      <c r="AJ859"/>
      <c r="AK859"/>
      <c r="AL859"/>
      <c r="AM859" s="38"/>
      <c r="AN859" s="38"/>
      <c r="BB859" s="30" t="s">
        <v>792</v>
      </c>
      <c r="BC859" s="548">
        <v>532060</v>
      </c>
      <c r="BD859" s="548">
        <v>613460</v>
      </c>
      <c r="BE859" s="550">
        <v>740000</v>
      </c>
      <c r="BF859" s="548">
        <v>947200</v>
      </c>
      <c r="BG859" s="548">
        <v>1055240</v>
      </c>
      <c r="BI859" s="30" t="s">
        <v>792</v>
      </c>
      <c r="BJ859" s="548">
        <v>532060</v>
      </c>
      <c r="BK859" s="548">
        <v>613460</v>
      </c>
      <c r="BL859" s="548">
        <v>740000</v>
      </c>
      <c r="BM859" s="548">
        <v>947200</v>
      </c>
      <c r="BN859" s="548">
        <v>1055240</v>
      </c>
      <c r="BO859" s="76"/>
      <c r="BP859" s="76"/>
      <c r="BQ859" s="76"/>
      <c r="BR859" s="76"/>
      <c r="BS859" s="76"/>
      <c r="BT859" s="76"/>
      <c r="BU859" s="76"/>
      <c r="BV859" s="76"/>
      <c r="BW859" s="76"/>
      <c r="BX859" s="76"/>
      <c r="BY859" s="76"/>
      <c r="BZ859" s="76"/>
      <c r="CA859" s="76"/>
      <c r="CB859" s="76"/>
      <c r="CC859" s="76"/>
      <c r="CD859" s="76"/>
      <c r="CE859" s="76"/>
      <c r="CF859" s="76"/>
      <c r="CG859" s="76"/>
      <c r="CH859" s="76"/>
      <c r="CI859" s="76"/>
      <c r="CJ859" s="76"/>
      <c r="CK859" s="76"/>
      <c r="CL859" s="76"/>
      <c r="CM859" s="76"/>
      <c r="CN859" s="76"/>
      <c r="CO859" s="76"/>
      <c r="CP859" s="76"/>
      <c r="CQ859" s="76"/>
      <c r="CR859" s="76"/>
      <c r="CS859" s="76"/>
    </row>
    <row r="860" spans="1:97" s="21" customFormat="1" ht="12.95" customHeight="1">
      <c r="A860" s="3" t="s">
        <v>163</v>
      </c>
      <c r="B860"/>
      <c r="C860" s="3" t="s">
        <v>384</v>
      </c>
      <c r="D860"/>
      <c r="E860"/>
      <c r="F860"/>
      <c r="G860"/>
      <c r="H860"/>
      <c r="I860"/>
      <c r="J860"/>
      <c r="K860"/>
      <c r="L860"/>
      <c r="M860"/>
      <c r="N860"/>
      <c r="O860"/>
      <c r="P860"/>
      <c r="Q860"/>
      <c r="R860"/>
      <c r="S860"/>
      <c r="T860"/>
      <c r="U860"/>
      <c r="V860"/>
      <c r="W860"/>
      <c r="X860" s="2"/>
      <c r="Y860" s="2"/>
      <c r="Z860" s="2"/>
      <c r="AA860" s="2"/>
      <c r="AB860" s="2"/>
      <c r="AC860" s="2"/>
      <c r="AD860" s="2"/>
      <c r="AE860"/>
      <c r="AF860"/>
      <c r="AG860"/>
      <c r="AH860"/>
      <c r="AI860"/>
      <c r="AJ860"/>
      <c r="AK860"/>
      <c r="AL860"/>
      <c r="AM860" s="38"/>
      <c r="AN860" s="1512"/>
      <c r="AO860" s="1512"/>
      <c r="AP860" s="1215"/>
      <c r="AQ860" s="1215"/>
      <c r="AR860" s="1215"/>
      <c r="AS860" s="1215"/>
      <c r="BB860" s="30" t="s">
        <v>793</v>
      </c>
      <c r="BC860" s="549">
        <v>387110</v>
      </c>
      <c r="BD860" s="549">
        <v>446334</v>
      </c>
      <c r="BE860" s="549">
        <v>538400</v>
      </c>
      <c r="BF860" s="549">
        <v>689152</v>
      </c>
      <c r="BG860" s="549">
        <v>767758</v>
      </c>
      <c r="BI860" s="30" t="s">
        <v>793</v>
      </c>
      <c r="BJ860" s="549">
        <v>387110</v>
      </c>
      <c r="BK860" s="549">
        <v>446334</v>
      </c>
      <c r="BL860" s="549">
        <v>538400</v>
      </c>
      <c r="BM860" s="549">
        <v>689152</v>
      </c>
      <c r="BN860" s="549">
        <v>767758</v>
      </c>
      <c r="BO860" s="76"/>
      <c r="BP860" s="76"/>
      <c r="BQ860" s="76"/>
      <c r="BR860" s="76"/>
      <c r="BS860" s="76"/>
      <c r="BT860" s="76"/>
      <c r="BU860" s="76"/>
      <c r="BV860" s="76"/>
      <c r="BW860" s="76"/>
      <c r="BX860" s="76"/>
      <c r="BY860" s="76"/>
      <c r="BZ860" s="76"/>
      <c r="CA860" s="76"/>
      <c r="CB860" s="76"/>
      <c r="CC860" s="76"/>
      <c r="CD860" s="76"/>
      <c r="CE860" s="76"/>
      <c r="CF860" s="76"/>
      <c r="CG860" s="76"/>
      <c r="CH860" s="76"/>
      <c r="CI860" s="76"/>
      <c r="CJ860" s="76"/>
      <c r="CK860" s="76"/>
      <c r="CL860" s="76"/>
      <c r="CM860" s="76"/>
      <c r="CN860" s="76"/>
      <c r="CO860" s="76"/>
      <c r="CP860" s="76"/>
      <c r="CQ860" s="76"/>
      <c r="CR860" s="76"/>
      <c r="CS860" s="76"/>
    </row>
    <row r="861" spans="1:97" s="21" customFormat="1" ht="12.95" customHeight="1">
      <c r="A861"/>
      <c r="B861"/>
      <c r="C861"/>
      <c r="D861"/>
      <c r="E861"/>
      <c r="F861"/>
      <c r="G861"/>
      <c r="H861"/>
      <c r="I861"/>
      <c r="J861"/>
      <c r="K861"/>
      <c r="L861"/>
      <c r="M861"/>
      <c r="N861"/>
      <c r="O861"/>
      <c r="P861"/>
      <c r="Q861"/>
      <c r="R861"/>
      <c r="S861"/>
      <c r="T861"/>
      <c r="U861"/>
      <c r="V861"/>
      <c r="W861"/>
      <c r="X861" s="2"/>
      <c r="Y861" s="2"/>
      <c r="Z861" s="2"/>
      <c r="AA861" s="2"/>
      <c r="AB861" s="2"/>
      <c r="AC861" s="2"/>
      <c r="AD861" s="2"/>
      <c r="AE861"/>
      <c r="AF861"/>
      <c r="AG861" s="304"/>
      <c r="AH861" s="304"/>
      <c r="AI861" s="304"/>
      <c r="AJ861"/>
      <c r="AK861"/>
      <c r="AL861"/>
      <c r="AM861" s="38"/>
      <c r="AN861" s="38"/>
      <c r="AP861" s="1215"/>
      <c r="AQ861" s="1215"/>
      <c r="AR861" s="1215"/>
      <c r="AS861" s="1215"/>
      <c r="AV861" s="1215"/>
      <c r="AW861" s="1215"/>
      <c r="AX861" s="1215"/>
      <c r="AY861" s="1215"/>
      <c r="BB861" s="30" t="s">
        <v>794</v>
      </c>
      <c r="BC861" s="548">
        <v>532060</v>
      </c>
      <c r="BD861" s="548">
        <v>613460</v>
      </c>
      <c r="BE861" s="548">
        <v>740000</v>
      </c>
      <c r="BF861" s="548">
        <v>947200</v>
      </c>
      <c r="BG861" s="548">
        <v>1055240</v>
      </c>
      <c r="BI861" s="30" t="s">
        <v>794</v>
      </c>
      <c r="BJ861" s="548">
        <v>532060</v>
      </c>
      <c r="BK861" s="548">
        <v>613460</v>
      </c>
      <c r="BL861" s="548">
        <v>740000</v>
      </c>
      <c r="BM861" s="548">
        <v>947200</v>
      </c>
      <c r="BN861" s="548">
        <v>1055240</v>
      </c>
      <c r="BO861" s="76"/>
      <c r="BP861" s="76"/>
      <c r="BQ861" s="76"/>
      <c r="BR861" s="76"/>
      <c r="BS861" s="76"/>
      <c r="BT861" s="76"/>
      <c r="BU861" s="76"/>
      <c r="BV861" s="76"/>
      <c r="BW861" s="76"/>
      <c r="BX861" s="76"/>
      <c r="BY861" s="76"/>
      <c r="BZ861" s="76"/>
      <c r="CA861" s="76"/>
      <c r="CB861" s="76"/>
      <c r="CC861" s="76"/>
      <c r="CD861" s="76"/>
      <c r="CE861" s="76"/>
      <c r="CF861" s="76"/>
      <c r="CG861" s="76"/>
      <c r="CH861" s="76"/>
      <c r="CI861" s="76"/>
      <c r="CJ861" s="76"/>
      <c r="CK861" s="76"/>
      <c r="CL861" s="76"/>
      <c r="CM861" s="76"/>
      <c r="CN861" s="76"/>
      <c r="CO861" s="76"/>
      <c r="CP861" s="76"/>
      <c r="CQ861" s="76"/>
      <c r="CR861" s="76"/>
      <c r="CS861" s="76"/>
    </row>
    <row r="862" spans="1:97" s="21" customFormat="1" ht="12.95" customHeight="1">
      <c r="A862"/>
      <c r="B862" s="3"/>
      <c r="C862"/>
      <c r="D862"/>
      <c r="E862"/>
      <c r="F862"/>
      <c r="G862"/>
      <c r="H862" s="214" t="s">
        <v>177</v>
      </c>
      <c r="I862" s="9"/>
      <c r="J862" s="9"/>
      <c r="K862" s="9"/>
      <c r="L862" s="9"/>
      <c r="M862" s="9"/>
      <c r="N862" s="9"/>
      <c r="O862" s="9"/>
      <c r="P862" s="9"/>
      <c r="Q862" s="9"/>
      <c r="R862" s="9"/>
      <c r="S862" s="9"/>
      <c r="T862" s="9"/>
      <c r="U862" s="9"/>
      <c r="V862" s="9"/>
      <c r="W862" s="9"/>
      <c r="X862" s="9"/>
      <c r="Y862" s="52"/>
      <c r="Z862" s="1144"/>
      <c r="AA862" s="1145"/>
      <c r="AB862" s="1145"/>
      <c r="AC862" s="1145"/>
      <c r="AD862" s="1145"/>
      <c r="AE862" s="1146"/>
      <c r="AF862"/>
      <c r="AG862"/>
      <c r="AH862"/>
      <c r="AI862"/>
      <c r="AJ862"/>
      <c r="AK862"/>
      <c r="AL862"/>
      <c r="AM862" s="38"/>
      <c r="AN862" s="38"/>
      <c r="BB862" s="30" t="s">
        <v>693</v>
      </c>
      <c r="BC862" s="549">
        <v>387110</v>
      </c>
      <c r="BD862" s="549">
        <v>446334</v>
      </c>
      <c r="BE862" s="549">
        <v>538400</v>
      </c>
      <c r="BF862" s="549">
        <v>689152</v>
      </c>
      <c r="BG862" s="549">
        <v>767758</v>
      </c>
      <c r="BI862" s="30" t="s">
        <v>693</v>
      </c>
      <c r="BJ862" s="549">
        <v>387110</v>
      </c>
      <c r="BK862" s="549">
        <v>446334</v>
      </c>
      <c r="BL862" s="549">
        <v>538400</v>
      </c>
      <c r="BM862" s="549">
        <v>689152</v>
      </c>
      <c r="BN862" s="549">
        <v>767758</v>
      </c>
      <c r="BO862" s="76"/>
      <c r="BP862" s="76"/>
      <c r="BQ862" s="76"/>
      <c r="BR862" s="76"/>
      <c r="BS862" s="76"/>
      <c r="BT862" s="76"/>
      <c r="BU862" s="76"/>
      <c r="BV862" s="76"/>
      <c r="BW862" s="76"/>
      <c r="BX862" s="76"/>
      <c r="BY862" s="76"/>
      <c r="BZ862" s="76"/>
      <c r="CA862" s="76"/>
      <c r="CB862" s="76"/>
      <c r="CC862" s="76"/>
      <c r="CD862" s="76"/>
      <c r="CE862" s="76"/>
      <c r="CF862" s="76"/>
      <c r="CG862" s="76"/>
      <c r="CH862" s="76"/>
      <c r="CI862" s="76"/>
      <c r="CJ862" s="76"/>
      <c r="CK862" s="76"/>
      <c r="CL862" s="76"/>
      <c r="CM862" s="76"/>
      <c r="CN862" s="76"/>
      <c r="CO862" s="76"/>
      <c r="CP862" s="76"/>
      <c r="CQ862" s="76"/>
      <c r="CR862" s="76"/>
      <c r="CS862" s="76"/>
    </row>
    <row r="863" spans="1:97" s="21" customFormat="1" ht="12.95" customHeight="1">
      <c r="A863"/>
      <c r="B863"/>
      <c r="C863"/>
      <c r="D863"/>
      <c r="E863"/>
      <c r="F863"/>
      <c r="G863"/>
      <c r="H863" s="214" t="s">
        <v>178</v>
      </c>
      <c r="I863" s="9"/>
      <c r="J863" s="9"/>
      <c r="K863" s="9"/>
      <c r="L863" s="9"/>
      <c r="M863" s="9"/>
      <c r="N863" s="9"/>
      <c r="O863" s="9"/>
      <c r="P863" s="9"/>
      <c r="Q863" s="9"/>
      <c r="R863" s="9"/>
      <c r="S863" s="9"/>
      <c r="T863" s="9"/>
      <c r="U863" s="9"/>
      <c r="V863" s="9"/>
      <c r="W863" s="9"/>
      <c r="X863" s="9"/>
      <c r="Y863" s="9"/>
      <c r="Z863" s="1144"/>
      <c r="AA863" s="1145"/>
      <c r="AB863" s="1145"/>
      <c r="AC863" s="1145"/>
      <c r="AD863" s="1145"/>
      <c r="AE863" s="1146"/>
      <c r="AF863"/>
      <c r="AG863"/>
      <c r="AH863"/>
      <c r="AI863"/>
      <c r="AJ863"/>
      <c r="AK863"/>
      <c r="AL863"/>
      <c r="AM863" s="38"/>
      <c r="AN863" s="38"/>
      <c r="BB863" s="30" t="s">
        <v>694</v>
      </c>
      <c r="BC863" s="550">
        <v>319236</v>
      </c>
      <c r="BD863" s="550">
        <v>368076</v>
      </c>
      <c r="BE863" s="550">
        <v>444000</v>
      </c>
      <c r="BF863" s="550">
        <v>568320</v>
      </c>
      <c r="BG863" s="550">
        <v>633144</v>
      </c>
      <c r="BI863" s="30" t="s">
        <v>694</v>
      </c>
      <c r="BJ863" s="550">
        <v>319236</v>
      </c>
      <c r="BK863" s="550">
        <v>368076</v>
      </c>
      <c r="BL863" s="550">
        <v>444000</v>
      </c>
      <c r="BM863" s="550">
        <v>568320</v>
      </c>
      <c r="BN863" s="550">
        <v>633144</v>
      </c>
      <c r="BO863" s="76"/>
      <c r="BP863" s="76"/>
      <c r="BQ863" s="76"/>
      <c r="BR863" s="76"/>
      <c r="BS863" s="76"/>
      <c r="BT863" s="76"/>
      <c r="BU863" s="76"/>
      <c r="BV863" s="76"/>
      <c r="BW863" s="76"/>
      <c r="BX863" s="76"/>
      <c r="BY863" s="76"/>
      <c r="BZ863" s="76"/>
      <c r="CA863" s="76"/>
      <c r="CB863" s="76"/>
      <c r="CC863" s="76"/>
      <c r="CD863" s="76"/>
      <c r="CE863" s="76"/>
      <c r="CF863" s="76"/>
      <c r="CG863" s="76"/>
      <c r="CH863" s="76"/>
      <c r="CI863" s="76"/>
      <c r="CJ863" s="76"/>
      <c r="CK863" s="76"/>
      <c r="CL863" s="76"/>
      <c r="CM863" s="76"/>
      <c r="CN863" s="76"/>
      <c r="CO863" s="76"/>
      <c r="CP863" s="76"/>
      <c r="CQ863" s="76"/>
      <c r="CR863" s="76"/>
      <c r="CS863" s="76"/>
    </row>
    <row r="864" spans="1:97" s="21" customFormat="1" ht="12.95" customHeight="1">
      <c r="A864"/>
      <c r="B864"/>
      <c r="C864"/>
      <c r="D864"/>
      <c r="E864"/>
      <c r="F864"/>
      <c r="G864"/>
      <c r="H864" s="214" t="s">
        <v>823</v>
      </c>
      <c r="I864" s="9"/>
      <c r="J864" s="9"/>
      <c r="K864" s="9"/>
      <c r="L864" s="9"/>
      <c r="M864" s="9"/>
      <c r="N864" s="9"/>
      <c r="O864" s="9"/>
      <c r="P864" s="9"/>
      <c r="Q864" s="9"/>
      <c r="R864" s="9"/>
      <c r="S864" s="9"/>
      <c r="T864" s="9"/>
      <c r="U864" s="9"/>
      <c r="V864" s="9"/>
      <c r="W864" s="9"/>
      <c r="X864" s="9"/>
      <c r="Y864" s="9"/>
      <c r="Z864" s="1144"/>
      <c r="AA864" s="1145"/>
      <c r="AB864" s="1145"/>
      <c r="AC864" s="1145"/>
      <c r="AD864" s="1145"/>
      <c r="AE864" s="1146"/>
      <c r="AF864"/>
      <c r="AG864"/>
      <c r="AH864"/>
      <c r="AI864"/>
      <c r="AJ864"/>
      <c r="AK864"/>
      <c r="AL864"/>
      <c r="AM864" s="38"/>
      <c r="AN864" s="38"/>
      <c r="BB864" s="30" t="s">
        <v>695</v>
      </c>
      <c r="BC864" s="549">
        <v>352022</v>
      </c>
      <c r="BD864" s="549">
        <v>405878</v>
      </c>
      <c r="BE864" s="549">
        <v>489600</v>
      </c>
      <c r="BF864" s="549">
        <v>626688</v>
      </c>
      <c r="BG864" s="549">
        <v>698170</v>
      </c>
      <c r="BI864" s="30" t="s">
        <v>695</v>
      </c>
      <c r="BJ864" s="549">
        <v>352022</v>
      </c>
      <c r="BK864" s="549">
        <v>405878</v>
      </c>
      <c r="BL864" s="549">
        <v>489600</v>
      </c>
      <c r="BM864" s="549">
        <v>626688</v>
      </c>
      <c r="BN864" s="549">
        <v>698170</v>
      </c>
      <c r="BO864" s="76"/>
      <c r="BP864" s="76"/>
      <c r="BQ864" s="76"/>
      <c r="BR864" s="76"/>
      <c r="BS864" s="76"/>
      <c r="BT864" s="76"/>
      <c r="BU864" s="76"/>
      <c r="BV864" s="76"/>
      <c r="BW864" s="76"/>
      <c r="BX864" s="76"/>
      <c r="BY864" s="76"/>
      <c r="BZ864" s="76"/>
      <c r="CA864" s="76"/>
      <c r="CB864" s="76"/>
      <c r="CC864" s="76"/>
      <c r="CD864" s="76"/>
      <c r="CE864" s="76"/>
      <c r="CF864" s="76"/>
      <c r="CG864" s="76"/>
      <c r="CH864" s="76"/>
      <c r="CI864" s="76"/>
      <c r="CJ864" s="76"/>
      <c r="CK864" s="76"/>
      <c r="CL864" s="76"/>
      <c r="CM864" s="76"/>
      <c r="CN864" s="76"/>
      <c r="CO864" s="76"/>
      <c r="CP864" s="76"/>
      <c r="CQ864" s="76"/>
      <c r="CR864" s="76"/>
      <c r="CS864" s="76"/>
    </row>
    <row r="865" spans="1:97" s="21" customFormat="1" ht="12.95" customHeight="1">
      <c r="A865"/>
      <c r="B865"/>
      <c r="C865"/>
      <c r="D865"/>
      <c r="E865"/>
      <c r="F865"/>
      <c r="G865"/>
      <c r="H865" s="8"/>
      <c r="I865" s="9"/>
      <c r="J865" s="9"/>
      <c r="K865" s="9"/>
      <c r="L865" s="9"/>
      <c r="M865" s="9"/>
      <c r="N865" s="9"/>
      <c r="O865" s="9"/>
      <c r="P865" s="9"/>
      <c r="Q865" s="9"/>
      <c r="R865" s="9"/>
      <c r="S865" s="9"/>
      <c r="T865" s="9"/>
      <c r="U865" s="9"/>
      <c r="V865" s="9"/>
      <c r="W865" s="9"/>
      <c r="X865" s="9"/>
      <c r="Y865" s="307" t="s">
        <v>824</v>
      </c>
      <c r="Z865" s="1150">
        <f>Z862-(Z863+Z864)</f>
        <v>0</v>
      </c>
      <c r="AA865" s="1151"/>
      <c r="AB865" s="1151"/>
      <c r="AC865" s="1151"/>
      <c r="AD865" s="1151"/>
      <c r="AE865" s="1152"/>
      <c r="AF865"/>
      <c r="AG865"/>
      <c r="AH865"/>
      <c r="AI865"/>
      <c r="AJ865"/>
      <c r="AK865"/>
      <c r="AL865"/>
      <c r="AM865" s="38"/>
      <c r="AN865" s="38"/>
      <c r="BB865" s="30" t="s">
        <v>696</v>
      </c>
      <c r="BC865" s="550">
        <v>352022</v>
      </c>
      <c r="BD865" s="550">
        <v>405878</v>
      </c>
      <c r="BE865" s="550">
        <v>489600</v>
      </c>
      <c r="BF865" s="550">
        <v>626688</v>
      </c>
      <c r="BG865" s="550">
        <v>698170</v>
      </c>
      <c r="BI865" s="30" t="s">
        <v>696</v>
      </c>
      <c r="BJ865" s="550">
        <v>352022</v>
      </c>
      <c r="BK865" s="550">
        <v>405878</v>
      </c>
      <c r="BL865" s="550">
        <v>489600</v>
      </c>
      <c r="BM865" s="550">
        <v>626688</v>
      </c>
      <c r="BN865" s="550">
        <v>698170</v>
      </c>
      <c r="BO865" s="76"/>
      <c r="BP865" s="76"/>
      <c r="BQ865" s="76"/>
      <c r="BR865" s="76"/>
      <c r="BS865" s="76"/>
      <c r="BT865" s="76"/>
      <c r="BU865" s="76"/>
      <c r="BV865" s="76"/>
      <c r="BW865" s="76"/>
      <c r="BX865" s="76"/>
      <c r="BY865" s="76"/>
      <c r="BZ865" s="76"/>
      <c r="CA865" s="76"/>
      <c r="CB865" s="76"/>
      <c r="CC865" s="76"/>
      <c r="CD865" s="76"/>
      <c r="CE865" s="76"/>
      <c r="CF865" s="76"/>
      <c r="CG865" s="76"/>
      <c r="CH865" s="76"/>
      <c r="CI865" s="76"/>
      <c r="CJ865" s="76"/>
      <c r="CK865" s="76"/>
      <c r="CL865" s="76"/>
      <c r="CM865" s="76"/>
      <c r="CN865" s="76"/>
      <c r="CO865" s="76"/>
      <c r="CP865" s="76"/>
      <c r="CQ865" s="76"/>
      <c r="CR865" s="76"/>
      <c r="CS865" s="76"/>
    </row>
    <row r="866" spans="1:97" s="21" customFormat="1" ht="12.95" customHeight="1">
      <c r="A866"/>
      <c r="B866"/>
      <c r="C866"/>
      <c r="D866" s="260"/>
      <c r="E866" s="304"/>
      <c r="F866" s="304"/>
      <c r="G866" s="304"/>
      <c r="H866" s="5"/>
      <c r="I866" s="5"/>
      <c r="J866" s="5"/>
      <c r="K866" s="5"/>
      <c r="L866" s="5"/>
      <c r="M866" s="5"/>
      <c r="N866" s="5"/>
      <c r="O866" s="5"/>
      <c r="P866" s="5"/>
      <c r="Q866" s="5"/>
      <c r="R866" s="5"/>
      <c r="S866" s="5"/>
      <c r="T866" s="5"/>
      <c r="U866" s="5"/>
      <c r="V866" s="5"/>
      <c r="W866" s="5"/>
      <c r="X866" s="5"/>
      <c r="Y866" s="5"/>
      <c r="Z866" s="5"/>
      <c r="AA866" s="5"/>
      <c r="AB866" s="5"/>
      <c r="AC866" s="5"/>
      <c r="AD866" s="5"/>
      <c r="AE866" s="5"/>
      <c r="AF866" s="304"/>
      <c r="AG866"/>
      <c r="AH866"/>
      <c r="AI866"/>
      <c r="AJ866"/>
      <c r="AK866"/>
      <c r="AL866"/>
      <c r="AM866" s="38"/>
      <c r="AN866" s="38"/>
      <c r="BB866" s="30" t="s">
        <v>697</v>
      </c>
      <c r="BC866" s="549">
        <v>384234</v>
      </c>
      <c r="BD866" s="549">
        <v>443018</v>
      </c>
      <c r="BE866" s="549">
        <v>534400</v>
      </c>
      <c r="BF866" s="549">
        <v>684032</v>
      </c>
      <c r="BG866" s="549">
        <v>762054</v>
      </c>
      <c r="BI866" s="30" t="s">
        <v>697</v>
      </c>
      <c r="BJ866" s="549">
        <v>384234</v>
      </c>
      <c r="BK866" s="549">
        <v>443018</v>
      </c>
      <c r="BL866" s="549">
        <v>534400</v>
      </c>
      <c r="BM866" s="549">
        <v>684032</v>
      </c>
      <c r="BN866" s="549">
        <v>762054</v>
      </c>
      <c r="BO866" s="76"/>
      <c r="BP866" s="76"/>
      <c r="BQ866" s="76"/>
      <c r="BR866" s="76"/>
      <c r="BS866" s="76"/>
      <c r="BT866" s="76"/>
      <c r="BU866" s="76"/>
      <c r="BV866" s="76"/>
      <c r="BW866" s="76"/>
      <c r="BX866" s="76"/>
      <c r="BY866" s="76"/>
      <c r="BZ866" s="76"/>
      <c r="CA866" s="76"/>
      <c r="CB866" s="76"/>
      <c r="CC866" s="76"/>
      <c r="CD866" s="76"/>
      <c r="CE866" s="76"/>
      <c r="CF866" s="76"/>
      <c r="CG866" s="76"/>
      <c r="CH866" s="76"/>
      <c r="CI866" s="76"/>
      <c r="CJ866" s="76"/>
      <c r="CK866" s="76"/>
      <c r="CL866" s="76"/>
      <c r="CM866" s="76"/>
      <c r="CN866" s="76"/>
      <c r="CO866" s="76"/>
      <c r="CP866" s="76"/>
      <c r="CQ866" s="76"/>
      <c r="CR866" s="76"/>
      <c r="CS866" s="76"/>
    </row>
    <row r="867" spans="1:97" s="21" customFormat="1" ht="12.95" customHeight="1">
      <c r="A867"/>
      <c r="B867"/>
      <c r="C867" t="s">
        <v>385</v>
      </c>
      <c r="D867" s="260"/>
      <c r="E867" s="304"/>
      <c r="F867" s="304"/>
      <c r="G867" s="304"/>
      <c r="H867" s="5"/>
      <c r="I867" s="5"/>
      <c r="J867" s="5"/>
      <c r="K867" s="5"/>
      <c r="L867" s="5"/>
      <c r="M867" s="5"/>
      <c r="N867" s="5"/>
      <c r="O867" s="5"/>
      <c r="P867" s="5"/>
      <c r="Q867" s="5"/>
      <c r="R867" s="5"/>
      <c r="S867" s="5"/>
      <c r="T867" s="5"/>
      <c r="U867" s="5"/>
      <c r="V867" s="5"/>
      <c r="W867" s="5"/>
      <c r="X867" s="5"/>
      <c r="Y867" s="5"/>
      <c r="Z867" s="5"/>
      <c r="AA867" s="5"/>
      <c r="AB867" s="5"/>
      <c r="AC867" s="5"/>
      <c r="AD867" s="5"/>
      <c r="AE867" s="5"/>
      <c r="AF867" s="304"/>
      <c r="AG867"/>
      <c r="AH867"/>
      <c r="AI867"/>
      <c r="AJ867"/>
      <c r="AK867"/>
      <c r="AL867"/>
      <c r="AM867" s="38"/>
      <c r="AN867" s="38"/>
      <c r="BB867" s="30" t="s">
        <v>940</v>
      </c>
      <c r="BC867" s="550">
        <v>384234</v>
      </c>
      <c r="BD867" s="550">
        <v>443018</v>
      </c>
      <c r="BE867" s="550">
        <v>534400</v>
      </c>
      <c r="BF867" s="550">
        <v>684032</v>
      </c>
      <c r="BG867" s="550">
        <v>762054</v>
      </c>
      <c r="BI867" s="30" t="s">
        <v>940</v>
      </c>
      <c r="BJ867" s="550">
        <v>384234</v>
      </c>
      <c r="BK867" s="550">
        <v>443018</v>
      </c>
      <c r="BL867" s="550">
        <v>534400</v>
      </c>
      <c r="BM867" s="550">
        <v>684032</v>
      </c>
      <c r="BN867" s="550">
        <v>762054</v>
      </c>
      <c r="BO867" s="76"/>
      <c r="BP867" s="76"/>
      <c r="BQ867" s="76"/>
      <c r="BR867" s="76"/>
      <c r="BS867" s="76"/>
      <c r="BT867" s="76"/>
      <c r="BU867" s="76"/>
      <c r="BV867" s="76"/>
      <c r="BW867" s="76"/>
      <c r="BX867" s="76"/>
      <c r="BY867" s="76"/>
      <c r="BZ867" s="76"/>
      <c r="CA867" s="76"/>
      <c r="CB867" s="76"/>
      <c r="CC867" s="76"/>
      <c r="CD867" s="76"/>
      <c r="CE867" s="76"/>
      <c r="CF867" s="76"/>
      <c r="CG867" s="76"/>
      <c r="CH867" s="76"/>
      <c r="CI867" s="76"/>
      <c r="CJ867" s="76"/>
      <c r="CK867" s="76"/>
      <c r="CL867" s="76"/>
      <c r="CM867" s="76"/>
      <c r="CN867" s="76"/>
      <c r="CO867" s="76"/>
      <c r="CP867" s="76"/>
      <c r="CQ867" s="76"/>
      <c r="CR867" s="76"/>
      <c r="CS867" s="76"/>
    </row>
    <row r="868" spans="1:97" s="21" customFormat="1" ht="12.95" customHeight="1">
      <c r="A868"/>
      <c r="B868"/>
      <c r="C868" s="309" t="s">
        <v>386</v>
      </c>
      <c r="D868" s="260"/>
      <c r="E868" s="304"/>
      <c r="F868" s="304"/>
      <c r="G868" s="304"/>
      <c r="H868" s="5"/>
      <c r="I868" s="5"/>
      <c r="J868" s="5"/>
      <c r="K868" s="5"/>
      <c r="L868" s="5"/>
      <c r="M868" s="5"/>
      <c r="N868" s="5"/>
      <c r="O868" s="5"/>
      <c r="P868" s="5"/>
      <c r="Q868" s="5"/>
      <c r="R868" s="5"/>
      <c r="S868" s="5"/>
      <c r="T868" s="5"/>
      <c r="U868" s="5"/>
      <c r="V868" s="5"/>
      <c r="W868" s="5"/>
      <c r="X868" s="5"/>
      <c r="Y868" s="5"/>
      <c r="Z868" s="5"/>
      <c r="AA868" s="5"/>
      <c r="AB868" s="5"/>
      <c r="AC868" s="5"/>
      <c r="AD868" s="5"/>
      <c r="AE868" s="5"/>
      <c r="AF868" s="304"/>
      <c r="AG868"/>
      <c r="AH868"/>
      <c r="AI868"/>
      <c r="AJ868"/>
      <c r="AK868"/>
      <c r="AL868"/>
      <c r="AM868" s="38"/>
      <c r="AN868" s="38"/>
      <c r="BB868" s="30" t="s">
        <v>941</v>
      </c>
      <c r="BC868" s="549">
        <v>307732</v>
      </c>
      <c r="BD868" s="549">
        <v>354812</v>
      </c>
      <c r="BE868" s="549">
        <v>428000</v>
      </c>
      <c r="BF868" s="549">
        <v>547840</v>
      </c>
      <c r="BG868" s="549">
        <v>610328</v>
      </c>
      <c r="BI868" s="30" t="s">
        <v>941</v>
      </c>
      <c r="BJ868" s="549">
        <v>307732</v>
      </c>
      <c r="BK868" s="549">
        <v>354812</v>
      </c>
      <c r="BL868" s="549">
        <v>428000</v>
      </c>
      <c r="BM868" s="549">
        <v>547840</v>
      </c>
      <c r="BN868" s="549">
        <v>610328</v>
      </c>
      <c r="BO868" s="76"/>
      <c r="BP868" s="76"/>
      <c r="BQ868" s="76"/>
      <c r="BR868" s="76"/>
      <c r="BS868" s="76"/>
      <c r="BT868" s="76"/>
      <c r="BU868" s="76"/>
      <c r="BV868" s="76"/>
      <c r="BW868" s="76"/>
      <c r="BX868" s="76"/>
      <c r="BY868" s="76"/>
      <c r="BZ868" s="76"/>
      <c r="CA868" s="76"/>
      <c r="CB868" s="76"/>
      <c r="CC868" s="76"/>
      <c r="CD868" s="76"/>
      <c r="CE868" s="76"/>
      <c r="CF868" s="76"/>
      <c r="CG868" s="76"/>
      <c r="CH868" s="76"/>
      <c r="CI868" s="76"/>
      <c r="CJ868" s="76"/>
      <c r="CK868" s="76"/>
      <c r="CL868" s="76"/>
      <c r="CM868" s="76"/>
      <c r="CN868" s="76"/>
      <c r="CO868" s="76"/>
      <c r="CP868" s="76"/>
      <c r="CQ868" s="76"/>
      <c r="CR868" s="76"/>
      <c r="CS868" s="76"/>
    </row>
    <row r="869" spans="1:97" s="21" customFormat="1" ht="12.95" customHeight="1">
      <c r="A869"/>
      <c r="B869"/>
      <c r="C869" s="309" t="s">
        <v>387</v>
      </c>
      <c r="D869" s="260"/>
      <c r="E869" s="304"/>
      <c r="F869" s="304"/>
      <c r="G869" s="304"/>
      <c r="H869" s="5"/>
      <c r="I869" s="5"/>
      <c r="J869" s="5"/>
      <c r="K869" s="5"/>
      <c r="L869" s="5"/>
      <c r="M869" s="5"/>
      <c r="N869" s="5"/>
      <c r="O869" s="5"/>
      <c r="P869" s="5"/>
      <c r="Q869" s="5"/>
      <c r="R869" s="5"/>
      <c r="S869" s="5"/>
      <c r="T869" s="5"/>
      <c r="U869" s="5"/>
      <c r="V869" s="5"/>
      <c r="W869" s="5"/>
      <c r="X869" s="5"/>
      <c r="Y869" s="5"/>
      <c r="Z869" s="5"/>
      <c r="AA869" s="5"/>
      <c r="AB869" s="5"/>
      <c r="AC869" s="5"/>
      <c r="AD869" s="5"/>
      <c r="AE869" s="5"/>
      <c r="AF869" s="304"/>
      <c r="AG869"/>
      <c r="AH869"/>
      <c r="AI869"/>
      <c r="AJ869"/>
      <c r="AK869"/>
      <c r="AL869"/>
      <c r="AM869" s="38"/>
      <c r="AN869" s="38"/>
      <c r="AT869" s="87"/>
      <c r="AU869" s="87"/>
      <c r="AV869" s="87"/>
      <c r="AW869" s="87"/>
      <c r="AX869" s="87"/>
      <c r="AY869" s="87"/>
      <c r="BB869" s="30" t="s">
        <v>1</v>
      </c>
      <c r="BC869" s="550">
        <v>331890</v>
      </c>
      <c r="BD869" s="550">
        <v>382666</v>
      </c>
      <c r="BE869" s="550">
        <v>461600</v>
      </c>
      <c r="BF869" s="550">
        <v>590848</v>
      </c>
      <c r="BG869" s="550">
        <v>658242</v>
      </c>
      <c r="BI869" s="30" t="s">
        <v>1</v>
      </c>
      <c r="BJ869" s="550">
        <v>331890</v>
      </c>
      <c r="BK869" s="550">
        <v>382666</v>
      </c>
      <c r="BL869" s="550">
        <v>461600</v>
      </c>
      <c r="BM869" s="550">
        <v>590848</v>
      </c>
      <c r="BN869" s="550">
        <v>658242</v>
      </c>
      <c r="BO869" s="76"/>
      <c r="BP869" s="76"/>
      <c r="BQ869" s="76"/>
      <c r="BR869" s="76"/>
      <c r="BS869" s="76"/>
      <c r="BT869" s="76"/>
      <c r="BU869" s="76"/>
      <c r="BV869" s="76"/>
      <c r="BW869" s="76"/>
      <c r="BX869" s="76"/>
      <c r="BY869" s="76"/>
      <c r="BZ869" s="76"/>
      <c r="CA869" s="76"/>
      <c r="CB869" s="76"/>
      <c r="CC869" s="76"/>
      <c r="CD869" s="76"/>
      <c r="CE869" s="76"/>
      <c r="CF869" s="76"/>
      <c r="CG869" s="76"/>
      <c r="CH869" s="76"/>
      <c r="CI869" s="76"/>
      <c r="CJ869" s="76"/>
      <c r="CK869" s="76"/>
      <c r="CL869" s="76"/>
      <c r="CM869" s="76"/>
      <c r="CN869" s="76"/>
      <c r="CO869" s="76"/>
      <c r="CP869" s="76"/>
      <c r="CQ869" s="76"/>
      <c r="CR869" s="76"/>
      <c r="CS869" s="76"/>
    </row>
    <row r="870" spans="1:97" s="21" customFormat="1" ht="12.95" customHeight="1">
      <c r="A870"/>
      <c r="B870"/>
      <c r="C870" s="21" t="s">
        <v>788</v>
      </c>
      <c r="D870" s="260"/>
      <c r="E870" s="304"/>
      <c r="F870" s="304"/>
      <c r="G870" s="304"/>
      <c r="H870" s="5"/>
      <c r="I870" s="5"/>
      <c r="J870" s="5"/>
      <c r="K870" s="5"/>
      <c r="L870" s="5"/>
      <c r="M870" s="5"/>
      <c r="N870" s="5"/>
      <c r="O870" s="5"/>
      <c r="P870" s="5"/>
      <c r="Q870" s="5"/>
      <c r="R870" s="5"/>
      <c r="S870" s="5"/>
      <c r="T870" s="5"/>
      <c r="U870" s="5"/>
      <c r="V870" s="5"/>
      <c r="W870" s="5"/>
      <c r="X870" s="5"/>
      <c r="Y870" s="5"/>
      <c r="Z870" s="5"/>
      <c r="AA870" s="5"/>
      <c r="AB870" s="5"/>
      <c r="AC870" s="5"/>
      <c r="AD870" s="5"/>
      <c r="AE870" s="5"/>
      <c r="AF870" s="304"/>
      <c r="AG870"/>
      <c r="AH870"/>
      <c r="AI870"/>
      <c r="AJ870"/>
      <c r="AK870"/>
      <c r="AL870"/>
      <c r="AM870" s="38"/>
      <c r="AN870" s="38"/>
      <c r="AT870" s="87"/>
      <c r="AU870" s="87"/>
      <c r="AV870" s="87"/>
      <c r="AW870" s="87"/>
      <c r="AX870" s="87"/>
      <c r="AY870" s="87"/>
      <c r="BB870" s="30" t="s">
        <v>2</v>
      </c>
      <c r="BC870" s="549">
        <v>352022</v>
      </c>
      <c r="BD870" s="549">
        <v>405878</v>
      </c>
      <c r="BE870" s="549">
        <v>489600</v>
      </c>
      <c r="BF870" s="549">
        <v>626688</v>
      </c>
      <c r="BG870" s="549">
        <v>698170</v>
      </c>
      <c r="BI870" s="30" t="s">
        <v>2</v>
      </c>
      <c r="BJ870" s="549">
        <v>352022</v>
      </c>
      <c r="BK870" s="549">
        <v>405878</v>
      </c>
      <c r="BL870" s="549">
        <v>489600</v>
      </c>
      <c r="BM870" s="549">
        <v>626688</v>
      </c>
      <c r="BN870" s="549">
        <v>698170</v>
      </c>
      <c r="BO870" s="76"/>
      <c r="BP870" s="76"/>
      <c r="BQ870" s="76"/>
      <c r="BR870" s="76"/>
      <c r="BS870" s="76"/>
      <c r="BT870" s="76"/>
      <c r="BU870" s="76"/>
      <c r="BV870" s="76"/>
      <c r="BW870" s="76"/>
      <c r="BX870" s="76"/>
      <c r="BY870" s="76"/>
      <c r="BZ870" s="76"/>
      <c r="CA870" s="76"/>
      <c r="CB870" s="76"/>
      <c r="CC870" s="76"/>
      <c r="CD870" s="76"/>
      <c r="CE870" s="76"/>
      <c r="CF870" s="76"/>
      <c r="CG870" s="76"/>
      <c r="CH870" s="76"/>
      <c r="CI870" s="76"/>
      <c r="CJ870" s="76"/>
      <c r="CK870" s="76"/>
      <c r="CL870" s="76"/>
      <c r="CM870" s="76"/>
      <c r="CN870" s="76"/>
      <c r="CO870" s="76"/>
      <c r="CP870" s="76"/>
      <c r="CQ870" s="76"/>
      <c r="CR870" s="76"/>
      <c r="CS870" s="76"/>
    </row>
    <row r="871" spans="1:97" s="21" customFormat="1" ht="12.95" customHeight="1">
      <c r="A871"/>
      <c r="B871"/>
      <c r="D871" s="260"/>
      <c r="E871" s="304"/>
      <c r="F871" s="304"/>
      <c r="G871" s="304"/>
      <c r="H871" s="5"/>
      <c r="I871" s="5"/>
      <c r="J871" s="5"/>
      <c r="K871" s="5"/>
      <c r="L871" s="5"/>
      <c r="M871" s="5"/>
      <c r="N871" s="5"/>
      <c r="O871" s="5"/>
      <c r="P871" s="5"/>
      <c r="Q871" s="5"/>
      <c r="R871" s="5"/>
      <c r="S871" s="5"/>
      <c r="T871" s="5"/>
      <c r="U871" s="5"/>
      <c r="V871" s="5"/>
      <c r="W871" s="5"/>
      <c r="X871" s="5"/>
      <c r="Y871" s="5"/>
      <c r="Z871" s="5"/>
      <c r="AA871" s="5"/>
      <c r="AB871" s="5"/>
      <c r="AC871" s="5"/>
      <c r="AD871" s="5"/>
      <c r="AE871" s="5"/>
      <c r="AF871" s="304"/>
      <c r="AG871" s="304"/>
      <c r="AH871" s="304"/>
      <c r="AI871" s="304"/>
      <c r="AJ871"/>
      <c r="AK871"/>
      <c r="AL871"/>
      <c r="AM871" s="350"/>
      <c r="AN871" s="350"/>
      <c r="BB871" s="30" t="s">
        <v>3</v>
      </c>
      <c r="BC871" s="550">
        <v>352022</v>
      </c>
      <c r="BD871" s="550">
        <v>405878</v>
      </c>
      <c r="BE871" s="550">
        <v>489600</v>
      </c>
      <c r="BF871" s="550">
        <v>626688</v>
      </c>
      <c r="BG871" s="550">
        <v>698170</v>
      </c>
      <c r="BI871" s="30" t="s">
        <v>3</v>
      </c>
      <c r="BJ871" s="550">
        <v>352022</v>
      </c>
      <c r="BK871" s="550">
        <v>405878</v>
      </c>
      <c r="BL871" s="550">
        <v>489600</v>
      </c>
      <c r="BM871" s="550">
        <v>626688</v>
      </c>
      <c r="BN871" s="550">
        <v>698170</v>
      </c>
      <c r="BO871" s="76"/>
      <c r="BP871" s="76"/>
      <c r="BQ871" s="76"/>
      <c r="BR871" s="76"/>
      <c r="BS871" s="76"/>
      <c r="BT871" s="76"/>
      <c r="BU871" s="76"/>
      <c r="BV871" s="76"/>
      <c r="BW871" s="76"/>
      <c r="BX871" s="76"/>
      <c r="BY871" s="76"/>
      <c r="BZ871" s="76"/>
      <c r="CA871" s="76"/>
      <c r="CB871" s="76"/>
      <c r="CC871" s="76"/>
      <c r="CD871" s="76"/>
      <c r="CE871" s="76"/>
      <c r="CF871" s="76"/>
      <c r="CG871" s="76"/>
      <c r="CH871" s="76"/>
      <c r="CI871" s="76"/>
      <c r="CJ871" s="76"/>
      <c r="CK871" s="76"/>
      <c r="CL871" s="76"/>
      <c r="CM871" s="76"/>
      <c r="CN871" s="76"/>
      <c r="CO871" s="76"/>
      <c r="CP871" s="76"/>
      <c r="CQ871" s="76"/>
      <c r="CR871" s="76"/>
      <c r="CS871" s="76"/>
    </row>
    <row r="872" spans="1:97" s="21" customFormat="1" ht="12.95" customHeight="1">
      <c r="A872" s="1147" t="s">
        <v>136</v>
      </c>
      <c r="B872" s="1147"/>
      <c r="C872" s="1147"/>
      <c r="D872" s="1147"/>
      <c r="E872" s="1147"/>
      <c r="F872" s="1147"/>
      <c r="G872" s="1147"/>
      <c r="H872" s="1147"/>
      <c r="I872" s="1147"/>
      <c r="J872" s="1147"/>
      <c r="K872" s="1147"/>
      <c r="L872" s="1147"/>
      <c r="M872" s="1147"/>
      <c r="N872" s="1147"/>
      <c r="O872" s="1147"/>
      <c r="P872" s="1147"/>
      <c r="Q872" s="1147"/>
      <c r="R872" s="1147"/>
      <c r="S872" s="1147"/>
      <c r="T872" s="1147"/>
      <c r="U872" s="1147"/>
      <c r="V872" s="1147"/>
      <c r="W872" s="1147"/>
      <c r="X872" s="1147"/>
      <c r="Y872" s="1147"/>
      <c r="Z872" s="1147"/>
      <c r="AA872" s="1147"/>
      <c r="AB872" s="1147"/>
      <c r="AC872" s="1147"/>
      <c r="AD872" s="1147"/>
      <c r="AE872" s="1147"/>
      <c r="AF872" s="1147"/>
      <c r="AG872" s="1147"/>
      <c r="AH872" s="1147"/>
      <c r="AI872" s="1147"/>
      <c r="AJ872" s="1147"/>
      <c r="AK872" s="1147"/>
      <c r="AL872" s="1147"/>
      <c r="AM872" s="38"/>
      <c r="AN872" s="38"/>
      <c r="BB872" s="30" t="s">
        <v>4</v>
      </c>
      <c r="BC872" s="549">
        <v>307732</v>
      </c>
      <c r="BD872" s="549">
        <v>354812</v>
      </c>
      <c r="BE872" s="549">
        <v>428000</v>
      </c>
      <c r="BF872" s="549">
        <v>547840</v>
      </c>
      <c r="BG872" s="549">
        <v>610328</v>
      </c>
      <c r="BI872" s="30" t="s">
        <v>4</v>
      </c>
      <c r="BJ872" s="549">
        <v>307732</v>
      </c>
      <c r="BK872" s="549">
        <v>354812</v>
      </c>
      <c r="BL872" s="549">
        <v>428000</v>
      </c>
      <c r="BM872" s="549">
        <v>547840</v>
      </c>
      <c r="BN872" s="549">
        <v>610328</v>
      </c>
      <c r="BO872" s="76"/>
      <c r="BP872" s="76"/>
      <c r="BQ872" s="76"/>
      <c r="BR872" s="76"/>
      <c r="BS872" s="76"/>
      <c r="BT872" s="76"/>
      <c r="BU872" s="76"/>
      <c r="BV872" s="76"/>
      <c r="BW872" s="76"/>
      <c r="BX872" s="76"/>
      <c r="BY872" s="76"/>
      <c r="BZ872" s="76"/>
      <c r="CA872" s="76"/>
      <c r="CB872" s="76"/>
      <c r="CC872" s="76"/>
      <c r="CD872" s="76"/>
      <c r="CE872" s="76"/>
      <c r="CF872" s="76"/>
      <c r="CG872" s="76"/>
      <c r="CH872" s="76"/>
      <c r="CI872" s="76"/>
      <c r="CJ872" s="76"/>
      <c r="CK872" s="76"/>
      <c r="CL872" s="76"/>
      <c r="CM872" s="76"/>
      <c r="CN872" s="76"/>
      <c r="CO872" s="76"/>
      <c r="CP872" s="76"/>
      <c r="CQ872" s="76"/>
      <c r="CR872" s="76"/>
      <c r="CS872" s="76"/>
    </row>
    <row r="873" spans="1:97" s="21" customFormat="1" ht="12.95" customHeight="1">
      <c r="A873" s="1147"/>
      <c r="B873" s="1147"/>
      <c r="C873" s="1147"/>
      <c r="D873" s="1147"/>
      <c r="E873" s="1147"/>
      <c r="F873" s="1147"/>
      <c r="G873" s="1147"/>
      <c r="H873" s="1147"/>
      <c r="I873" s="1147"/>
      <c r="J873" s="1147"/>
      <c r="K873" s="1147"/>
      <c r="L873" s="1147"/>
      <c r="M873" s="1147"/>
      <c r="N873" s="1147"/>
      <c r="O873" s="1147"/>
      <c r="P873" s="1147"/>
      <c r="Q873" s="1147"/>
      <c r="R873" s="1147"/>
      <c r="S873" s="1147"/>
      <c r="T873" s="1147"/>
      <c r="U873" s="1147"/>
      <c r="V873" s="1147"/>
      <c r="W873" s="1147"/>
      <c r="X873" s="1147"/>
      <c r="Y873" s="1147"/>
      <c r="Z873" s="1147"/>
      <c r="AA873" s="1147"/>
      <c r="AB873" s="1147"/>
      <c r="AC873" s="1147"/>
      <c r="AD873" s="1147"/>
      <c r="AE873" s="1147"/>
      <c r="AF873" s="1147"/>
      <c r="AG873" s="1147"/>
      <c r="AH873" s="1147"/>
      <c r="AI873" s="1147"/>
      <c r="AJ873" s="1147"/>
      <c r="AK873" s="1147"/>
      <c r="AL873" s="1147"/>
      <c r="AM873" s="38"/>
      <c r="AN873" s="38"/>
      <c r="BB873" s="30" t="s">
        <v>21</v>
      </c>
      <c r="BC873" s="550">
        <v>352022</v>
      </c>
      <c r="BD873" s="550">
        <v>405878</v>
      </c>
      <c r="BE873" s="550">
        <v>489600</v>
      </c>
      <c r="BF873" s="550">
        <v>626688</v>
      </c>
      <c r="BG873" s="550">
        <v>698170</v>
      </c>
      <c r="BI873" s="30" t="s">
        <v>21</v>
      </c>
      <c r="BJ873" s="550">
        <v>352022</v>
      </c>
      <c r="BK873" s="550">
        <v>405878</v>
      </c>
      <c r="BL873" s="550">
        <v>489600</v>
      </c>
      <c r="BM873" s="550">
        <v>626688</v>
      </c>
      <c r="BN873" s="550">
        <v>698170</v>
      </c>
      <c r="BO873" s="76"/>
      <c r="BP873" s="76"/>
      <c r="BQ873" s="76"/>
      <c r="BR873" s="76"/>
      <c r="BS873" s="76"/>
      <c r="BT873" s="76"/>
      <c r="BU873" s="76"/>
      <c r="BV873" s="76"/>
      <c r="BW873" s="76"/>
      <c r="BX873" s="76"/>
      <c r="BY873" s="76"/>
      <c r="BZ873" s="76"/>
      <c r="CA873" s="76"/>
      <c r="CB873" s="76"/>
      <c r="CC873" s="76"/>
      <c r="CD873" s="76"/>
      <c r="CE873" s="76"/>
      <c r="CF873" s="76"/>
      <c r="CG873" s="76"/>
      <c r="CH873" s="76"/>
      <c r="CI873" s="76"/>
      <c r="CJ873" s="76"/>
      <c r="CK873" s="76"/>
      <c r="CL873" s="76"/>
      <c r="CM873" s="76"/>
      <c r="CN873" s="76"/>
      <c r="CO873" s="76"/>
      <c r="CP873" s="76"/>
      <c r="CQ873" s="76"/>
      <c r="CR873" s="76"/>
      <c r="CS873" s="76"/>
    </row>
    <row r="874" spans="1:97" ht="12.95" customHeight="1">
      <c r="D874" s="23"/>
      <c r="E874" s="23"/>
      <c r="F874" s="23"/>
      <c r="G874" s="23"/>
      <c r="H874" s="23"/>
      <c r="I874" s="23"/>
      <c r="J874" s="23"/>
      <c r="K874" s="23"/>
      <c r="L874" s="23"/>
      <c r="M874" s="23"/>
      <c r="N874" s="23"/>
      <c r="O874" s="23"/>
      <c r="P874" s="23"/>
      <c r="Q874" s="23"/>
      <c r="R874" s="23"/>
      <c r="S874" s="23"/>
      <c r="T874" s="23"/>
      <c r="U874" s="23"/>
      <c r="V874" s="23"/>
      <c r="W874" s="23"/>
      <c r="X874" s="23"/>
      <c r="Y874" s="23"/>
      <c r="Z874" s="23"/>
      <c r="AA874" s="23"/>
      <c r="AB874" s="23"/>
      <c r="AC874" s="23"/>
      <c r="AD874" s="23"/>
      <c r="AE874" s="23"/>
      <c r="AF874" s="23"/>
      <c r="AG874" s="23"/>
      <c r="AH874" s="23"/>
      <c r="AI874" s="23"/>
      <c r="AJ874" s="23"/>
      <c r="AK874" s="23"/>
      <c r="AL874" s="5"/>
      <c r="AM874" s="43"/>
      <c r="AN874" s="43"/>
      <c r="AO874" s="43"/>
      <c r="AP874" s="43"/>
      <c r="AQ874" s="43"/>
      <c r="AR874" s="43"/>
      <c r="AS874" s="43"/>
      <c r="AT874" s="43"/>
      <c r="AU874" s="43"/>
      <c r="AV874" s="43"/>
      <c r="AW874" s="43"/>
      <c r="AX874" s="43"/>
      <c r="AY874" s="43"/>
      <c r="AZ874" s="43"/>
      <c r="BA874" s="43"/>
      <c r="BB874" s="30" t="s">
        <v>5</v>
      </c>
      <c r="BC874" s="549">
        <v>387110</v>
      </c>
      <c r="BD874" s="549">
        <v>446334</v>
      </c>
      <c r="BE874" s="549">
        <v>538400</v>
      </c>
      <c r="BF874" s="549">
        <v>689152</v>
      </c>
      <c r="BG874" s="549">
        <v>767758</v>
      </c>
      <c r="BH874" s="21"/>
      <c r="BI874" s="30" t="s">
        <v>5</v>
      </c>
      <c r="BJ874" s="549">
        <v>387110</v>
      </c>
      <c r="BK874" s="549">
        <v>446334</v>
      </c>
      <c r="BL874" s="549">
        <v>538400</v>
      </c>
      <c r="BM874" s="549">
        <v>689152</v>
      </c>
      <c r="BN874" s="549">
        <v>767758</v>
      </c>
      <c r="BO874" s="43"/>
      <c r="BP874" s="43"/>
      <c r="BQ874" s="43"/>
      <c r="BR874" s="43"/>
      <c r="BS874" s="43"/>
      <c r="BT874" s="43"/>
      <c r="BU874" s="43"/>
      <c r="BV874" s="43"/>
      <c r="BW874" s="43"/>
      <c r="BX874" s="43"/>
      <c r="BY874" s="43"/>
      <c r="BZ874" s="43"/>
      <c r="CA874" s="43"/>
      <c r="CB874" s="43"/>
      <c r="CC874" s="43"/>
      <c r="CD874" s="43"/>
      <c r="CE874" s="43"/>
      <c r="CF874" s="43"/>
      <c r="CG874" s="43"/>
      <c r="CH874" s="43"/>
      <c r="CI874" s="43"/>
      <c r="CJ874" s="43"/>
      <c r="CK874" s="43"/>
      <c r="CL874" s="43"/>
      <c r="CM874" s="43"/>
      <c r="CN874" s="43"/>
      <c r="CO874" s="43"/>
      <c r="CP874" s="43"/>
      <c r="CQ874" s="43"/>
      <c r="CR874" s="43"/>
      <c r="CS874" s="43"/>
    </row>
    <row r="875" spans="1:97" ht="12.95" customHeight="1">
      <c r="A875" s="3" t="s">
        <v>688</v>
      </c>
      <c r="C875" s="3" t="s">
        <v>579</v>
      </c>
      <c r="D875" s="23"/>
      <c r="E875" s="23"/>
      <c r="F875" s="23"/>
      <c r="G875" s="23"/>
      <c r="H875" s="23"/>
      <c r="I875" s="23"/>
      <c r="J875" s="23"/>
      <c r="K875" s="23"/>
      <c r="L875" s="23"/>
      <c r="M875" s="23"/>
      <c r="N875" s="23"/>
      <c r="O875" s="23"/>
      <c r="P875" s="23"/>
      <c r="Q875" s="23"/>
      <c r="R875" s="23"/>
      <c r="S875" s="23"/>
      <c r="T875" s="23"/>
      <c r="U875" s="23"/>
      <c r="V875" s="23"/>
      <c r="W875" s="23"/>
      <c r="X875" s="23"/>
      <c r="Y875" s="23"/>
      <c r="Z875" s="23"/>
      <c r="AA875" s="23"/>
      <c r="AB875" s="23"/>
      <c r="AC875" s="23"/>
      <c r="AD875" s="23"/>
      <c r="AE875" s="23"/>
      <c r="AF875" s="23"/>
      <c r="AG875" s="23"/>
      <c r="AH875" s="23"/>
      <c r="AI875" s="23"/>
      <c r="AJ875" s="23"/>
      <c r="AK875" s="23"/>
      <c r="AM875" s="43"/>
      <c r="AN875" s="43"/>
      <c r="AO875" s="43"/>
      <c r="AP875" s="43"/>
      <c r="AQ875" s="43"/>
      <c r="AR875" s="43"/>
      <c r="AS875" s="43"/>
      <c r="AT875" s="43"/>
      <c r="AU875" s="43"/>
      <c r="AV875" s="43"/>
      <c r="AW875" s="43"/>
      <c r="AX875" s="43"/>
      <c r="AY875" s="43"/>
      <c r="AZ875" s="43"/>
      <c r="BA875" s="43"/>
      <c r="BB875" s="30" t="s">
        <v>6</v>
      </c>
      <c r="BC875" s="550">
        <v>331890</v>
      </c>
      <c r="BD875" s="550">
        <v>382666</v>
      </c>
      <c r="BE875" s="550">
        <v>461600</v>
      </c>
      <c r="BF875" s="550">
        <v>590848</v>
      </c>
      <c r="BG875" s="550">
        <v>658242</v>
      </c>
      <c r="BH875" s="21"/>
      <c r="BI875" s="30" t="s">
        <v>6</v>
      </c>
      <c r="BJ875" s="550">
        <v>331890</v>
      </c>
      <c r="BK875" s="550">
        <v>382666</v>
      </c>
      <c r="BL875" s="550">
        <v>461600</v>
      </c>
      <c r="BM875" s="550">
        <v>590848</v>
      </c>
      <c r="BN875" s="550">
        <v>658242</v>
      </c>
      <c r="BO875" s="43"/>
      <c r="BP875" s="43"/>
      <c r="BQ875" s="43"/>
      <c r="BR875" s="43"/>
      <c r="BS875" s="43"/>
      <c r="BT875" s="43"/>
      <c r="BU875" s="43"/>
      <c r="BV875" s="43"/>
      <c r="BW875" s="43"/>
      <c r="BX875" s="43"/>
      <c r="BY875" s="43"/>
      <c r="BZ875" s="43"/>
      <c r="CA875" s="43"/>
      <c r="CB875" s="43"/>
      <c r="CC875" s="43"/>
      <c r="CD875" s="43"/>
      <c r="CE875" s="43"/>
      <c r="CF875" s="43"/>
      <c r="CG875" s="43"/>
      <c r="CH875" s="43"/>
      <c r="CI875" s="43"/>
      <c r="CJ875" s="43"/>
      <c r="CK875" s="43"/>
      <c r="CL875" s="43"/>
      <c r="CM875" s="43"/>
      <c r="CN875" s="43"/>
      <c r="CO875" s="43"/>
      <c r="CP875" s="43"/>
      <c r="CQ875" s="43"/>
      <c r="CR875" s="43"/>
      <c r="CS875" s="43"/>
    </row>
    <row r="876" spans="1:97" ht="12.95" customHeight="1">
      <c r="AM876" s="43"/>
      <c r="AN876" s="43"/>
      <c r="AO876" s="43"/>
      <c r="AP876" s="43"/>
      <c r="AQ876" s="43"/>
      <c r="AR876" s="43"/>
      <c r="AS876" s="43"/>
      <c r="AT876" s="43"/>
      <c r="AU876" s="43"/>
      <c r="AV876" s="43"/>
      <c r="AW876" s="43"/>
      <c r="AX876" s="43"/>
      <c r="AY876" s="43"/>
      <c r="AZ876" s="43"/>
      <c r="BA876" s="43"/>
      <c r="BB876" s="30" t="s">
        <v>471</v>
      </c>
      <c r="BC876" s="549">
        <v>331890</v>
      </c>
      <c r="BD876" s="549">
        <v>382666</v>
      </c>
      <c r="BE876" s="549">
        <v>461600</v>
      </c>
      <c r="BF876" s="549">
        <v>590848</v>
      </c>
      <c r="BG876" s="549">
        <v>658242</v>
      </c>
      <c r="BH876" s="21"/>
      <c r="BI876" s="30" t="s">
        <v>471</v>
      </c>
      <c r="BJ876" s="549">
        <v>331890</v>
      </c>
      <c r="BK876" s="549">
        <v>382666</v>
      </c>
      <c r="BL876" s="549">
        <v>461600</v>
      </c>
      <c r="BM876" s="549">
        <v>590848</v>
      </c>
      <c r="BN876" s="549">
        <v>658242</v>
      </c>
      <c r="BO876" s="43"/>
      <c r="BP876" s="43"/>
      <c r="BQ876" s="43"/>
      <c r="BR876" s="43"/>
      <c r="BS876" s="43"/>
      <c r="BT876" s="43"/>
      <c r="BU876" s="43"/>
      <c r="BV876" s="43"/>
      <c r="BW876" s="43"/>
      <c r="BX876" s="43"/>
      <c r="BY876" s="43"/>
      <c r="BZ876" s="43"/>
      <c r="CA876" s="43"/>
      <c r="CB876" s="43"/>
      <c r="CC876" s="43"/>
      <c r="CD876" s="43"/>
      <c r="CE876" s="43"/>
      <c r="CF876" s="43"/>
      <c r="CG876" s="43"/>
      <c r="CH876" s="43"/>
      <c r="CI876" s="43"/>
      <c r="CJ876" s="43"/>
      <c r="CK876" s="43"/>
      <c r="CL876" s="43"/>
      <c r="CM876" s="43"/>
      <c r="CN876" s="43"/>
      <c r="CO876" s="43"/>
      <c r="CP876" s="43"/>
      <c r="CQ876" s="43"/>
      <c r="CR876" s="43"/>
      <c r="CS876" s="43"/>
    </row>
    <row r="877" spans="1:97" ht="12.95" customHeight="1">
      <c r="F877" s="1523" t="s">
        <v>1004</v>
      </c>
      <c r="G877" s="1524"/>
      <c r="H877" s="1524"/>
      <c r="I877" s="1524"/>
      <c r="J877" s="1524"/>
      <c r="K877" s="1524"/>
      <c r="L877" s="1524"/>
      <c r="M877" s="1524"/>
      <c r="N877" s="1524"/>
      <c r="O877" s="1524"/>
      <c r="P877" s="1524"/>
      <c r="Q877" s="1524"/>
      <c r="R877" s="1524"/>
      <c r="S877" s="1524"/>
      <c r="T877" s="1525"/>
      <c r="U877" s="1172" t="s">
        <v>366</v>
      </c>
      <c r="V877" s="1173"/>
      <c r="W877" s="1173"/>
      <c r="X877" s="1173"/>
      <c r="Y877" s="1173"/>
      <c r="Z877" s="1173"/>
      <c r="AA877" s="50"/>
      <c r="AB877" s="195"/>
      <c r="AC877" s="195"/>
      <c r="AD877" s="195"/>
      <c r="AE877" s="195"/>
      <c r="AF877" s="196"/>
      <c r="AM877" s="43"/>
      <c r="AN877" s="43"/>
      <c r="AO877" s="43"/>
      <c r="AP877" s="43"/>
      <c r="AQ877" s="43"/>
      <c r="AR877" s="43"/>
      <c r="AS877" s="43"/>
      <c r="AT877" s="43"/>
      <c r="AU877" s="43"/>
      <c r="AV877" s="43"/>
      <c r="AW877" s="43"/>
      <c r="AX877" s="43"/>
      <c r="AY877" s="43"/>
      <c r="AZ877" s="43"/>
      <c r="BA877" s="43"/>
      <c r="BO877" s="43"/>
      <c r="BP877" s="43"/>
      <c r="BQ877" s="43"/>
      <c r="BR877" s="43"/>
      <c r="BS877" s="43"/>
      <c r="BT877" s="43"/>
      <c r="BU877" s="43"/>
      <c r="BV877" s="43"/>
      <c r="BW877" s="43"/>
      <c r="BX877" s="43"/>
      <c r="BY877" s="43"/>
      <c r="BZ877" s="43"/>
      <c r="CA877" s="43"/>
      <c r="CB877" s="43"/>
      <c r="CC877" s="43"/>
      <c r="CD877" s="43"/>
      <c r="CE877" s="43"/>
      <c r="CF877" s="43"/>
      <c r="CG877" s="43"/>
      <c r="CH877" s="43"/>
      <c r="CI877" s="43"/>
      <c r="CJ877" s="43"/>
      <c r="CK877" s="43"/>
      <c r="CL877" s="43"/>
      <c r="CM877" s="43"/>
      <c r="CN877" s="43"/>
      <c r="CO877" s="43"/>
      <c r="CP877" s="43"/>
      <c r="CQ877" s="43"/>
      <c r="CR877" s="43"/>
      <c r="CS877" s="43"/>
    </row>
    <row r="878" spans="1:97" ht="12.95" customHeight="1">
      <c r="B878" s="3"/>
      <c r="F878" s="1174" t="s">
        <v>1085</v>
      </c>
      <c r="G878" s="1175"/>
      <c r="H878" s="1175"/>
      <c r="I878" s="1175"/>
      <c r="J878" s="1175"/>
      <c r="K878" s="1175"/>
      <c r="L878" s="1175"/>
      <c r="M878" s="1175"/>
      <c r="N878" s="1175"/>
      <c r="O878" s="1175"/>
      <c r="P878" s="1175"/>
      <c r="Q878" s="1175"/>
      <c r="R878" s="1175"/>
      <c r="S878" s="1175"/>
      <c r="T878" s="1269"/>
      <c r="U878" s="1174"/>
      <c r="V878" s="1175"/>
      <c r="W878" s="1175"/>
      <c r="X878" s="1175"/>
      <c r="Y878" s="1175"/>
      <c r="Z878" s="1175"/>
      <c r="AA878" s="51"/>
      <c r="AB878" s="5"/>
      <c r="AC878" s="5"/>
      <c r="AD878" s="5"/>
      <c r="AE878" s="5"/>
      <c r="AF878" s="197"/>
      <c r="AM878" s="43"/>
      <c r="AN878" s="43"/>
      <c r="AO878" s="43"/>
      <c r="AP878" s="43"/>
      <c r="AQ878" s="43"/>
      <c r="AR878" s="43"/>
      <c r="AS878" s="43"/>
      <c r="AT878" s="43"/>
      <c r="AU878" s="43"/>
      <c r="AV878" s="43"/>
      <c r="AW878" s="43"/>
      <c r="AX878" s="43"/>
      <c r="AY878" s="43"/>
      <c r="AZ878" s="43"/>
      <c r="BA878" s="43"/>
      <c r="BO878" s="43"/>
      <c r="BP878" s="43"/>
      <c r="BQ878" s="43"/>
      <c r="BR878" s="43"/>
      <c r="BS878" s="43"/>
      <c r="BT878" s="43"/>
      <c r="BU878" s="43"/>
      <c r="BV878" s="43"/>
      <c r="BW878" s="43"/>
      <c r="BX878" s="43"/>
      <c r="BY878" s="43"/>
      <c r="BZ878" s="43"/>
      <c r="CA878" s="43"/>
      <c r="CB878" s="43"/>
      <c r="CC878" s="43"/>
      <c r="CD878" s="43"/>
      <c r="CE878" s="43"/>
      <c r="CF878" s="43"/>
      <c r="CG878" s="43"/>
      <c r="CH878" s="43"/>
      <c r="CI878" s="43"/>
      <c r="CJ878" s="43"/>
      <c r="CK878" s="43"/>
      <c r="CL878" s="43"/>
      <c r="CM878" s="43"/>
      <c r="CN878" s="43"/>
      <c r="CO878" s="43"/>
      <c r="CP878" s="43"/>
      <c r="CQ878" s="43"/>
      <c r="CR878" s="43"/>
      <c r="CS878" s="43"/>
    </row>
    <row r="879" spans="1:97" ht="12.95" customHeight="1">
      <c r="B879" s="3"/>
      <c r="F879" s="1176"/>
      <c r="G879" s="1177"/>
      <c r="H879" s="1177"/>
      <c r="I879" s="1177"/>
      <c r="J879" s="1177"/>
      <c r="K879" s="1177"/>
      <c r="L879" s="1177"/>
      <c r="M879" s="1177"/>
      <c r="N879" s="1177"/>
      <c r="O879" s="1177"/>
      <c r="P879" s="1177"/>
      <c r="Q879" s="1177"/>
      <c r="R879" s="1177"/>
      <c r="S879" s="1177"/>
      <c r="T879" s="1270"/>
      <c r="U879" s="1176"/>
      <c r="V879" s="1177"/>
      <c r="W879" s="1177"/>
      <c r="X879" s="1177"/>
      <c r="Y879" s="1177"/>
      <c r="Z879" s="1177"/>
      <c r="AA879" s="198"/>
      <c r="AB879" s="1529" t="s">
        <v>60</v>
      </c>
      <c r="AC879" s="1529"/>
      <c r="AD879" s="1529"/>
      <c r="AE879" s="1529"/>
      <c r="AF879" s="199"/>
      <c r="AM879" s="43"/>
      <c r="AN879" s="43"/>
      <c r="AO879" s="43"/>
      <c r="AP879" s="43"/>
      <c r="AQ879" s="43"/>
      <c r="AR879" s="43"/>
      <c r="AS879" s="43"/>
      <c r="AT879" s="43"/>
      <c r="AU879" s="43"/>
      <c r="AV879" s="43"/>
      <c r="AW879" s="43"/>
      <c r="AX879" s="43"/>
      <c r="AY879" s="43"/>
      <c r="AZ879" s="43"/>
      <c r="BA879" s="43"/>
      <c r="BO879" s="43"/>
      <c r="BP879" s="43"/>
      <c r="BQ879" s="43"/>
      <c r="BR879" s="43"/>
      <c r="BS879" s="43"/>
      <c r="BT879" s="43"/>
      <c r="BU879" s="43"/>
      <c r="BV879" s="43"/>
      <c r="BW879" s="43"/>
      <c r="BX879" s="43"/>
      <c r="BY879" s="43"/>
      <c r="BZ879" s="43"/>
      <c r="CA879" s="43"/>
      <c r="CB879" s="43"/>
      <c r="CC879" s="43"/>
      <c r="CD879" s="43"/>
      <c r="CE879" s="43"/>
      <c r="CF879" s="43"/>
      <c r="CG879" s="43"/>
      <c r="CH879" s="43"/>
      <c r="CI879" s="43"/>
      <c r="CJ879" s="43"/>
      <c r="CK879" s="43"/>
      <c r="CL879" s="43"/>
      <c r="CM879" s="43"/>
      <c r="CN879" s="43"/>
      <c r="CO879" s="43"/>
      <c r="CP879" s="43"/>
      <c r="CQ879" s="43"/>
      <c r="CR879" s="43"/>
      <c r="CS879" s="43"/>
    </row>
    <row r="880" spans="1:97" ht="12.95" customHeight="1">
      <c r="F880" s="8" t="s">
        <v>169</v>
      </c>
      <c r="G880" s="9"/>
      <c r="H880" s="9"/>
      <c r="I880" s="9"/>
      <c r="J880" s="9"/>
      <c r="K880" s="9"/>
      <c r="L880" s="9"/>
      <c r="M880" s="9"/>
      <c r="N880" s="9"/>
      <c r="O880" s="9"/>
      <c r="P880" s="9"/>
      <c r="Q880" s="9"/>
      <c r="R880" s="9"/>
      <c r="S880" s="9"/>
      <c r="T880" s="52"/>
      <c r="U880" s="1167" t="s">
        <v>132</v>
      </c>
      <c r="V880" s="1101"/>
      <c r="W880" s="1101"/>
      <c r="X880" s="1101"/>
      <c r="Y880" s="1101"/>
      <c r="Z880" s="1168"/>
      <c r="AA880" s="1193"/>
      <c r="AB880" s="1134"/>
      <c r="AC880" s="1134"/>
      <c r="AD880" s="1134"/>
      <c r="AE880" s="1134"/>
      <c r="AF880" s="1194"/>
      <c r="AM880" s="43"/>
      <c r="AN880" s="43"/>
      <c r="AO880" s="43"/>
      <c r="AP880" s="43"/>
      <c r="AQ880" s="43"/>
      <c r="AR880" s="43"/>
      <c r="AS880" s="43"/>
      <c r="AT880" s="43"/>
      <c r="AU880" s="43"/>
      <c r="AV880" s="43"/>
      <c r="AW880" s="43"/>
      <c r="AX880" s="43"/>
      <c r="AY880" s="43"/>
      <c r="AZ880" s="43"/>
      <c r="BA880" s="43"/>
      <c r="BO880" s="43"/>
      <c r="BP880" s="43"/>
      <c r="BQ880" s="43"/>
      <c r="BR880" s="43"/>
      <c r="BS880" s="43"/>
      <c r="BT880" s="43"/>
      <c r="BU880" s="43"/>
      <c r="BV880" s="43"/>
      <c r="BW880" s="43"/>
      <c r="BX880" s="43"/>
      <c r="BY880" s="43"/>
      <c r="BZ880" s="43"/>
      <c r="CA880" s="43"/>
      <c r="CB880" s="43"/>
      <c r="CC880" s="43"/>
      <c r="CD880" s="43"/>
      <c r="CE880" s="43"/>
      <c r="CF880" s="43"/>
      <c r="CG880" s="43"/>
      <c r="CH880" s="43"/>
      <c r="CI880" s="43"/>
      <c r="CJ880" s="43"/>
      <c r="CK880" s="43"/>
      <c r="CL880" s="43"/>
      <c r="CM880" s="43"/>
      <c r="CN880" s="43"/>
      <c r="CO880" s="43"/>
      <c r="CP880" s="43"/>
      <c r="CQ880" s="43"/>
      <c r="CR880" s="43"/>
      <c r="CS880" s="43"/>
    </row>
    <row r="881" spans="6:97" ht="12.95" customHeight="1">
      <c r="F881" s="8" t="s">
        <v>171</v>
      </c>
      <c r="G881" s="9"/>
      <c r="H881" s="9"/>
      <c r="I881" s="9"/>
      <c r="J881" s="9"/>
      <c r="K881" s="9"/>
      <c r="L881" s="9"/>
      <c r="M881" s="9"/>
      <c r="N881" s="9"/>
      <c r="O881" s="9"/>
      <c r="P881" s="9"/>
      <c r="Q881" s="9"/>
      <c r="R881" s="9"/>
      <c r="S881" s="9"/>
      <c r="T881" s="52"/>
      <c r="U881" s="1167" t="s">
        <v>132</v>
      </c>
      <c r="V881" s="1101"/>
      <c r="W881" s="1101"/>
      <c r="X881" s="1101"/>
      <c r="Y881" s="1101"/>
      <c r="Z881" s="1168"/>
      <c r="AA881" s="1193"/>
      <c r="AB881" s="1134"/>
      <c r="AC881" s="1134"/>
      <c r="AD881" s="1134"/>
      <c r="AE881" s="1134"/>
      <c r="AF881" s="1194"/>
      <c r="AM881" s="43"/>
      <c r="AN881" s="43"/>
      <c r="AO881" s="43"/>
      <c r="AP881" s="43"/>
      <c r="AQ881" s="43"/>
      <c r="AR881" s="43"/>
      <c r="AS881" s="43"/>
      <c r="AT881" s="43"/>
      <c r="AU881" s="43"/>
      <c r="AV881" s="43"/>
      <c r="AW881" s="43"/>
      <c r="AX881" s="43"/>
      <c r="AY881" s="43"/>
      <c r="AZ881" s="43"/>
      <c r="BA881" s="43"/>
      <c r="BO881" s="43"/>
      <c r="BP881" s="43"/>
      <c r="BQ881" s="43"/>
      <c r="BR881" s="43"/>
      <c r="BS881" s="43"/>
      <c r="BT881" s="43"/>
      <c r="BU881" s="43"/>
      <c r="BV881" s="43"/>
      <c r="BW881" s="43"/>
      <c r="BX881" s="43"/>
      <c r="BY881" s="43"/>
      <c r="BZ881" s="43"/>
      <c r="CA881" s="43"/>
      <c r="CB881" s="43"/>
      <c r="CC881" s="43"/>
      <c r="CD881" s="43"/>
      <c r="CE881" s="43"/>
      <c r="CF881" s="43"/>
      <c r="CG881" s="43"/>
      <c r="CH881" s="43"/>
      <c r="CI881" s="43"/>
      <c r="CJ881" s="43"/>
      <c r="CK881" s="43"/>
      <c r="CL881" s="43"/>
      <c r="CM881" s="43"/>
      <c r="CN881" s="43"/>
      <c r="CO881" s="43"/>
      <c r="CP881" s="43"/>
      <c r="CQ881" s="43"/>
      <c r="CR881" s="43"/>
      <c r="CS881" s="43"/>
    </row>
    <row r="882" spans="6:97" ht="12.95" customHeight="1">
      <c r="F882" s="72" t="s">
        <v>989</v>
      </c>
      <c r="G882" s="9"/>
      <c r="H882" s="9"/>
      <c r="I882" s="9"/>
      <c r="J882" s="9"/>
      <c r="K882" s="9"/>
      <c r="L882" s="9"/>
      <c r="M882" s="9"/>
      <c r="N882" s="9"/>
      <c r="O882" s="9"/>
      <c r="P882" s="9"/>
      <c r="Q882" s="9"/>
      <c r="R882" s="9"/>
      <c r="S882" s="9"/>
      <c r="T882" s="52"/>
      <c r="U882" s="1167" t="s">
        <v>132</v>
      </c>
      <c r="V882" s="1101"/>
      <c r="W882" s="1101"/>
      <c r="X882" s="1101"/>
      <c r="Y882" s="1101"/>
      <c r="Z882" s="1168"/>
      <c r="AA882" s="1193"/>
      <c r="AB882" s="1134"/>
      <c r="AC882" s="1134"/>
      <c r="AD882" s="1134"/>
      <c r="AE882" s="1134"/>
      <c r="AF882" s="1194"/>
      <c r="AM882" s="43"/>
      <c r="AN882" s="43"/>
      <c r="AO882" s="43"/>
      <c r="AP882" s="43"/>
      <c r="AQ882" s="43"/>
      <c r="AR882" s="43"/>
      <c r="AS882" s="43"/>
      <c r="AT882" s="43"/>
      <c r="AU882" s="43"/>
      <c r="AV882" s="43"/>
      <c r="AW882" s="43"/>
      <c r="AX882" s="43"/>
      <c r="AY882" s="43"/>
      <c r="AZ882" s="43"/>
      <c r="BA882" s="43"/>
      <c r="BO882" s="43"/>
      <c r="BP882" s="43"/>
      <c r="BQ882" s="43"/>
      <c r="BR882" s="43"/>
      <c r="BS882" s="43"/>
      <c r="BT882" s="43"/>
      <c r="BU882" s="43"/>
      <c r="BV882" s="43"/>
      <c r="BW882" s="43"/>
      <c r="BX882" s="43"/>
      <c r="BY882" s="43"/>
      <c r="BZ882" s="43"/>
      <c r="CA882" s="43"/>
      <c r="CB882" s="43"/>
      <c r="CC882" s="43"/>
      <c r="CD882" s="43"/>
      <c r="CE882" s="43"/>
      <c r="CF882" s="43"/>
      <c r="CG882" s="43"/>
      <c r="CH882" s="43"/>
      <c r="CI882" s="43"/>
      <c r="CJ882" s="43"/>
      <c r="CK882" s="43"/>
      <c r="CL882" s="43"/>
      <c r="CM882" s="43"/>
      <c r="CN882" s="43"/>
      <c r="CO882" s="43"/>
      <c r="CP882" s="43"/>
      <c r="CQ882" s="43"/>
      <c r="CR882" s="43"/>
      <c r="CS882" s="43"/>
    </row>
    <row r="883" spans="6:97" ht="12.95" customHeight="1">
      <c r="F883" s="72" t="s">
        <v>990</v>
      </c>
      <c r="G883" s="9"/>
      <c r="H883" s="9"/>
      <c r="I883" s="9"/>
      <c r="J883" s="9"/>
      <c r="K883" s="9"/>
      <c r="L883" s="9"/>
      <c r="M883" s="9"/>
      <c r="N883" s="9"/>
      <c r="O883" s="9"/>
      <c r="P883" s="9"/>
      <c r="Q883" s="9"/>
      <c r="R883" s="9"/>
      <c r="S883" s="9"/>
      <c r="T883" s="52"/>
      <c r="U883" s="1167" t="s">
        <v>132</v>
      </c>
      <c r="V883" s="1101"/>
      <c r="W883" s="1101"/>
      <c r="X883" s="1101"/>
      <c r="Y883" s="1101"/>
      <c r="Z883" s="1168"/>
      <c r="AA883" s="1193"/>
      <c r="AB883" s="1134"/>
      <c r="AC883" s="1134"/>
      <c r="AD883" s="1134"/>
      <c r="AE883" s="1134"/>
      <c r="AF883" s="1194"/>
      <c r="AM883" s="43"/>
      <c r="AN883" s="43"/>
      <c r="AO883" s="43"/>
      <c r="AP883" s="43"/>
      <c r="AQ883" s="43"/>
      <c r="AR883" s="43"/>
      <c r="AS883" s="43"/>
      <c r="AT883" s="43"/>
      <c r="AU883" s="43"/>
      <c r="AV883" s="43"/>
      <c r="AW883" s="43"/>
      <c r="AX883" s="43"/>
      <c r="AY883" s="43"/>
      <c r="AZ883" s="43"/>
      <c r="BA883" s="43"/>
      <c r="BO883" s="43"/>
      <c r="BP883" s="43"/>
      <c r="BQ883" s="43"/>
      <c r="BR883" s="43"/>
      <c r="BS883" s="43"/>
      <c r="BT883" s="43"/>
      <c r="BU883" s="43"/>
      <c r="BV883" s="43"/>
      <c r="BW883" s="43"/>
      <c r="BX883" s="43"/>
      <c r="BY883" s="43"/>
      <c r="BZ883" s="43"/>
      <c r="CA883" s="43"/>
      <c r="CB883" s="43"/>
      <c r="CC883" s="43"/>
      <c r="CD883" s="43"/>
      <c r="CE883" s="43"/>
      <c r="CF883" s="43"/>
      <c r="CG883" s="43"/>
      <c r="CH883" s="43"/>
      <c r="CI883" s="43"/>
      <c r="CJ883" s="43"/>
      <c r="CK883" s="43"/>
      <c r="CL883" s="43"/>
      <c r="CM883" s="43"/>
      <c r="CN883" s="43"/>
      <c r="CO883" s="43"/>
      <c r="CP883" s="43"/>
      <c r="CQ883" s="43"/>
      <c r="CR883" s="43"/>
      <c r="CS883" s="43"/>
    </row>
    <row r="884" spans="6:97" ht="12.95" customHeight="1">
      <c r="F884" s="72" t="s">
        <v>991</v>
      </c>
      <c r="G884" s="9"/>
      <c r="H884" s="9"/>
      <c r="I884" s="9"/>
      <c r="J884" s="9"/>
      <c r="K884" s="9"/>
      <c r="L884" s="9"/>
      <c r="M884" s="9"/>
      <c r="N884" s="9"/>
      <c r="O884" s="9"/>
      <c r="P884" s="9"/>
      <c r="Q884" s="9"/>
      <c r="R884" s="9"/>
      <c r="S884" s="9"/>
      <c r="T884" s="52"/>
      <c r="U884" s="1167" t="s">
        <v>132</v>
      </c>
      <c r="V884" s="1101"/>
      <c r="W884" s="1101"/>
      <c r="X884" s="1101"/>
      <c r="Y884" s="1101"/>
      <c r="Z884" s="1168"/>
      <c r="AA884" s="1193"/>
      <c r="AB884" s="1134"/>
      <c r="AC884" s="1134"/>
      <c r="AD884" s="1134"/>
      <c r="AE884" s="1134"/>
      <c r="AF884" s="1194"/>
      <c r="AM884" s="43"/>
      <c r="AN884" s="43"/>
      <c r="AO884" s="43"/>
      <c r="AP884" s="43"/>
      <c r="AQ884" s="43"/>
      <c r="AR884" s="43"/>
      <c r="AS884" s="43"/>
      <c r="AT884" s="43"/>
      <c r="AU884" s="43"/>
      <c r="AV884" s="43"/>
      <c r="AW884" s="43"/>
      <c r="AX884" s="43"/>
      <c r="AY884" s="43"/>
      <c r="AZ884" s="43"/>
      <c r="BA884" s="43"/>
      <c r="BO884" s="43"/>
      <c r="BP884" s="43"/>
      <c r="BQ884" s="43"/>
      <c r="BR884" s="43"/>
      <c r="BS884" s="43"/>
      <c r="BT884" s="43"/>
      <c r="BU884" s="43"/>
      <c r="BV884" s="43"/>
      <c r="BW884" s="43"/>
      <c r="BX884" s="43"/>
      <c r="BY884" s="43"/>
      <c r="BZ884" s="43"/>
      <c r="CA884" s="43"/>
      <c r="CB884" s="43"/>
      <c r="CC884" s="43"/>
      <c r="CD884" s="43"/>
      <c r="CE884" s="43"/>
      <c r="CF884" s="43"/>
      <c r="CG884" s="43"/>
      <c r="CH884" s="43"/>
      <c r="CI884" s="43"/>
      <c r="CJ884" s="43"/>
      <c r="CK884" s="43"/>
      <c r="CL884" s="43"/>
      <c r="CM884" s="43"/>
      <c r="CN884" s="43"/>
      <c r="CO884" s="43"/>
      <c r="CP884" s="43"/>
      <c r="CQ884" s="43"/>
      <c r="CR884" s="43"/>
      <c r="CS884" s="43"/>
    </row>
    <row r="885" spans="6:97" ht="12.95" customHeight="1">
      <c r="F885" s="8" t="s">
        <v>170</v>
      </c>
      <c r="G885" s="9"/>
      <c r="H885" s="9"/>
      <c r="I885" s="9"/>
      <c r="J885" s="9"/>
      <c r="K885" s="9"/>
      <c r="L885" s="9"/>
      <c r="M885" s="9"/>
      <c r="N885" s="9"/>
      <c r="O885" s="9"/>
      <c r="P885" s="9"/>
      <c r="Q885" s="9"/>
      <c r="R885" s="9"/>
      <c r="S885" s="9"/>
      <c r="T885" s="52"/>
      <c r="U885" s="1167" t="s">
        <v>132</v>
      </c>
      <c r="V885" s="1101"/>
      <c r="W885" s="1101"/>
      <c r="X885" s="1101"/>
      <c r="Y885" s="1101"/>
      <c r="Z885" s="1168"/>
      <c r="AA885" s="1193"/>
      <c r="AB885" s="1134"/>
      <c r="AC885" s="1134"/>
      <c r="AD885" s="1134"/>
      <c r="AE885" s="1134"/>
      <c r="AF885" s="1194"/>
      <c r="AL885" s="23"/>
      <c r="AT885" s="43"/>
      <c r="AU885" s="43"/>
      <c r="AV885" s="43"/>
      <c r="BO885" s="43"/>
      <c r="BP885" s="43"/>
      <c r="BQ885" s="43"/>
      <c r="BR885" s="43"/>
      <c r="BS885" s="43"/>
      <c r="BT885" s="43"/>
      <c r="BU885" s="43"/>
      <c r="BV885" s="43"/>
      <c r="BW885" s="43"/>
      <c r="BX885" s="43"/>
      <c r="BY885" s="43"/>
      <c r="BZ885" s="43"/>
      <c r="CA885" s="43"/>
      <c r="CB885" s="43"/>
      <c r="CC885" s="43"/>
      <c r="CD885" s="43"/>
      <c r="CE885" s="43"/>
      <c r="CF885" s="43"/>
      <c r="CG885" s="43"/>
      <c r="CH885" s="43"/>
      <c r="CI885" s="43"/>
      <c r="CJ885" s="43"/>
      <c r="CK885" s="43"/>
      <c r="CL885" s="43"/>
      <c r="CM885" s="43"/>
      <c r="CN885" s="43"/>
      <c r="CO885" s="43"/>
      <c r="CP885" s="43"/>
      <c r="CQ885" s="43"/>
      <c r="CR885" s="43"/>
      <c r="CS885" s="43"/>
    </row>
    <row r="886" spans="6:97" ht="12.95" customHeight="1">
      <c r="F886" s="8" t="s">
        <v>172</v>
      </c>
      <c r="G886" s="9"/>
      <c r="H886" s="9"/>
      <c r="I886" s="9"/>
      <c r="J886" s="9"/>
      <c r="K886" s="9"/>
      <c r="L886" s="9"/>
      <c r="M886" s="9"/>
      <c r="N886" s="9"/>
      <c r="O886" s="9"/>
      <c r="P886" s="9"/>
      <c r="Q886" s="9"/>
      <c r="R886" s="9"/>
      <c r="S886" s="9"/>
      <c r="T886" s="52"/>
      <c r="U886" s="1167" t="s">
        <v>132</v>
      </c>
      <c r="V886" s="1101"/>
      <c r="W886" s="1101"/>
      <c r="X886" s="1101"/>
      <c r="Y886" s="1101"/>
      <c r="Z886" s="1168"/>
      <c r="AA886" s="1193"/>
      <c r="AB886" s="1134"/>
      <c r="AC886" s="1134"/>
      <c r="AD886" s="1134"/>
      <c r="AE886" s="1134"/>
      <c r="AF886" s="1194"/>
      <c r="AL886" s="23"/>
      <c r="AT886" s="43"/>
      <c r="AU886" s="43"/>
      <c r="AV886" s="43"/>
      <c r="BO886" s="43"/>
      <c r="BP886" s="43"/>
      <c r="BQ886" s="43"/>
      <c r="BR886" s="43"/>
      <c r="BS886" s="43"/>
      <c r="BT886" s="43"/>
      <c r="BU886" s="43"/>
      <c r="BV886" s="43"/>
      <c r="BW886" s="43"/>
      <c r="BX886" s="43"/>
      <c r="BY886" s="43"/>
      <c r="BZ886" s="43"/>
      <c r="CA886" s="43"/>
      <c r="CB886" s="43"/>
      <c r="CC886" s="43"/>
      <c r="CD886" s="43"/>
      <c r="CE886" s="43"/>
      <c r="CF886" s="43"/>
      <c r="CG886" s="43"/>
      <c r="CH886" s="43"/>
      <c r="CI886" s="43"/>
      <c r="CJ886" s="43"/>
      <c r="CK886" s="43"/>
      <c r="CL886" s="43"/>
      <c r="CM886" s="43"/>
      <c r="CN886" s="43"/>
      <c r="CO886" s="43"/>
      <c r="CP886" s="43"/>
      <c r="CQ886" s="43"/>
      <c r="CR886" s="43"/>
      <c r="CS886" s="43"/>
    </row>
    <row r="887" spans="6:97" ht="12.95" customHeight="1">
      <c r="F887" s="305" t="s">
        <v>168</v>
      </c>
      <c r="G887" s="9"/>
      <c r="H887" s="9"/>
      <c r="I887" s="9"/>
      <c r="J887" s="9"/>
      <c r="K887" s="9"/>
      <c r="L887" s="9"/>
      <c r="M887" s="9"/>
      <c r="N887" s="9"/>
      <c r="O887" s="9"/>
      <c r="P887" s="9"/>
      <c r="Q887" s="9"/>
      <c r="R887" s="9"/>
      <c r="S887" s="9"/>
      <c r="T887" s="52"/>
      <c r="U887" s="1167" t="s">
        <v>132</v>
      </c>
      <c r="V887" s="1101"/>
      <c r="W887" s="1101"/>
      <c r="X887" s="1101"/>
      <c r="Y887" s="1101"/>
      <c r="Z887" s="1168"/>
      <c r="AA887" s="1193"/>
      <c r="AB887" s="1134"/>
      <c r="AC887" s="1134"/>
      <c r="AD887" s="1134"/>
      <c r="AE887" s="1134"/>
      <c r="AF887" s="1194"/>
      <c r="AL887" s="74"/>
      <c r="AT887" s="43"/>
      <c r="AU887" s="43"/>
      <c r="AV887" s="43"/>
      <c r="BH887" s="21"/>
      <c r="BO887" s="43"/>
      <c r="BP887" s="43"/>
      <c r="BQ887" s="43"/>
      <c r="BR887" s="43"/>
      <c r="BS887" s="43"/>
      <c r="BT887" s="43"/>
      <c r="BU887" s="43"/>
      <c r="BV887" s="43"/>
      <c r="BW887" s="43"/>
      <c r="BX887" s="43"/>
      <c r="BY887" s="43"/>
      <c r="BZ887" s="43"/>
      <c r="CA887" s="43"/>
      <c r="CB887" s="43"/>
      <c r="CC887" s="43"/>
      <c r="CD887" s="43"/>
      <c r="CE887" s="43"/>
      <c r="CF887" s="43"/>
      <c r="CG887" s="43"/>
      <c r="CH887" s="43"/>
      <c r="CI887" s="43"/>
      <c r="CJ887" s="43"/>
      <c r="CK887" s="43"/>
      <c r="CL887" s="43"/>
      <c r="CM887" s="43"/>
      <c r="CN887" s="43"/>
      <c r="CO887" s="43"/>
      <c r="CP887" s="43"/>
      <c r="CQ887" s="43"/>
      <c r="CR887" s="43"/>
      <c r="CS887" s="43"/>
    </row>
    <row r="888" spans="6:97" ht="12.95" customHeight="1">
      <c r="F888" s="8" t="s">
        <v>1994</v>
      </c>
      <c r="G888" s="9"/>
      <c r="H888" s="9"/>
      <c r="I888" s="9"/>
      <c r="J888" s="9"/>
      <c r="K888" s="9"/>
      <c r="L888" s="9"/>
      <c r="M888" s="9"/>
      <c r="N888" s="9"/>
      <c r="O888" s="9"/>
      <c r="P888" s="9"/>
      <c r="Q888" s="9"/>
      <c r="R888" s="9"/>
      <c r="S888" s="9"/>
      <c r="T888" s="52"/>
      <c r="U888" s="1167" t="s">
        <v>132</v>
      </c>
      <c r="V888" s="1101"/>
      <c r="W888" s="1101"/>
      <c r="X888" s="1101"/>
      <c r="Y888" s="1101"/>
      <c r="Z888" s="1168"/>
      <c r="AA888" s="1193"/>
      <c r="AB888" s="1134"/>
      <c r="AC888" s="1134"/>
      <c r="AD888" s="1134"/>
      <c r="AE888" s="1134"/>
      <c r="AF888" s="1194"/>
      <c r="AL888" s="74"/>
      <c r="AT888" s="43"/>
      <c r="AU888" s="43"/>
      <c r="AV888" s="43"/>
      <c r="BH888" s="21"/>
      <c r="BO888" s="43"/>
      <c r="BP888" s="43"/>
      <c r="BQ888" s="43"/>
      <c r="BR888" s="43"/>
      <c r="BS888" s="43"/>
      <c r="BT888" s="43"/>
      <c r="BU888" s="43"/>
      <c r="BV888" s="43"/>
      <c r="BW888" s="43"/>
      <c r="BX888" s="43"/>
      <c r="BY888" s="43"/>
      <c r="BZ888" s="43"/>
      <c r="CA888" s="43"/>
      <c r="CB888" s="43"/>
      <c r="CC888" s="43"/>
      <c r="CD888" s="43"/>
      <c r="CE888" s="43"/>
      <c r="CF888" s="43"/>
      <c r="CG888" s="43"/>
      <c r="CH888" s="43"/>
      <c r="CI888" s="43"/>
      <c r="CJ888" s="43"/>
      <c r="CK888" s="43"/>
      <c r="CL888" s="43"/>
      <c r="CM888" s="43"/>
      <c r="CN888" s="43"/>
      <c r="CO888" s="43"/>
      <c r="CP888" s="43"/>
      <c r="CQ888" s="43"/>
      <c r="CR888" s="43"/>
      <c r="CS888" s="43"/>
    </row>
    <row r="889" spans="6:97" ht="12.95" customHeight="1">
      <c r="F889" s="72" t="s">
        <v>1051</v>
      </c>
      <c r="G889" s="9"/>
      <c r="H889" s="9"/>
      <c r="I889" s="9"/>
      <c r="J889" s="9"/>
      <c r="K889" s="9"/>
      <c r="L889" s="9"/>
      <c r="M889" s="9"/>
      <c r="N889" s="9"/>
      <c r="O889" s="9"/>
      <c r="P889" s="9"/>
      <c r="Q889" s="9"/>
      <c r="R889" s="9"/>
      <c r="S889" s="9"/>
      <c r="T889" s="52"/>
      <c r="U889" s="1167" t="s">
        <v>132</v>
      </c>
      <c r="V889" s="1101"/>
      <c r="W889" s="1101"/>
      <c r="X889" s="1101"/>
      <c r="Y889" s="1101"/>
      <c r="Z889" s="1168"/>
      <c r="AA889" s="1193"/>
      <c r="AB889" s="1134"/>
      <c r="AC889" s="1134"/>
      <c r="AD889" s="1134"/>
      <c r="AE889" s="1134"/>
      <c r="AF889" s="1194"/>
      <c r="AL889" s="74"/>
      <c r="AT889" s="43"/>
      <c r="AU889" s="43"/>
      <c r="AV889" s="43"/>
      <c r="BD889" s="43"/>
      <c r="BE889" s="43"/>
      <c r="BF889" s="43"/>
      <c r="BG889" s="43"/>
      <c r="BH889" s="43"/>
      <c r="BI889" s="43"/>
      <c r="BJ889" s="43"/>
      <c r="BK889" s="43"/>
      <c r="BL889" s="43"/>
      <c r="BM889" s="43"/>
      <c r="BN889" s="43"/>
      <c r="BO889" s="43"/>
      <c r="BP889" s="43"/>
      <c r="BQ889" s="43"/>
      <c r="BR889" s="43"/>
      <c r="BS889" s="43"/>
      <c r="BT889" s="43"/>
      <c r="BU889" s="43"/>
      <c r="BV889" s="43"/>
      <c r="BW889" s="43"/>
      <c r="BX889" s="43"/>
      <c r="BY889" s="43"/>
      <c r="BZ889" s="43"/>
      <c r="CA889" s="43"/>
      <c r="CB889" s="43"/>
      <c r="CC889" s="43"/>
      <c r="CD889" s="43"/>
      <c r="CE889" s="43"/>
      <c r="CF889" s="43"/>
      <c r="CG889" s="43"/>
      <c r="CH889" s="43"/>
      <c r="CI889" s="43"/>
      <c r="CJ889" s="43"/>
      <c r="CK889" s="43"/>
      <c r="CL889" s="43"/>
      <c r="CM889" s="43"/>
      <c r="CN889" s="43"/>
      <c r="CO889" s="43"/>
      <c r="CP889" s="43"/>
      <c r="CQ889" s="43"/>
      <c r="CR889" s="43"/>
      <c r="CS889" s="43"/>
    </row>
    <row r="890" spans="6:97" ht="12.95" customHeight="1">
      <c r="F890" s="8" t="s">
        <v>1052</v>
      </c>
      <c r="G890" s="9"/>
      <c r="H890" s="9"/>
      <c r="I890" s="9"/>
      <c r="J890" s="9"/>
      <c r="K890" s="9"/>
      <c r="L890" s="9"/>
      <c r="M890" s="9"/>
      <c r="N890" s="9"/>
      <c r="O890" s="9"/>
      <c r="P890" s="9"/>
      <c r="Q890" s="9"/>
      <c r="R890" s="9"/>
      <c r="S890" s="9"/>
      <c r="T890" s="52"/>
      <c r="U890" s="1275" t="s">
        <v>132</v>
      </c>
      <c r="V890" s="1276"/>
      <c r="W890" s="1276"/>
      <c r="X890" s="1276"/>
      <c r="Y890" s="1276"/>
      <c r="Z890" s="1277"/>
      <c r="AA890" s="1209"/>
      <c r="AB890" s="1210"/>
      <c r="AC890" s="1210"/>
      <c r="AD890" s="1210"/>
      <c r="AE890" s="1210"/>
      <c r="AF890" s="1211"/>
      <c r="AL890" s="74"/>
      <c r="AT890" s="43"/>
      <c r="AU890" s="43"/>
      <c r="AV890" s="43"/>
      <c r="BD890" s="43"/>
      <c r="BE890" s="43"/>
      <c r="BF890" s="43"/>
      <c r="BG890" s="43"/>
      <c r="BH890" s="43"/>
      <c r="BI890" s="43"/>
      <c r="BJ890" s="43"/>
      <c r="BK890" s="43"/>
      <c r="BL890" s="43"/>
      <c r="BM890" s="43"/>
      <c r="BN890" s="43"/>
      <c r="BO890" s="43"/>
      <c r="BP890" s="43"/>
      <c r="BQ890" s="43"/>
      <c r="BR890" s="43"/>
      <c r="BS890" s="43"/>
      <c r="BT890" s="43"/>
      <c r="BU890" s="43"/>
      <c r="BV890" s="43"/>
      <c r="BW890" s="43"/>
      <c r="BX890" s="43"/>
      <c r="BY890" s="43"/>
      <c r="BZ890" s="43"/>
      <c r="CA890" s="43"/>
      <c r="CB890" s="43"/>
      <c r="CC890" s="43"/>
      <c r="CD890" s="43"/>
      <c r="CE890" s="43"/>
      <c r="CF890" s="43"/>
      <c r="CG890" s="43"/>
      <c r="CH890" s="43"/>
      <c r="CI890" s="43"/>
      <c r="CJ890" s="43"/>
      <c r="CK890" s="43"/>
      <c r="CL890" s="43"/>
      <c r="CM890" s="43"/>
      <c r="CN890" s="43"/>
      <c r="CO890" s="43"/>
      <c r="CP890" s="43"/>
      <c r="CQ890" s="43"/>
      <c r="CR890" s="43"/>
      <c r="CS890" s="43"/>
    </row>
    <row r="891" spans="6:97" ht="12.95" customHeight="1">
      <c r="F891" s="214" t="s">
        <v>1992</v>
      </c>
      <c r="G891" s="9"/>
      <c r="H891" s="9"/>
      <c r="I891" s="9"/>
      <c r="J891" s="9"/>
      <c r="K891" s="9"/>
      <c r="L891" s="9"/>
      <c r="M891" s="9"/>
      <c r="N891" s="9"/>
      <c r="O891" s="9"/>
      <c r="P891" s="9"/>
      <c r="Q891" s="9"/>
      <c r="R891" s="9"/>
      <c r="S891" s="9"/>
      <c r="T891" s="52"/>
      <c r="U891" s="1167" t="s">
        <v>132</v>
      </c>
      <c r="V891" s="1101"/>
      <c r="W891" s="1101"/>
      <c r="X891" s="1101"/>
      <c r="Y891" s="1101"/>
      <c r="Z891" s="1168"/>
      <c r="AA891" s="1193"/>
      <c r="AB891" s="1134"/>
      <c r="AC891" s="1134"/>
      <c r="AD891" s="1134"/>
      <c r="AE891" s="1134"/>
      <c r="AF891" s="1194"/>
      <c r="AL891" s="74"/>
      <c r="AT891" s="43"/>
      <c r="AU891" s="43"/>
      <c r="AV891" s="43"/>
      <c r="BD891" s="43"/>
      <c r="BE891" s="43"/>
      <c r="BF891" s="43"/>
      <c r="BG891" s="43"/>
      <c r="BH891" s="43"/>
      <c r="BI891" s="43"/>
      <c r="BJ891" s="43"/>
      <c r="BK891" s="43"/>
      <c r="BL891" s="43"/>
      <c r="BM891" s="43"/>
      <c r="BN891" s="43"/>
      <c r="BO891" s="43"/>
      <c r="BP891" s="43"/>
      <c r="BQ891" s="43"/>
      <c r="BR891" s="43"/>
      <c r="BS891" s="43"/>
      <c r="BT891" s="43"/>
      <c r="BU891" s="43"/>
      <c r="BV891" s="43"/>
      <c r="BW891" s="43"/>
      <c r="BX891" s="43"/>
      <c r="BY891" s="43"/>
      <c r="BZ891" s="43"/>
      <c r="CA891" s="43"/>
      <c r="CB891" s="43"/>
      <c r="CC891" s="43"/>
      <c r="CD891" s="43"/>
      <c r="CE891" s="43"/>
      <c r="CF891" s="43"/>
      <c r="CG891" s="43"/>
      <c r="CH891" s="43"/>
      <c r="CI891" s="43"/>
      <c r="CJ891" s="43"/>
      <c r="CK891" s="43"/>
      <c r="CL891" s="43"/>
      <c r="CM891" s="43"/>
      <c r="CN891" s="43"/>
      <c r="CO891" s="43"/>
      <c r="CP891" s="43"/>
      <c r="CQ891" s="43"/>
      <c r="CR891" s="43"/>
      <c r="CS891" s="43"/>
    </row>
    <row r="892" spans="6:97" ht="12.95" customHeight="1">
      <c r="F892" s="214" t="s">
        <v>1993</v>
      </c>
      <c r="G892" s="9"/>
      <c r="H892" s="9"/>
      <c r="I892" s="9"/>
      <c r="J892" s="9"/>
      <c r="K892" s="9"/>
      <c r="L892" s="9"/>
      <c r="M892" s="9"/>
      <c r="N892" s="9"/>
      <c r="O892" s="9"/>
      <c r="P892" s="9"/>
      <c r="Q892" s="9"/>
      <c r="R892" s="9"/>
      <c r="S892" s="9"/>
      <c r="T892" s="52"/>
      <c r="U892" s="1167" t="s">
        <v>132</v>
      </c>
      <c r="V892" s="1101"/>
      <c r="W892" s="1101"/>
      <c r="X892" s="1101"/>
      <c r="Y892" s="1101"/>
      <c r="Z892" s="1168"/>
      <c r="AA892" s="1193"/>
      <c r="AB892" s="1134"/>
      <c r="AC892" s="1134"/>
      <c r="AD892" s="1134"/>
      <c r="AE892" s="1134"/>
      <c r="AF892" s="1194"/>
      <c r="AL892" s="74"/>
      <c r="AT892" s="43"/>
      <c r="AU892" s="43"/>
      <c r="AV892" s="43"/>
      <c r="BD892" s="43"/>
      <c r="BE892" s="43"/>
      <c r="BF892" s="43"/>
      <c r="BG892" s="43"/>
      <c r="BH892" s="43"/>
      <c r="BI892" s="43"/>
      <c r="BJ892" s="43"/>
      <c r="BK892" s="43"/>
      <c r="BL892" s="43"/>
      <c r="BM892" s="43"/>
      <c r="BN892" s="43"/>
      <c r="BO892" s="43"/>
      <c r="BP892" s="43"/>
      <c r="BQ892" s="43"/>
      <c r="BR892" s="43"/>
      <c r="BS892" s="43"/>
      <c r="BT892" s="43"/>
      <c r="BU892" s="43"/>
      <c r="BV892" s="43"/>
      <c r="BW892" s="43"/>
      <c r="BX892" s="43"/>
      <c r="BY892" s="43"/>
      <c r="BZ892" s="43"/>
      <c r="CA892" s="43"/>
      <c r="CB892" s="43"/>
      <c r="CC892" s="43"/>
      <c r="CD892" s="43"/>
      <c r="CE892" s="43"/>
      <c r="CF892" s="43"/>
      <c r="CG892" s="43"/>
      <c r="CH892" s="43"/>
      <c r="CI892" s="43"/>
      <c r="CJ892" s="43"/>
      <c r="CK892" s="43"/>
      <c r="CL892" s="43"/>
      <c r="CM892" s="43"/>
      <c r="CN892" s="43"/>
      <c r="CO892" s="43"/>
      <c r="CP892" s="43"/>
      <c r="CQ892" s="43"/>
      <c r="CR892" s="43"/>
      <c r="CS892" s="43"/>
    </row>
    <row r="893" spans="6:97" ht="12.95" customHeight="1">
      <c r="F893" s="214" t="s">
        <v>167</v>
      </c>
      <c r="G893" s="9"/>
      <c r="H893" s="9"/>
      <c r="I893" s="9"/>
      <c r="J893" s="9"/>
      <c r="K893" s="9"/>
      <c r="L893" s="9"/>
      <c r="M893" s="9"/>
      <c r="N893" s="9"/>
      <c r="O893" s="9"/>
      <c r="P893" s="9"/>
      <c r="Q893" s="9"/>
      <c r="R893" s="9"/>
      <c r="S893" s="9"/>
      <c r="T893" s="52"/>
      <c r="U893" s="1167" t="s">
        <v>132</v>
      </c>
      <c r="V893" s="1101"/>
      <c r="W893" s="1101"/>
      <c r="X893" s="1101"/>
      <c r="Y893" s="1101"/>
      <c r="Z893" s="1168"/>
      <c r="AA893" s="1193"/>
      <c r="AB893" s="1134"/>
      <c r="AC893" s="1134"/>
      <c r="AD893" s="1134"/>
      <c r="AE893" s="1134"/>
      <c r="AF893" s="1194"/>
      <c r="AL893" s="74"/>
      <c r="AT893" s="43"/>
      <c r="AU893" s="43"/>
      <c r="AV893" s="43"/>
      <c r="BD893" s="43"/>
      <c r="BE893" s="43"/>
      <c r="BF893" s="43"/>
      <c r="BG893" s="43"/>
      <c r="BH893" s="43"/>
      <c r="BI893" s="43"/>
      <c r="BJ893" s="43"/>
      <c r="BK893" s="43"/>
      <c r="BL893" s="43"/>
      <c r="BM893" s="43"/>
      <c r="BN893" s="43"/>
      <c r="BO893" s="43"/>
      <c r="BP893" s="43"/>
      <c r="BQ893" s="43"/>
      <c r="BR893" s="43"/>
      <c r="BS893" s="43"/>
      <c r="BT893" s="43"/>
      <c r="BU893" s="43"/>
      <c r="BV893" s="43"/>
      <c r="BW893" s="43"/>
      <c r="BX893" s="43"/>
      <c r="BY893" s="43"/>
      <c r="BZ893" s="43"/>
      <c r="CA893" s="43"/>
      <c r="CB893" s="43"/>
      <c r="CC893" s="43"/>
      <c r="CD893" s="43"/>
      <c r="CE893" s="43"/>
      <c r="CF893" s="43"/>
      <c r="CG893" s="43"/>
      <c r="CH893" s="43"/>
      <c r="CI893" s="43"/>
      <c r="CJ893" s="43"/>
      <c r="CK893" s="43"/>
      <c r="CL893" s="43"/>
      <c r="CM893" s="43"/>
      <c r="CN893" s="43"/>
      <c r="CO893" s="43"/>
      <c r="CP893" s="43"/>
      <c r="CQ893" s="43"/>
      <c r="CR893" s="43"/>
      <c r="CS893" s="43"/>
    </row>
    <row r="894" spans="6:97" ht="12.95" customHeight="1">
      <c r="F894" s="8" t="s">
        <v>1063</v>
      </c>
      <c r="G894" s="9"/>
      <c r="H894" s="9"/>
      <c r="I894" s="9"/>
      <c r="J894" s="9"/>
      <c r="K894" s="9"/>
      <c r="L894" s="9"/>
      <c r="M894" s="9"/>
      <c r="N894" s="9"/>
      <c r="O894" s="9"/>
      <c r="P894" s="1222" t="s">
        <v>510</v>
      </c>
      <c r="Q894" s="1101"/>
      <c r="R894" s="1101"/>
      <c r="S894" s="1101"/>
      <c r="T894" s="1168"/>
      <c r="U894" s="1167" t="s">
        <v>132</v>
      </c>
      <c r="V894" s="1101"/>
      <c r="W894" s="1101"/>
      <c r="X894" s="1101"/>
      <c r="Y894" s="1101"/>
      <c r="Z894" s="1168"/>
      <c r="AA894" s="1193"/>
      <c r="AB894" s="1134"/>
      <c r="AC894" s="1134"/>
      <c r="AD894" s="1134"/>
      <c r="AE894" s="1134"/>
      <c r="AF894" s="1194"/>
      <c r="AL894" s="74"/>
      <c r="AT894" s="43"/>
      <c r="AU894" s="43"/>
      <c r="AV894" s="43"/>
      <c r="BD894" s="43"/>
      <c r="BE894" s="43"/>
      <c r="BF894" s="43"/>
      <c r="BG894" s="43"/>
      <c r="BH894" s="43"/>
      <c r="BI894" s="43"/>
      <c r="BJ894" s="43"/>
      <c r="BK894" s="43"/>
      <c r="BL894" s="43"/>
      <c r="BM894" s="43"/>
      <c r="BN894" s="43"/>
      <c r="BO894" s="43"/>
      <c r="BP894" s="43"/>
      <c r="BQ894" s="43"/>
      <c r="BR894" s="43"/>
      <c r="BS894" s="43"/>
      <c r="BT894" s="43"/>
      <c r="BU894" s="43"/>
      <c r="BV894" s="43"/>
      <c r="BW894" s="43"/>
      <c r="BX894" s="43"/>
      <c r="BY894" s="43"/>
      <c r="BZ894" s="43"/>
      <c r="CA894" s="43"/>
      <c r="CB894" s="43"/>
      <c r="CC894" s="43"/>
      <c r="CD894" s="43"/>
      <c r="CE894" s="43"/>
      <c r="CF894" s="43"/>
      <c r="CG894" s="43"/>
      <c r="CH894" s="43"/>
      <c r="CI894" s="43"/>
      <c r="CJ894" s="43"/>
      <c r="CK894" s="43"/>
      <c r="CL894" s="43"/>
      <c r="CM894" s="43"/>
      <c r="CN894" s="43"/>
      <c r="CO894" s="43"/>
      <c r="CP894" s="43"/>
      <c r="CQ894" s="43"/>
      <c r="CR894" s="43"/>
      <c r="CS894" s="43"/>
    </row>
    <row r="895" spans="6:97" ht="12.95" customHeight="1">
      <c r="F895" s="8" t="s">
        <v>397</v>
      </c>
      <c r="G895" s="54"/>
      <c r="H895" s="54"/>
      <c r="I895" s="1141" t="s">
        <v>2433</v>
      </c>
      <c r="J895" s="1196"/>
      <c r="K895" s="1196"/>
      <c r="L895" s="1196"/>
      <c r="M895" s="1196"/>
      <c r="N895" s="1196"/>
      <c r="O895" s="1196"/>
      <c r="P895" s="1196"/>
      <c r="Q895" s="1196"/>
      <c r="R895" s="1196"/>
      <c r="S895" s="1196"/>
      <c r="T895" s="1197"/>
      <c r="U895" s="1167" t="s">
        <v>116</v>
      </c>
      <c r="V895" s="1101"/>
      <c r="W895" s="1101"/>
      <c r="X895" s="1101"/>
      <c r="Y895" s="1101"/>
      <c r="Z895" s="1168"/>
      <c r="AA895" s="1144">
        <v>3759124</v>
      </c>
      <c r="AB895" s="1145"/>
      <c r="AC895" s="1145"/>
      <c r="AD895" s="1145"/>
      <c r="AE895" s="1145"/>
      <c r="AF895" s="1146"/>
      <c r="AL895" s="74"/>
      <c r="AT895" s="43"/>
      <c r="AU895" s="43"/>
      <c r="AV895" s="43"/>
      <c r="BD895" s="43"/>
      <c r="BE895" s="43"/>
      <c r="BF895" s="43"/>
      <c r="BG895" s="43"/>
      <c r="BH895" s="43"/>
      <c r="BI895" s="43"/>
      <c r="BJ895" s="43"/>
      <c r="BK895" s="43"/>
      <c r="BL895" s="43"/>
      <c r="BM895" s="43"/>
      <c r="BN895" s="43"/>
      <c r="BO895" s="43"/>
      <c r="BP895" s="43"/>
      <c r="BQ895" s="43"/>
      <c r="BR895" s="43"/>
      <c r="BS895" s="43"/>
      <c r="BT895" s="43"/>
      <c r="BU895" s="43"/>
      <c r="BV895" s="43"/>
      <c r="BW895" s="43"/>
      <c r="BX895" s="43"/>
      <c r="BY895" s="43"/>
      <c r="BZ895" s="43"/>
      <c r="CA895" s="43"/>
      <c r="CB895" s="43"/>
      <c r="CC895" s="43"/>
      <c r="CD895" s="43"/>
      <c r="CE895" s="43"/>
      <c r="CF895" s="43"/>
      <c r="CG895" s="43"/>
      <c r="CH895" s="43"/>
      <c r="CI895" s="43"/>
      <c r="CJ895" s="43"/>
      <c r="CK895" s="43"/>
      <c r="CL895" s="43"/>
      <c r="CM895" s="43"/>
      <c r="CN895" s="43"/>
      <c r="CO895" s="43"/>
      <c r="CP895" s="43"/>
      <c r="CQ895" s="43"/>
      <c r="CR895" s="43"/>
      <c r="CS895" s="43"/>
    </row>
    <row r="896" spans="6:97" ht="12.95" customHeight="1">
      <c r="F896" s="8" t="s">
        <v>866</v>
      </c>
      <c r="G896" s="54"/>
      <c r="H896" s="54"/>
      <c r="I896" s="1141" t="s">
        <v>592</v>
      </c>
      <c r="J896" s="1196"/>
      <c r="K896" s="1196"/>
      <c r="L896" s="1196"/>
      <c r="M896" s="1196"/>
      <c r="N896" s="1196"/>
      <c r="O896" s="1196"/>
      <c r="P896" s="1196"/>
      <c r="Q896" s="1196"/>
      <c r="R896" s="1196"/>
      <c r="S896" s="1196"/>
      <c r="T896" s="1197"/>
      <c r="U896" s="1167" t="s">
        <v>132</v>
      </c>
      <c r="V896" s="1101"/>
      <c r="W896" s="1101"/>
      <c r="X896" s="1101"/>
      <c r="Y896" s="1101"/>
      <c r="Z896" s="1168"/>
      <c r="AA896" s="1193"/>
      <c r="AB896" s="1134"/>
      <c r="AC896" s="1134"/>
      <c r="AD896" s="1134"/>
      <c r="AE896" s="1134"/>
      <c r="AF896" s="1194"/>
      <c r="AL896" s="74"/>
      <c r="AT896" s="43"/>
      <c r="AU896" s="43"/>
      <c r="AV896" s="43"/>
      <c r="BD896" s="43"/>
      <c r="BE896" s="43"/>
      <c r="BF896" s="43"/>
      <c r="BG896" s="43"/>
      <c r="BH896" s="43"/>
      <c r="BI896" s="43"/>
      <c r="BJ896" s="43"/>
      <c r="BK896" s="43"/>
      <c r="BL896" s="43"/>
      <c r="BM896" s="43"/>
      <c r="BN896" s="43"/>
      <c r="BO896" s="43"/>
      <c r="BP896" s="43"/>
      <c r="BQ896" s="43"/>
      <c r="BR896" s="43"/>
      <c r="BS896" s="43"/>
      <c r="BT896" s="43"/>
      <c r="BU896" s="43"/>
      <c r="BV896" s="43"/>
      <c r="BW896" s="43"/>
      <c r="BX896" s="43"/>
      <c r="BY896" s="43"/>
      <c r="BZ896" s="43"/>
      <c r="CA896" s="43"/>
      <c r="CB896" s="43"/>
      <c r="CC896" s="43"/>
      <c r="CD896" s="43"/>
      <c r="CE896" s="43"/>
      <c r="CF896" s="43"/>
      <c r="CG896" s="43"/>
      <c r="CH896" s="43"/>
      <c r="CI896" s="43"/>
      <c r="CJ896" s="43"/>
      <c r="CK896" s="43"/>
      <c r="CL896" s="43"/>
      <c r="CM896" s="43"/>
      <c r="CN896" s="43"/>
      <c r="CO896" s="43"/>
      <c r="CP896" s="43"/>
      <c r="CQ896" s="43"/>
      <c r="CR896" s="43"/>
      <c r="CS896" s="43"/>
    </row>
    <row r="897" spans="1:97" ht="12.95" customHeight="1">
      <c r="F897" s="53" t="s">
        <v>297</v>
      </c>
      <c r="G897" s="54"/>
      <c r="H897" s="54"/>
      <c r="I897" s="1141" t="s">
        <v>592</v>
      </c>
      <c r="J897" s="1196"/>
      <c r="K897" s="1196"/>
      <c r="L897" s="1196"/>
      <c r="M897" s="1196"/>
      <c r="N897" s="1196"/>
      <c r="O897" s="1196"/>
      <c r="P897" s="1196"/>
      <c r="Q897" s="1196"/>
      <c r="R897" s="1196"/>
      <c r="S897" s="1196"/>
      <c r="T897" s="1197"/>
      <c r="U897" s="1167" t="s">
        <v>132</v>
      </c>
      <c r="V897" s="1101"/>
      <c r="W897" s="1101"/>
      <c r="X897" s="1101"/>
      <c r="Y897" s="1101"/>
      <c r="Z897" s="1168"/>
      <c r="AA897" s="1193"/>
      <c r="AB897" s="1134"/>
      <c r="AC897" s="1134"/>
      <c r="AD897" s="1134"/>
      <c r="AE897" s="1134"/>
      <c r="AF897" s="1194"/>
      <c r="AL897" s="74"/>
      <c r="AT897" s="43"/>
      <c r="AU897" s="43"/>
      <c r="AV897" s="43"/>
      <c r="BD897" s="43"/>
      <c r="BE897" s="43"/>
      <c r="BF897" s="43"/>
      <c r="BG897" s="43"/>
      <c r="BH897" s="43"/>
      <c r="BI897" s="43"/>
      <c r="BJ897" s="43"/>
      <c r="BK897" s="43"/>
      <c r="BL897" s="43"/>
      <c r="BM897" s="43"/>
      <c r="BN897" s="43"/>
      <c r="BO897" s="43"/>
      <c r="BP897" s="43"/>
      <c r="BQ897" s="43"/>
      <c r="BR897" s="43"/>
      <c r="BS897" s="43"/>
      <c r="BT897" s="43"/>
      <c r="BU897" s="43"/>
      <c r="BV897" s="43"/>
      <c r="BW897" s="43"/>
      <c r="BX897" s="43"/>
      <c r="BY897" s="43"/>
      <c r="BZ897" s="43"/>
      <c r="CA897" s="43"/>
      <c r="CB897" s="43"/>
      <c r="CC897" s="43"/>
      <c r="CD897" s="43"/>
      <c r="CE897" s="43"/>
      <c r="CF897" s="43"/>
      <c r="CG897" s="43"/>
      <c r="CH897" s="43"/>
      <c r="CI897" s="43"/>
      <c r="CJ897" s="43"/>
      <c r="CK897" s="43"/>
      <c r="CL897" s="43"/>
      <c r="CM897" s="43"/>
      <c r="CN897" s="43"/>
      <c r="CO897" s="43"/>
      <c r="CP897" s="43"/>
      <c r="CQ897" s="43"/>
      <c r="CR897" s="43"/>
      <c r="CS897" s="43"/>
    </row>
    <row r="898" spans="1:97" ht="12.95" customHeight="1">
      <c r="A898" s="21"/>
      <c r="F898" s="53" t="s">
        <v>297</v>
      </c>
      <c r="G898" s="54"/>
      <c r="H898" s="54"/>
      <c r="I898" s="1141" t="s">
        <v>592</v>
      </c>
      <c r="J898" s="1196"/>
      <c r="K898" s="1196"/>
      <c r="L898" s="1196"/>
      <c r="M898" s="1196"/>
      <c r="N898" s="1196"/>
      <c r="O898" s="1196"/>
      <c r="P898" s="1196"/>
      <c r="Q898" s="1196"/>
      <c r="R898" s="1196"/>
      <c r="S898" s="1196"/>
      <c r="T898" s="1197"/>
      <c r="U898" s="1167" t="s">
        <v>132</v>
      </c>
      <c r="V898" s="1101"/>
      <c r="W898" s="1101"/>
      <c r="X898" s="1101"/>
      <c r="Y898" s="1101"/>
      <c r="Z898" s="1168"/>
      <c r="AA898" s="1193"/>
      <c r="AB898" s="1134"/>
      <c r="AC898" s="1134"/>
      <c r="AD898" s="1134"/>
      <c r="AE898" s="1134"/>
      <c r="AF898" s="1194"/>
      <c r="AL898" s="74"/>
      <c r="AT898" s="43"/>
      <c r="AU898" s="43"/>
      <c r="AV898" s="43"/>
      <c r="BD898" s="43"/>
      <c r="BE898" s="43"/>
      <c r="BF898" s="43"/>
      <c r="BG898" s="43"/>
      <c r="BH898" s="43"/>
      <c r="BI898" s="43"/>
      <c r="BJ898" s="43"/>
      <c r="BK898" s="43"/>
      <c r="BL898" s="43"/>
      <c r="BM898" s="43"/>
      <c r="BN898" s="43"/>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row>
    <row r="899" spans="1:97" ht="12.95" customHeight="1">
      <c r="AL899" s="74"/>
      <c r="AT899" s="43"/>
      <c r="AU899" s="43"/>
      <c r="AV899" s="43"/>
      <c r="BD899" s="43"/>
      <c r="BE899" s="43"/>
      <c r="BF899" s="43"/>
      <c r="BG899" s="43"/>
      <c r="BH899" s="43"/>
      <c r="BI899" s="43"/>
      <c r="BJ899" s="43"/>
      <c r="BK899" s="43"/>
      <c r="BL899" s="43"/>
      <c r="BM899" s="43"/>
      <c r="BN899" s="43"/>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row>
    <row r="900" spans="1:97" ht="12.95" customHeight="1">
      <c r="A900" s="3" t="s">
        <v>8</v>
      </c>
      <c r="C900" s="3" t="s">
        <v>491</v>
      </c>
      <c r="AL900" s="74"/>
      <c r="AT900" s="43"/>
      <c r="AU900" s="43"/>
      <c r="AV900" s="43"/>
      <c r="BD900" s="43"/>
      <c r="BE900" s="43"/>
      <c r="BF900" s="43"/>
      <c r="BG900" s="43"/>
      <c r="BH900" s="43"/>
      <c r="BI900" s="43"/>
      <c r="BJ900" s="43"/>
      <c r="BK900" s="43"/>
      <c r="BL900" s="43"/>
      <c r="BM900" s="43"/>
      <c r="BN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row>
    <row r="901" spans="1:97" ht="12.95" customHeight="1">
      <c r="B901" s="3"/>
      <c r="C901" s="4" t="s">
        <v>61</v>
      </c>
      <c r="D901" s="3"/>
      <c r="E901" s="3"/>
      <c r="F901" s="3"/>
      <c r="G901" s="3"/>
      <c r="H901" s="3"/>
      <c r="I901" s="3"/>
      <c r="J901" s="3"/>
      <c r="K901" s="3"/>
      <c r="L901" s="3"/>
      <c r="M901" s="3"/>
      <c r="N901" s="3"/>
      <c r="O901" s="3"/>
      <c r="P901" s="3"/>
      <c r="Q901" s="3"/>
      <c r="R901" s="3"/>
      <c r="S901" s="3"/>
      <c r="T901" s="3"/>
      <c r="U901" s="3"/>
      <c r="V901" s="3"/>
      <c r="W901" s="3"/>
      <c r="X901" s="3"/>
      <c r="Y901" s="3"/>
      <c r="Z901" s="3"/>
      <c r="AA901" s="3"/>
      <c r="AB901" s="3"/>
      <c r="AC901" s="3"/>
      <c r="AD901" s="3"/>
      <c r="AE901" s="3"/>
      <c r="AF901" s="3"/>
      <c r="AG901" s="3"/>
      <c r="AH901" s="3"/>
      <c r="AI901" s="3"/>
      <c r="AJ901" s="3"/>
      <c r="AK901" s="3"/>
      <c r="AL901" s="74"/>
      <c r="AT901" s="43"/>
      <c r="AU901" s="43"/>
      <c r="AV901" s="43"/>
      <c r="BD901" s="43"/>
      <c r="BE901" s="43"/>
      <c r="BF901" s="43"/>
      <c r="BG901" s="43"/>
      <c r="BH901" s="43"/>
      <c r="BI901" s="43"/>
      <c r="BJ901" s="43"/>
      <c r="BK901" s="43"/>
      <c r="BL901" s="43"/>
      <c r="BM901" s="43"/>
      <c r="BN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row>
    <row r="902" spans="1:97" ht="12.95" customHeight="1">
      <c r="AL902" s="74"/>
      <c r="AM902" s="43"/>
      <c r="AN902" s="43"/>
      <c r="AO902" s="43"/>
      <c r="AP902" s="43"/>
      <c r="AQ902" s="43"/>
      <c r="AR902" s="43"/>
      <c r="AS902" s="43"/>
      <c r="AT902" s="43"/>
      <c r="AU902" s="43"/>
      <c r="AV902" s="43"/>
      <c r="AW902" s="43"/>
      <c r="AX902" s="43"/>
      <c r="AY902" s="43"/>
      <c r="AZ902" s="43"/>
      <c r="BA902" s="43"/>
      <c r="BB902" s="43"/>
      <c r="BC902" s="43"/>
      <c r="BD902" s="43"/>
      <c r="BE902" s="43"/>
      <c r="BF902" s="43"/>
      <c r="BG902" s="43"/>
      <c r="BH902" s="43"/>
      <c r="BI902" s="43"/>
      <c r="BJ902" s="43"/>
      <c r="BK902" s="43"/>
      <c r="BL902" s="43"/>
      <c r="BM902" s="43"/>
      <c r="BN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row>
    <row r="903" spans="1:97" ht="12.95" customHeight="1">
      <c r="C903" s="72" t="s">
        <v>867</v>
      </c>
      <c r="D903" s="9"/>
      <c r="E903" s="9"/>
      <c r="F903" s="9"/>
      <c r="G903" s="9"/>
      <c r="H903" s="9"/>
      <c r="I903" s="9"/>
      <c r="J903" s="9"/>
      <c r="K903" s="9"/>
      <c r="L903" s="1204">
        <v>45146</v>
      </c>
      <c r="M903" s="1307"/>
      <c r="N903" s="1307"/>
      <c r="O903" s="1307"/>
      <c r="P903" s="1307"/>
      <c r="Q903" s="1307"/>
      <c r="R903" s="1307"/>
      <c r="S903" s="1338"/>
      <c r="U903" s="72" t="s">
        <v>867</v>
      </c>
      <c r="V903" s="9"/>
      <c r="W903" s="9"/>
      <c r="X903" s="9"/>
      <c r="Y903" s="9"/>
      <c r="Z903" s="9"/>
      <c r="AA903" s="9"/>
      <c r="AB903" s="9"/>
      <c r="AC903" s="9"/>
      <c r="AD903" s="52"/>
      <c r="AE903" s="1204"/>
      <c r="AF903" s="1205"/>
      <c r="AG903" s="1205"/>
      <c r="AH903" s="1205"/>
      <c r="AI903" s="1205"/>
      <c r="AJ903" s="1205"/>
      <c r="AK903" s="1206"/>
      <c r="AL903" s="74"/>
      <c r="AM903" s="43"/>
      <c r="AP903" s="43"/>
      <c r="AQ903" s="43"/>
      <c r="AR903" s="43"/>
      <c r="AS903" s="43"/>
      <c r="AT903" s="43"/>
      <c r="AU903" s="43"/>
      <c r="AV903" s="43"/>
      <c r="AW903" s="43"/>
      <c r="AX903" s="43"/>
      <c r="AY903" s="43"/>
      <c r="AZ903" s="43"/>
      <c r="BA903" s="43"/>
      <c r="BB903" s="43"/>
      <c r="BC903" s="43"/>
      <c r="BD903" s="43"/>
      <c r="BE903" s="43"/>
      <c r="BF903" s="43"/>
      <c r="BG903" s="43"/>
      <c r="BH903" s="43"/>
      <c r="BI903" s="43"/>
      <c r="BJ903" s="43"/>
      <c r="BK903" s="43"/>
      <c r="BL903" s="43"/>
      <c r="BM903" s="43"/>
      <c r="BN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row>
    <row r="904" spans="1:97" ht="12.95" customHeight="1">
      <c r="C904" s="72" t="s">
        <v>868</v>
      </c>
      <c r="D904" s="9"/>
      <c r="E904" s="9"/>
      <c r="F904" s="9"/>
      <c r="G904" s="9"/>
      <c r="H904" s="9"/>
      <c r="I904" s="9"/>
      <c r="J904" s="9"/>
      <c r="K904" s="9"/>
      <c r="L904" s="1207" t="s">
        <v>2506</v>
      </c>
      <c r="M904" s="1307"/>
      <c r="N904" s="1307"/>
      <c r="O904" s="1307"/>
      <c r="P904" s="1307"/>
      <c r="Q904" s="1307"/>
      <c r="R904" s="1307"/>
      <c r="S904" s="1338"/>
      <c r="U904" s="72" t="s">
        <v>868</v>
      </c>
      <c r="V904" s="9"/>
      <c r="W904" s="9"/>
      <c r="X904" s="9"/>
      <c r="Y904" s="9"/>
      <c r="Z904" s="9"/>
      <c r="AA904" s="9"/>
      <c r="AB904" s="9"/>
      <c r="AC904" s="9"/>
      <c r="AD904" s="52"/>
      <c r="AE904" s="1207"/>
      <c r="AF904" s="1133"/>
      <c r="AG904" s="1133"/>
      <c r="AH904" s="1133"/>
      <c r="AI904" s="1133"/>
      <c r="AJ904" s="1133"/>
      <c r="AK904" s="1208"/>
      <c r="AL904" s="74"/>
      <c r="AM904" s="43"/>
      <c r="AN904" s="43"/>
      <c r="AO904" s="43"/>
      <c r="AP904" s="43"/>
      <c r="AQ904" s="43"/>
      <c r="AR904" s="43"/>
      <c r="AS904" s="43"/>
      <c r="AT904" s="43"/>
      <c r="AU904" s="43"/>
      <c r="AV904" s="43"/>
      <c r="AW904" s="38"/>
      <c r="AX904" s="38"/>
      <c r="AY904" s="21"/>
      <c r="AZ904" s="21"/>
      <c r="BA904" s="21"/>
      <c r="BB904" s="43"/>
      <c r="BC904" s="43"/>
      <c r="BD904" s="43"/>
      <c r="BE904" s="43"/>
      <c r="BF904" s="43"/>
      <c r="BG904" s="43"/>
      <c r="BH904" s="43"/>
      <c r="BI904" s="43"/>
      <c r="BJ904" s="43"/>
      <c r="BK904" s="43"/>
      <c r="BL904" s="43"/>
      <c r="BM904" s="43"/>
      <c r="BN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row>
    <row r="905" spans="1:97" ht="12.95" customHeight="1">
      <c r="C905" s="72" t="s">
        <v>1154</v>
      </c>
      <c r="D905" s="9"/>
      <c r="E905" s="9"/>
      <c r="L905" s="1169" t="s">
        <v>84</v>
      </c>
      <c r="M905" s="1170"/>
      <c r="N905" s="1170"/>
      <c r="O905" s="1170"/>
      <c r="P905" s="1170"/>
      <c r="Q905" s="1170"/>
      <c r="R905" s="1170"/>
      <c r="S905" s="1171"/>
      <c r="U905" s="72" t="s">
        <v>1154</v>
      </c>
      <c r="V905" s="9"/>
      <c r="W905" s="9"/>
      <c r="AE905" s="1169" t="s">
        <v>84</v>
      </c>
      <c r="AF905" s="1170"/>
      <c r="AG905" s="1170"/>
      <c r="AH905" s="1170"/>
      <c r="AI905" s="1170"/>
      <c r="AJ905" s="1170"/>
      <c r="AK905" s="1171"/>
      <c r="AL905" s="74"/>
      <c r="AM905" s="43"/>
      <c r="AN905" s="43"/>
      <c r="AO905" s="43"/>
      <c r="AP905" s="43"/>
      <c r="AQ905" s="43"/>
      <c r="AR905" s="43"/>
      <c r="AS905" s="43"/>
      <c r="AT905" s="43"/>
      <c r="AU905" s="43"/>
      <c r="AV905" s="43"/>
      <c r="AW905" s="38" t="s">
        <v>619</v>
      </c>
      <c r="AX905" s="206">
        <v>20</v>
      </c>
      <c r="AY905" s="1216">
        <f>IF(AD941&gt;0,0.2,0)</f>
        <v>0</v>
      </c>
      <c r="AZ905" s="1216"/>
      <c r="BA905" s="21"/>
      <c r="BB905" s="43"/>
      <c r="BC905" s="43"/>
      <c r="BD905" s="43"/>
      <c r="BE905" s="43"/>
      <c r="BF905" s="43"/>
      <c r="BG905" s="43"/>
      <c r="BH905" s="43"/>
      <c r="BI905" s="43"/>
      <c r="BJ905" s="43"/>
      <c r="BK905" s="43"/>
      <c r="BL905" s="43"/>
      <c r="BM905" s="43"/>
      <c r="BN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row>
    <row r="906" spans="1:97" ht="12.95" customHeight="1">
      <c r="C906" s="72" t="s">
        <v>869</v>
      </c>
      <c r="D906" s="9"/>
      <c r="E906" s="9"/>
      <c r="F906" s="9"/>
      <c r="G906" s="9"/>
      <c r="H906" s="9"/>
      <c r="I906" s="9"/>
      <c r="J906" s="9"/>
      <c r="K906" s="9"/>
      <c r="L906" s="1201">
        <v>0.5</v>
      </c>
      <c r="M906" s="1202"/>
      <c r="N906" s="1202"/>
      <c r="O906" s="1202"/>
      <c r="P906" s="1202"/>
      <c r="Q906" s="1202"/>
      <c r="R906" s="1202"/>
      <c r="S906" s="1203"/>
      <c r="U906" s="72" t="s">
        <v>869</v>
      </c>
      <c r="V906" s="9"/>
      <c r="W906" s="9"/>
      <c r="X906" s="9"/>
      <c r="Y906" s="9"/>
      <c r="Z906" s="9"/>
      <c r="AA906" s="9"/>
      <c r="AB906" s="9"/>
      <c r="AC906" s="9"/>
      <c r="AD906" s="52"/>
      <c r="AE906" s="1201"/>
      <c r="AF906" s="1202"/>
      <c r="AG906" s="1202"/>
      <c r="AH906" s="1202"/>
      <c r="AI906" s="1202"/>
      <c r="AJ906" s="1202"/>
      <c r="AK906" s="1203"/>
      <c r="AL906" s="74"/>
      <c r="AM906" s="43"/>
      <c r="AN906" s="43"/>
      <c r="AO906" s="43"/>
      <c r="AP906" s="43"/>
      <c r="AQ906" s="43"/>
      <c r="AR906" s="43"/>
      <c r="AS906" s="43"/>
      <c r="AT906" s="43"/>
      <c r="AU906" s="43"/>
      <c r="AV906" s="43"/>
      <c r="AX906">
        <v>5</v>
      </c>
      <c r="AY906" s="1216">
        <f>IF(AD944&gt;0,0.05,0)</f>
        <v>0</v>
      </c>
      <c r="AZ906" s="1216"/>
      <c r="BC906" s="43"/>
      <c r="BD906" s="43"/>
      <c r="BE906" s="43"/>
      <c r="BF906" s="43"/>
      <c r="BG906" s="43"/>
      <c r="BH906" s="43"/>
      <c r="BI906" s="43"/>
      <c r="BJ906" s="43"/>
      <c r="BK906" s="43"/>
      <c r="BL906" s="43"/>
      <c r="BM906" s="43"/>
      <c r="BN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row>
    <row r="907" spans="1:97" ht="12.95" customHeight="1">
      <c r="C907" s="72" t="s">
        <v>870</v>
      </c>
      <c r="D907" s="9"/>
      <c r="E907" s="9"/>
      <c r="F907" s="9"/>
      <c r="G907" s="9"/>
      <c r="H907" s="9"/>
      <c r="I907" s="9"/>
      <c r="J907" s="9"/>
      <c r="K907" s="9"/>
      <c r="L907" s="1329">
        <v>19</v>
      </c>
      <c r="M907" s="1330"/>
      <c r="N907" s="1330"/>
      <c r="O907" s="1330"/>
      <c r="P907" s="1330"/>
      <c r="Q907" s="1330"/>
      <c r="R907" s="1330"/>
      <c r="S907" s="1331"/>
      <c r="U907" s="72" t="s">
        <v>870</v>
      </c>
      <c r="V907" s="9"/>
      <c r="W907" s="9"/>
      <c r="X907" s="9"/>
      <c r="Y907" s="9"/>
      <c r="Z907" s="9"/>
      <c r="AA907" s="9"/>
      <c r="AB907" s="9"/>
      <c r="AC907" s="9"/>
      <c r="AD907" s="52"/>
      <c r="AE907" s="1262"/>
      <c r="AF907" s="1263"/>
      <c r="AG907" s="1263"/>
      <c r="AH907" s="1263"/>
      <c r="AI907" s="1263"/>
      <c r="AJ907" s="1263"/>
      <c r="AK907" s="1264"/>
      <c r="AL907" s="74"/>
      <c r="AM907" s="43"/>
      <c r="AN907" s="43"/>
      <c r="AO907" s="43"/>
      <c r="AP907" s="43"/>
      <c r="AQ907" s="43"/>
      <c r="AR907" s="43"/>
      <c r="AS907" s="43"/>
      <c r="AT907" s="43"/>
      <c r="AU907" s="43"/>
      <c r="AV907" s="43"/>
      <c r="AW907" s="38" t="s">
        <v>620</v>
      </c>
      <c r="AX907" s="206">
        <v>7</v>
      </c>
      <c r="AY907" s="1312">
        <f>IF(AD948&gt;0,0.07,0)</f>
        <v>0</v>
      </c>
      <c r="AZ907" s="1312"/>
      <c r="BA907" s="21"/>
      <c r="BB907" s="43"/>
      <c r="BC907" s="43"/>
      <c r="BD907" s="43"/>
      <c r="BE907" s="43"/>
      <c r="BF907" s="43"/>
      <c r="BG907" s="43"/>
      <c r="BH907" s="43"/>
      <c r="BI907" s="43"/>
      <c r="BJ907" s="43"/>
      <c r="BK907" s="43"/>
      <c r="BL907" s="43"/>
      <c r="BM907" s="43"/>
      <c r="BN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row>
    <row r="908" spans="1:97" ht="12.95" customHeight="1">
      <c r="C908" s="72" t="s">
        <v>871</v>
      </c>
      <c r="D908" s="9"/>
      <c r="E908" s="9"/>
      <c r="F908" s="9"/>
      <c r="G908" s="9"/>
      <c r="H908" s="9"/>
      <c r="I908" s="9"/>
      <c r="J908" s="9"/>
      <c r="K908" s="9"/>
      <c r="L908" s="1144">
        <f>Z773</f>
        <v>178068</v>
      </c>
      <c r="M908" s="1145"/>
      <c r="N908" s="1145"/>
      <c r="O908" s="1145"/>
      <c r="P908" s="1145"/>
      <c r="Q908" s="1145"/>
      <c r="R908" s="1145"/>
      <c r="S908" s="1146"/>
      <c r="U908" s="72" t="s">
        <v>871</v>
      </c>
      <c r="V908" s="9"/>
      <c r="W908" s="9"/>
      <c r="X908" s="9"/>
      <c r="Y908" s="9"/>
      <c r="Z908" s="9"/>
      <c r="AA908" s="9"/>
      <c r="AB908" s="9"/>
      <c r="AC908" s="9"/>
      <c r="AD908" s="52"/>
      <c r="AE908" s="1193"/>
      <c r="AF908" s="1134"/>
      <c r="AG908" s="1134"/>
      <c r="AH908" s="1134"/>
      <c r="AI908" s="1134"/>
      <c r="AJ908" s="1134"/>
      <c r="AK908" s="1194"/>
      <c r="AL908" s="74"/>
      <c r="AM908" s="43"/>
      <c r="AN908" s="43"/>
      <c r="AO908" s="43"/>
      <c r="AP908" s="43"/>
      <c r="AQ908" s="43"/>
      <c r="AR908" s="43"/>
      <c r="AS908" s="43"/>
      <c r="AT908" s="43"/>
      <c r="AU908" s="43"/>
      <c r="AV908" s="43"/>
      <c r="AW908" s="38" t="s">
        <v>158</v>
      </c>
      <c r="AX908" s="206">
        <v>2</v>
      </c>
      <c r="AY908" s="1189">
        <f>IF(AD952&gt;0,0.02,0)</f>
        <v>0</v>
      </c>
      <c r="AZ908" s="1191"/>
      <c r="BA908" s="21"/>
      <c r="BB908" s="43"/>
      <c r="BC908" s="43"/>
      <c r="BD908" s="43"/>
      <c r="BE908" s="43"/>
      <c r="BF908" s="43"/>
      <c r="BG908" s="43"/>
      <c r="BH908" s="43"/>
      <c r="BI908" s="43"/>
      <c r="BJ908" s="43"/>
      <c r="BK908" s="43"/>
      <c r="BL908" s="43"/>
      <c r="BM908" s="43"/>
      <c r="BN908" s="43"/>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row>
    <row r="909" spans="1:97" ht="12.95" customHeight="1">
      <c r="C909" s="72" t="s">
        <v>872</v>
      </c>
      <c r="D909" s="9"/>
      <c r="E909" s="9"/>
      <c r="F909" s="9"/>
      <c r="G909" s="9"/>
      <c r="H909" s="9"/>
      <c r="I909" s="9"/>
      <c r="J909" s="9"/>
      <c r="K909" s="9"/>
      <c r="L909" s="1144">
        <f>L908*L910</f>
        <v>3561360</v>
      </c>
      <c r="M909" s="1145"/>
      <c r="N909" s="1145"/>
      <c r="O909" s="1145"/>
      <c r="P909" s="1145"/>
      <c r="Q909" s="1145"/>
      <c r="R909" s="1145"/>
      <c r="S909" s="1146"/>
      <c r="U909" s="72" t="s">
        <v>872</v>
      </c>
      <c r="V909" s="9"/>
      <c r="W909" s="9"/>
      <c r="X909" s="9"/>
      <c r="Y909" s="9"/>
      <c r="Z909" s="9"/>
      <c r="AA909" s="9"/>
      <c r="AB909" s="9"/>
      <c r="AC909" s="9"/>
      <c r="AD909" s="52"/>
      <c r="AE909" s="1193"/>
      <c r="AF909" s="1134"/>
      <c r="AG909" s="1134"/>
      <c r="AH909" s="1134"/>
      <c r="AI909" s="1134"/>
      <c r="AJ909" s="1134"/>
      <c r="AK909" s="1194"/>
      <c r="AL909" s="74"/>
      <c r="AM909" s="43"/>
      <c r="AN909" s="43"/>
      <c r="AO909" s="43"/>
      <c r="AP909" s="43"/>
      <c r="AQ909" s="43"/>
      <c r="AR909" s="43"/>
      <c r="AS909" s="43"/>
      <c r="AT909" s="43"/>
      <c r="AU909" s="43"/>
      <c r="AV909" s="43"/>
      <c r="AW909" s="38" t="s">
        <v>621</v>
      </c>
      <c r="AX909" s="206">
        <v>2</v>
      </c>
      <c r="AY909" s="1189">
        <f>IF(AD954&gt;0,0.02,0)</f>
        <v>0</v>
      </c>
      <c r="AZ909" s="1191"/>
      <c r="BA909" s="21"/>
      <c r="BB909" s="43"/>
      <c r="BC909" s="43"/>
      <c r="BD909" s="43"/>
      <c r="BE909" s="43"/>
      <c r="BF909" s="43"/>
      <c r="BG909" s="43"/>
      <c r="BH909" s="43"/>
      <c r="BI909" s="43"/>
      <c r="BJ909" s="43"/>
      <c r="BK909" s="43"/>
      <c r="BL909" s="43"/>
      <c r="BM909" s="43"/>
      <c r="BN909" s="43"/>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row>
    <row r="910" spans="1:97" ht="12.95" customHeight="1">
      <c r="C910" s="214" t="s">
        <v>2065</v>
      </c>
      <c r="D910" s="9"/>
      <c r="E910" s="9"/>
      <c r="F910" s="9"/>
      <c r="G910" s="9"/>
      <c r="H910" s="9"/>
      <c r="I910" s="9"/>
      <c r="J910" s="9"/>
      <c r="K910" s="9"/>
      <c r="L910" s="1329">
        <v>20</v>
      </c>
      <c r="M910" s="1330"/>
      <c r="N910" s="1330"/>
      <c r="O910" s="1330"/>
      <c r="P910" s="1330"/>
      <c r="Q910" s="1330"/>
      <c r="R910" s="1330"/>
      <c r="S910" s="1331"/>
      <c r="U910" s="214" t="s">
        <v>2065</v>
      </c>
      <c r="V910" s="9"/>
      <c r="W910" s="9"/>
      <c r="X910" s="9"/>
      <c r="Y910" s="9"/>
      <c r="Z910" s="9"/>
      <c r="AA910" s="9"/>
      <c r="AB910" s="9"/>
      <c r="AC910" s="9"/>
      <c r="AD910" s="52"/>
      <c r="AE910" s="1329"/>
      <c r="AF910" s="1330"/>
      <c r="AG910" s="1330"/>
      <c r="AH910" s="1330"/>
      <c r="AI910" s="1330"/>
      <c r="AJ910" s="1330"/>
      <c r="AK910" s="1331"/>
      <c r="AL910" s="74"/>
      <c r="AM910" s="43"/>
      <c r="AN910" s="43"/>
      <c r="AO910" s="43"/>
      <c r="AP910" s="43"/>
      <c r="AQ910" s="43"/>
      <c r="AR910" s="43"/>
      <c r="AS910" s="43"/>
      <c r="AT910" s="43"/>
      <c r="AU910" s="43"/>
      <c r="AV910" s="43"/>
      <c r="AW910" s="38" t="s">
        <v>622</v>
      </c>
      <c r="AX910" s="206">
        <v>10</v>
      </c>
      <c r="AY910" s="1319">
        <f>AY918</f>
        <v>0</v>
      </c>
      <c r="AZ910" s="1320"/>
      <c r="BA910" s="21"/>
      <c r="BB910" s="43"/>
      <c r="BC910" s="43"/>
      <c r="BD910" s="43"/>
      <c r="BE910" s="43"/>
      <c r="BF910" s="43"/>
      <c r="BG910" s="43"/>
      <c r="BH910" s="43"/>
      <c r="BI910" s="43"/>
      <c r="BJ910" s="43"/>
      <c r="BK910" s="43"/>
      <c r="BL910" s="43"/>
      <c r="BM910" s="43"/>
      <c r="BN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row>
    <row r="911" spans="1:97" ht="12.95" customHeight="1">
      <c r="AL911" s="74"/>
      <c r="AM911" s="43"/>
      <c r="AN911" s="43"/>
      <c r="AO911" s="43"/>
      <c r="AP911" s="43"/>
      <c r="AQ911" s="43"/>
      <c r="AR911" s="43"/>
      <c r="AS911" s="43"/>
      <c r="AT911" s="43"/>
      <c r="AU911" s="43"/>
      <c r="AV911" s="43"/>
      <c r="AW911" s="38" t="s">
        <v>623</v>
      </c>
      <c r="AX911" s="206">
        <v>15</v>
      </c>
      <c r="AY911" s="1189"/>
      <c r="AZ911" s="1191"/>
      <c r="BA911" s="21"/>
      <c r="BB911" s="43"/>
      <c r="BC911" s="43"/>
      <c r="BD911" s="43"/>
      <c r="BE911" s="43"/>
      <c r="BF911" s="43"/>
      <c r="BG911" s="43"/>
      <c r="BH911" s="43"/>
      <c r="BI911" s="43"/>
      <c r="BJ911" s="43"/>
      <c r="BK911" s="43"/>
      <c r="BL911" s="43"/>
      <c r="BM911" s="43"/>
      <c r="BN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row>
    <row r="912" spans="1:97" ht="12.95" customHeight="1">
      <c r="A912" s="3" t="s">
        <v>127</v>
      </c>
      <c r="C912" s="3" t="s">
        <v>94</v>
      </c>
      <c r="D912" s="3"/>
      <c r="E912" s="3"/>
      <c r="F912" s="3"/>
      <c r="G912" s="3"/>
      <c r="H912" s="3"/>
      <c r="I912" s="3"/>
      <c r="J912" s="3"/>
      <c r="K912" s="3"/>
      <c r="L912" s="3"/>
      <c r="M912" s="3"/>
      <c r="N912" s="3"/>
      <c r="O912" s="3"/>
      <c r="P912" s="3"/>
      <c r="Q912" s="3"/>
      <c r="R912" s="3"/>
      <c r="S912" s="3"/>
      <c r="T912" s="3"/>
      <c r="U912" s="3"/>
      <c r="V912" s="3"/>
      <c r="W912" s="3"/>
      <c r="X912" s="3"/>
      <c r="Y912" s="3"/>
      <c r="Z912" s="3"/>
      <c r="AA912" s="3"/>
      <c r="AB912" s="3"/>
      <c r="AC912" s="3"/>
      <c r="AD912" s="3"/>
      <c r="AE912" s="3"/>
      <c r="AF912" s="3"/>
      <c r="AG912" s="3"/>
      <c r="AH912" s="3"/>
      <c r="AI912" s="3"/>
      <c r="AJ912" s="3"/>
      <c r="AK912" s="3"/>
      <c r="AL912" s="74"/>
      <c r="AM912" s="43"/>
      <c r="AN912" s="43"/>
      <c r="AO912" s="43"/>
      <c r="AP912" s="43"/>
      <c r="AQ912" s="43"/>
      <c r="AR912" s="43"/>
      <c r="AS912" s="43"/>
      <c r="AT912" s="43"/>
      <c r="AU912" s="43"/>
      <c r="AV912" s="43"/>
      <c r="AW912" s="38" t="s">
        <v>530</v>
      </c>
      <c r="AX912" s="206"/>
      <c r="AY912" s="1369"/>
      <c r="AZ912" s="1370"/>
      <c r="BA912" s="1371"/>
      <c r="BB912" s="43"/>
      <c r="BC912" s="43"/>
      <c r="BD912" s="43"/>
      <c r="BE912" s="43"/>
      <c r="BF912" s="43"/>
      <c r="BG912" s="43"/>
      <c r="BH912" s="43"/>
      <c r="BI912" s="43"/>
      <c r="BJ912" s="43"/>
      <c r="BK912" s="43"/>
      <c r="BL912" s="43"/>
      <c r="BM912" s="43"/>
      <c r="BN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row>
    <row r="913" spans="1:97" ht="12.95" customHeight="1">
      <c r="B913" s="3"/>
      <c r="C913" s="4" t="s">
        <v>438</v>
      </c>
      <c r="D913" s="3"/>
      <c r="E913" s="3"/>
      <c r="F913" s="3"/>
      <c r="G913" s="3"/>
      <c r="H913" s="3"/>
      <c r="I913" s="3"/>
      <c r="J913" s="3"/>
      <c r="K913" s="3"/>
      <c r="L913" s="3"/>
      <c r="M913" s="3"/>
      <c r="N913" s="3"/>
      <c r="O913" s="3"/>
      <c r="P913" s="3"/>
      <c r="Q913" s="3"/>
      <c r="R913" s="3"/>
      <c r="S913" s="3"/>
      <c r="T913" s="3"/>
      <c r="U913" s="3"/>
      <c r="V913" s="3"/>
      <c r="W913" s="3"/>
      <c r="X913" s="3"/>
      <c r="Y913" s="3"/>
      <c r="Z913" s="3"/>
      <c r="AA913" s="3"/>
      <c r="AB913" s="3"/>
      <c r="AC913" s="3"/>
      <c r="AD913" s="3"/>
      <c r="AE913" s="3"/>
      <c r="AF913" s="3"/>
      <c r="AG913" s="3"/>
      <c r="AH913" s="3"/>
      <c r="AI913" s="3"/>
      <c r="AJ913" s="3"/>
      <c r="AK913" s="3"/>
      <c r="AL913" s="74"/>
      <c r="AM913" s="43"/>
      <c r="AN913" s="43"/>
      <c r="AO913" s="43"/>
      <c r="AP913" s="43"/>
      <c r="AQ913" s="43"/>
      <c r="AR913" s="43"/>
      <c r="AS913" s="43"/>
      <c r="AT913" s="43"/>
      <c r="AU913" s="43"/>
      <c r="AV913" s="43"/>
      <c r="AW913" s="38" t="s">
        <v>531</v>
      </c>
      <c r="AX913" s="206">
        <v>10</v>
      </c>
      <c r="AY913" s="1189">
        <f>IF(AD971&gt;0,0.1,0)</f>
        <v>0</v>
      </c>
      <c r="AZ913" s="1191"/>
      <c r="BA913" s="351"/>
      <c r="BB913" s="43"/>
      <c r="BC913" s="43"/>
      <c r="BD913" s="43"/>
      <c r="BE913" s="43"/>
      <c r="BF913" s="43"/>
      <c r="BG913" s="43"/>
      <c r="BH913" s="43"/>
      <c r="BI913" s="43"/>
      <c r="BJ913" s="43"/>
      <c r="BK913" s="43"/>
      <c r="BL913" s="43"/>
      <c r="BM913" s="43"/>
      <c r="BN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row>
    <row r="914" spans="1:97" ht="12.95" customHeight="1">
      <c r="B914" s="3"/>
      <c r="C914" s="4"/>
      <c r="D914" s="3"/>
      <c r="E914" s="3"/>
      <c r="F914" s="3"/>
      <c r="G914" s="3"/>
      <c r="H914" s="3"/>
      <c r="I914" s="3"/>
      <c r="J914" s="3"/>
      <c r="K914" s="3"/>
      <c r="L914" s="3"/>
      <c r="M914" s="3"/>
      <c r="N914" s="3"/>
      <c r="O914" s="3"/>
      <c r="P914" s="3"/>
      <c r="Q914" s="3"/>
      <c r="R914" s="3"/>
      <c r="S914" s="3"/>
      <c r="T914" s="3"/>
      <c r="U914" s="3"/>
      <c r="V914" s="3"/>
      <c r="W914" s="3"/>
      <c r="X914" s="3"/>
      <c r="Y914" s="3"/>
      <c r="Z914" s="3"/>
      <c r="AA914" s="3"/>
      <c r="AB914" s="3"/>
      <c r="AC914" s="3"/>
      <c r="AD914" s="3"/>
      <c r="AE914" s="3"/>
      <c r="AF914" s="3"/>
      <c r="AG914" s="3"/>
      <c r="AH914" s="3"/>
      <c r="AI914" s="3"/>
      <c r="AJ914" s="3"/>
      <c r="AK914" s="3"/>
      <c r="AL914" s="74"/>
      <c r="AM914" s="43"/>
      <c r="AN914" s="43"/>
      <c r="AO914" s="43"/>
      <c r="AP914" s="43"/>
      <c r="AQ914" s="43"/>
      <c r="AR914" s="43"/>
      <c r="AS914" s="43"/>
      <c r="AT914" s="43"/>
      <c r="AU914" s="43"/>
      <c r="AV914" s="43"/>
      <c r="AW914" s="38"/>
      <c r="AX914" s="206"/>
      <c r="AY914" s="1319">
        <f>SUM(AY905:AY913)</f>
        <v>0</v>
      </c>
      <c r="AZ914" s="1320"/>
      <c r="BA914" s="21" t="s">
        <v>645</v>
      </c>
      <c r="BB914" s="43"/>
      <c r="BC914" s="43"/>
      <c r="BD914" s="43"/>
      <c r="BE914" s="43"/>
      <c r="BF914" s="43"/>
      <c r="BG914" s="43"/>
      <c r="BH914" s="43"/>
      <c r="BI914" s="43"/>
      <c r="BJ914" s="43"/>
      <c r="BK914" s="43"/>
      <c r="BL914" s="43"/>
      <c r="BM914" s="43"/>
      <c r="BN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row>
    <row r="915" spans="1:97" ht="12.95" customHeight="1">
      <c r="F915" s="8" t="s">
        <v>887</v>
      </c>
      <c r="G915" s="9"/>
      <c r="H915" s="9"/>
      <c r="I915" s="9"/>
      <c r="J915" s="9"/>
      <c r="K915" s="9"/>
      <c r="L915" s="52"/>
      <c r="M915" s="1148"/>
      <c r="N915" s="1118"/>
      <c r="O915" s="1118"/>
      <c r="P915" s="1118"/>
      <c r="Q915" s="1118"/>
      <c r="R915" s="1118"/>
      <c r="S915" s="1149"/>
      <c r="T915" s="72" t="s">
        <v>993</v>
      </c>
      <c r="U915" s="9"/>
      <c r="V915" s="9"/>
      <c r="W915" s="9"/>
      <c r="X915" s="9"/>
      <c r="Y915" s="9"/>
      <c r="Z915" s="52"/>
      <c r="AA915" s="1148"/>
      <c r="AB915" s="1118"/>
      <c r="AC915" s="1118"/>
      <c r="AD915" s="1118"/>
      <c r="AE915" s="1118"/>
      <c r="AF915" s="1118"/>
      <c r="AG915" s="1149"/>
      <c r="AL915" s="74"/>
      <c r="AM915" s="43"/>
      <c r="AN915" s="43"/>
      <c r="AO915" s="43"/>
      <c r="AP915" s="43"/>
      <c r="AQ915" s="43"/>
      <c r="AR915" s="43"/>
      <c r="AS915" s="43"/>
      <c r="AT915" s="43"/>
      <c r="AU915" s="43"/>
      <c r="AV915" s="43"/>
      <c r="AX915" s="206"/>
      <c r="BA915" s="21"/>
      <c r="BB915" s="43"/>
      <c r="BC915" s="43"/>
      <c r="BD915" s="43"/>
      <c r="BE915" s="43"/>
      <c r="BF915" s="43"/>
      <c r="BG915" s="43"/>
      <c r="BH915" s="43"/>
      <c r="BI915" s="43"/>
      <c r="BJ915" s="43"/>
      <c r="BK915" s="43"/>
      <c r="BL915" s="43"/>
      <c r="BM915" s="43"/>
      <c r="BN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row>
    <row r="916" spans="1:97" ht="12.95" customHeight="1">
      <c r="F916" s="8" t="s">
        <v>888</v>
      </c>
      <c r="G916" s="9"/>
      <c r="H916" s="9"/>
      <c r="I916" s="9"/>
      <c r="J916" s="9"/>
      <c r="K916" s="9"/>
      <c r="L916" s="52"/>
      <c r="M916" s="1148"/>
      <c r="N916" s="1118"/>
      <c r="O916" s="1118"/>
      <c r="P916" s="1118"/>
      <c r="Q916" s="1118"/>
      <c r="R916" s="1118"/>
      <c r="S916" s="1149"/>
      <c r="T916" s="72" t="s">
        <v>992</v>
      </c>
      <c r="U916" s="9"/>
      <c r="V916" s="9"/>
      <c r="W916" s="9"/>
      <c r="X916" s="9"/>
      <c r="Y916" s="9"/>
      <c r="Z916" s="52"/>
      <c r="AA916" s="1148"/>
      <c r="AB916" s="1118"/>
      <c r="AC916" s="1118"/>
      <c r="AD916" s="1118"/>
      <c r="AE916" s="1118"/>
      <c r="AF916" s="1118"/>
      <c r="AG916" s="1149"/>
      <c r="AL916" s="74"/>
      <c r="AM916" s="43"/>
      <c r="AN916" s="43"/>
      <c r="AO916" s="43"/>
      <c r="AP916" s="43"/>
      <c r="AQ916" s="43"/>
      <c r="AR916" s="43"/>
      <c r="AS916" s="43"/>
      <c r="AT916" s="43"/>
      <c r="AU916" s="43"/>
      <c r="AV916" s="43"/>
      <c r="AW916" s="38"/>
      <c r="AX916" s="38"/>
      <c r="AY916" s="1319">
        <f>SUM(AY905:AZ909)+AY913</f>
        <v>0</v>
      </c>
      <c r="AZ916" s="1320"/>
      <c r="BA916" s="1310">
        <v>0.39</v>
      </c>
      <c r="BB916" s="1311"/>
      <c r="BC916" s="43"/>
      <c r="BD916" s="43"/>
      <c r="BE916" s="43"/>
      <c r="BF916" s="43"/>
      <c r="BG916" s="43"/>
      <c r="BH916" s="43"/>
      <c r="BI916" s="43"/>
      <c r="BJ916" s="43"/>
      <c r="BK916" s="43"/>
      <c r="BL916" s="43"/>
      <c r="BM916" s="43"/>
      <c r="BN916" s="43"/>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row>
    <row r="917" spans="1:97" ht="12.95" customHeight="1">
      <c r="F917" s="72" t="s">
        <v>1187</v>
      </c>
      <c r="G917" s="9"/>
      <c r="H917" s="9"/>
      <c r="I917" s="9"/>
      <c r="J917" s="9"/>
      <c r="K917" s="9"/>
      <c r="L917" s="52"/>
      <c r="M917" s="1165" t="s">
        <v>132</v>
      </c>
      <c r="N917" s="1087"/>
      <c r="O917" s="1087"/>
      <c r="P917" s="1087"/>
      <c r="Q917" s="1087"/>
      <c r="R917" s="1087"/>
      <c r="S917" s="1166"/>
      <c r="T917" s="8" t="s">
        <v>596</v>
      </c>
      <c r="U917" s="9"/>
      <c r="V917" s="9"/>
      <c r="W917" s="9"/>
      <c r="X917" s="9"/>
      <c r="Y917" s="9"/>
      <c r="Z917" s="52"/>
      <c r="AA917" s="1148"/>
      <c r="AB917" s="1118"/>
      <c r="AC917" s="1118"/>
      <c r="AD917" s="1118"/>
      <c r="AE917" s="1118"/>
      <c r="AF917" s="1118"/>
      <c r="AG917" s="1149"/>
      <c r="AL917" s="74"/>
      <c r="AM917" s="43"/>
      <c r="AN917" s="43"/>
      <c r="AO917" s="43"/>
      <c r="AP917" s="43"/>
      <c r="AQ917" s="43"/>
      <c r="AR917" s="43"/>
      <c r="AS917" s="43"/>
      <c r="AT917" s="43"/>
      <c r="AU917" s="43"/>
      <c r="AV917" s="43"/>
      <c r="AW917" s="43"/>
      <c r="AX917" s="43"/>
      <c r="AY917" s="43"/>
      <c r="AZ917" s="43"/>
      <c r="BA917" s="43"/>
      <c r="BB917" s="43"/>
      <c r="BC917" s="43"/>
      <c r="BD917" s="43"/>
      <c r="BE917" s="43"/>
      <c r="BF917" s="43"/>
      <c r="BG917" s="43"/>
      <c r="BH917" s="43"/>
      <c r="BI917" s="43"/>
      <c r="BJ917" s="43"/>
      <c r="BK917" s="43"/>
      <c r="BL917" s="43"/>
      <c r="BM917" s="43"/>
      <c r="BN917" s="43"/>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row>
    <row r="918" spans="1:97" ht="12.95" customHeight="1">
      <c r="F918" s="8" t="s">
        <v>889</v>
      </c>
      <c r="G918" s="9"/>
      <c r="H918" s="9"/>
      <c r="I918" s="9"/>
      <c r="J918" s="9"/>
      <c r="K918" s="9"/>
      <c r="L918" s="52"/>
      <c r="M918" s="1148"/>
      <c r="N918" s="1118"/>
      <c r="O918" s="1118"/>
      <c r="P918" s="1118"/>
      <c r="Q918" s="1118"/>
      <c r="R918" s="1118"/>
      <c r="S918" s="1149"/>
      <c r="T918" s="8" t="s">
        <v>597</v>
      </c>
      <c r="U918" s="9"/>
      <c r="V918" s="9"/>
      <c r="W918" s="9"/>
      <c r="X918" s="9"/>
      <c r="Y918" s="9"/>
      <c r="Z918" s="52"/>
      <c r="AA918" s="1148"/>
      <c r="AB918" s="1118"/>
      <c r="AC918" s="1118"/>
      <c r="AD918" s="1118"/>
      <c r="AE918" s="1118"/>
      <c r="AF918" s="1118"/>
      <c r="AG918" s="1149"/>
      <c r="AL918" s="74"/>
      <c r="AM918" s="43"/>
      <c r="AN918" s="43"/>
      <c r="AO918" s="43"/>
      <c r="AP918" s="43"/>
      <c r="AQ918" s="43"/>
      <c r="AR918" s="43"/>
      <c r="AS918" s="43"/>
      <c r="AT918" s="43"/>
      <c r="AU918" s="43"/>
      <c r="AV918" s="43"/>
      <c r="AW918" s="43"/>
      <c r="AX918" s="43"/>
      <c r="AY918" s="355">
        <f>IF(SUM(BA931:BA939)&lt;=0.1,SUM(BA931:BA939),0.1)</f>
        <v>0</v>
      </c>
      <c r="AZ918" s="43"/>
      <c r="BA918" s="41" t="s">
        <v>2106</v>
      </c>
      <c r="BB918" s="43"/>
      <c r="BC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row>
    <row r="919" spans="1:97" ht="12.95" customHeight="1">
      <c r="F919" s="8" t="s">
        <v>91</v>
      </c>
      <c r="G919" s="9"/>
      <c r="H919" s="9"/>
      <c r="I919" s="9"/>
      <c r="J919" s="9"/>
      <c r="K919" s="9"/>
      <c r="L919" s="52"/>
      <c r="M919" s="1148"/>
      <c r="N919" s="1118"/>
      <c r="O919" s="1118"/>
      <c r="P919" s="1118"/>
      <c r="Q919" s="1118"/>
      <c r="R919" s="1118"/>
      <c r="S919" s="1149"/>
      <c r="T919" s="8" t="s">
        <v>521</v>
      </c>
      <c r="U919" s="9"/>
      <c r="V919" s="9"/>
      <c r="W919" s="9"/>
      <c r="X919" s="9"/>
      <c r="Y919" s="9"/>
      <c r="Z919" s="52"/>
      <c r="AA919" s="1148"/>
      <c r="AB919" s="1118"/>
      <c r="AC919" s="1118"/>
      <c r="AD919" s="1118"/>
      <c r="AE919" s="1118"/>
      <c r="AF919" s="1118"/>
      <c r="AG919" s="1149"/>
      <c r="AL919" s="74"/>
      <c r="AM919" s="43"/>
      <c r="AN919" s="43"/>
      <c r="AO919" s="43"/>
      <c r="AP919" s="43"/>
      <c r="AQ919" s="43"/>
      <c r="AR919" s="43"/>
      <c r="AS919" s="43"/>
      <c r="AT919" s="43"/>
      <c r="AU919" s="43"/>
      <c r="AV919" s="43"/>
      <c r="AW919" s="43"/>
      <c r="AX919" s="43"/>
      <c r="AY919" s="43"/>
      <c r="AZ919" s="43"/>
      <c r="BA919" s="43"/>
      <c r="BB919" s="43"/>
      <c r="BC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row>
    <row r="920" spans="1:97" ht="12.95" customHeight="1">
      <c r="F920" s="418" t="s">
        <v>1154</v>
      </c>
      <c r="G920" s="7"/>
      <c r="H920" s="7"/>
      <c r="I920" s="7"/>
      <c r="J920" s="7"/>
      <c r="K920" s="7"/>
      <c r="L920" s="64"/>
      <c r="M920" s="1169" t="s">
        <v>84</v>
      </c>
      <c r="N920" s="1170"/>
      <c r="O920" s="1170"/>
      <c r="P920" s="1170"/>
      <c r="Q920" s="1170"/>
      <c r="R920" s="1170"/>
      <c r="S920" s="1171"/>
      <c r="T920" s="1326"/>
      <c r="U920" s="1327"/>
      <c r="V920" s="1327"/>
      <c r="W920" s="1327"/>
      <c r="X920" s="1327"/>
      <c r="Y920" s="1327"/>
      <c r="Z920" s="1328"/>
      <c r="AA920" s="1148"/>
      <c r="AB920" s="1118"/>
      <c r="AC920" s="1118"/>
      <c r="AD920" s="1118"/>
      <c r="AE920" s="1118"/>
      <c r="AF920" s="1118"/>
      <c r="AG920" s="1149"/>
      <c r="AL920" s="74"/>
      <c r="AM920" s="43"/>
      <c r="AN920" s="43"/>
      <c r="AO920" s="43"/>
      <c r="AP920" s="43"/>
      <c r="AQ920" s="43"/>
      <c r="AR920" s="43"/>
      <c r="AS920" s="43"/>
      <c r="AT920" s="43"/>
      <c r="AU920" s="43"/>
      <c r="AV920" s="43"/>
      <c r="AW920" s="43"/>
      <c r="AX920" s="43"/>
      <c r="AY920" s="43"/>
      <c r="AZ920" s="43"/>
      <c r="BA920" s="43"/>
      <c r="BB920" s="43"/>
      <c r="BC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row>
    <row r="921" spans="1:97" ht="12.95" customHeight="1">
      <c r="F921" s="6" t="s">
        <v>92</v>
      </c>
      <c r="G921" s="7"/>
      <c r="H921" s="7"/>
      <c r="I921" s="7"/>
      <c r="J921" s="7"/>
      <c r="K921" s="7"/>
      <c r="L921" s="64"/>
      <c r="M921" s="1148"/>
      <c r="N921" s="1118"/>
      <c r="O921" s="1118"/>
      <c r="P921" s="1118"/>
      <c r="Q921" s="1118"/>
      <c r="R921" s="1118"/>
      <c r="S921" s="1149"/>
      <c r="T921" s="1326"/>
      <c r="U921" s="1327"/>
      <c r="V921" s="1327"/>
      <c r="W921" s="1327"/>
      <c r="X921" s="1327"/>
      <c r="Y921" s="1327"/>
      <c r="Z921" s="1328"/>
      <c r="AA921" s="1148"/>
      <c r="AB921" s="1118"/>
      <c r="AC921" s="1118"/>
      <c r="AD921" s="1118"/>
      <c r="AE921" s="1118"/>
      <c r="AF921" s="1118"/>
      <c r="AG921" s="1149"/>
      <c r="AL921" s="74"/>
      <c r="AM921" s="43"/>
      <c r="AN921" s="43"/>
      <c r="AO921" s="43"/>
      <c r="AP921" s="43"/>
      <c r="AQ921" s="43"/>
      <c r="AR921" s="43"/>
      <c r="AS921" s="43"/>
      <c r="AT921" s="43"/>
      <c r="AU921" s="43"/>
      <c r="AV921" s="43"/>
      <c r="AW921" s="43"/>
      <c r="AX921" s="43"/>
      <c r="AY921" s="43"/>
      <c r="AZ921" s="43"/>
      <c r="BA921" s="43"/>
      <c r="BB921" s="43"/>
      <c r="BC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row>
    <row r="922" spans="1:97" ht="12.95" customHeight="1">
      <c r="F922" s="6" t="s">
        <v>595</v>
      </c>
      <c r="G922" s="7"/>
      <c r="H922" s="7"/>
      <c r="I922" s="7"/>
      <c r="J922" s="7"/>
      <c r="K922" s="7"/>
      <c r="L922" s="7"/>
      <c r="M922" s="7"/>
      <c r="N922" s="7"/>
      <c r="O922" s="1165" t="s">
        <v>510</v>
      </c>
      <c r="P922" s="1166"/>
      <c r="Q922" s="146"/>
      <c r="R922" s="146"/>
      <c r="S922" s="147"/>
      <c r="T922" s="6" t="s">
        <v>297</v>
      </c>
      <c r="U922" s="7"/>
      <c r="V922" s="7"/>
      <c r="W922" s="1321" t="s">
        <v>592</v>
      </c>
      <c r="X922" s="1322"/>
      <c r="Y922" s="1322"/>
      <c r="Z922" s="1322"/>
      <c r="AA922" s="1322"/>
      <c r="AB922" s="1322"/>
      <c r="AC922" s="1322"/>
      <c r="AD922" s="1322"/>
      <c r="AE922" s="1322"/>
      <c r="AF922" s="1322"/>
      <c r="AG922" s="1323"/>
      <c r="AL922" s="74"/>
      <c r="AM922" s="43"/>
      <c r="AN922" s="43"/>
      <c r="AO922" s="43"/>
      <c r="AP922" s="43"/>
      <c r="AQ922" s="43"/>
      <c r="AR922" s="43"/>
      <c r="AS922" s="43"/>
      <c r="AT922" s="43"/>
      <c r="AU922" s="43"/>
      <c r="AV922" s="43"/>
      <c r="AW922" s="43"/>
      <c r="AX922" s="43"/>
      <c r="AY922" s="43"/>
      <c r="AZ922" s="43"/>
      <c r="BA922" s="43"/>
      <c r="BB922" s="43"/>
      <c r="BC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row>
    <row r="923" spans="1:97" ht="12.95" customHeight="1">
      <c r="F923" s="1332" t="s">
        <v>240</v>
      </c>
      <c r="G923" s="1292"/>
      <c r="H923" s="1292"/>
      <c r="I923" s="1292"/>
      <c r="J923" s="1292"/>
      <c r="K923" s="1292"/>
      <c r="L923" s="1292"/>
      <c r="M923" s="1148"/>
      <c r="N923" s="1118"/>
      <c r="O923" s="1118"/>
      <c r="P923" s="1118"/>
      <c r="Q923" s="1118"/>
      <c r="R923" s="1118"/>
      <c r="S923" s="1149"/>
      <c r="T923" s="53"/>
      <c r="U923" s="54"/>
      <c r="V923" s="54"/>
      <c r="W923" s="54"/>
      <c r="X923" s="54"/>
      <c r="Y923" s="54"/>
      <c r="Z923" s="226" t="s">
        <v>241</v>
      </c>
      <c r="AA923" s="1324"/>
      <c r="AB923" s="1289"/>
      <c r="AC923" s="1289"/>
      <c r="AD923" s="1289"/>
      <c r="AE923" s="1289"/>
      <c r="AF923" s="1289"/>
      <c r="AG923" s="1325"/>
      <c r="AL923" s="74"/>
      <c r="AM923" s="43"/>
      <c r="AN923" s="43"/>
      <c r="AO923" s="43"/>
      <c r="AP923" s="43"/>
      <c r="AQ923" s="43"/>
      <c r="AR923" s="43"/>
      <c r="AS923" s="43"/>
      <c r="AT923" s="43"/>
      <c r="AU923" s="43"/>
      <c r="AV923" s="43"/>
      <c r="AW923" s="43"/>
      <c r="AX923" s="43"/>
      <c r="AY923" s="43"/>
      <c r="AZ923" s="43"/>
      <c r="BA923" s="43"/>
      <c r="BB923" s="43"/>
      <c r="BC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row>
    <row r="924" spans="1:97" ht="12.95" customHeight="1">
      <c r="AL924" s="74"/>
      <c r="AM924" s="43"/>
      <c r="AN924" s="43"/>
      <c r="AO924" s="43"/>
      <c r="AP924" s="43"/>
      <c r="AQ924" s="43"/>
      <c r="AR924" s="43"/>
      <c r="AS924" s="43"/>
      <c r="AT924" s="43"/>
      <c r="AU924" s="43"/>
      <c r="AV924" s="43"/>
      <c r="AW924" s="43"/>
      <c r="AX924" s="43"/>
      <c r="AY924" s="43"/>
      <c r="AZ924" s="43"/>
      <c r="BA924" s="43"/>
      <c r="BC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row>
    <row r="925" spans="1:97" ht="12.95" customHeight="1">
      <c r="AM925" s="43"/>
      <c r="AN925" s="43"/>
      <c r="AO925" s="43"/>
      <c r="AP925" s="43"/>
      <c r="AQ925" s="43"/>
      <c r="AR925" s="43"/>
      <c r="AS925" s="43"/>
      <c r="AT925" s="43"/>
      <c r="AU925" s="43"/>
      <c r="AV925" s="43"/>
      <c r="AW925" s="43"/>
      <c r="AX925" s="43"/>
      <c r="AY925" s="43"/>
      <c r="AZ925" s="43"/>
      <c r="BA925" s="43"/>
      <c r="BB925" s="43"/>
      <c r="BC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row>
    <row r="926" spans="1:97" ht="12.95" customHeight="1">
      <c r="AM926" s="43"/>
      <c r="AN926" s="43"/>
      <c r="AO926" s="43"/>
      <c r="AP926" s="43"/>
      <c r="AQ926" s="43"/>
      <c r="AR926" s="43"/>
      <c r="AS926" s="43"/>
      <c r="AT926" s="43"/>
      <c r="AU926" s="43"/>
      <c r="AV926" s="43"/>
      <c r="AW926" s="43"/>
      <c r="AX926" s="43"/>
      <c r="AY926" s="43"/>
      <c r="AZ926" s="43"/>
      <c r="BA926" s="43"/>
      <c r="BB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row>
    <row r="927" spans="1:97" ht="12.95" customHeight="1">
      <c r="A927" s="1147" t="s">
        <v>137</v>
      </c>
      <c r="B927" s="1147"/>
      <c r="C927" s="1147"/>
      <c r="D927" s="1147"/>
      <c r="E927" s="1147"/>
      <c r="F927" s="1147"/>
      <c r="G927" s="1147"/>
      <c r="H927" s="1147"/>
      <c r="I927" s="1147"/>
      <c r="J927" s="1147"/>
      <c r="K927" s="1147"/>
      <c r="L927" s="1147"/>
      <c r="M927" s="1147"/>
      <c r="N927" s="1147"/>
      <c r="O927" s="1147"/>
      <c r="P927" s="1147"/>
      <c r="Q927" s="1147"/>
      <c r="R927" s="1147"/>
      <c r="S927" s="1147"/>
      <c r="T927" s="1147"/>
      <c r="U927" s="1147"/>
      <c r="V927" s="1147"/>
      <c r="W927" s="1147"/>
      <c r="X927" s="1147"/>
      <c r="Y927" s="1147"/>
      <c r="Z927" s="1147"/>
      <c r="AA927" s="1147"/>
      <c r="AB927" s="1147"/>
      <c r="AC927" s="1147"/>
      <c r="AD927" s="1147"/>
      <c r="AE927" s="1147"/>
      <c r="AF927" s="1147"/>
      <c r="AG927" s="1147"/>
      <c r="AH927" s="1147"/>
      <c r="AI927" s="1147"/>
      <c r="AJ927" s="1147"/>
      <c r="AK927" s="1147"/>
      <c r="AL927" s="1147"/>
      <c r="AM927" s="43"/>
      <c r="AN927" s="43"/>
      <c r="AO927" s="43"/>
      <c r="AP927" s="43"/>
      <c r="AQ927" s="43"/>
      <c r="AR927" s="43"/>
      <c r="AS927" s="43"/>
      <c r="AT927" s="43"/>
      <c r="AU927" s="43"/>
      <c r="AV927" s="43"/>
      <c r="AW927" s="43"/>
      <c r="AX927" s="43"/>
      <c r="AY927" s="43"/>
      <c r="AZ927" s="43"/>
      <c r="BA927" s="43"/>
      <c r="BB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row>
    <row r="928" spans="1:97" ht="12.95" customHeight="1">
      <c r="A928" s="1147"/>
      <c r="B928" s="1147"/>
      <c r="C928" s="1147"/>
      <c r="D928" s="1147"/>
      <c r="E928" s="1147"/>
      <c r="F928" s="1147"/>
      <c r="G928" s="1147"/>
      <c r="H928" s="1147"/>
      <c r="I928" s="1147"/>
      <c r="J928" s="1147"/>
      <c r="K928" s="1147"/>
      <c r="L928" s="1147"/>
      <c r="M928" s="1147"/>
      <c r="N928" s="1147"/>
      <c r="O928" s="1147"/>
      <c r="P928" s="1147"/>
      <c r="Q928" s="1147"/>
      <c r="R928" s="1147"/>
      <c r="S928" s="1147"/>
      <c r="T928" s="1147"/>
      <c r="U928" s="1147"/>
      <c r="V928" s="1147"/>
      <c r="W928" s="1147"/>
      <c r="X928" s="1147"/>
      <c r="Y928" s="1147"/>
      <c r="Z928" s="1147"/>
      <c r="AA928" s="1147"/>
      <c r="AB928" s="1147"/>
      <c r="AC928" s="1147"/>
      <c r="AD928" s="1147"/>
      <c r="AE928" s="1147"/>
      <c r="AF928" s="1147"/>
      <c r="AG928" s="1147"/>
      <c r="AH928" s="1147"/>
      <c r="AI928" s="1147"/>
      <c r="AJ928" s="1147"/>
      <c r="AK928" s="1147"/>
      <c r="AL928" s="1147"/>
      <c r="AM928" s="43"/>
      <c r="AN928" s="43"/>
      <c r="AO928" s="43"/>
      <c r="AP928" s="43"/>
      <c r="AQ928" s="43"/>
      <c r="AR928" s="43"/>
      <c r="AS928" s="43"/>
      <c r="AT928" s="43"/>
      <c r="AU928" s="43"/>
      <c r="AV928" s="43"/>
      <c r="AW928" s="43"/>
      <c r="AX928" s="43"/>
      <c r="AY928" s="43"/>
      <c r="AZ928" s="43"/>
      <c r="BA928" s="43"/>
      <c r="BB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row>
    <row r="929" spans="1:97" ht="12.95" customHeight="1">
      <c r="A929" s="3"/>
      <c r="B929" s="21"/>
      <c r="C929" s="21"/>
      <c r="I929" s="21"/>
      <c r="J929" s="21"/>
      <c r="K929" s="21"/>
      <c r="L929" s="21"/>
      <c r="M929" s="21"/>
      <c r="N929" s="21"/>
      <c r="O929" s="21"/>
      <c r="P929" s="21"/>
      <c r="Q929" s="21"/>
      <c r="R929" s="21"/>
      <c r="S929" s="21"/>
      <c r="T929" s="21"/>
      <c r="U929" s="21"/>
      <c r="V929" s="21"/>
      <c r="W929" s="21"/>
      <c r="X929" s="21"/>
      <c r="Y929" s="21"/>
      <c r="Z929" s="21"/>
      <c r="AA929" s="21"/>
      <c r="AB929" s="21"/>
      <c r="AC929" s="21"/>
      <c r="AD929" s="21"/>
      <c r="AE929" s="21"/>
      <c r="AF929" s="21"/>
      <c r="AG929" s="21"/>
      <c r="AH929" s="21"/>
      <c r="AI929" s="21"/>
      <c r="AJ929" s="21"/>
      <c r="AK929" s="21"/>
      <c r="AM929" s="43"/>
      <c r="AN929" s="43"/>
      <c r="AO929" s="43"/>
      <c r="AP929" s="43"/>
      <c r="AQ929" s="43"/>
      <c r="AR929" s="43"/>
      <c r="AS929" s="43"/>
      <c r="AT929" s="43"/>
      <c r="AU929" s="43"/>
      <c r="AV929" s="43"/>
      <c r="AW929" s="43"/>
      <c r="AX929" s="43"/>
      <c r="AY929" s="43"/>
      <c r="AZ929" s="43"/>
      <c r="BA929" s="43"/>
      <c r="BB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row>
    <row r="930" spans="1:97" ht="12.95" customHeight="1">
      <c r="A930" s="3" t="s">
        <v>688</v>
      </c>
      <c r="C930" s="3" t="s">
        <v>165</v>
      </c>
      <c r="I930" s="21"/>
      <c r="J930" s="21"/>
      <c r="K930" s="21"/>
      <c r="L930" s="21"/>
      <c r="M930" s="21"/>
      <c r="N930" s="21"/>
      <c r="O930" s="21"/>
      <c r="P930" s="21"/>
      <c r="Q930" s="21"/>
      <c r="R930" s="21"/>
      <c r="S930" s="21"/>
      <c r="T930" s="21"/>
      <c r="U930" s="21"/>
      <c r="V930" s="21"/>
      <c r="W930" s="21"/>
      <c r="X930" s="21"/>
      <c r="Y930" s="21"/>
      <c r="Z930" s="21"/>
      <c r="AA930" s="21"/>
      <c r="AB930" s="21"/>
      <c r="AC930" s="21"/>
      <c r="AD930" s="21"/>
      <c r="AE930" s="21"/>
      <c r="AF930" s="21"/>
      <c r="AG930" s="21"/>
      <c r="AH930" s="21"/>
      <c r="AI930" s="21"/>
      <c r="AJ930" s="21"/>
      <c r="AK930" s="21"/>
      <c r="AL930" s="74"/>
      <c r="AM930" s="43"/>
      <c r="AN930" s="43"/>
      <c r="AO930" s="43"/>
      <c r="AP930" s="43"/>
      <c r="AQ930" s="43"/>
      <c r="AR930" s="43"/>
      <c r="AS930" s="43"/>
      <c r="AT930" s="43"/>
      <c r="AU930" s="43"/>
      <c r="AV930" s="43"/>
      <c r="AW930" s="43"/>
      <c r="AX930" s="43"/>
      <c r="AY930" s="43"/>
      <c r="AZ930" s="43"/>
      <c r="BA930" s="43"/>
      <c r="BB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row>
    <row r="931" spans="1:97" ht="12.95" customHeight="1">
      <c r="A931" s="21"/>
      <c r="C931" s="3"/>
      <c r="I931" s="21"/>
      <c r="J931" s="21"/>
      <c r="K931" s="21"/>
      <c r="L931" s="21"/>
      <c r="M931" s="21"/>
      <c r="N931" s="21"/>
      <c r="O931" s="21"/>
      <c r="P931" s="21"/>
      <c r="Q931" s="21"/>
      <c r="R931" s="21"/>
      <c r="S931" s="21"/>
      <c r="T931" s="21"/>
      <c r="U931" s="21"/>
      <c r="V931" s="21"/>
      <c r="W931" s="21"/>
      <c r="X931" s="21"/>
      <c r="Y931" s="21"/>
      <c r="Z931" s="21"/>
      <c r="AA931" s="21"/>
      <c r="AB931" s="21"/>
      <c r="AC931" s="21"/>
      <c r="AD931" s="21"/>
      <c r="AE931" s="21"/>
      <c r="AF931" s="21"/>
      <c r="AG931" s="21"/>
      <c r="AH931" s="21"/>
      <c r="AI931" s="21"/>
      <c r="AJ931" s="21"/>
      <c r="AK931" s="11"/>
      <c r="AL931" s="74"/>
      <c r="AM931" s="43"/>
      <c r="AO931" s="43"/>
      <c r="AP931" s="43"/>
      <c r="AQ931" s="43"/>
      <c r="AR931" s="43"/>
      <c r="AS931" s="43"/>
      <c r="AT931" s="43"/>
      <c r="AU931" s="43"/>
      <c r="AV931" s="43"/>
      <c r="AW931" s="43"/>
      <c r="AX931" s="43"/>
      <c r="AY931" s="43"/>
      <c r="AZ931" s="43"/>
      <c r="BA931" s="353">
        <f>IF(A1004="Yes",0.05,0)</f>
        <v>0</v>
      </c>
      <c r="BB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row>
    <row r="932" spans="1:97" ht="12.95" customHeight="1">
      <c r="A932" s="21"/>
      <c r="B932" s="82"/>
      <c r="C932" s="864"/>
      <c r="D932" s="1198" t="s">
        <v>452</v>
      </c>
      <c r="E932" s="1199"/>
      <c r="F932" s="1199"/>
      <c r="G932" s="1199"/>
      <c r="H932" s="1199"/>
      <c r="I932" s="1199"/>
      <c r="J932" s="1199"/>
      <c r="K932" s="1199"/>
      <c r="L932" s="1199"/>
      <c r="M932" s="1199"/>
      <c r="N932" s="1199"/>
      <c r="O932" s="1199"/>
      <c r="P932" s="1199"/>
      <c r="Q932" s="1200"/>
      <c r="R932" s="1198" t="s">
        <v>453</v>
      </c>
      <c r="S932" s="1199"/>
      <c r="T932" s="1199"/>
      <c r="U932" s="1199"/>
      <c r="V932" s="1199"/>
      <c r="W932" s="1199"/>
      <c r="X932" s="1199"/>
      <c r="Y932" s="1199"/>
      <c r="Z932" s="1199"/>
      <c r="AA932" s="1200"/>
      <c r="AB932" s="1198" t="s">
        <v>454</v>
      </c>
      <c r="AC932" s="1199"/>
      <c r="AD932" s="1199"/>
      <c r="AE932" s="1199"/>
      <c r="AF932" s="1199"/>
      <c r="AG932" s="1199"/>
      <c r="AH932" s="1199"/>
      <c r="AI932" s="1200"/>
      <c r="AJ932" s="1198" t="s">
        <v>455</v>
      </c>
      <c r="AK932" s="1199"/>
      <c r="AL932" s="1199"/>
      <c r="AM932" s="1199"/>
      <c r="AN932" s="1199"/>
      <c r="AO932" s="1199"/>
      <c r="AP932" s="1199"/>
      <c r="AQ932" s="1200"/>
      <c r="AR932" s="43"/>
      <c r="AS932" s="43"/>
      <c r="AT932" s="43"/>
      <c r="AU932" s="43"/>
      <c r="AV932" s="43"/>
      <c r="AW932" s="43"/>
      <c r="AX932" s="43"/>
      <c r="AY932" s="43"/>
      <c r="AZ932" s="43"/>
      <c r="BA932" s="353">
        <f>IF(A1010="Yes",0.02,0)</f>
        <v>0</v>
      </c>
      <c r="BB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row>
    <row r="933" spans="1:97" ht="12.95" customHeight="1">
      <c r="A933" s="21"/>
      <c r="B933" s="79"/>
      <c r="C933" s="865"/>
      <c r="D933" s="1189" t="s">
        <v>447</v>
      </c>
      <c r="E933" s="1190"/>
      <c r="F933" s="1190"/>
      <c r="G933" s="1190"/>
      <c r="H933" s="1190"/>
      <c r="I933" s="1190"/>
      <c r="J933" s="1190"/>
      <c r="K933" s="1190"/>
      <c r="L933" s="1190"/>
      <c r="M933" s="1190"/>
      <c r="N933" s="1190"/>
      <c r="O933" s="1190"/>
      <c r="P933" s="1190"/>
      <c r="Q933" s="1191"/>
      <c r="R933" s="1192">
        <f>IF(ISNA(IF($BA$805="4%",(INDEX($BC$819:$BG$876,MATCH($BO$805,$BB$819:$BB$876,0),MATCH(D933,$BC$817:$BG$817,0))),(INDEX($BJ$819:$BN$876,MATCH($BO$805,$BI$819:$BI$876,0),MATCH(D933,$BJ$817:$BN$817,0))))),0,IF($BA$805="4%",(INDEX($BC$819:$BG$876,MATCH($BO$805,$BB$819:$BB$876,0),MATCH(D933,$BC$817:$BG$817,0))),(INDEX($BJ$819:$BN$876,MATCH($BO$805,$BI$819:$BI$876,0),MATCH(D933,$BJ$817:$BN$817,0)))))</f>
        <v>307732</v>
      </c>
      <c r="S933" s="1192"/>
      <c r="T933" s="1192"/>
      <c r="U933" s="1192"/>
      <c r="V933" s="1192"/>
      <c r="W933" s="1192"/>
      <c r="X933" s="1192"/>
      <c r="Y933" s="1192"/>
      <c r="Z933" s="1192"/>
      <c r="AA933" s="1192"/>
      <c r="AB933" s="1313">
        <f>BN638</f>
        <v>12</v>
      </c>
      <c r="AC933" s="1314"/>
      <c r="AD933" s="1314"/>
      <c r="AE933" s="1314"/>
      <c r="AF933" s="1314"/>
      <c r="AG933" s="1314"/>
      <c r="AH933" s="1314"/>
      <c r="AI933" s="1315"/>
      <c r="AJ933" s="1316">
        <f>IF(ISERROR((R933*AB933)),0,(R933*AB933))</f>
        <v>3692784</v>
      </c>
      <c r="AK933" s="1317"/>
      <c r="AL933" s="1317"/>
      <c r="AM933" s="1317"/>
      <c r="AN933" s="1317"/>
      <c r="AO933" s="1317"/>
      <c r="AP933" s="1317"/>
      <c r="AQ933" s="1318"/>
      <c r="AR933" s="43"/>
      <c r="AS933" s="43"/>
      <c r="AT933" s="43"/>
      <c r="AU933" s="43"/>
      <c r="AV933" s="43"/>
      <c r="AW933" s="43"/>
      <c r="AX933" s="43"/>
      <c r="AY933" s="43"/>
      <c r="AZ933" s="43"/>
      <c r="BA933" s="353">
        <f>IF(A1016="Yes",0.04,0)</f>
        <v>0</v>
      </c>
      <c r="BB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row>
    <row r="934" spans="1:97" ht="12.95" customHeight="1">
      <c r="A934" s="21"/>
      <c r="B934" s="79"/>
      <c r="C934" s="83"/>
      <c r="D934" s="1189" t="s">
        <v>470</v>
      </c>
      <c r="E934" s="1190"/>
      <c r="F934" s="1190"/>
      <c r="G934" s="1190"/>
      <c r="H934" s="1190"/>
      <c r="I934" s="1190"/>
      <c r="J934" s="1190"/>
      <c r="K934" s="1190"/>
      <c r="L934" s="1190"/>
      <c r="M934" s="1190"/>
      <c r="N934" s="1190"/>
      <c r="O934" s="1190"/>
      <c r="P934" s="1190"/>
      <c r="Q934" s="1191"/>
      <c r="R934" s="1192">
        <f>IF(ISNA(IF($BA$805="4%",(INDEX($BC$819:$BG$876,MATCH($BO$805,$BB$819:$BB$876,0),MATCH(D934,$BC$817:$BG$817,0))),(INDEX($BJ$819:$BN$876,MATCH($BO$805,$BI$819:$BI$876,0),MATCH(D934,$BJ$817:$BN$817,0))))),0,IF($BA$805="4%",(INDEX($BC$819:$BG$876,MATCH($BO$805,$BB$819:$BB$876,0),MATCH(D934,$BC$817:$BG$817,0))),(INDEX($BJ$819:$BN$876,MATCH($BO$805,$BI$819:$BI$876,0),MATCH(D934,$BJ$817:$BN$817,0)))))</f>
        <v>354812</v>
      </c>
      <c r="S934" s="1192"/>
      <c r="T934" s="1192"/>
      <c r="U934" s="1192"/>
      <c r="V934" s="1192"/>
      <c r="W934" s="1192"/>
      <c r="X934" s="1192"/>
      <c r="Y934" s="1192"/>
      <c r="Z934" s="1192"/>
      <c r="AA934" s="1192"/>
      <c r="AB934" s="1313">
        <f>BS638</f>
        <v>7</v>
      </c>
      <c r="AC934" s="1314"/>
      <c r="AD934" s="1314"/>
      <c r="AE934" s="1314"/>
      <c r="AF934" s="1314"/>
      <c r="AG934" s="1314"/>
      <c r="AH934" s="1314"/>
      <c r="AI934" s="1315"/>
      <c r="AJ934" s="1316">
        <f>IF(ISERROR((R934*AB934)),0,(R934*AB934))</f>
        <v>2483684</v>
      </c>
      <c r="AK934" s="1317"/>
      <c r="AL934" s="1317"/>
      <c r="AM934" s="1317"/>
      <c r="AN934" s="1317"/>
      <c r="AO934" s="1317"/>
      <c r="AP934" s="1317"/>
      <c r="AQ934" s="1318"/>
      <c r="AR934" s="43"/>
      <c r="AS934" s="43"/>
      <c r="AT934" s="43"/>
      <c r="AU934" s="43"/>
      <c r="AV934" s="43"/>
      <c r="AW934" s="43"/>
      <c r="AX934" s="43"/>
      <c r="AY934" s="43"/>
      <c r="AZ934" s="43"/>
      <c r="BA934" s="353">
        <f>IF(A1023="Yes",0.04,0)</f>
        <v>0</v>
      </c>
      <c r="BB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row>
    <row r="935" spans="1:97" ht="12.95" customHeight="1">
      <c r="A935" s="21"/>
      <c r="B935" s="79"/>
      <c r="C935" s="83"/>
      <c r="D935" s="1189" t="s">
        <v>816</v>
      </c>
      <c r="E935" s="1190"/>
      <c r="F935" s="1190"/>
      <c r="G935" s="1190"/>
      <c r="H935" s="1190"/>
      <c r="I935" s="1190"/>
      <c r="J935" s="1190"/>
      <c r="K935" s="1190"/>
      <c r="L935" s="1190"/>
      <c r="M935" s="1190"/>
      <c r="N935" s="1190"/>
      <c r="O935" s="1190"/>
      <c r="P935" s="1190"/>
      <c r="Q935" s="1191"/>
      <c r="R935" s="1192">
        <f>IF(ISNA(IF($BA$805="4%",(INDEX($BC$819:$BG$876,MATCH($BO$805,$BB$819:$BB$876,0),MATCH(D935,$BC$817:$BG$817,0))),(INDEX($BJ$819:$BN$876,MATCH($BO$805,$BI$819:$BI$876,0),MATCH(D935,$BJ$817:$BN$817,0))))),0,IF($BA$805="4%",(INDEX($BC$819:$BG$876,MATCH($BO$805,$BB$819:$BB$876,0),MATCH(D935,$BC$817:$BG$817,0))),(INDEX($BJ$819:$BN$876,MATCH($BO$805,$BI$819:$BI$876,0),MATCH(D935,$BJ$817:$BN$817,0)))))</f>
        <v>428000</v>
      </c>
      <c r="S935" s="1192"/>
      <c r="T935" s="1192"/>
      <c r="U935" s="1192"/>
      <c r="V935" s="1192"/>
      <c r="W935" s="1192"/>
      <c r="X935" s="1192"/>
      <c r="Y935" s="1192"/>
      <c r="Z935" s="1192"/>
      <c r="AA935" s="1192"/>
      <c r="AB935" s="1313">
        <f>BX638</f>
        <v>10</v>
      </c>
      <c r="AC935" s="1314"/>
      <c r="AD935" s="1314"/>
      <c r="AE935" s="1314"/>
      <c r="AF935" s="1314"/>
      <c r="AG935" s="1314"/>
      <c r="AH935" s="1314"/>
      <c r="AI935" s="1315"/>
      <c r="AJ935" s="1316">
        <f>IF(ISERROR((R935*AB935)),0,(R935*AB935))</f>
        <v>4280000</v>
      </c>
      <c r="AK935" s="1317"/>
      <c r="AL935" s="1317"/>
      <c r="AM935" s="1317"/>
      <c r="AN935" s="1317"/>
      <c r="AO935" s="1317"/>
      <c r="AP935" s="1317"/>
      <c r="AQ935" s="1318"/>
      <c r="AR935" s="43"/>
      <c r="AS935" s="43"/>
      <c r="AT935" s="43"/>
      <c r="AU935" s="43"/>
      <c r="AV935" s="43"/>
      <c r="AW935" s="43"/>
      <c r="AX935" s="43"/>
      <c r="AY935" s="43"/>
      <c r="AZ935" s="43"/>
      <c r="BA935" s="353">
        <f>IF(A1026="Yes",0.01,0)</f>
        <v>0</v>
      </c>
      <c r="BB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row>
    <row r="936" spans="1:97" ht="12.95" customHeight="1">
      <c r="A936" s="21"/>
      <c r="B936" s="79"/>
      <c r="C936" s="83"/>
      <c r="D936" s="1189" t="s">
        <v>817</v>
      </c>
      <c r="E936" s="1190"/>
      <c r="F936" s="1190"/>
      <c r="G936" s="1190"/>
      <c r="H936" s="1190"/>
      <c r="I936" s="1190"/>
      <c r="J936" s="1190"/>
      <c r="K936" s="1190"/>
      <c r="L936" s="1190"/>
      <c r="M936" s="1190"/>
      <c r="N936" s="1190"/>
      <c r="O936" s="1190"/>
      <c r="P936" s="1190"/>
      <c r="Q936" s="1191"/>
      <c r="R936" s="1192">
        <f>IF(ISNA(IF($BA$805="4%",(INDEX($BC$819:$BG$876,MATCH($BO$805,$BB$819:$BB$876,0),MATCH(D936,$BC$817:$BG$817,0))),(INDEX($BJ$819:$BN$876,MATCH($BO$805,$BI$819:$BI$876,0),MATCH(D936,$BJ$817:$BN$817,0))))),0,IF($BA$805="4%",(INDEX($BC$819:$BG$876,MATCH($BO$805,$BB$819:$BB$876,0),MATCH(D936,$BC$817:$BG$817,0))),(INDEX($BJ$819:$BN$876,MATCH($BO$805,$BI$819:$BI$876,0),MATCH(D936,$BJ$817:$BN$817,0)))))</f>
        <v>547840</v>
      </c>
      <c r="S936" s="1192"/>
      <c r="T936" s="1192"/>
      <c r="U936" s="1192"/>
      <c r="V936" s="1192"/>
      <c r="W936" s="1192"/>
      <c r="X936" s="1192"/>
      <c r="Y936" s="1192"/>
      <c r="Z936" s="1192"/>
      <c r="AA936" s="1192"/>
      <c r="AB936" s="1313">
        <f>CC638</f>
        <v>10</v>
      </c>
      <c r="AC936" s="1314"/>
      <c r="AD936" s="1314"/>
      <c r="AE936" s="1314"/>
      <c r="AF936" s="1314"/>
      <c r="AG936" s="1314"/>
      <c r="AH936" s="1314"/>
      <c r="AI936" s="1315"/>
      <c r="AJ936" s="1316">
        <f>IF(ISERROR((R936*AB936)),0,(R936*AB936))</f>
        <v>5478400</v>
      </c>
      <c r="AK936" s="1317"/>
      <c r="AL936" s="1317"/>
      <c r="AM936" s="1317"/>
      <c r="AN936" s="1317"/>
      <c r="AO936" s="1317"/>
      <c r="AP936" s="1317"/>
      <c r="AQ936" s="1318"/>
      <c r="AR936" s="43"/>
      <c r="AS936" s="43"/>
      <c r="AT936" s="43"/>
      <c r="AU936" s="43"/>
      <c r="AV936" s="43"/>
      <c r="AW936" s="43"/>
      <c r="AX936" s="43"/>
      <c r="AY936" s="43"/>
      <c r="AZ936" s="43"/>
      <c r="BA936" s="353">
        <f>IF(A1031="Yes",0.01,0)</f>
        <v>0</v>
      </c>
      <c r="BB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row>
    <row r="937" spans="1:97" ht="12.95" customHeight="1">
      <c r="A937" s="21"/>
      <c r="B937" s="53"/>
      <c r="C937" s="81"/>
      <c r="D937" s="1189" t="s">
        <v>828</v>
      </c>
      <c r="E937" s="1190"/>
      <c r="F937" s="1190"/>
      <c r="G937" s="1190"/>
      <c r="H937" s="1190"/>
      <c r="I937" s="1190"/>
      <c r="J937" s="1190"/>
      <c r="K937" s="1190"/>
      <c r="L937" s="1190"/>
      <c r="M937" s="1190"/>
      <c r="N937" s="1190"/>
      <c r="O937" s="1190"/>
      <c r="P937" s="1190"/>
      <c r="Q937" s="1191"/>
      <c r="R937" s="1192">
        <f>IF(ISNA(IF($BA$805="4%",(INDEX($BC$819:$BG$876,MATCH($BO$805,$BB$819:$BB$876,0),MATCH(D937,$BC$817:$BG$817,0))),(INDEX($BJ$819:$BN$876,MATCH($BO$805,$BI$819:$BI$876,0),MATCH(D937,$BJ$817:$BN$817,0))))),0,IF($BA$805="4%",(INDEX($BC$819:$BG$876,MATCH($BO$805,$BB$819:$BB$876,0),MATCH(D937,$BC$817:$BG$817,0))),(INDEX($BJ$819:$BN$876,MATCH($BO$805,$BI$819:$BI$876,0),MATCH(D937,$BJ$817:$BN$817,0)))))</f>
        <v>610328</v>
      </c>
      <c r="S937" s="1192"/>
      <c r="T937" s="1192"/>
      <c r="U937" s="1192"/>
      <c r="V937" s="1192"/>
      <c r="W937" s="1192"/>
      <c r="X937" s="1192"/>
      <c r="Y937" s="1192"/>
      <c r="Z937" s="1192"/>
      <c r="AA937" s="1192"/>
      <c r="AB937" s="1313">
        <f>CM638+CH638</f>
        <v>0</v>
      </c>
      <c r="AC937" s="1314"/>
      <c r="AD937" s="1314"/>
      <c r="AE937" s="1314"/>
      <c r="AF937" s="1314"/>
      <c r="AG937" s="1314"/>
      <c r="AH937" s="1314"/>
      <c r="AI937" s="1315"/>
      <c r="AJ937" s="1316">
        <f>IF(ISERROR((R937*AB937)),0,(R937*AB937))</f>
        <v>0</v>
      </c>
      <c r="AK937" s="1317"/>
      <c r="AL937" s="1317"/>
      <c r="AM937" s="1317"/>
      <c r="AN937" s="1317"/>
      <c r="AO937" s="1317"/>
      <c r="AP937" s="1317"/>
      <c r="AQ937" s="1318"/>
      <c r="AR937" s="43"/>
      <c r="AS937" s="43"/>
      <c r="AT937" s="43"/>
      <c r="AU937" s="43"/>
      <c r="AV937" s="43"/>
      <c r="AW937" s="43"/>
      <c r="AX937" s="43"/>
      <c r="AY937" s="43"/>
      <c r="AZ937" s="43"/>
      <c r="BA937" s="353">
        <f>IF(A1034="Yes",0.01,0)</f>
        <v>0</v>
      </c>
      <c r="BB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row>
    <row r="938" spans="1:97" ht="12.95" customHeight="1">
      <c r="A938" s="21"/>
      <c r="B938" s="1550" t="s">
        <v>1003</v>
      </c>
      <c r="C938" s="1551"/>
      <c r="D938" s="1551"/>
      <c r="E938" s="1551"/>
      <c r="F938" s="1551"/>
      <c r="G938" s="1551"/>
      <c r="H938" s="1551"/>
      <c r="I938" s="1551"/>
      <c r="J938" s="1551"/>
      <c r="K938" s="1551"/>
      <c r="L938" s="1551"/>
      <c r="M938" s="1551"/>
      <c r="N938" s="1551"/>
      <c r="O938" s="1551"/>
      <c r="P938" s="1551"/>
      <c r="Q938" s="1551"/>
      <c r="R938" s="1551"/>
      <c r="S938" s="1551"/>
      <c r="T938" s="1551"/>
      <c r="U938" s="1551"/>
      <c r="V938" s="1551"/>
      <c r="W938" s="1551"/>
      <c r="X938" s="1551"/>
      <c r="Y938" s="1551"/>
      <c r="Z938" s="1551"/>
      <c r="AA938" s="1552"/>
      <c r="AB938" s="1313">
        <f>SUM(AB933:AI937)</f>
        <v>39</v>
      </c>
      <c r="AC938" s="1314"/>
      <c r="AD938" s="1314"/>
      <c r="AE938" s="1314"/>
      <c r="AF938" s="1314"/>
      <c r="AG938" s="1314"/>
      <c r="AH938" s="1314"/>
      <c r="AI938" s="1315"/>
      <c r="AJ938" s="1316"/>
      <c r="AK938" s="1317"/>
      <c r="AL938" s="1317"/>
      <c r="AM938" s="1317"/>
      <c r="AN938" s="1317"/>
      <c r="AO938" s="1317"/>
      <c r="AP938" s="1317"/>
      <c r="AQ938" s="1318"/>
      <c r="AR938" s="43"/>
      <c r="AS938" s="43"/>
      <c r="AT938" s="43"/>
      <c r="AU938" s="43"/>
      <c r="AV938" s="43"/>
      <c r="AW938" s="43"/>
      <c r="AX938" s="43"/>
      <c r="AY938" s="43"/>
      <c r="AZ938" s="43"/>
      <c r="BA938" s="353">
        <f>IF(A1038="Yes",0.02,0)</f>
        <v>0</v>
      </c>
      <c r="BB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row>
    <row r="939" spans="1:97" ht="12.95" customHeight="1">
      <c r="A939" s="21"/>
      <c r="B939" s="1553" t="s">
        <v>783</v>
      </c>
      <c r="C939" s="1554"/>
      <c r="D939" s="1554"/>
      <c r="E939" s="1554"/>
      <c r="F939" s="1554"/>
      <c r="G939" s="1554"/>
      <c r="H939" s="1554"/>
      <c r="I939" s="1554"/>
      <c r="J939" s="1554"/>
      <c r="K939" s="1554"/>
      <c r="L939" s="1554"/>
      <c r="M939" s="1554"/>
      <c r="N939" s="1554"/>
      <c r="O939" s="1554"/>
      <c r="P939" s="1554"/>
      <c r="Q939" s="1554"/>
      <c r="R939" s="1554"/>
      <c r="S939" s="1554"/>
      <c r="T939" s="1554"/>
      <c r="U939" s="1554"/>
      <c r="V939" s="1554"/>
      <c r="W939" s="1554"/>
      <c r="X939" s="1554"/>
      <c r="Y939" s="1554"/>
      <c r="Z939" s="1554"/>
      <c r="AA939" s="1554"/>
      <c r="AB939" s="1554"/>
      <c r="AC939" s="1554"/>
      <c r="AD939" s="1554"/>
      <c r="AE939" s="1554"/>
      <c r="AF939" s="1554"/>
      <c r="AG939" s="1554"/>
      <c r="AH939" s="1554"/>
      <c r="AI939" s="1555"/>
      <c r="AJ939" s="1316">
        <f>SUM(AJ933:AQ937)</f>
        <v>15934868</v>
      </c>
      <c r="AK939" s="1317"/>
      <c r="AL939" s="1317"/>
      <c r="AM939" s="1317"/>
      <c r="AN939" s="1317"/>
      <c r="AO939" s="1317"/>
      <c r="AP939" s="1317"/>
      <c r="AQ939" s="1318"/>
      <c r="AR939" s="43"/>
      <c r="AS939" s="43"/>
      <c r="AT939" s="43"/>
      <c r="AU939" s="43"/>
      <c r="AV939" s="43"/>
      <c r="AW939" s="43"/>
      <c r="AX939" s="43"/>
      <c r="AY939" s="43"/>
      <c r="AZ939" s="43"/>
      <c r="BA939" s="354">
        <f>IF(A1042="Yes",0.02,0)</f>
        <v>0</v>
      </c>
      <c r="BB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row>
    <row r="940" spans="1:97" ht="12.95" customHeight="1">
      <c r="A940" s="21"/>
      <c r="B940" s="1556"/>
      <c r="C940" s="1557"/>
      <c r="D940" s="1557"/>
      <c r="E940" s="1557"/>
      <c r="F940" s="1557"/>
      <c r="G940" s="1557"/>
      <c r="H940" s="1557"/>
      <c r="I940" s="1557"/>
      <c r="J940" s="1557"/>
      <c r="K940" s="1557"/>
      <c r="L940" s="1557"/>
      <c r="M940" s="1557"/>
      <c r="N940" s="1557"/>
      <c r="O940" s="1557"/>
      <c r="P940" s="1557"/>
      <c r="Q940" s="1557"/>
      <c r="R940" s="1557"/>
      <c r="S940" s="1557"/>
      <c r="T940" s="1557"/>
      <c r="U940" s="1557"/>
      <c r="V940" s="1557"/>
      <c r="W940" s="1557"/>
      <c r="X940" s="1557"/>
      <c r="Y940" s="1557"/>
      <c r="Z940" s="1557"/>
      <c r="AA940" s="1557"/>
      <c r="AB940" s="1557"/>
      <c r="AC940" s="1557"/>
      <c r="AD940" s="1557"/>
      <c r="AE940" s="1558"/>
      <c r="AF940" s="1559" t="s">
        <v>507</v>
      </c>
      <c r="AG940" s="1560"/>
      <c r="AH940" s="1560"/>
      <c r="AI940" s="1561"/>
      <c r="AJ940" s="1556"/>
      <c r="AK940" s="1557"/>
      <c r="AL940" s="1557"/>
      <c r="AM940" s="1557"/>
      <c r="AN940" s="1557"/>
      <c r="AO940" s="1557"/>
      <c r="AP940" s="1557"/>
      <c r="AQ940" s="1558"/>
      <c r="AR940" s="43"/>
      <c r="AS940" s="43"/>
      <c r="AT940" s="43"/>
      <c r="AU940" s="43"/>
      <c r="AV940" s="43"/>
      <c r="AW940" s="43"/>
      <c r="AX940" s="43"/>
      <c r="AY940" s="43"/>
      <c r="AZ940" s="43"/>
      <c r="BA940" s="43"/>
      <c r="BB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row>
    <row r="941" spans="1:97" ht="12.95" customHeight="1">
      <c r="A941" s="21"/>
      <c r="B941" s="79"/>
      <c r="C941" s="866" t="s">
        <v>509</v>
      </c>
      <c r="D941" s="1366" t="s">
        <v>1979</v>
      </c>
      <c r="E941" s="1367"/>
      <c r="F941" s="1367"/>
      <c r="G941" s="1367"/>
      <c r="H941" s="1367"/>
      <c r="I941" s="1367"/>
      <c r="J941" s="1367"/>
      <c r="K941" s="1367"/>
      <c r="L941" s="1367"/>
      <c r="M941" s="1367"/>
      <c r="N941" s="1367"/>
      <c r="O941" s="1367"/>
      <c r="P941" s="1367"/>
      <c r="Q941" s="1367"/>
      <c r="R941" s="1367"/>
      <c r="S941" s="1367"/>
      <c r="T941" s="1367"/>
      <c r="U941" s="1367"/>
      <c r="V941" s="1367"/>
      <c r="W941" s="1367"/>
      <c r="X941" s="1367"/>
      <c r="Y941" s="1367"/>
      <c r="Z941" s="1367"/>
      <c r="AA941" s="1367"/>
      <c r="AB941" s="1367"/>
      <c r="AC941" s="1367"/>
      <c r="AD941" s="1367"/>
      <c r="AE941" s="1368"/>
      <c r="AF941" s="82"/>
      <c r="AG941" s="1548" t="s">
        <v>116</v>
      </c>
      <c r="AH941" s="1549"/>
      <c r="AI941" s="85"/>
      <c r="AJ941" s="1343">
        <f>ROUND(IF(AND(AG941="yes",D943&lt;&gt;""),AJ939*0.2,0),0)</f>
        <v>3186974</v>
      </c>
      <c r="AK941" s="1344"/>
      <c r="AL941" s="1344"/>
      <c r="AM941" s="1344"/>
      <c r="AN941" s="1344"/>
      <c r="AO941" s="1344"/>
      <c r="AP941" s="1344"/>
      <c r="AQ941" s="1345"/>
      <c r="AR941" s="43"/>
      <c r="AS941" s="43"/>
      <c r="AT941" s="43"/>
      <c r="AU941" s="43"/>
      <c r="AV941" s="43"/>
      <c r="AW941" s="43"/>
      <c r="AX941" s="43"/>
      <c r="AY941" s="43"/>
      <c r="AZ941" s="43"/>
      <c r="BA941" s="43"/>
      <c r="BB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row>
    <row r="942" spans="1:97" ht="68.25" customHeight="1">
      <c r="A942" s="21"/>
      <c r="B942" s="867"/>
      <c r="C942" s="868"/>
      <c r="D942" s="1183" t="s">
        <v>2091</v>
      </c>
      <c r="E942" s="1184"/>
      <c r="F942" s="1184"/>
      <c r="G942" s="1184"/>
      <c r="H942" s="1184"/>
      <c r="I942" s="1184"/>
      <c r="J942" s="1184"/>
      <c r="K942" s="1184"/>
      <c r="L942" s="1184"/>
      <c r="M942" s="1184"/>
      <c r="N942" s="1184"/>
      <c r="O942" s="1184"/>
      <c r="P942" s="1184"/>
      <c r="Q942" s="1184"/>
      <c r="R942" s="1184"/>
      <c r="S942" s="1184"/>
      <c r="T942" s="1184"/>
      <c r="U942" s="1184"/>
      <c r="V942" s="1184"/>
      <c r="W942" s="1184"/>
      <c r="X942" s="1184"/>
      <c r="Y942" s="1184"/>
      <c r="Z942" s="1184"/>
      <c r="AA942" s="1184"/>
      <c r="AB942" s="1184"/>
      <c r="AC942" s="1184"/>
      <c r="AD942" s="1184"/>
      <c r="AE942" s="1185"/>
      <c r="AF942" s="79"/>
      <c r="AG942" s="21"/>
      <c r="AH942" s="21"/>
      <c r="AI942" s="83"/>
      <c r="AJ942" s="1349"/>
      <c r="AK942" s="1350"/>
      <c r="AL942" s="1350"/>
      <c r="AM942" s="1350"/>
      <c r="AN942" s="1350"/>
      <c r="AO942" s="1350"/>
      <c r="AP942" s="1350"/>
      <c r="AQ942" s="1351"/>
      <c r="AR942" s="43"/>
      <c r="AS942" s="43"/>
      <c r="AT942" s="43"/>
      <c r="AU942" s="43"/>
      <c r="AV942" s="43"/>
      <c r="AW942" s="43"/>
      <c r="AX942" s="43"/>
      <c r="AY942" s="43"/>
      <c r="AZ942" s="43"/>
      <c r="BA942" s="43"/>
      <c r="BB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row>
    <row r="943" spans="1:97" ht="12.95" customHeight="1">
      <c r="A943" s="21"/>
      <c r="B943" s="867"/>
      <c r="C943" s="868"/>
      <c r="D943" s="1358" t="s">
        <v>2433</v>
      </c>
      <c r="E943" s="1359"/>
      <c r="F943" s="1359"/>
      <c r="G943" s="1359"/>
      <c r="H943" s="1359"/>
      <c r="I943" s="1359"/>
      <c r="J943" s="1359"/>
      <c r="K943" s="1359"/>
      <c r="L943" s="1359"/>
      <c r="M943" s="1359"/>
      <c r="N943" s="1359"/>
      <c r="O943" s="1359"/>
      <c r="P943" s="1359"/>
      <c r="Q943" s="1359"/>
      <c r="R943" s="1359"/>
      <c r="S943" s="1359"/>
      <c r="T943" s="1359"/>
      <c r="U943" s="1359"/>
      <c r="V943" s="1359"/>
      <c r="W943" s="1359"/>
      <c r="X943" s="1359"/>
      <c r="Y943" s="1359"/>
      <c r="Z943" s="1359"/>
      <c r="AA943" s="1359"/>
      <c r="AB943" s="1359"/>
      <c r="AC943" s="1359"/>
      <c r="AD943" s="1359"/>
      <c r="AE943" s="1360"/>
      <c r="AF943" s="80"/>
      <c r="AG943" s="11"/>
      <c r="AH943" s="11"/>
      <c r="AI943" s="81"/>
      <c r="AJ943" s="1346"/>
      <c r="AK943" s="1347"/>
      <c r="AL943" s="1347"/>
      <c r="AM943" s="1347"/>
      <c r="AN943" s="1347"/>
      <c r="AO943" s="1347"/>
      <c r="AP943" s="1347"/>
      <c r="AQ943" s="1348"/>
      <c r="AR943" s="43"/>
      <c r="AS943" s="43"/>
      <c r="AT943" s="43"/>
      <c r="AU943" s="43"/>
      <c r="AV943" s="43"/>
      <c r="AW943" s="43"/>
      <c r="AX943" s="43"/>
      <c r="AY943" s="43"/>
      <c r="AZ943" s="43"/>
      <c r="BA943" s="43"/>
      <c r="BB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row>
    <row r="944" spans="1:97" ht="12.95" customHeight="1">
      <c r="A944" s="21"/>
      <c r="B944" s="869"/>
      <c r="C944" s="870"/>
      <c r="D944" s="1339" t="s">
        <v>2092</v>
      </c>
      <c r="E944" s="1139"/>
      <c r="F944" s="1139"/>
      <c r="G944" s="1139"/>
      <c r="H944" s="1139"/>
      <c r="I944" s="1139"/>
      <c r="J944" s="1139"/>
      <c r="K944" s="1139"/>
      <c r="L944" s="1139"/>
      <c r="M944" s="1139"/>
      <c r="N944" s="1139"/>
      <c r="O944" s="1139"/>
      <c r="P944" s="1139"/>
      <c r="Q944" s="1139"/>
      <c r="R944" s="1139"/>
      <c r="S944" s="1139"/>
      <c r="T944" s="1139"/>
      <c r="U944" s="1139"/>
      <c r="V944" s="1139"/>
      <c r="W944" s="1139"/>
      <c r="X944" s="1139"/>
      <c r="Y944" s="1139"/>
      <c r="Z944" s="1139"/>
      <c r="AA944" s="1139"/>
      <c r="AB944" s="1139"/>
      <c r="AC944" s="1139"/>
      <c r="AD944" s="1139"/>
      <c r="AE944" s="1340"/>
      <c r="AF944" s="82"/>
      <c r="AG944" s="1341" t="s">
        <v>510</v>
      </c>
      <c r="AH944" s="1342"/>
      <c r="AI944" s="85"/>
      <c r="AJ944" s="1343">
        <f>ROUND(IF(AG944="yes",AJ939*0.05,0),0)</f>
        <v>0</v>
      </c>
      <c r="AK944" s="1344"/>
      <c r="AL944" s="1344"/>
      <c r="AM944" s="1344"/>
      <c r="AN944" s="1344"/>
      <c r="AO944" s="1344"/>
      <c r="AP944" s="1344"/>
      <c r="AQ944" s="1345"/>
      <c r="AR944" s="43"/>
      <c r="AS944" s="43"/>
      <c r="AT944" s="43"/>
      <c r="AU944" s="43"/>
      <c r="AV944" s="43"/>
      <c r="AW944" s="43"/>
      <c r="AX944" s="43"/>
      <c r="AY944" s="43"/>
      <c r="AZ944" s="43"/>
      <c r="BA944" s="43"/>
      <c r="BB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row>
    <row r="945" spans="1:97" ht="12.95" customHeight="1">
      <c r="A945" s="21"/>
      <c r="B945" s="867"/>
      <c r="C945" s="871"/>
      <c r="D945" s="1183" t="s">
        <v>1980</v>
      </c>
      <c r="E945" s="1184"/>
      <c r="F945" s="1184"/>
      <c r="G945" s="1184"/>
      <c r="H945" s="1184"/>
      <c r="I945" s="1184"/>
      <c r="J945" s="1184"/>
      <c r="K945" s="1184"/>
      <c r="L945" s="1184"/>
      <c r="M945" s="1184"/>
      <c r="N945" s="1184"/>
      <c r="O945" s="1184"/>
      <c r="P945" s="1184"/>
      <c r="Q945" s="1184"/>
      <c r="R945" s="1184"/>
      <c r="S945" s="1184"/>
      <c r="T945" s="1184"/>
      <c r="U945" s="1184"/>
      <c r="V945" s="1184"/>
      <c r="W945" s="1184"/>
      <c r="X945" s="1184"/>
      <c r="Y945" s="1184"/>
      <c r="Z945" s="1184"/>
      <c r="AA945" s="1184"/>
      <c r="AB945" s="1184"/>
      <c r="AC945" s="1184"/>
      <c r="AD945" s="1184"/>
      <c r="AE945" s="1185"/>
      <c r="AF945" s="79"/>
      <c r="AG945" s="21"/>
      <c r="AH945" s="21"/>
      <c r="AI945" s="83"/>
      <c r="AJ945" s="1349"/>
      <c r="AK945" s="1350"/>
      <c r="AL945" s="1350"/>
      <c r="AM945" s="1350"/>
      <c r="AN945" s="1350"/>
      <c r="AO945" s="1350"/>
      <c r="AP945" s="1350"/>
      <c r="AQ945" s="1351"/>
      <c r="AR945" s="43"/>
      <c r="AS945" s="43"/>
      <c r="AT945" s="43"/>
      <c r="AU945" s="43"/>
      <c r="AV945" s="43"/>
      <c r="AW945" s="43"/>
      <c r="AX945" s="43"/>
      <c r="AY945" s="43"/>
      <c r="AZ945" s="43"/>
      <c r="BA945" s="43"/>
      <c r="BB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row>
    <row r="946" spans="1:97" ht="12.95" customHeight="1">
      <c r="A946" s="21"/>
      <c r="B946" s="867"/>
      <c r="C946" s="871"/>
      <c r="D946" s="1183"/>
      <c r="E946" s="1184"/>
      <c r="F946" s="1184"/>
      <c r="G946" s="1184"/>
      <c r="H946" s="1184"/>
      <c r="I946" s="1184"/>
      <c r="J946" s="1184"/>
      <c r="K946" s="1184"/>
      <c r="L946" s="1184"/>
      <c r="M946" s="1184"/>
      <c r="N946" s="1184"/>
      <c r="O946" s="1184"/>
      <c r="P946" s="1184"/>
      <c r="Q946" s="1184"/>
      <c r="R946" s="1184"/>
      <c r="S946" s="1184"/>
      <c r="T946" s="1184"/>
      <c r="U946" s="1184"/>
      <c r="V946" s="1184"/>
      <c r="W946" s="1184"/>
      <c r="X946" s="1184"/>
      <c r="Y946" s="1184"/>
      <c r="Z946" s="1184"/>
      <c r="AA946" s="1184"/>
      <c r="AB946" s="1184"/>
      <c r="AC946" s="1184"/>
      <c r="AD946" s="1184"/>
      <c r="AE946" s="1185"/>
      <c r="AF946" s="79"/>
      <c r="AG946" s="21"/>
      <c r="AH946" s="21"/>
      <c r="AI946" s="83"/>
      <c r="AJ946" s="1349"/>
      <c r="AK946" s="1350"/>
      <c r="AL946" s="1350"/>
      <c r="AM946" s="1350"/>
      <c r="AN946" s="1350"/>
      <c r="AO946" s="1350"/>
      <c r="AP946" s="1350"/>
      <c r="AQ946" s="1351"/>
      <c r="AR946" s="43"/>
      <c r="AS946" s="43"/>
      <c r="AT946" s="43"/>
      <c r="AU946" s="43"/>
      <c r="AV946" s="43"/>
      <c r="AW946" s="43"/>
      <c r="AX946" s="43"/>
      <c r="AY946" s="43"/>
      <c r="AZ946" s="43"/>
      <c r="BA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row>
    <row r="947" spans="1:97" ht="12.95" customHeight="1">
      <c r="A947" s="21"/>
      <c r="B947" s="867"/>
      <c r="C947" s="871"/>
      <c r="D947" s="1183"/>
      <c r="E947" s="1184"/>
      <c r="F947" s="1184"/>
      <c r="G947" s="1184"/>
      <c r="H947" s="1184"/>
      <c r="I947" s="1184"/>
      <c r="J947" s="1184"/>
      <c r="K947" s="1184"/>
      <c r="L947" s="1184"/>
      <c r="M947" s="1184"/>
      <c r="N947" s="1184"/>
      <c r="O947" s="1184"/>
      <c r="P947" s="1184"/>
      <c r="Q947" s="1184"/>
      <c r="R947" s="1184"/>
      <c r="S947" s="1184"/>
      <c r="T947" s="1184"/>
      <c r="U947" s="1184"/>
      <c r="V947" s="1184"/>
      <c r="W947" s="1184"/>
      <c r="X947" s="1184"/>
      <c r="Y947" s="1184"/>
      <c r="Z947" s="1184"/>
      <c r="AA947" s="1184"/>
      <c r="AB947" s="1184"/>
      <c r="AC947" s="1184"/>
      <c r="AD947" s="1184"/>
      <c r="AE947" s="1185"/>
      <c r="AF947" s="79"/>
      <c r="AG947" s="21"/>
      <c r="AH947" s="21"/>
      <c r="AI947" s="83"/>
      <c r="AJ947" s="1349"/>
      <c r="AK947" s="1350"/>
      <c r="AL947" s="1350"/>
      <c r="AM947" s="1350"/>
      <c r="AN947" s="1350"/>
      <c r="AO947" s="1350"/>
      <c r="AP947" s="1350"/>
      <c r="AQ947" s="1351"/>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row>
    <row r="948" spans="1:97" ht="12.95" customHeight="1">
      <c r="A948" s="21"/>
      <c r="B948" s="867"/>
      <c r="C948" s="871"/>
      <c r="D948" s="1183"/>
      <c r="E948" s="1184"/>
      <c r="F948" s="1184"/>
      <c r="G948" s="1184"/>
      <c r="H948" s="1184"/>
      <c r="I948" s="1184"/>
      <c r="J948" s="1184"/>
      <c r="K948" s="1184"/>
      <c r="L948" s="1184"/>
      <c r="M948" s="1184"/>
      <c r="N948" s="1184"/>
      <c r="O948" s="1184"/>
      <c r="P948" s="1184"/>
      <c r="Q948" s="1184"/>
      <c r="R948" s="1184"/>
      <c r="S948" s="1184"/>
      <c r="T948" s="1184"/>
      <c r="U948" s="1184"/>
      <c r="V948" s="1184"/>
      <c r="W948" s="1184"/>
      <c r="X948" s="1184"/>
      <c r="Y948" s="1184"/>
      <c r="Z948" s="1184"/>
      <c r="AA948" s="1184"/>
      <c r="AB948" s="1184"/>
      <c r="AC948" s="1184"/>
      <c r="AD948" s="1184"/>
      <c r="AE948" s="1185"/>
      <c r="AF948" s="79"/>
      <c r="AG948" s="21"/>
      <c r="AH948" s="21"/>
      <c r="AI948" s="83"/>
      <c r="AJ948" s="1349"/>
      <c r="AK948" s="1350"/>
      <c r="AL948" s="1350"/>
      <c r="AM948" s="1350"/>
      <c r="AN948" s="1350"/>
      <c r="AO948" s="1350"/>
      <c r="AP948" s="1350"/>
      <c r="AQ948" s="1351"/>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row>
    <row r="949" spans="1:97" ht="12.95" customHeight="1">
      <c r="A949" s="21"/>
      <c r="B949" s="872"/>
      <c r="C949" s="873"/>
      <c r="D949" s="1186"/>
      <c r="E949" s="1187"/>
      <c r="F949" s="1187"/>
      <c r="G949" s="1187"/>
      <c r="H949" s="1187"/>
      <c r="I949" s="1187"/>
      <c r="J949" s="1187"/>
      <c r="K949" s="1187"/>
      <c r="L949" s="1187"/>
      <c r="M949" s="1187"/>
      <c r="N949" s="1187"/>
      <c r="O949" s="1187"/>
      <c r="P949" s="1187"/>
      <c r="Q949" s="1187"/>
      <c r="R949" s="1187"/>
      <c r="S949" s="1187"/>
      <c r="T949" s="1187"/>
      <c r="U949" s="1187"/>
      <c r="V949" s="1187"/>
      <c r="W949" s="1187"/>
      <c r="X949" s="1187"/>
      <c r="Y949" s="1187"/>
      <c r="Z949" s="1187"/>
      <c r="AA949" s="1187"/>
      <c r="AB949" s="1187"/>
      <c r="AC949" s="1187"/>
      <c r="AD949" s="1187"/>
      <c r="AE949" s="1188"/>
      <c r="AF949" s="80"/>
      <c r="AG949" s="11"/>
      <c r="AH949" s="11"/>
      <c r="AI949" s="81"/>
      <c r="AJ949" s="1346"/>
      <c r="AK949" s="1347"/>
      <c r="AL949" s="1347"/>
      <c r="AM949" s="1347"/>
      <c r="AN949" s="1347"/>
      <c r="AO949" s="1347"/>
      <c r="AP949" s="1347"/>
      <c r="AQ949" s="1348"/>
      <c r="AR949" s="43"/>
      <c r="AS949" s="43"/>
      <c r="AT949" s="43"/>
      <c r="AU949" s="43"/>
      <c r="AV949" s="43"/>
      <c r="AW949" s="43"/>
      <c r="AX949" s="43"/>
      <c r="AY949" s="43"/>
      <c r="AZ949" s="43"/>
      <c r="BA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row>
    <row r="950" spans="1:97" ht="12.95" customHeight="1">
      <c r="A950" s="21"/>
      <c r="B950" s="869"/>
      <c r="C950" s="562" t="s">
        <v>513</v>
      </c>
      <c r="D950" s="1339" t="s">
        <v>2093</v>
      </c>
      <c r="E950" s="1139"/>
      <c r="F950" s="1139"/>
      <c r="G950" s="1139"/>
      <c r="H950" s="1139"/>
      <c r="I950" s="1139"/>
      <c r="J950" s="1139"/>
      <c r="K950" s="1139"/>
      <c r="L950" s="1139"/>
      <c r="M950" s="1139"/>
      <c r="N950" s="1139"/>
      <c r="O950" s="1139"/>
      <c r="P950" s="1139"/>
      <c r="Q950" s="1139"/>
      <c r="R950" s="1139"/>
      <c r="S950" s="1139"/>
      <c r="T950" s="1139"/>
      <c r="U950" s="1139"/>
      <c r="V950" s="1139"/>
      <c r="W950" s="1139"/>
      <c r="X950" s="1139"/>
      <c r="Y950" s="1139"/>
      <c r="Z950" s="1139"/>
      <c r="AA950" s="1139"/>
      <c r="AB950" s="1139"/>
      <c r="AC950" s="1139"/>
      <c r="AD950" s="1139"/>
      <c r="AE950" s="1340"/>
      <c r="AF950" s="84"/>
      <c r="AG950" s="1341" t="s">
        <v>510</v>
      </c>
      <c r="AH950" s="1342"/>
      <c r="AI950" s="85"/>
      <c r="AJ950" s="1343">
        <f>ROUND(IF(AG950="yes",AJ939*0.1,0),0)</f>
        <v>0</v>
      </c>
      <c r="AK950" s="1344"/>
      <c r="AL950" s="1344"/>
      <c r="AM950" s="1344"/>
      <c r="AN950" s="1344"/>
      <c r="AO950" s="1344"/>
      <c r="AP950" s="1344"/>
      <c r="AQ950" s="1345"/>
      <c r="AR950" s="43"/>
      <c r="AS950" s="43"/>
      <c r="AT950" s="43"/>
      <c r="AU950" s="43"/>
      <c r="AV950" s="43"/>
      <c r="AW950" s="43"/>
      <c r="AX950" s="43"/>
      <c r="AY950" s="43"/>
      <c r="AZ950" s="43"/>
      <c r="BA950" s="43"/>
      <c r="BB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row>
    <row r="951" spans="1:97" ht="12.95" customHeight="1">
      <c r="A951" s="21"/>
      <c r="B951" s="79"/>
      <c r="C951" s="563"/>
      <c r="D951" s="1352" t="s">
        <v>2094</v>
      </c>
      <c r="E951" s="1353"/>
      <c r="F951" s="1353"/>
      <c r="G951" s="1353"/>
      <c r="H951" s="1353"/>
      <c r="I951" s="1353"/>
      <c r="J951" s="1353"/>
      <c r="K951" s="1353"/>
      <c r="L951" s="1353"/>
      <c r="M951" s="1353"/>
      <c r="N951" s="1353"/>
      <c r="O951" s="1353"/>
      <c r="P951" s="1353"/>
      <c r="Q951" s="1353"/>
      <c r="R951" s="1353"/>
      <c r="S951" s="1353"/>
      <c r="T951" s="1353"/>
      <c r="U951" s="1353"/>
      <c r="V951" s="1353"/>
      <c r="W951" s="1353"/>
      <c r="X951" s="1353"/>
      <c r="Y951" s="1353"/>
      <c r="Z951" s="1353"/>
      <c r="AA951" s="1353"/>
      <c r="AB951" s="1353"/>
      <c r="AC951" s="1353"/>
      <c r="AD951" s="1353"/>
      <c r="AE951" s="1354"/>
      <c r="AF951" s="79"/>
      <c r="AI951" s="83"/>
      <c r="AJ951" s="1349"/>
      <c r="AK951" s="1350"/>
      <c r="AL951" s="1350"/>
      <c r="AM951" s="1350"/>
      <c r="AN951" s="1350"/>
      <c r="AO951" s="1350"/>
      <c r="AP951" s="1350"/>
      <c r="AQ951" s="1351"/>
      <c r="AR951" s="43"/>
      <c r="AS951" s="43"/>
      <c r="AT951" s="43"/>
      <c r="AU951" s="43"/>
      <c r="AV951" s="43"/>
      <c r="AW951" s="43"/>
      <c r="AX951" s="43"/>
      <c r="AY951" s="43"/>
      <c r="AZ951" s="43"/>
      <c r="BA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row>
    <row r="952" spans="1:97" ht="12.95" customHeight="1">
      <c r="A952" s="21"/>
      <c r="B952" s="79"/>
      <c r="C952" s="563"/>
      <c r="D952" s="1352"/>
      <c r="E952" s="1353"/>
      <c r="F952" s="1353"/>
      <c r="G952" s="1353"/>
      <c r="H952" s="1353"/>
      <c r="I952" s="1353"/>
      <c r="J952" s="1353"/>
      <c r="K952" s="1353"/>
      <c r="L952" s="1353"/>
      <c r="M952" s="1353"/>
      <c r="N952" s="1353"/>
      <c r="O952" s="1353"/>
      <c r="P952" s="1353"/>
      <c r="Q952" s="1353"/>
      <c r="R952" s="1353"/>
      <c r="S952" s="1353"/>
      <c r="T952" s="1353"/>
      <c r="U952" s="1353"/>
      <c r="V952" s="1353"/>
      <c r="W952" s="1353"/>
      <c r="X952" s="1353"/>
      <c r="Y952" s="1353"/>
      <c r="Z952" s="1353"/>
      <c r="AA952" s="1353"/>
      <c r="AB952" s="1353"/>
      <c r="AC952" s="1353"/>
      <c r="AD952" s="1353"/>
      <c r="AE952" s="1354"/>
      <c r="AF952" s="79"/>
      <c r="AG952" s="21"/>
      <c r="AH952" s="21"/>
      <c r="AI952" s="83"/>
      <c r="AJ952" s="1349"/>
      <c r="AK952" s="1350"/>
      <c r="AL952" s="1350"/>
      <c r="AM952" s="1350"/>
      <c r="AN952" s="1350"/>
      <c r="AO952" s="1350"/>
      <c r="AP952" s="1350"/>
      <c r="AQ952" s="1351"/>
      <c r="AR952" s="43"/>
      <c r="AS952" s="43"/>
      <c r="AT952" s="43"/>
      <c r="AU952" s="43"/>
      <c r="AV952" s="43"/>
      <c r="AW952" s="43"/>
      <c r="AX952" s="43"/>
      <c r="AY952" s="43"/>
      <c r="AZ952" s="43"/>
      <c r="BA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row>
    <row r="953" spans="1:97" ht="12.95" customHeight="1">
      <c r="A953" s="21"/>
      <c r="B953" s="874"/>
      <c r="C953" s="873"/>
      <c r="D953" s="1355"/>
      <c r="E953" s="1356"/>
      <c r="F953" s="1356"/>
      <c r="G953" s="1356"/>
      <c r="H953" s="1356"/>
      <c r="I953" s="1356"/>
      <c r="J953" s="1356"/>
      <c r="K953" s="1356"/>
      <c r="L953" s="1356"/>
      <c r="M953" s="1356"/>
      <c r="N953" s="1356"/>
      <c r="O953" s="1356"/>
      <c r="P953" s="1356"/>
      <c r="Q953" s="1356"/>
      <c r="R953" s="1356"/>
      <c r="S953" s="1356"/>
      <c r="T953" s="1356"/>
      <c r="U953" s="1356"/>
      <c r="V953" s="1356"/>
      <c r="W953" s="1356"/>
      <c r="X953" s="1356"/>
      <c r="Y953" s="1356"/>
      <c r="Z953" s="1356"/>
      <c r="AA953" s="1356"/>
      <c r="AB953" s="1356"/>
      <c r="AC953" s="1356"/>
      <c r="AD953" s="1356"/>
      <c r="AE953" s="1357"/>
      <c r="AF953" s="80"/>
      <c r="AG953" s="11"/>
      <c r="AH953" s="11"/>
      <c r="AI953" s="81"/>
      <c r="AJ953" s="1346"/>
      <c r="AK953" s="1347"/>
      <c r="AL953" s="1347"/>
      <c r="AM953" s="1347"/>
      <c r="AN953" s="1347"/>
      <c r="AO953" s="1347"/>
      <c r="AP953" s="1347"/>
      <c r="AQ953" s="1348"/>
      <c r="AR953" s="43"/>
      <c r="AS953" s="43"/>
      <c r="AT953" s="43"/>
      <c r="AU953" s="43"/>
      <c r="AV953" s="43"/>
      <c r="AW953" s="43"/>
      <c r="AX953" s="43"/>
      <c r="AY953" s="43"/>
      <c r="AZ953" s="43"/>
      <c r="BA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row>
    <row r="954" spans="1:97" ht="12.95" customHeight="1">
      <c r="A954" s="21"/>
      <c r="B954" s="82"/>
      <c r="C954" s="562" t="s">
        <v>517</v>
      </c>
      <c r="D954" s="1339" t="s">
        <v>1981</v>
      </c>
      <c r="E954" s="1139"/>
      <c r="F954" s="1139"/>
      <c r="G954" s="1139"/>
      <c r="H954" s="1139"/>
      <c r="I954" s="1139"/>
      <c r="J954" s="1139"/>
      <c r="K954" s="1139"/>
      <c r="L954" s="1139"/>
      <c r="M954" s="1139"/>
      <c r="N954" s="1139"/>
      <c r="O954" s="1139"/>
      <c r="P954" s="1139"/>
      <c r="Q954" s="1139"/>
      <c r="R954" s="1139"/>
      <c r="S954" s="1139"/>
      <c r="T954" s="1139"/>
      <c r="U954" s="1139"/>
      <c r="V954" s="1139"/>
      <c r="W954" s="1139"/>
      <c r="X954" s="1139"/>
      <c r="Y954" s="1139"/>
      <c r="Z954" s="1139"/>
      <c r="AA954" s="1139"/>
      <c r="AB954" s="1139"/>
      <c r="AC954" s="1139"/>
      <c r="AD954" s="1139"/>
      <c r="AE954" s="1340"/>
      <c r="AF954" s="82"/>
      <c r="AG954" s="1341" t="s">
        <v>510</v>
      </c>
      <c r="AH954" s="1342"/>
      <c r="AI954" s="85"/>
      <c r="AJ954" s="1343">
        <f>ROUND(IF(AG954="yes",AJ939*0.02,0),0)</f>
        <v>0</v>
      </c>
      <c r="AK954" s="1344"/>
      <c r="AL954" s="1344"/>
      <c r="AM954" s="1344"/>
      <c r="AN954" s="1344"/>
      <c r="AO954" s="1344"/>
      <c r="AP954" s="1344"/>
      <c r="AQ954" s="1345"/>
      <c r="AR954" s="43"/>
      <c r="AS954" s="43"/>
      <c r="AT954" s="43"/>
      <c r="AU954" s="43"/>
      <c r="AV954" s="43"/>
      <c r="AW954" s="43"/>
      <c r="AX954" s="43"/>
      <c r="AY954" s="43"/>
      <c r="AZ954" s="43"/>
      <c r="BA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row>
    <row r="955" spans="1:97" ht="12.95" customHeight="1">
      <c r="A955" s="21"/>
      <c r="B955" s="79"/>
      <c r="C955" s="563"/>
      <c r="D955" s="1355" t="s">
        <v>1982</v>
      </c>
      <c r="E955" s="1356"/>
      <c r="F955" s="1356"/>
      <c r="G955" s="1356"/>
      <c r="H955" s="1356"/>
      <c r="I955" s="1356"/>
      <c r="J955" s="1356"/>
      <c r="K955" s="1356"/>
      <c r="L955" s="1356"/>
      <c r="M955" s="1356"/>
      <c r="N955" s="1356"/>
      <c r="O955" s="1356"/>
      <c r="P955" s="1356"/>
      <c r="Q955" s="1356"/>
      <c r="R955" s="1356"/>
      <c r="S955" s="1356"/>
      <c r="T955" s="1356"/>
      <c r="U955" s="1356"/>
      <c r="V955" s="1356"/>
      <c r="W955" s="1356"/>
      <c r="X955" s="1356"/>
      <c r="Y955" s="1356"/>
      <c r="Z955" s="1356"/>
      <c r="AA955" s="1356"/>
      <c r="AB955" s="1356"/>
      <c r="AC955" s="1356"/>
      <c r="AD955" s="1356"/>
      <c r="AE955" s="1357"/>
      <c r="AF955" s="80"/>
      <c r="AG955" s="11"/>
      <c r="AH955" s="11"/>
      <c r="AI955" s="81"/>
      <c r="AJ955" s="1346"/>
      <c r="AK955" s="1347"/>
      <c r="AL955" s="1347"/>
      <c r="AM955" s="1347"/>
      <c r="AN955" s="1347"/>
      <c r="AO955" s="1347"/>
      <c r="AP955" s="1347"/>
      <c r="AQ955" s="1348"/>
      <c r="AR955" s="43"/>
      <c r="AS955" s="43"/>
      <c r="AT955" s="43"/>
      <c r="AU955" s="43"/>
      <c r="AV955" s="43"/>
      <c r="AW955" s="43"/>
      <c r="AX955" s="43"/>
      <c r="AY955" s="43"/>
      <c r="AZ955" s="43"/>
      <c r="BA955" s="43"/>
      <c r="BB955" s="43"/>
      <c r="BC955" s="43"/>
      <c r="BD955" s="43"/>
      <c r="BE955" s="43"/>
      <c r="BF955" s="43"/>
      <c r="BG955" s="43"/>
      <c r="BH955" s="43"/>
      <c r="BI955" s="43"/>
      <c r="BJ955" s="43"/>
      <c r="BK955" s="43"/>
      <c r="BL955" s="43"/>
      <c r="BM955" s="43"/>
      <c r="BN955" s="43"/>
      <c r="BO955" s="43"/>
      <c r="BP955" s="43"/>
      <c r="BQ955" s="43"/>
      <c r="BR955" s="43"/>
      <c r="BS955" s="43"/>
      <c r="BT955" s="43"/>
      <c r="BU955" s="43"/>
      <c r="BV955" s="43"/>
      <c r="BW955" s="43"/>
      <c r="BX955" s="43"/>
      <c r="BY955" s="43"/>
      <c r="BZ955" s="43"/>
      <c r="CA955" s="43"/>
      <c r="CB955" s="43"/>
      <c r="CC955" s="43"/>
      <c r="CD955" s="43"/>
      <c r="CE955" s="43"/>
      <c r="CF955" s="43"/>
      <c r="CG955" s="43"/>
      <c r="CH955" s="43"/>
      <c r="CI955" s="43"/>
      <c r="CJ955" s="43"/>
      <c r="CK955" s="43"/>
      <c r="CL955" s="43"/>
      <c r="CM955" s="43"/>
      <c r="CN955" s="43"/>
      <c r="CO955" s="43"/>
      <c r="CP955" s="43"/>
      <c r="CQ955" s="43"/>
      <c r="CR955" s="43"/>
      <c r="CS955" s="43"/>
    </row>
    <row r="956" spans="1:97" ht="12.95" customHeight="1">
      <c r="A956" s="21"/>
      <c r="B956" s="82"/>
      <c r="C956" s="562" t="s">
        <v>520</v>
      </c>
      <c r="D956" s="1339" t="s">
        <v>1983</v>
      </c>
      <c r="E956" s="1139"/>
      <c r="F956" s="1139"/>
      <c r="G956" s="1139"/>
      <c r="H956" s="1139"/>
      <c r="I956" s="1139"/>
      <c r="J956" s="1139"/>
      <c r="K956" s="1139"/>
      <c r="L956" s="1139"/>
      <c r="M956" s="1139"/>
      <c r="N956" s="1139"/>
      <c r="O956" s="1139"/>
      <c r="P956" s="1139"/>
      <c r="Q956" s="1139"/>
      <c r="R956" s="1139"/>
      <c r="S956" s="1139"/>
      <c r="T956" s="1139"/>
      <c r="U956" s="1139"/>
      <c r="V956" s="1139"/>
      <c r="W956" s="1139"/>
      <c r="X956" s="1139"/>
      <c r="Y956" s="1139"/>
      <c r="Z956" s="1139"/>
      <c r="AA956" s="1139"/>
      <c r="AB956" s="1139"/>
      <c r="AC956" s="1139"/>
      <c r="AD956" s="1139"/>
      <c r="AE956" s="1340"/>
      <c r="AF956" s="82"/>
      <c r="AG956" s="1341" t="s">
        <v>510</v>
      </c>
      <c r="AH956" s="1342"/>
      <c r="AI956" s="82"/>
      <c r="AJ956" s="1343">
        <f>ROUND(IF(AG956="yes",AJ939*0.02,0),0)</f>
        <v>0</v>
      </c>
      <c r="AK956" s="1344"/>
      <c r="AL956" s="1344"/>
      <c r="AM956" s="1344"/>
      <c r="AN956" s="1344"/>
      <c r="AO956" s="1344"/>
      <c r="AP956" s="1344"/>
      <c r="AQ956" s="1345"/>
      <c r="AR956" s="43"/>
      <c r="AS956" s="43"/>
      <c r="AT956" s="43"/>
      <c r="AU956" s="43"/>
      <c r="AV956" s="43"/>
      <c r="AW956" s="43"/>
      <c r="AX956" s="43"/>
      <c r="AY956" s="43"/>
      <c r="AZ956" s="43"/>
      <c r="BA956" s="43"/>
      <c r="BB956" s="43"/>
      <c r="BC956" s="43"/>
      <c r="BD956" s="43"/>
      <c r="BE956" s="43"/>
      <c r="BF956" s="43"/>
      <c r="BG956" s="43"/>
      <c r="BH956" s="43"/>
      <c r="BI956" s="43"/>
      <c r="BJ956" s="43"/>
      <c r="BK956" s="43"/>
      <c r="BL956" s="43"/>
      <c r="BM956" s="43"/>
      <c r="BN956" s="43"/>
      <c r="BO956" s="43"/>
      <c r="BP956" s="43"/>
      <c r="BQ956" s="43"/>
      <c r="BR956" s="43"/>
      <c r="BS956" s="43"/>
      <c r="BT956" s="43"/>
      <c r="BU956" s="43"/>
      <c r="BV956" s="43"/>
      <c r="BW956" s="43"/>
      <c r="BX956" s="43"/>
      <c r="BY956" s="43"/>
      <c r="BZ956" s="43"/>
      <c r="CA956" s="43"/>
      <c r="CB956" s="43"/>
      <c r="CC956" s="43"/>
      <c r="CD956" s="43"/>
      <c r="CE956" s="43"/>
      <c r="CF956" s="43"/>
      <c r="CG956" s="43"/>
      <c r="CH956" s="43"/>
      <c r="CI956" s="43"/>
      <c r="CJ956" s="43"/>
      <c r="CK956" s="43"/>
      <c r="CL956" s="43"/>
      <c r="CM956" s="43"/>
      <c r="CN956" s="43"/>
      <c r="CO956" s="43"/>
      <c r="CP956" s="43"/>
      <c r="CQ956" s="43"/>
      <c r="CR956" s="43"/>
      <c r="CS956" s="43"/>
    </row>
    <row r="957" spans="1:97" ht="12.95" customHeight="1">
      <c r="A957" s="21"/>
      <c r="B957" s="79"/>
      <c r="C957" s="563"/>
      <c r="D957" s="1352" t="s">
        <v>1984</v>
      </c>
      <c r="E957" s="1353"/>
      <c r="F957" s="1353"/>
      <c r="G957" s="1353"/>
      <c r="H957" s="1353"/>
      <c r="I957" s="1353"/>
      <c r="J957" s="1353"/>
      <c r="K957" s="1353"/>
      <c r="L957" s="1353"/>
      <c r="M957" s="1353"/>
      <c r="N957" s="1353"/>
      <c r="O957" s="1353"/>
      <c r="P957" s="1353"/>
      <c r="Q957" s="1353"/>
      <c r="R957" s="1353"/>
      <c r="S957" s="1353"/>
      <c r="T957" s="1353"/>
      <c r="U957" s="1353"/>
      <c r="V957" s="1353"/>
      <c r="W957" s="1353"/>
      <c r="X957" s="1353"/>
      <c r="Y957" s="1353"/>
      <c r="Z957" s="1353"/>
      <c r="AA957" s="1353"/>
      <c r="AB957" s="1353"/>
      <c r="AC957" s="1353"/>
      <c r="AD957" s="1353"/>
      <c r="AE957" s="1354"/>
      <c r="AF957" s="79"/>
      <c r="AI957" s="21"/>
      <c r="AJ957" s="1349"/>
      <c r="AK957" s="1350"/>
      <c r="AL957" s="1350"/>
      <c r="AM957" s="1350"/>
      <c r="AN957" s="1350"/>
      <c r="AO957" s="1350"/>
      <c r="AP957" s="1350"/>
      <c r="AQ957" s="1351"/>
      <c r="AR957" s="43"/>
      <c r="AS957" s="43"/>
      <c r="AT957" s="43"/>
      <c r="AU957" s="43"/>
      <c r="AV957" s="43"/>
      <c r="AW957" s="43"/>
      <c r="AX957" s="43"/>
      <c r="AY957" s="43"/>
      <c r="AZ957" s="43"/>
      <c r="BA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row>
    <row r="958" spans="1:97" ht="12.95" customHeight="1">
      <c r="A958" s="21"/>
      <c r="B958" s="872"/>
      <c r="C958" s="873"/>
      <c r="D958" s="1355"/>
      <c r="E958" s="1356"/>
      <c r="F958" s="1356"/>
      <c r="G958" s="1356"/>
      <c r="H958" s="1356"/>
      <c r="I958" s="1356"/>
      <c r="J958" s="1356"/>
      <c r="K958" s="1356"/>
      <c r="L958" s="1356"/>
      <c r="M958" s="1356"/>
      <c r="N958" s="1356"/>
      <c r="O958" s="1356"/>
      <c r="P958" s="1356"/>
      <c r="Q958" s="1356"/>
      <c r="R958" s="1356"/>
      <c r="S958" s="1356"/>
      <c r="T958" s="1356"/>
      <c r="U958" s="1356"/>
      <c r="V958" s="1356"/>
      <c r="W958" s="1356"/>
      <c r="X958" s="1356"/>
      <c r="Y958" s="1356"/>
      <c r="Z958" s="1356"/>
      <c r="AA958" s="1356"/>
      <c r="AB958" s="1356"/>
      <c r="AC958" s="1356"/>
      <c r="AD958" s="1356"/>
      <c r="AE958" s="1357"/>
      <c r="AF958" s="80"/>
      <c r="AG958" s="11"/>
      <c r="AH958" s="11"/>
      <c r="AI958" s="81"/>
      <c r="AJ958" s="1346"/>
      <c r="AK958" s="1347"/>
      <c r="AL958" s="1347"/>
      <c r="AM958" s="1347"/>
      <c r="AN958" s="1347"/>
      <c r="AO958" s="1347"/>
      <c r="AP958" s="1347"/>
      <c r="AQ958" s="1348"/>
      <c r="AR958" s="43"/>
      <c r="AS958" s="43"/>
      <c r="AT958" s="43"/>
      <c r="AU958" s="43"/>
      <c r="AV958" s="43"/>
      <c r="AW958" s="43"/>
      <c r="AX958" s="43"/>
      <c r="AY958" s="43"/>
      <c r="AZ958" s="43"/>
      <c r="BA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row>
    <row r="959" spans="1:97" ht="12.95" customHeight="1">
      <c r="A959" s="21"/>
      <c r="B959" s="82"/>
      <c r="C959" s="562" t="s">
        <v>631</v>
      </c>
      <c r="D959" s="1366" t="s">
        <v>1985</v>
      </c>
      <c r="E959" s="1367"/>
      <c r="F959" s="1367"/>
      <c r="G959" s="1367"/>
      <c r="H959" s="1367"/>
      <c r="I959" s="1367"/>
      <c r="J959" s="1367"/>
      <c r="K959" s="1367"/>
      <c r="L959" s="1367"/>
      <c r="M959" s="1367"/>
      <c r="N959" s="1367"/>
      <c r="O959" s="1367"/>
      <c r="P959" s="1367"/>
      <c r="Q959" s="1367"/>
      <c r="R959" s="1367"/>
      <c r="S959" s="1367"/>
      <c r="T959" s="1367"/>
      <c r="U959" s="1367"/>
      <c r="V959" s="1367"/>
      <c r="W959" s="1367"/>
      <c r="X959" s="1367"/>
      <c r="Y959" s="1367"/>
      <c r="Z959" s="1367"/>
      <c r="AA959" s="1367"/>
      <c r="AB959" s="1367"/>
      <c r="AC959" s="1367"/>
      <c r="AD959" s="1367"/>
      <c r="AE959" s="1368"/>
      <c r="AF959" s="82"/>
      <c r="AG959" s="1341" t="s">
        <v>510</v>
      </c>
      <c r="AH959" s="1342"/>
      <c r="AI959" s="85"/>
      <c r="AJ959" s="1343">
        <f>IF(AG959="yes",AJ939*AY918,0)</f>
        <v>0</v>
      </c>
      <c r="AK959" s="1344"/>
      <c r="AL959" s="1344"/>
      <c r="AM959" s="1344"/>
      <c r="AN959" s="1344"/>
      <c r="AO959" s="1344"/>
      <c r="AP959" s="1344"/>
      <c r="AQ959" s="1345"/>
      <c r="AR959" s="43"/>
      <c r="AS959" s="43"/>
      <c r="AT959" s="43"/>
      <c r="AU959" s="43"/>
      <c r="AV959" s="43"/>
      <c r="AW959" s="43"/>
      <c r="AX959" s="43"/>
      <c r="AY959" s="43"/>
      <c r="AZ959" s="43"/>
      <c r="BA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row>
    <row r="960" spans="1:97" ht="12.95" customHeight="1">
      <c r="A960" s="21"/>
      <c r="B960" s="79"/>
      <c r="C960" s="563"/>
      <c r="D960" s="1352" t="s">
        <v>2095</v>
      </c>
      <c r="E960" s="1353"/>
      <c r="F960" s="1353"/>
      <c r="G960" s="1353"/>
      <c r="H960" s="1353"/>
      <c r="I960" s="1353"/>
      <c r="J960" s="1353"/>
      <c r="K960" s="1353"/>
      <c r="L960" s="1353"/>
      <c r="M960" s="1353"/>
      <c r="N960" s="1353"/>
      <c r="O960" s="1353"/>
      <c r="P960" s="1353"/>
      <c r="Q960" s="1353"/>
      <c r="R960" s="1353"/>
      <c r="S960" s="1353"/>
      <c r="T960" s="1353"/>
      <c r="U960" s="1353"/>
      <c r="V960" s="1353"/>
      <c r="W960" s="1353"/>
      <c r="X960" s="1353"/>
      <c r="Y960" s="1353"/>
      <c r="Z960" s="1353"/>
      <c r="AA960" s="1353"/>
      <c r="AB960" s="1353"/>
      <c r="AC960" s="1353"/>
      <c r="AD960" s="1353"/>
      <c r="AE960" s="1354"/>
      <c r="AF960" s="79"/>
      <c r="AG960" s="21"/>
      <c r="AH960" s="21"/>
      <c r="AI960" s="83"/>
      <c r="AJ960" s="1349"/>
      <c r="AK960" s="1350"/>
      <c r="AL960" s="1350"/>
      <c r="AM960" s="1350"/>
      <c r="AN960" s="1350"/>
      <c r="AO960" s="1350"/>
      <c r="AP960" s="1350"/>
      <c r="AQ960" s="1351"/>
      <c r="AR960" s="43"/>
      <c r="AS960" s="43"/>
      <c r="AT960" s="43"/>
      <c r="AU960" s="43"/>
      <c r="AV960" s="43"/>
      <c r="AW960" s="43"/>
      <c r="AX960" s="43"/>
      <c r="AY960" s="43"/>
      <c r="AZ960" s="43"/>
      <c r="BA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row>
    <row r="961" spans="1:97" ht="12.95" customHeight="1">
      <c r="A961" s="21"/>
      <c r="B961" s="79"/>
      <c r="C961" s="563"/>
      <c r="D961" s="1352"/>
      <c r="E961" s="1353"/>
      <c r="F961" s="1353"/>
      <c r="G961" s="1353"/>
      <c r="H961" s="1353"/>
      <c r="I961" s="1353"/>
      <c r="J961" s="1353"/>
      <c r="K961" s="1353"/>
      <c r="L961" s="1353"/>
      <c r="M961" s="1353"/>
      <c r="N961" s="1353"/>
      <c r="O961" s="1353"/>
      <c r="P961" s="1353"/>
      <c r="Q961" s="1353"/>
      <c r="R961" s="1353"/>
      <c r="S961" s="1353"/>
      <c r="T961" s="1353"/>
      <c r="U961" s="1353"/>
      <c r="V961" s="1353"/>
      <c r="W961" s="1353"/>
      <c r="X961" s="1353"/>
      <c r="Y961" s="1353"/>
      <c r="Z961" s="1353"/>
      <c r="AA961" s="1353"/>
      <c r="AB961" s="1353"/>
      <c r="AC961" s="1353"/>
      <c r="AD961" s="1353"/>
      <c r="AE961" s="1354"/>
      <c r="AF961" s="79"/>
      <c r="AG961" s="21"/>
      <c r="AH961" s="21"/>
      <c r="AI961" s="83"/>
      <c r="AJ961" s="1349"/>
      <c r="AK961" s="1350"/>
      <c r="AL961" s="1350"/>
      <c r="AM961" s="1350"/>
      <c r="AN961" s="1350"/>
      <c r="AO961" s="1350"/>
      <c r="AP961" s="1350"/>
      <c r="AQ961" s="1351"/>
      <c r="AR961" s="43"/>
      <c r="AS961" s="43"/>
      <c r="AT961" s="43"/>
      <c r="AU961" s="43"/>
      <c r="AV961" s="43"/>
      <c r="AW961" s="43"/>
      <c r="AX961" s="43"/>
      <c r="AY961" s="43"/>
      <c r="AZ961" s="43"/>
      <c r="BA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row>
    <row r="962" spans="1:97" ht="12.95" customHeight="1">
      <c r="A962" s="21"/>
      <c r="B962" s="875"/>
      <c r="C962" s="871"/>
      <c r="D962" s="1355"/>
      <c r="E962" s="1356"/>
      <c r="F962" s="1356"/>
      <c r="G962" s="1356"/>
      <c r="H962" s="1356"/>
      <c r="I962" s="1356"/>
      <c r="J962" s="1356"/>
      <c r="K962" s="1356"/>
      <c r="L962" s="1356"/>
      <c r="M962" s="1356"/>
      <c r="N962" s="1356"/>
      <c r="O962" s="1356"/>
      <c r="P962" s="1356"/>
      <c r="Q962" s="1356"/>
      <c r="R962" s="1356"/>
      <c r="S962" s="1356"/>
      <c r="T962" s="1356"/>
      <c r="U962" s="1356"/>
      <c r="V962" s="1356"/>
      <c r="W962" s="1356"/>
      <c r="X962" s="1356"/>
      <c r="Y962" s="1356"/>
      <c r="Z962" s="1356"/>
      <c r="AA962" s="1356"/>
      <c r="AB962" s="1356"/>
      <c r="AC962" s="1356"/>
      <c r="AD962" s="1356"/>
      <c r="AE962" s="1357"/>
      <c r="AF962" s="80"/>
      <c r="AG962" s="11"/>
      <c r="AH962" s="11"/>
      <c r="AI962" s="81"/>
      <c r="AJ962" s="1346"/>
      <c r="AK962" s="1347"/>
      <c r="AL962" s="1347"/>
      <c r="AM962" s="1347"/>
      <c r="AN962" s="1347"/>
      <c r="AO962" s="1347"/>
      <c r="AP962" s="1347"/>
      <c r="AQ962" s="1348"/>
      <c r="AR962" s="43"/>
      <c r="AS962" s="43"/>
      <c r="AT962" s="43"/>
      <c r="AU962" s="43"/>
      <c r="AV962" s="43"/>
      <c r="AW962" s="43"/>
      <c r="AX962" s="43"/>
      <c r="AY962" s="43"/>
      <c r="AZ962" s="43"/>
      <c r="BA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row>
    <row r="963" spans="1:97" ht="12.95" customHeight="1">
      <c r="A963" s="21"/>
      <c r="B963" s="82"/>
      <c r="C963" s="562" t="s">
        <v>636</v>
      </c>
      <c r="D963" s="1537" t="s">
        <v>1986</v>
      </c>
      <c r="E963" s="1538"/>
      <c r="F963" s="1538"/>
      <c r="G963" s="1538"/>
      <c r="H963" s="1538"/>
      <c r="I963" s="1538"/>
      <c r="J963" s="1538"/>
      <c r="K963" s="1538"/>
      <c r="L963" s="1538"/>
      <c r="M963" s="1538"/>
      <c r="N963" s="1538"/>
      <c r="O963" s="1538"/>
      <c r="P963" s="1538"/>
      <c r="Q963" s="1538"/>
      <c r="R963" s="1538"/>
      <c r="S963" s="1538"/>
      <c r="T963" s="1538"/>
      <c r="U963" s="1538"/>
      <c r="V963" s="1538"/>
      <c r="W963" s="1538"/>
      <c r="X963" s="1538"/>
      <c r="Y963" s="1538"/>
      <c r="Z963" s="1538"/>
      <c r="AA963" s="1538"/>
      <c r="AB963" s="1538"/>
      <c r="AC963" s="1538"/>
      <c r="AD963" s="1538"/>
      <c r="AE963" s="1539"/>
      <c r="AF963" s="82"/>
      <c r="AG963" s="1341" t="s">
        <v>510</v>
      </c>
      <c r="AH963" s="1342"/>
      <c r="AI963" s="85"/>
      <c r="AJ963" s="1343">
        <f>ROUND(IF(AND(AG963="Yes",J967&lt;&gt;"",J967&lt;&gt;"N/A"),MIN(AF966,(0.15*AJ939)),0),0)</f>
        <v>0</v>
      </c>
      <c r="AK963" s="1344"/>
      <c r="AL963" s="1344"/>
      <c r="AM963" s="1344"/>
      <c r="AN963" s="1344"/>
      <c r="AO963" s="1344"/>
      <c r="AP963" s="1344"/>
      <c r="AQ963" s="1345"/>
      <c r="AR963" s="43"/>
      <c r="AS963" s="43"/>
      <c r="AT963" s="43"/>
      <c r="AU963" s="43"/>
      <c r="AV963" s="43"/>
      <c r="AW963" s="43"/>
      <c r="AX963" s="43"/>
      <c r="AY963" s="43"/>
      <c r="AZ963" s="43"/>
      <c r="BA963" s="43"/>
      <c r="BB963" s="43"/>
      <c r="BC963" s="43"/>
      <c r="BD963" s="43"/>
      <c r="BE963" s="43"/>
      <c r="BF963" s="43"/>
      <c r="BG963" s="43"/>
      <c r="BH963" s="43"/>
      <c r="BI963" s="43"/>
      <c r="BJ963" s="43"/>
      <c r="BK963" s="43"/>
      <c r="BL963" s="43"/>
      <c r="BM963" s="43"/>
      <c r="BN963" s="43"/>
      <c r="BO963" s="43"/>
      <c r="BP963" s="43"/>
      <c r="BQ963" s="43"/>
      <c r="BR963" s="43"/>
      <c r="BS963" s="43"/>
      <c r="BT963" s="43"/>
      <c r="BU963" s="43"/>
      <c r="BV963" s="43"/>
      <c r="BW963" s="43"/>
      <c r="BX963" s="43"/>
      <c r="BY963" s="43"/>
      <c r="BZ963" s="43"/>
      <c r="CA963" s="43"/>
      <c r="CB963" s="43"/>
      <c r="CC963" s="43"/>
      <c r="CD963" s="43"/>
      <c r="CE963" s="43"/>
      <c r="CF963" s="43"/>
      <c r="CG963" s="43"/>
      <c r="CH963" s="43"/>
      <c r="CI963" s="43"/>
      <c r="CJ963" s="43"/>
      <c r="CK963" s="43"/>
      <c r="CL963" s="43"/>
      <c r="CM963" s="43"/>
      <c r="CN963" s="43"/>
      <c r="CO963" s="43"/>
      <c r="CP963" s="43"/>
      <c r="CQ963" s="43"/>
      <c r="CR963" s="43"/>
      <c r="CS963" s="43"/>
    </row>
    <row r="964" spans="1:97" ht="12.95" customHeight="1">
      <c r="A964" s="21"/>
      <c r="B964" s="875"/>
      <c r="C964" s="876"/>
      <c r="D964" s="1540"/>
      <c r="E964" s="1541"/>
      <c r="F964" s="1541"/>
      <c r="G964" s="1541"/>
      <c r="H964" s="1541"/>
      <c r="I964" s="1541"/>
      <c r="J964" s="1541"/>
      <c r="K964" s="1541"/>
      <c r="L964" s="1541"/>
      <c r="M964" s="1541"/>
      <c r="N964" s="1541"/>
      <c r="O964" s="1541"/>
      <c r="P964" s="1541"/>
      <c r="Q964" s="1541"/>
      <c r="R964" s="1541"/>
      <c r="S964" s="1541"/>
      <c r="T964" s="1541"/>
      <c r="U964" s="1541"/>
      <c r="V964" s="1541"/>
      <c r="W964" s="1541"/>
      <c r="X964" s="1541"/>
      <c r="Y964" s="1541"/>
      <c r="Z964" s="1541"/>
      <c r="AA964" s="1541"/>
      <c r="AB964" s="1541"/>
      <c r="AC964" s="1541"/>
      <c r="AD964" s="1541"/>
      <c r="AE964" s="1542"/>
      <c r="AF964" s="1158" t="str">
        <f>IF(AG963="yes","Please Select Type and Enter Amount:","")</f>
        <v/>
      </c>
      <c r="AG964" s="1159"/>
      <c r="AH964" s="1159"/>
      <c r="AI964" s="1160"/>
      <c r="AJ964" s="1349"/>
      <c r="AK964" s="1350"/>
      <c r="AL964" s="1350"/>
      <c r="AM964" s="1350"/>
      <c r="AN964" s="1350"/>
      <c r="AO964" s="1350"/>
      <c r="AP964" s="1350"/>
      <c r="AQ964" s="1351"/>
      <c r="AR964" s="43"/>
      <c r="AS964" s="43"/>
      <c r="AT964" s="43"/>
      <c r="AU964" s="43"/>
      <c r="AV964" s="43"/>
      <c r="AW964" s="43"/>
      <c r="AX964" s="43"/>
      <c r="AY964" s="43"/>
      <c r="AZ964" s="43"/>
      <c r="BA964" s="43"/>
      <c r="BB964" s="43"/>
      <c r="BC964" s="43"/>
      <c r="BD964" s="43"/>
      <c r="BE964" s="43"/>
      <c r="BF964" s="43"/>
      <c r="BG964" s="43"/>
      <c r="BH964" s="43"/>
      <c r="BI964" s="43"/>
      <c r="BJ964" s="43"/>
      <c r="BK964" s="43"/>
      <c r="BL964" s="43"/>
      <c r="BM964" s="43"/>
      <c r="BN964" s="43"/>
      <c r="BO964" s="43"/>
      <c r="BP964" s="43"/>
      <c r="BQ964" s="43"/>
      <c r="BR964" s="43"/>
      <c r="BS964" s="43"/>
      <c r="BT964" s="43"/>
      <c r="BU964" s="43"/>
      <c r="BV964" s="43"/>
      <c r="BW964" s="43"/>
      <c r="BX964" s="43"/>
      <c r="BY964" s="43"/>
      <c r="BZ964" s="43"/>
      <c r="CA964" s="43"/>
      <c r="CB964" s="43"/>
      <c r="CC964" s="43"/>
      <c r="CD964" s="43"/>
      <c r="CE964" s="43"/>
      <c r="CF964" s="43"/>
      <c r="CG964" s="43"/>
      <c r="CH964" s="43"/>
      <c r="CI964" s="43"/>
      <c r="CJ964" s="43"/>
      <c r="CK964" s="43"/>
      <c r="CL964" s="43"/>
      <c r="CM964" s="43"/>
      <c r="CN964" s="43"/>
      <c r="CO964" s="43"/>
      <c r="CP964" s="43"/>
      <c r="CQ964" s="43"/>
      <c r="CR964" s="43"/>
      <c r="CS964" s="43"/>
    </row>
    <row r="965" spans="1:97" ht="12.95" customHeight="1">
      <c r="A965" s="21"/>
      <c r="B965" s="875"/>
      <c r="C965" s="876"/>
      <c r="D965" s="1352" t="s">
        <v>1987</v>
      </c>
      <c r="E965" s="1353"/>
      <c r="F965" s="1353"/>
      <c r="G965" s="1353"/>
      <c r="H965" s="1353"/>
      <c r="I965" s="1353"/>
      <c r="J965" s="1353"/>
      <c r="K965" s="1353"/>
      <c r="L965" s="1353"/>
      <c r="M965" s="1353"/>
      <c r="N965" s="1353"/>
      <c r="O965" s="1353"/>
      <c r="P965" s="1353"/>
      <c r="Q965" s="1353"/>
      <c r="R965" s="1353"/>
      <c r="S965" s="1353"/>
      <c r="T965" s="1353"/>
      <c r="U965" s="1353"/>
      <c r="V965" s="1353"/>
      <c r="W965" s="1353"/>
      <c r="X965" s="1353"/>
      <c r="Y965" s="1353"/>
      <c r="Z965" s="1353"/>
      <c r="AA965" s="1353"/>
      <c r="AB965" s="1353"/>
      <c r="AC965" s="1353"/>
      <c r="AD965" s="1353"/>
      <c r="AE965" s="1354"/>
      <c r="AF965" s="1158"/>
      <c r="AG965" s="1159"/>
      <c r="AH965" s="1159"/>
      <c r="AI965" s="1160"/>
      <c r="AJ965" s="1349"/>
      <c r="AK965" s="1350"/>
      <c r="AL965" s="1350"/>
      <c r="AM965" s="1350"/>
      <c r="AN965" s="1350"/>
      <c r="AO965" s="1350"/>
      <c r="AP965" s="1350"/>
      <c r="AQ965" s="1351"/>
      <c r="AR965" s="43"/>
      <c r="AS965" s="43"/>
      <c r="AT965" s="43"/>
      <c r="AU965" s="43"/>
      <c r="AV965" s="43"/>
      <c r="AW965" s="43"/>
      <c r="AX965" s="43"/>
      <c r="AY965" s="43"/>
      <c r="AZ965" s="43"/>
      <c r="BA965" s="43"/>
      <c r="BB965" s="43"/>
      <c r="BC965" s="43"/>
      <c r="BD965" s="43"/>
      <c r="BE965" s="43"/>
      <c r="BF965" s="43"/>
      <c r="BG965" s="43"/>
      <c r="BH965" s="43"/>
      <c r="BI965" s="43"/>
      <c r="BJ965" s="43"/>
      <c r="BK965" s="43"/>
      <c r="BL965" s="43"/>
      <c r="BM965" s="43"/>
      <c r="BN965" s="43"/>
      <c r="BO965" s="43"/>
      <c r="BP965" s="43"/>
      <c r="BQ965" s="43"/>
      <c r="BR965" s="43"/>
      <c r="BS965" s="43"/>
      <c r="BT965" s="43"/>
      <c r="BU965" s="43"/>
      <c r="BV965" s="43"/>
      <c r="BW965" s="43"/>
      <c r="BX965" s="43"/>
      <c r="BY965" s="43"/>
      <c r="BZ965" s="43"/>
      <c r="CA965" s="43"/>
      <c r="CB965" s="43"/>
      <c r="CC965" s="43"/>
      <c r="CD965" s="43"/>
      <c r="CE965" s="43"/>
      <c r="CF965" s="43"/>
      <c r="CG965" s="43"/>
      <c r="CH965" s="43"/>
      <c r="CI965" s="43"/>
      <c r="CJ965" s="43"/>
      <c r="CK965" s="43"/>
      <c r="CL965" s="43"/>
      <c r="CM965" s="43"/>
      <c r="CN965" s="43"/>
      <c r="CO965" s="43"/>
      <c r="CP965" s="43"/>
      <c r="CQ965" s="43"/>
      <c r="CR965" s="43"/>
      <c r="CS965" s="43"/>
    </row>
    <row r="966" spans="1:97" ht="12.95" customHeight="1">
      <c r="A966" s="21"/>
      <c r="B966" s="875"/>
      <c r="C966" s="876"/>
      <c r="D966" s="1352"/>
      <c r="E966" s="1353"/>
      <c r="F966" s="1353"/>
      <c r="G966" s="1353"/>
      <c r="H966" s="1353"/>
      <c r="I966" s="1353"/>
      <c r="J966" s="1353"/>
      <c r="K966" s="1353"/>
      <c r="L966" s="1353"/>
      <c r="M966" s="1353"/>
      <c r="N966" s="1353"/>
      <c r="O966" s="1353"/>
      <c r="P966" s="1353"/>
      <c r="Q966" s="1353"/>
      <c r="R966" s="1353"/>
      <c r="S966" s="1353"/>
      <c r="T966" s="1353"/>
      <c r="U966" s="1353"/>
      <c r="V966" s="1353"/>
      <c r="W966" s="1353"/>
      <c r="X966" s="1353"/>
      <c r="Y966" s="1353"/>
      <c r="Z966" s="1353"/>
      <c r="AA966" s="1353"/>
      <c r="AB966" s="1353"/>
      <c r="AC966" s="1353"/>
      <c r="AD966" s="1353"/>
      <c r="AE966" s="1354"/>
      <c r="AF966" s="1161"/>
      <c r="AG966" s="1161"/>
      <c r="AH966" s="1161"/>
      <c r="AI966" s="1161"/>
      <c r="AJ966" s="1349"/>
      <c r="AK966" s="1350"/>
      <c r="AL966" s="1350"/>
      <c r="AM966" s="1350"/>
      <c r="AN966" s="1350"/>
      <c r="AO966" s="1350"/>
      <c r="AP966" s="1350"/>
      <c r="AQ966" s="1351"/>
      <c r="AR966" s="43"/>
      <c r="AS966" s="43"/>
      <c r="AT966" s="43"/>
      <c r="AU966" s="43"/>
      <c r="AV966" s="43"/>
      <c r="AW966" s="43"/>
      <c r="AX966" s="43"/>
      <c r="AY966" s="43"/>
      <c r="AZ966" s="43"/>
      <c r="BA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row>
    <row r="967" spans="1:97" ht="12.95" customHeight="1">
      <c r="A967" s="21"/>
      <c r="B967" s="875"/>
      <c r="C967" s="876"/>
      <c r="D967" s="877" t="s">
        <v>923</v>
      </c>
      <c r="E967" s="88"/>
      <c r="F967" s="88"/>
      <c r="G967" s="414"/>
      <c r="H967" s="414"/>
      <c r="I967" s="55"/>
      <c r="J967" s="1543" t="s">
        <v>132</v>
      </c>
      <c r="K967" s="1544"/>
      <c r="L967" s="1544"/>
      <c r="M967" s="1544"/>
      <c r="N967" s="1544"/>
      <c r="O967" s="1544"/>
      <c r="P967" s="1544"/>
      <c r="Q967" s="1544"/>
      <c r="R967" s="1544"/>
      <c r="S967" s="1544"/>
      <c r="T967" s="1544"/>
      <c r="U967" s="1544"/>
      <c r="V967" s="1544"/>
      <c r="W967" s="1544"/>
      <c r="X967" s="1544"/>
      <c r="Y967" s="1544"/>
      <c r="Z967" s="1544"/>
      <c r="AA967" s="1544"/>
      <c r="AB967" s="1544"/>
      <c r="AC967" s="1544"/>
      <c r="AD967" s="1544"/>
      <c r="AE967" s="1545"/>
      <c r="AF967" s="1161"/>
      <c r="AG967" s="1161"/>
      <c r="AH967" s="1161"/>
      <c r="AI967" s="1161"/>
      <c r="AJ967" s="1346"/>
      <c r="AK967" s="1347"/>
      <c r="AL967" s="1347"/>
      <c r="AM967" s="1347"/>
      <c r="AN967" s="1347"/>
      <c r="AO967" s="1347"/>
      <c r="AP967" s="1347"/>
      <c r="AQ967" s="1348"/>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row>
    <row r="968" spans="1:97" ht="12.95" customHeight="1">
      <c r="A968" s="21"/>
      <c r="B968" s="82"/>
      <c r="C968" s="562" t="s">
        <v>603</v>
      </c>
      <c r="D968" s="1339" t="s">
        <v>1988</v>
      </c>
      <c r="E968" s="1139"/>
      <c r="F968" s="1139"/>
      <c r="G968" s="1139"/>
      <c r="H968" s="1139"/>
      <c r="I968" s="1139"/>
      <c r="J968" s="1139"/>
      <c r="K968" s="1139"/>
      <c r="L968" s="1139"/>
      <c r="M968" s="1139"/>
      <c r="N968" s="1139"/>
      <c r="O968" s="1139"/>
      <c r="P968" s="1139"/>
      <c r="Q968" s="1139"/>
      <c r="R968" s="1139"/>
      <c r="S968" s="1139"/>
      <c r="T968" s="1139"/>
      <c r="U968" s="1139"/>
      <c r="V968" s="1139"/>
      <c r="W968" s="1139"/>
      <c r="X968" s="1139"/>
      <c r="Y968" s="1139"/>
      <c r="Z968" s="1139"/>
      <c r="AA968" s="1139"/>
      <c r="AB968" s="1139"/>
      <c r="AC968" s="1139"/>
      <c r="AD968" s="1139"/>
      <c r="AE968" s="1340"/>
      <c r="AF968" s="82"/>
      <c r="AG968" s="1341" t="s">
        <v>116</v>
      </c>
      <c r="AH968" s="1342"/>
      <c r="AI968" s="85"/>
      <c r="AJ968" s="1343">
        <f>ROUND(IF(AG968="Yes",AF970,0),0)</f>
        <v>391107</v>
      </c>
      <c r="AK968" s="1344"/>
      <c r="AL968" s="1344"/>
      <c r="AM968" s="1344"/>
      <c r="AN968" s="1344"/>
      <c r="AO968" s="1344"/>
      <c r="AP968" s="1344"/>
      <c r="AQ968" s="1345"/>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row>
    <row r="969" spans="1:97" ht="12.95" customHeight="1">
      <c r="A969" s="21"/>
      <c r="B969" s="79"/>
      <c r="C969" s="563"/>
      <c r="D969" s="1352" t="s">
        <v>2096</v>
      </c>
      <c r="E969" s="1353"/>
      <c r="F969" s="1353"/>
      <c r="G969" s="1353"/>
      <c r="H969" s="1353"/>
      <c r="I969" s="1353"/>
      <c r="J969" s="1353"/>
      <c r="K969" s="1353"/>
      <c r="L969" s="1353"/>
      <c r="M969" s="1353"/>
      <c r="N969" s="1353"/>
      <c r="O969" s="1353"/>
      <c r="P969" s="1353"/>
      <c r="Q969" s="1353"/>
      <c r="R969" s="1353"/>
      <c r="S969" s="1353"/>
      <c r="T969" s="1353"/>
      <c r="U969" s="1353"/>
      <c r="V969" s="1353"/>
      <c r="W969" s="1353"/>
      <c r="X969" s="1353"/>
      <c r="Y969" s="1353"/>
      <c r="Z969" s="1353"/>
      <c r="AA969" s="1353"/>
      <c r="AB969" s="1353"/>
      <c r="AC969" s="1353"/>
      <c r="AD969" s="1353"/>
      <c r="AE969" s="1354"/>
      <c r="AF969" s="1162" t="str">
        <f>IF(AG968="yes","Please Enter Amount:","")</f>
        <v>Please Enter Amount:</v>
      </c>
      <c r="AG969" s="1163"/>
      <c r="AH969" s="1163"/>
      <c r="AI969" s="1164"/>
      <c r="AJ969" s="1349"/>
      <c r="AK969" s="1350"/>
      <c r="AL969" s="1350"/>
      <c r="AM969" s="1350"/>
      <c r="AN969" s="1350"/>
      <c r="AO969" s="1350"/>
      <c r="AP969" s="1350"/>
      <c r="AQ969" s="1351"/>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row>
    <row r="970" spans="1:97" ht="12.95" customHeight="1">
      <c r="A970" s="21"/>
      <c r="B970" s="79"/>
      <c r="C970" s="563"/>
      <c r="D970" s="1352"/>
      <c r="E970" s="1353"/>
      <c r="F970" s="1353"/>
      <c r="G970" s="1353"/>
      <c r="H970" s="1353"/>
      <c r="I970" s="1353"/>
      <c r="J970" s="1353"/>
      <c r="K970" s="1353"/>
      <c r="L970" s="1353"/>
      <c r="M970" s="1353"/>
      <c r="N970" s="1353"/>
      <c r="O970" s="1353"/>
      <c r="P970" s="1353"/>
      <c r="Q970" s="1353"/>
      <c r="R970" s="1353"/>
      <c r="S970" s="1353"/>
      <c r="T970" s="1353"/>
      <c r="U970" s="1353"/>
      <c r="V970" s="1353"/>
      <c r="W970" s="1353"/>
      <c r="X970" s="1353"/>
      <c r="Y970" s="1353"/>
      <c r="Z970" s="1353"/>
      <c r="AA970" s="1353"/>
      <c r="AB970" s="1353"/>
      <c r="AC970" s="1353"/>
      <c r="AD970" s="1353"/>
      <c r="AE970" s="1354"/>
      <c r="AF970" s="1161">
        <f>'Sources and Uses Budget'!C84</f>
        <v>391107</v>
      </c>
      <c r="AG970" s="1161"/>
      <c r="AH970" s="1161"/>
      <c r="AI970" s="1161"/>
      <c r="AJ970" s="1349"/>
      <c r="AK970" s="1350"/>
      <c r="AL970" s="1350"/>
      <c r="AM970" s="1350"/>
      <c r="AN970" s="1350"/>
      <c r="AO970" s="1350"/>
      <c r="AP970" s="1350"/>
      <c r="AQ970" s="1351"/>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row>
    <row r="971" spans="1:97" ht="12.95" customHeight="1">
      <c r="A971" s="21"/>
      <c r="B971" s="874"/>
      <c r="C971" s="876"/>
      <c r="D971" s="1355"/>
      <c r="E971" s="1356"/>
      <c r="F971" s="1356"/>
      <c r="G971" s="1356"/>
      <c r="H971" s="1356"/>
      <c r="I971" s="1356"/>
      <c r="J971" s="1356"/>
      <c r="K971" s="1356"/>
      <c r="L971" s="1356"/>
      <c r="M971" s="1356"/>
      <c r="N971" s="1356"/>
      <c r="O971" s="1356"/>
      <c r="P971" s="1356"/>
      <c r="Q971" s="1356"/>
      <c r="R971" s="1356"/>
      <c r="S971" s="1356"/>
      <c r="T971" s="1356"/>
      <c r="U971" s="1356"/>
      <c r="V971" s="1356"/>
      <c r="W971" s="1356"/>
      <c r="X971" s="1356"/>
      <c r="Y971" s="1356"/>
      <c r="Z971" s="1356"/>
      <c r="AA971" s="1356"/>
      <c r="AB971" s="1356"/>
      <c r="AC971" s="1356"/>
      <c r="AD971" s="1356"/>
      <c r="AE971" s="1357"/>
      <c r="AF971" s="1161"/>
      <c r="AG971" s="1161"/>
      <c r="AH971" s="1161"/>
      <c r="AI971" s="1161"/>
      <c r="AJ971" s="1346"/>
      <c r="AK971" s="1347"/>
      <c r="AL971" s="1347"/>
      <c r="AM971" s="1347"/>
      <c r="AN971" s="1347"/>
      <c r="AO971" s="1347"/>
      <c r="AP971" s="1347"/>
      <c r="AQ971" s="1348"/>
    </row>
    <row r="972" spans="1:97" ht="12.95" customHeight="1">
      <c r="A972" s="21"/>
      <c r="B972" s="82"/>
      <c r="C972" s="562" t="s">
        <v>608</v>
      </c>
      <c r="D972" s="1366" t="s">
        <v>1989</v>
      </c>
      <c r="E972" s="1367"/>
      <c r="F972" s="1367"/>
      <c r="G972" s="1367"/>
      <c r="H972" s="1367"/>
      <c r="I972" s="1367"/>
      <c r="J972" s="1367"/>
      <c r="K972" s="1367"/>
      <c r="L972" s="1367"/>
      <c r="M972" s="1367"/>
      <c r="N972" s="1367"/>
      <c r="O972" s="1367"/>
      <c r="P972" s="1367"/>
      <c r="Q972" s="1367"/>
      <c r="R972" s="1367"/>
      <c r="S972" s="1367"/>
      <c r="T972" s="1367"/>
      <c r="U972" s="1367"/>
      <c r="V972" s="1367"/>
      <c r="W972" s="1367"/>
      <c r="X972" s="1367"/>
      <c r="Y972" s="1367"/>
      <c r="Z972" s="1367"/>
      <c r="AA972" s="1367"/>
      <c r="AB972" s="1367"/>
      <c r="AC972" s="1367"/>
      <c r="AD972" s="1367"/>
      <c r="AE972" s="1368"/>
      <c r="AF972" s="82"/>
      <c r="AG972" s="1341" t="s">
        <v>510</v>
      </c>
      <c r="AH972" s="1342"/>
      <c r="AI972" s="85"/>
      <c r="AJ972" s="1343">
        <f>ROUND(IF(AG972="yes",(AJ939*0.1),0),0)</f>
        <v>0</v>
      </c>
      <c r="AK972" s="1344"/>
      <c r="AL972" s="1344"/>
      <c r="AM972" s="1344"/>
      <c r="AN972" s="1344"/>
      <c r="AO972" s="1344"/>
      <c r="AP972" s="1344"/>
      <c r="AQ972" s="1345"/>
    </row>
    <row r="973" spans="1:97" ht="12.95" customHeight="1">
      <c r="A973" s="21"/>
      <c r="B973" s="79"/>
      <c r="C973" s="563"/>
      <c r="D973" s="1352" t="s">
        <v>1990</v>
      </c>
      <c r="E973" s="1353"/>
      <c r="F973" s="1353"/>
      <c r="G973" s="1353"/>
      <c r="H973" s="1353"/>
      <c r="I973" s="1353"/>
      <c r="J973" s="1353"/>
      <c r="K973" s="1353"/>
      <c r="L973" s="1353"/>
      <c r="M973" s="1353"/>
      <c r="N973" s="1353"/>
      <c r="O973" s="1353"/>
      <c r="P973" s="1353"/>
      <c r="Q973" s="1353"/>
      <c r="R973" s="1353"/>
      <c r="S973" s="1353"/>
      <c r="T973" s="1353"/>
      <c r="U973" s="1353"/>
      <c r="V973" s="1353"/>
      <c r="W973" s="1353"/>
      <c r="X973" s="1353"/>
      <c r="Y973" s="1353"/>
      <c r="Z973" s="1353"/>
      <c r="AA973" s="1353"/>
      <c r="AB973" s="1353"/>
      <c r="AC973" s="1353"/>
      <c r="AD973" s="1353"/>
      <c r="AE973" s="1354"/>
      <c r="AF973" s="79"/>
      <c r="AG973" s="21"/>
      <c r="AH973" s="21"/>
      <c r="AI973" s="83"/>
      <c r="AJ973" s="1349"/>
      <c r="AK973" s="1350"/>
      <c r="AL973" s="1350"/>
      <c r="AM973" s="1350"/>
      <c r="AN973" s="1350"/>
      <c r="AO973" s="1350"/>
      <c r="AP973" s="1350"/>
      <c r="AQ973" s="1351"/>
    </row>
    <row r="974" spans="1:97" ht="12.95" customHeight="1">
      <c r="A974" s="561"/>
      <c r="B974" s="80"/>
      <c r="C974" s="563"/>
      <c r="D974" s="1355"/>
      <c r="E974" s="1356"/>
      <c r="F974" s="1356"/>
      <c r="G974" s="1356"/>
      <c r="H974" s="1356"/>
      <c r="I974" s="1356"/>
      <c r="J974" s="1356"/>
      <c r="K974" s="1356"/>
      <c r="L974" s="1356"/>
      <c r="M974" s="1356"/>
      <c r="N974" s="1356"/>
      <c r="O974" s="1356"/>
      <c r="P974" s="1356"/>
      <c r="Q974" s="1356"/>
      <c r="R974" s="1356"/>
      <c r="S974" s="1356"/>
      <c r="T974" s="1356"/>
      <c r="U974" s="1356"/>
      <c r="V974" s="1356"/>
      <c r="W974" s="1356"/>
      <c r="X974" s="1356"/>
      <c r="Y974" s="1356"/>
      <c r="Z974" s="1356"/>
      <c r="AA974" s="1356"/>
      <c r="AB974" s="1356"/>
      <c r="AC974" s="1356"/>
      <c r="AD974" s="1356"/>
      <c r="AE974" s="1357"/>
      <c r="AF974" s="79"/>
      <c r="AG974" s="21"/>
      <c r="AH974" s="21"/>
      <c r="AI974" s="83"/>
      <c r="AJ974" s="1346"/>
      <c r="AK974" s="1347"/>
      <c r="AL974" s="1347"/>
      <c r="AM974" s="1347"/>
      <c r="AN974" s="1347"/>
      <c r="AO974" s="1347"/>
      <c r="AP974" s="1347"/>
      <c r="AQ974" s="1348"/>
    </row>
    <row r="975" spans="1:97" ht="12.95" customHeight="1">
      <c r="A975" s="561"/>
      <c r="B975" s="79"/>
      <c r="C975" s="562" t="s">
        <v>611</v>
      </c>
      <c r="D975" s="1339" t="s">
        <v>2097</v>
      </c>
      <c r="E975" s="1139"/>
      <c r="F975" s="1139"/>
      <c r="G975" s="1139"/>
      <c r="H975" s="1139"/>
      <c r="I975" s="1139"/>
      <c r="J975" s="1139"/>
      <c r="K975" s="1139"/>
      <c r="L975" s="1139"/>
      <c r="M975" s="1139"/>
      <c r="N975" s="1139"/>
      <c r="O975" s="1139"/>
      <c r="P975" s="1139"/>
      <c r="Q975" s="1139"/>
      <c r="R975" s="1139"/>
      <c r="S975" s="1139"/>
      <c r="T975" s="1139"/>
      <c r="U975" s="1139"/>
      <c r="V975" s="1139"/>
      <c r="W975" s="1139"/>
      <c r="X975" s="1139"/>
      <c r="Y975" s="1139"/>
      <c r="Z975" s="1139"/>
      <c r="AA975" s="1139"/>
      <c r="AB975" s="1139"/>
      <c r="AC975" s="1139"/>
      <c r="AD975" s="1139"/>
      <c r="AE975" s="1340"/>
      <c r="AF975" s="82"/>
      <c r="AG975" s="1341" t="s">
        <v>510</v>
      </c>
      <c r="AH975" s="1342"/>
      <c r="AI975" s="85"/>
      <c r="AJ975" s="1343">
        <f>ROUND(IF(AG975="yes",(AJ939*0.15),0),0)</f>
        <v>0</v>
      </c>
      <c r="AK975" s="1344"/>
      <c r="AL975" s="1344"/>
      <c r="AM975" s="1344"/>
      <c r="AN975" s="1344"/>
      <c r="AO975" s="1344"/>
      <c r="AP975" s="1344"/>
      <c r="AQ975" s="1345"/>
    </row>
    <row r="976" spans="1:97" ht="12.95" customHeight="1">
      <c r="A976" s="561"/>
      <c r="B976" s="79"/>
      <c r="C976" s="563"/>
      <c r="D976" s="1532" t="s">
        <v>2098</v>
      </c>
      <c r="E976" s="973"/>
      <c r="F976" s="973"/>
      <c r="G976" s="973"/>
      <c r="H976" s="973"/>
      <c r="I976" s="973"/>
      <c r="J976" s="973"/>
      <c r="K976" s="973"/>
      <c r="L976" s="973"/>
      <c r="M976" s="973"/>
      <c r="N976" s="973"/>
      <c r="O976" s="973"/>
      <c r="P976" s="973"/>
      <c r="Q976" s="973"/>
      <c r="R976" s="973"/>
      <c r="S976" s="973"/>
      <c r="T976" s="973"/>
      <c r="U976" s="973"/>
      <c r="V976" s="973"/>
      <c r="W976" s="973"/>
      <c r="X976" s="973"/>
      <c r="Y976" s="973"/>
      <c r="Z976" s="973"/>
      <c r="AA976" s="973"/>
      <c r="AB976" s="973"/>
      <c r="AC976" s="973"/>
      <c r="AD976" s="973"/>
      <c r="AE976" s="1533"/>
      <c r="AF976" s="878"/>
      <c r="AG976" s="879"/>
      <c r="AH976" s="879"/>
      <c r="AI976" s="880"/>
      <c r="AJ976" s="1349"/>
      <c r="AK976" s="1350"/>
      <c r="AL976" s="1350"/>
      <c r="AM976" s="1350"/>
      <c r="AN976" s="1350"/>
      <c r="AO976" s="1350"/>
      <c r="AP976" s="1350"/>
      <c r="AQ976" s="1351"/>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row>
    <row r="977" spans="1:97" ht="12.95" customHeight="1">
      <c r="A977" s="561"/>
      <c r="B977" s="79"/>
      <c r="C977" s="563"/>
      <c r="D977" s="1532"/>
      <c r="E977" s="973"/>
      <c r="F977" s="973"/>
      <c r="G977" s="973"/>
      <c r="H977" s="973"/>
      <c r="I977" s="973"/>
      <c r="J977" s="973"/>
      <c r="K977" s="973"/>
      <c r="L977" s="973"/>
      <c r="M977" s="973"/>
      <c r="N977" s="973"/>
      <c r="O977" s="973"/>
      <c r="P977" s="973"/>
      <c r="Q977" s="973"/>
      <c r="R977" s="973"/>
      <c r="S977" s="973"/>
      <c r="T977" s="973"/>
      <c r="U977" s="973"/>
      <c r="V977" s="973"/>
      <c r="W977" s="973"/>
      <c r="X977" s="973"/>
      <c r="Y977" s="973"/>
      <c r="Z977" s="973"/>
      <c r="AA977" s="973"/>
      <c r="AB977" s="973"/>
      <c r="AC977" s="973"/>
      <c r="AD977" s="973"/>
      <c r="AE977" s="1533"/>
      <c r="AF977" s="878"/>
      <c r="AG977" s="879"/>
      <c r="AH977" s="879"/>
      <c r="AI977" s="880"/>
      <c r="AJ977" s="1349"/>
      <c r="AK977" s="1350"/>
      <c r="AL977" s="1350"/>
      <c r="AM977" s="1350"/>
      <c r="AN977" s="1350"/>
      <c r="AO977" s="1350"/>
      <c r="AP977" s="1350"/>
      <c r="AQ977" s="1351"/>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row>
    <row r="978" spans="1:97" ht="12.95" customHeight="1">
      <c r="A978" s="561"/>
      <c r="B978" s="79"/>
      <c r="C978" s="563"/>
      <c r="D978" s="1534"/>
      <c r="E978" s="1535"/>
      <c r="F978" s="1535"/>
      <c r="G978" s="1535"/>
      <c r="H978" s="1535"/>
      <c r="I978" s="1535"/>
      <c r="J978" s="1535"/>
      <c r="K978" s="1535"/>
      <c r="L978" s="1535"/>
      <c r="M978" s="1535"/>
      <c r="N978" s="1535"/>
      <c r="O978" s="1535"/>
      <c r="P978" s="1535"/>
      <c r="Q978" s="1535"/>
      <c r="R978" s="1535"/>
      <c r="S978" s="1535"/>
      <c r="T978" s="1535"/>
      <c r="U978" s="1535"/>
      <c r="V978" s="1535"/>
      <c r="W978" s="1535"/>
      <c r="X978" s="1535"/>
      <c r="Y978" s="1535"/>
      <c r="Z978" s="1535"/>
      <c r="AA978" s="1535"/>
      <c r="AB978" s="1535"/>
      <c r="AC978" s="1535"/>
      <c r="AD978" s="1535"/>
      <c r="AE978" s="1536"/>
      <c r="AF978" s="881"/>
      <c r="AG978" s="882"/>
      <c r="AH978" s="882"/>
      <c r="AI978" s="883"/>
      <c r="AJ978" s="1346"/>
      <c r="AK978" s="1347"/>
      <c r="AL978" s="1347"/>
      <c r="AM978" s="1347"/>
      <c r="AN978" s="1347"/>
      <c r="AO978" s="1347"/>
      <c r="AP978" s="1347"/>
      <c r="AQ978" s="1348"/>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row>
    <row r="979" spans="1:97" ht="12.95" customHeight="1">
      <c r="A979" s="86"/>
      <c r="B979" s="79"/>
      <c r="C979" s="562" t="s">
        <v>611</v>
      </c>
      <c r="D979" s="1366" t="s">
        <v>2099</v>
      </c>
      <c r="E979" s="1367"/>
      <c r="F979" s="1367"/>
      <c r="G979" s="1367"/>
      <c r="H979" s="1367"/>
      <c r="I979" s="1367"/>
      <c r="J979" s="1367"/>
      <c r="K979" s="1367"/>
      <c r="L979" s="1367"/>
      <c r="M979" s="1367"/>
      <c r="N979" s="1367"/>
      <c r="O979" s="1367"/>
      <c r="P979" s="1367"/>
      <c r="Q979" s="1367"/>
      <c r="R979" s="1367"/>
      <c r="S979" s="1367"/>
      <c r="T979" s="1367"/>
      <c r="U979" s="1367"/>
      <c r="V979" s="1367"/>
      <c r="W979" s="1367"/>
      <c r="X979" s="1367"/>
      <c r="Y979" s="1367"/>
      <c r="Z979" s="1367"/>
      <c r="AA979" s="1367"/>
      <c r="AB979" s="1367"/>
      <c r="AC979" s="1367"/>
      <c r="AD979" s="1367"/>
      <c r="AE979" s="1368"/>
      <c r="AF979" s="79"/>
      <c r="AG979" s="1530" t="s">
        <v>510</v>
      </c>
      <c r="AH979" s="1531"/>
      <c r="AI979" s="83"/>
      <c r="AJ979" s="1343">
        <f>ROUND(IF(AG979="yes",(AJ939*0.1),0),0)</f>
        <v>0</v>
      </c>
      <c r="AK979" s="1344"/>
      <c r="AL979" s="1344"/>
      <c r="AM979" s="1344"/>
      <c r="AN979" s="1344"/>
      <c r="AO979" s="1344"/>
      <c r="AP979" s="1344"/>
      <c r="AQ979" s="1345"/>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row>
    <row r="980" spans="1:97" ht="12.95" customHeight="1">
      <c r="A980" s="86"/>
      <c r="B980" s="79"/>
      <c r="C980" s="563"/>
      <c r="D980" s="1532" t="s">
        <v>2100</v>
      </c>
      <c r="E980" s="973"/>
      <c r="F980" s="973"/>
      <c r="G980" s="973"/>
      <c r="H980" s="973"/>
      <c r="I980" s="973"/>
      <c r="J980" s="973"/>
      <c r="K980" s="973"/>
      <c r="L980" s="973"/>
      <c r="M980" s="973"/>
      <c r="N980" s="973"/>
      <c r="O980" s="973"/>
      <c r="P980" s="973"/>
      <c r="Q980" s="973"/>
      <c r="R980" s="973"/>
      <c r="S980" s="973"/>
      <c r="T980" s="973"/>
      <c r="U980" s="973"/>
      <c r="V980" s="973"/>
      <c r="W980" s="973"/>
      <c r="X980" s="973"/>
      <c r="Y980" s="973"/>
      <c r="Z980" s="973"/>
      <c r="AA980" s="973"/>
      <c r="AB980" s="973"/>
      <c r="AC980" s="973"/>
      <c r="AD980" s="973"/>
      <c r="AE980" s="1533"/>
      <c r="AF980" s="79"/>
      <c r="AG980" s="21"/>
      <c r="AH980" s="21"/>
      <c r="AI980" s="83"/>
      <c r="AJ980" s="1349"/>
      <c r="AK980" s="1350"/>
      <c r="AL980" s="1350"/>
      <c r="AM980" s="1350"/>
      <c r="AN980" s="1350"/>
      <c r="AO980" s="1350"/>
      <c r="AP980" s="1350"/>
      <c r="AQ980" s="1351"/>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row>
    <row r="981" spans="1:97" ht="12.95" customHeight="1">
      <c r="A981" s="86"/>
      <c r="B981" s="79"/>
      <c r="C981" s="563"/>
      <c r="D981" s="1532"/>
      <c r="E981" s="973"/>
      <c r="F981" s="973"/>
      <c r="G981" s="973"/>
      <c r="H981" s="973"/>
      <c r="I981" s="973"/>
      <c r="J981" s="973"/>
      <c r="K981" s="973"/>
      <c r="L981" s="973"/>
      <c r="M981" s="973"/>
      <c r="N981" s="973"/>
      <c r="O981" s="973"/>
      <c r="P981" s="973"/>
      <c r="Q981" s="973"/>
      <c r="R981" s="973"/>
      <c r="S981" s="973"/>
      <c r="T981" s="973"/>
      <c r="U981" s="973"/>
      <c r="V981" s="973"/>
      <c r="W981" s="973"/>
      <c r="X981" s="973"/>
      <c r="Y981" s="973"/>
      <c r="Z981" s="973"/>
      <c r="AA981" s="973"/>
      <c r="AB981" s="973"/>
      <c r="AC981" s="973"/>
      <c r="AD981" s="973"/>
      <c r="AE981" s="1533"/>
      <c r="AF981" s="79"/>
      <c r="AG981" s="21"/>
      <c r="AH981" s="21"/>
      <c r="AI981" s="83"/>
      <c r="AJ981" s="1349"/>
      <c r="AK981" s="1350"/>
      <c r="AL981" s="1350"/>
      <c r="AM981" s="1350"/>
      <c r="AN981" s="1350"/>
      <c r="AO981" s="1350"/>
      <c r="AP981" s="1350"/>
      <c r="AQ981" s="1351"/>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row>
    <row r="982" spans="1:97" ht="12.95" customHeight="1">
      <c r="A982" s="86"/>
      <c r="B982" s="79"/>
      <c r="C982" s="563"/>
      <c r="D982" s="1532"/>
      <c r="E982" s="973"/>
      <c r="F982" s="973"/>
      <c r="G982" s="973"/>
      <c r="H982" s="973"/>
      <c r="I982" s="973"/>
      <c r="J982" s="973"/>
      <c r="K982" s="973"/>
      <c r="L982" s="973"/>
      <c r="M982" s="973"/>
      <c r="N982" s="973"/>
      <c r="O982" s="973"/>
      <c r="P982" s="973"/>
      <c r="Q982" s="973"/>
      <c r="R982" s="973"/>
      <c r="S982" s="973"/>
      <c r="T982" s="973"/>
      <c r="U982" s="973"/>
      <c r="V982" s="973"/>
      <c r="W982" s="973"/>
      <c r="X982" s="973"/>
      <c r="Y982" s="973"/>
      <c r="Z982" s="973"/>
      <c r="AA982" s="973"/>
      <c r="AB982" s="973"/>
      <c r="AC982" s="973"/>
      <c r="AD982" s="973"/>
      <c r="AE982" s="1533"/>
      <c r="AF982" s="79"/>
      <c r="AG982" s="21"/>
      <c r="AH982" s="21"/>
      <c r="AI982" s="83"/>
      <c r="AJ982" s="1349"/>
      <c r="AK982" s="1350"/>
      <c r="AL982" s="1350"/>
      <c r="AM982" s="1350"/>
      <c r="AN982" s="1350"/>
      <c r="AO982" s="1350"/>
      <c r="AP982" s="1350"/>
      <c r="AQ982" s="1351"/>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row>
    <row r="983" spans="1:97" ht="12.95" customHeight="1">
      <c r="A983" s="86"/>
      <c r="B983" s="79"/>
      <c r="C983" s="563"/>
      <c r="D983" s="1534"/>
      <c r="E983" s="1535"/>
      <c r="F983" s="1535"/>
      <c r="G983" s="1535"/>
      <c r="H983" s="1535"/>
      <c r="I983" s="1535"/>
      <c r="J983" s="1535"/>
      <c r="K983" s="1535"/>
      <c r="L983" s="1535"/>
      <c r="M983" s="1535"/>
      <c r="N983" s="1535"/>
      <c r="O983" s="1535"/>
      <c r="P983" s="1535"/>
      <c r="Q983" s="1535"/>
      <c r="R983" s="1535"/>
      <c r="S983" s="1535"/>
      <c r="T983" s="1535"/>
      <c r="U983" s="1535"/>
      <c r="V983" s="1535"/>
      <c r="W983" s="1535"/>
      <c r="X983" s="1535"/>
      <c r="Y983" s="1535"/>
      <c r="Z983" s="1535"/>
      <c r="AA983" s="1535"/>
      <c r="AB983" s="1535"/>
      <c r="AC983" s="1535"/>
      <c r="AD983" s="1535"/>
      <c r="AE983" s="1536"/>
      <c r="AF983" s="79"/>
      <c r="AG983" s="21"/>
      <c r="AH983" s="21"/>
      <c r="AI983" s="83"/>
      <c r="AJ983" s="1349"/>
      <c r="AK983" s="1350"/>
      <c r="AL983" s="1350"/>
      <c r="AM983" s="1350"/>
      <c r="AN983" s="1350"/>
      <c r="AO983" s="1350"/>
      <c r="AP983" s="1350"/>
      <c r="AQ983" s="1351"/>
      <c r="AR983" s="43"/>
      <c r="AS983" s="43"/>
      <c r="AT983" s="43"/>
      <c r="AU983" s="43"/>
      <c r="AV983" s="43"/>
      <c r="AW983" s="43"/>
      <c r="AX983" s="43"/>
      <c r="AY983" s="43"/>
      <c r="AZ983" s="43"/>
      <c r="BA983" s="43"/>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row>
    <row r="984" spans="1:97" ht="12.95" customHeight="1">
      <c r="A984" s="86"/>
      <c r="B984" s="82"/>
      <c r="C984" s="884" t="s">
        <v>2101</v>
      </c>
      <c r="D984" s="1339" t="s">
        <v>1991</v>
      </c>
      <c r="E984" s="1139"/>
      <c r="F984" s="1139"/>
      <c r="G984" s="1139"/>
      <c r="H984" s="1139"/>
      <c r="I984" s="1139"/>
      <c r="J984" s="1139"/>
      <c r="K984" s="1139"/>
      <c r="L984" s="1139"/>
      <c r="M984" s="1139"/>
      <c r="N984" s="1139"/>
      <c r="O984" s="1139"/>
      <c r="P984" s="1139"/>
      <c r="Q984" s="1139"/>
      <c r="R984" s="1139"/>
      <c r="S984" s="1139"/>
      <c r="T984" s="1139"/>
      <c r="U984" s="1139"/>
      <c r="V984" s="1139"/>
      <c r="W984" s="1139"/>
      <c r="X984" s="1139"/>
      <c r="Y984" s="1139"/>
      <c r="Z984" s="1139"/>
      <c r="AA984" s="1139"/>
      <c r="AB984" s="1139"/>
      <c r="AC984" s="1139"/>
      <c r="AD984" s="1139"/>
      <c r="AE984" s="1340"/>
      <c r="AF984" s="82"/>
      <c r="AG984" s="1341" t="s">
        <v>510</v>
      </c>
      <c r="AH984" s="1342"/>
      <c r="AI984" s="85"/>
      <c r="AJ984" s="1343">
        <f>ROUND(IF(AG984="yes",(AJ939*0.1),0),0)</f>
        <v>0</v>
      </c>
      <c r="AK984" s="1344"/>
      <c r="AL984" s="1344"/>
      <c r="AM984" s="1344"/>
      <c r="AN984" s="1344"/>
      <c r="AO984" s="1344"/>
      <c r="AP984" s="1344"/>
      <c r="AQ984" s="1345"/>
      <c r="AR984" s="43"/>
      <c r="AS984" s="43"/>
      <c r="AT984" s="43"/>
      <c r="AU984" s="43"/>
      <c r="AV984" s="43"/>
      <c r="AW984" s="43"/>
      <c r="AX984" s="43"/>
      <c r="AY984" s="43"/>
      <c r="AZ984" s="43"/>
      <c r="BA984" s="43"/>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row>
    <row r="985" spans="1:97" ht="12.95" customHeight="1">
      <c r="A985" s="86"/>
      <c r="B985" s="79"/>
      <c r="C985" s="563"/>
      <c r="D985" s="1352" t="s">
        <v>2343</v>
      </c>
      <c r="E985" s="1353"/>
      <c r="F985" s="1353"/>
      <c r="G985" s="1353"/>
      <c r="H985" s="1353"/>
      <c r="I985" s="1353"/>
      <c r="J985" s="1353"/>
      <c r="K985" s="1353"/>
      <c r="L985" s="1353"/>
      <c r="M985" s="1353"/>
      <c r="N985" s="1353"/>
      <c r="O985" s="1353"/>
      <c r="P985" s="1353"/>
      <c r="Q985" s="1353"/>
      <c r="R985" s="1353"/>
      <c r="S985" s="1353"/>
      <c r="T985" s="1353"/>
      <c r="U985" s="1353"/>
      <c r="V985" s="1353"/>
      <c r="W985" s="1353"/>
      <c r="X985" s="1353"/>
      <c r="Y985" s="1353"/>
      <c r="Z985" s="1353"/>
      <c r="AA985" s="1353"/>
      <c r="AB985" s="1353"/>
      <c r="AC985" s="1353"/>
      <c r="AD985" s="1353"/>
      <c r="AE985" s="1354"/>
      <c r="AF985" s="79"/>
      <c r="AG985" s="21"/>
      <c r="AH985" s="21"/>
      <c r="AI985" s="83"/>
      <c r="AJ985" s="1349"/>
      <c r="AK985" s="1350"/>
      <c r="AL985" s="1350"/>
      <c r="AM985" s="1350"/>
      <c r="AN985" s="1350"/>
      <c r="AO985" s="1350"/>
      <c r="AP985" s="1350"/>
      <c r="AQ985" s="1351"/>
      <c r="AR985" s="43"/>
      <c r="AS985" s="43"/>
      <c r="AT985" s="43"/>
      <c r="AU985" s="43"/>
      <c r="AV985" s="43"/>
      <c r="AW985" s="43"/>
      <c r="AX985" s="43"/>
      <c r="AY985" s="43"/>
      <c r="AZ985" s="43"/>
      <c r="BA985" s="43"/>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row>
    <row r="986" spans="1:97" ht="12.95" customHeight="1">
      <c r="A986" s="86"/>
      <c r="B986" s="79"/>
      <c r="C986" s="563"/>
      <c r="D986" s="1352"/>
      <c r="E986" s="1353"/>
      <c r="F986" s="1353"/>
      <c r="G986" s="1353"/>
      <c r="H986" s="1353"/>
      <c r="I986" s="1353"/>
      <c r="J986" s="1353"/>
      <c r="K986" s="1353"/>
      <c r="L986" s="1353"/>
      <c r="M986" s="1353"/>
      <c r="N986" s="1353"/>
      <c r="O986" s="1353"/>
      <c r="P986" s="1353"/>
      <c r="Q986" s="1353"/>
      <c r="R986" s="1353"/>
      <c r="S986" s="1353"/>
      <c r="T986" s="1353"/>
      <c r="U986" s="1353"/>
      <c r="V986" s="1353"/>
      <c r="W986" s="1353"/>
      <c r="X986" s="1353"/>
      <c r="Y986" s="1353"/>
      <c r="Z986" s="1353"/>
      <c r="AA986" s="1353"/>
      <c r="AB986" s="1353"/>
      <c r="AC986" s="1353"/>
      <c r="AD986" s="1353"/>
      <c r="AE986" s="1354"/>
      <c r="AF986" s="79"/>
      <c r="AG986" s="21"/>
      <c r="AH986" s="21"/>
      <c r="AI986" s="83"/>
      <c r="AJ986" s="1349"/>
      <c r="AK986" s="1350"/>
      <c r="AL986" s="1350"/>
      <c r="AM986" s="1350"/>
      <c r="AN986" s="1350"/>
      <c r="AO986" s="1350"/>
      <c r="AP986" s="1350"/>
      <c r="AQ986" s="1351"/>
      <c r="AR986" s="43"/>
      <c r="AS986" s="43"/>
      <c r="AT986" s="43"/>
      <c r="AU986" s="43"/>
      <c r="AV986" s="43"/>
      <c r="AW986" s="43"/>
      <c r="AX986" s="43"/>
      <c r="AY986" s="43"/>
      <c r="AZ986" s="43"/>
      <c r="BA986" s="43"/>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row>
    <row r="987" spans="1:97" ht="12.95" customHeight="1">
      <c r="A987" s="86"/>
      <c r="B987" s="79"/>
      <c r="C987" s="563"/>
      <c r="D987" s="1355"/>
      <c r="E987" s="1356"/>
      <c r="F987" s="1356"/>
      <c r="G987" s="1356"/>
      <c r="H987" s="1356"/>
      <c r="I987" s="1356"/>
      <c r="J987" s="1356"/>
      <c r="K987" s="1356"/>
      <c r="L987" s="1356"/>
      <c r="M987" s="1356"/>
      <c r="N987" s="1356"/>
      <c r="O987" s="1356"/>
      <c r="P987" s="1356"/>
      <c r="Q987" s="1356"/>
      <c r="R987" s="1356"/>
      <c r="S987" s="1356"/>
      <c r="T987" s="1356"/>
      <c r="U987" s="1356"/>
      <c r="V987" s="1356"/>
      <c r="W987" s="1356"/>
      <c r="X987" s="1356"/>
      <c r="Y987" s="1356"/>
      <c r="Z987" s="1356"/>
      <c r="AA987" s="1356"/>
      <c r="AB987" s="1356"/>
      <c r="AC987" s="1356"/>
      <c r="AD987" s="1356"/>
      <c r="AE987" s="1357"/>
      <c r="AF987" s="79"/>
      <c r="AG987" s="21"/>
      <c r="AH987" s="21"/>
      <c r="AI987" s="83"/>
      <c r="AJ987" s="1346"/>
      <c r="AK987" s="1347"/>
      <c r="AL987" s="1347"/>
      <c r="AM987" s="1347"/>
      <c r="AN987" s="1347"/>
      <c r="AO987" s="1347"/>
      <c r="AP987" s="1347"/>
      <c r="AQ987" s="1348"/>
      <c r="AR987" s="43"/>
      <c r="AS987" s="43"/>
      <c r="AT987" s="43"/>
      <c r="AU987" s="43"/>
      <c r="AV987" s="43"/>
      <c r="AW987" s="43"/>
      <c r="AX987" s="43"/>
      <c r="AY987" s="43"/>
      <c r="AZ987" s="43"/>
      <c r="BA987" s="43"/>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row>
    <row r="988" spans="1:97" ht="12.95" customHeight="1">
      <c r="A988" s="86"/>
      <c r="B988" s="177"/>
      <c r="C988" s="885"/>
      <c r="D988" s="1361" t="s">
        <v>784</v>
      </c>
      <c r="E988" s="1361"/>
      <c r="F988" s="1361"/>
      <c r="G988" s="1361"/>
      <c r="H988" s="1361"/>
      <c r="I988" s="1361"/>
      <c r="J988" s="1361"/>
      <c r="K988" s="1361"/>
      <c r="L988" s="1361"/>
      <c r="M988" s="1361"/>
      <c r="N988" s="1361"/>
      <c r="O988" s="1361"/>
      <c r="P988" s="1361"/>
      <c r="Q988" s="1361"/>
      <c r="R988" s="1361"/>
      <c r="S988" s="1361"/>
      <c r="T988" s="1361"/>
      <c r="U988" s="1361"/>
      <c r="V988" s="1361"/>
      <c r="W988" s="1361"/>
      <c r="X988" s="1361"/>
      <c r="Y988" s="1361"/>
      <c r="Z988" s="1361"/>
      <c r="AA988" s="1361"/>
      <c r="AB988" s="1361"/>
      <c r="AC988" s="1361"/>
      <c r="AD988" s="1361"/>
      <c r="AE988" s="1361"/>
      <c r="AF988" s="1361"/>
      <c r="AG988" s="1361"/>
      <c r="AH988" s="1361"/>
      <c r="AI988" s="1362"/>
      <c r="AJ988" s="1363">
        <f>SUM(AJ939:AQ987)</f>
        <v>19512949</v>
      </c>
      <c r="AK988" s="1364"/>
      <c r="AL988" s="1364"/>
      <c r="AM988" s="1364"/>
      <c r="AN988" s="1364"/>
      <c r="AO988" s="1364"/>
      <c r="AP988" s="1364"/>
      <c r="AQ988" s="1365"/>
      <c r="AR988" s="43"/>
      <c r="AS988" s="43"/>
      <c r="AT988" s="43"/>
      <c r="AU988" s="43"/>
      <c r="AV988" s="43"/>
      <c r="AW988" s="43"/>
      <c r="AX988" s="43"/>
      <c r="AY988" s="43"/>
      <c r="AZ988" s="43"/>
      <c r="BA988" s="43"/>
      <c r="BB988" s="43"/>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row>
    <row r="989" spans="1:97" ht="12.95" customHeight="1">
      <c r="A989" s="86"/>
      <c r="B989" s="21"/>
      <c r="C989" s="367"/>
      <c r="D989" s="368"/>
      <c r="E989" s="368"/>
      <c r="F989" s="368"/>
      <c r="G989" s="368"/>
      <c r="H989" s="368"/>
      <c r="I989" s="368"/>
      <c r="J989" s="368"/>
      <c r="K989" s="368"/>
      <c r="L989" s="368"/>
      <c r="M989" s="368"/>
      <c r="N989" s="368"/>
      <c r="O989" s="368"/>
      <c r="P989" s="368"/>
      <c r="Q989" s="368"/>
      <c r="R989" s="368"/>
      <c r="S989" s="368"/>
      <c r="T989" s="368"/>
      <c r="U989" s="368"/>
      <c r="V989" s="368"/>
      <c r="W989" s="368"/>
      <c r="X989" s="368"/>
      <c r="Y989" s="368"/>
      <c r="Z989" s="368"/>
      <c r="AA989" s="368"/>
      <c r="AB989" s="368"/>
      <c r="AC989" s="368"/>
      <c r="AD989" s="369"/>
      <c r="AE989" s="369"/>
      <c r="AF989" s="369"/>
      <c r="AG989" s="369"/>
      <c r="AH989" s="369"/>
      <c r="AI989" s="369"/>
      <c r="AJ989" s="369"/>
      <c r="AK989" s="369"/>
      <c r="AM989" s="43"/>
      <c r="AN989" s="43"/>
      <c r="AO989" s="43"/>
      <c r="AP989" s="43"/>
      <c r="AQ989" s="43"/>
      <c r="AR989" s="43"/>
      <c r="AS989" s="43"/>
      <c r="AT989" s="43"/>
      <c r="AU989" s="43"/>
      <c r="AV989" s="43"/>
      <c r="AW989" s="43"/>
      <c r="AX989" s="43"/>
      <c r="AY989" s="43"/>
      <c r="AZ989" s="43"/>
      <c r="BA989" s="43"/>
      <c r="BB989" s="43"/>
      <c r="BC989" s="43"/>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row>
    <row r="990" spans="1:97" ht="12.95" customHeight="1">
      <c r="A990" s="86"/>
      <c r="B990" s="21"/>
      <c r="C990" s="367"/>
      <c r="D990" s="368"/>
      <c r="E990" s="368"/>
      <c r="F990" s="368"/>
      <c r="G990" s="368"/>
      <c r="H990" s="368"/>
      <c r="I990" s="368"/>
      <c r="J990" s="368"/>
      <c r="K990" s="368"/>
      <c r="L990" s="368"/>
      <c r="M990" s="368"/>
      <c r="N990" s="368"/>
      <c r="O990" s="368"/>
      <c r="P990" s="368"/>
      <c r="Q990" s="368"/>
      <c r="R990" s="368"/>
      <c r="S990" s="368"/>
      <c r="T990" s="368"/>
      <c r="U990" s="368"/>
      <c r="V990" s="368"/>
      <c r="W990" s="368"/>
      <c r="X990" s="368"/>
      <c r="Y990" s="368"/>
      <c r="Z990" s="368"/>
      <c r="AA990" s="368"/>
      <c r="AB990" s="368"/>
      <c r="AC990" s="368"/>
      <c r="AD990" s="369"/>
      <c r="AE990" s="369"/>
      <c r="AF990" s="369"/>
      <c r="AG990" s="369"/>
      <c r="AH990" s="369"/>
      <c r="AI990" s="369"/>
      <c r="AJ990" s="369"/>
      <c r="AK990" s="369"/>
      <c r="AM990" s="43"/>
      <c r="AN990" s="43"/>
      <c r="AO990" s="43"/>
      <c r="AP990" s="43"/>
      <c r="AQ990" s="43"/>
      <c r="AR990" s="43"/>
      <c r="AS990" s="43"/>
      <c r="AT990" s="43"/>
      <c r="AU990" s="43"/>
      <c r="AV990" s="43"/>
      <c r="AW990" s="43"/>
      <c r="AX990" s="43"/>
      <c r="AY990" s="43"/>
      <c r="AZ990" s="43"/>
      <c r="BA990" s="43"/>
      <c r="BB990" s="43"/>
      <c r="BC990" s="43"/>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row>
    <row r="991" spans="1:97" ht="12.95" customHeight="1">
      <c r="A991" s="86"/>
      <c r="B991" s="21"/>
      <c r="C991" s="367"/>
      <c r="D991" s="370" t="s">
        <v>1091</v>
      </c>
      <c r="E991" s="371"/>
      <c r="F991" s="371"/>
      <c r="G991" s="371"/>
      <c r="H991" s="371"/>
      <c r="I991" s="371"/>
      <c r="J991" s="371"/>
      <c r="K991" s="371"/>
      <c r="L991" s="371"/>
      <c r="M991" s="371"/>
      <c r="N991" s="371"/>
      <c r="O991" s="371"/>
      <c r="P991" s="371"/>
      <c r="Q991" s="371"/>
      <c r="R991" s="371"/>
      <c r="S991" s="371"/>
      <c r="T991" s="371"/>
      <c r="U991" s="371"/>
      <c r="V991" s="371"/>
      <c r="W991" s="371"/>
      <c r="X991" s="371"/>
      <c r="Y991" s="371"/>
      <c r="Z991" s="371"/>
      <c r="AA991" s="371"/>
      <c r="AB991" s="371"/>
      <c r="AC991" s="371"/>
      <c r="AD991" s="369"/>
      <c r="AE991" s="369"/>
      <c r="AF991" s="369"/>
      <c r="AG991" s="369"/>
      <c r="AH991" s="369"/>
      <c r="AI991" s="369"/>
      <c r="AJ991" s="369"/>
      <c r="AK991" s="369"/>
      <c r="AM991" s="43"/>
      <c r="AN991" s="43"/>
      <c r="AO991" s="43"/>
      <c r="AP991" s="43"/>
      <c r="AQ991" s="43"/>
      <c r="AR991" s="43"/>
      <c r="AS991" s="43"/>
      <c r="AT991" s="43"/>
      <c r="AU991" s="43"/>
      <c r="AV991" s="43"/>
      <c r="AW991" s="43"/>
      <c r="AX991" s="43"/>
      <c r="AY991" s="43"/>
      <c r="AZ991" s="43"/>
      <c r="BA991" s="43"/>
      <c r="BB991" s="43"/>
      <c r="BC991" s="43"/>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row>
    <row r="992" spans="1:97" ht="12.95" customHeight="1">
      <c r="A992" s="86"/>
      <c r="B992" s="21"/>
      <c r="C992" s="367"/>
      <c r="D992" s="372" t="s">
        <v>1086</v>
      </c>
      <c r="E992" s="373"/>
      <c r="F992" s="373"/>
      <c r="G992" s="373"/>
      <c r="H992" s="373"/>
      <c r="I992" s="373"/>
      <c r="J992" s="373"/>
      <c r="K992" s="373"/>
      <c r="L992" s="373"/>
      <c r="M992" s="373"/>
      <c r="N992" s="373"/>
      <c r="O992" s="373"/>
      <c r="P992" s="373"/>
      <c r="Q992" s="373"/>
      <c r="R992" s="373"/>
      <c r="S992" s="373"/>
      <c r="T992" s="373"/>
      <c r="U992" s="373"/>
      <c r="V992" s="373"/>
      <c r="W992" s="373"/>
      <c r="X992" s="1337">
        <f>'Sources and Uses Budget'!S106+'Sources and Uses Budget'!T106</f>
        <v>23326938</v>
      </c>
      <c r="Y992" s="1337"/>
      <c r="Z992" s="1337"/>
      <c r="AA992" s="1337"/>
      <c r="AB992" s="1337"/>
      <c r="AC992" s="1337"/>
      <c r="AD992" s="369"/>
      <c r="AE992" s="369"/>
      <c r="AF992" s="369"/>
      <c r="AG992" s="369"/>
      <c r="AH992" s="369"/>
      <c r="AI992" s="369"/>
      <c r="AJ992" s="369"/>
      <c r="AK992" s="369"/>
      <c r="AM992" s="43"/>
      <c r="AN992" s="43"/>
      <c r="AO992" s="43"/>
      <c r="AP992" s="43"/>
      <c r="AQ992" s="43"/>
      <c r="AR992" s="43"/>
      <c r="AS992" s="43"/>
      <c r="AT992" s="43"/>
      <c r="AU992" s="43"/>
      <c r="AV992" s="43"/>
      <c r="AW992" s="43"/>
      <c r="AX992" s="43"/>
      <c r="AY992" s="43"/>
      <c r="AZ992" s="43"/>
      <c r="BA992" s="43"/>
      <c r="BB992" s="43"/>
      <c r="BC992" s="43"/>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row>
    <row r="993" spans="1:97" ht="12.95" customHeight="1">
      <c r="A993" s="86"/>
      <c r="B993" s="21"/>
      <c r="C993" s="367"/>
      <c r="D993" s="372"/>
      <c r="E993" s="372" t="s">
        <v>1089</v>
      </c>
      <c r="F993" s="373"/>
      <c r="G993" s="373"/>
      <c r="H993" s="373"/>
      <c r="I993" s="373"/>
      <c r="J993" s="373"/>
      <c r="K993" s="373"/>
      <c r="L993" s="373"/>
      <c r="M993" s="373"/>
      <c r="N993" s="373"/>
      <c r="O993" s="373"/>
      <c r="P993" s="373"/>
      <c r="Q993" s="373"/>
      <c r="R993" s="373"/>
      <c r="S993" s="373"/>
      <c r="T993" s="373"/>
      <c r="U993" s="373"/>
      <c r="V993" s="373"/>
      <c r="W993" s="373"/>
      <c r="X993" s="1333">
        <f>IFERROR(X992/AJ988,"")</f>
        <v>1.1954593844323582</v>
      </c>
      <c r="Y993" s="1334"/>
      <c r="Z993" s="1334"/>
      <c r="AA993" s="1334"/>
      <c r="AB993" s="1334"/>
      <c r="AC993" s="1335"/>
      <c r="AD993" s="369"/>
      <c r="AE993" s="369"/>
      <c r="AF993" s="369"/>
      <c r="AG993" s="369"/>
      <c r="AH993" s="369"/>
      <c r="AI993" s="369"/>
      <c r="AJ993" s="369"/>
      <c r="AK993" s="369"/>
      <c r="AM993" s="43"/>
      <c r="AN993" s="43"/>
      <c r="AO993" s="43"/>
      <c r="AP993" s="43"/>
      <c r="AQ993" s="43"/>
      <c r="AR993" s="43"/>
      <c r="AS993" s="43"/>
      <c r="AT993" s="43"/>
      <c r="AU993" s="43"/>
      <c r="AV993" s="43"/>
      <c r="AW993" s="43"/>
      <c r="AX993" s="43"/>
      <c r="AY993" s="43"/>
      <c r="AZ993" s="43"/>
      <c r="BA993" s="43"/>
      <c r="BB993" s="43"/>
      <c r="BC993" s="43"/>
      <c r="BD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row>
    <row r="994" spans="1:97" ht="12.95" customHeight="1">
      <c r="A994" s="86"/>
      <c r="B994" s="21"/>
      <c r="C994" s="367"/>
      <c r="D994" s="1139" t="str">
        <f>IFERROR(IF(X993="","",IF(X993&gt;=1.3,"Based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994" s="1139"/>
      <c r="F994" s="1139"/>
      <c r="G994" s="1139"/>
      <c r="H994" s="1139"/>
      <c r="I994" s="1139"/>
      <c r="J994" s="1139"/>
      <c r="K994" s="1139"/>
      <c r="L994" s="1139"/>
      <c r="M994" s="1139"/>
      <c r="N994" s="1139"/>
      <c r="O994" s="1139"/>
      <c r="P994" s="1139"/>
      <c r="Q994" s="1139"/>
      <c r="R994" s="1139"/>
      <c r="S994" s="1139"/>
      <c r="T994" s="1139"/>
      <c r="U994" s="1139"/>
      <c r="V994" s="1139"/>
      <c r="W994" s="1139"/>
      <c r="X994" s="1139"/>
      <c r="Y994" s="1139"/>
      <c r="Z994" s="1139"/>
      <c r="AA994" s="1139"/>
      <c r="AB994" s="1139"/>
      <c r="AC994" s="1139"/>
      <c r="AD994" s="1139"/>
      <c r="AE994" s="1139"/>
      <c r="AF994" s="1139"/>
      <c r="AG994" s="1139"/>
      <c r="AH994" s="1139"/>
      <c r="AI994" s="1139"/>
      <c r="AJ994" s="1139"/>
      <c r="AK994" s="1139"/>
      <c r="AM994" s="43"/>
      <c r="AN994" s="43"/>
      <c r="AO994" s="43"/>
      <c r="AP994" s="43"/>
      <c r="AQ994" s="43"/>
      <c r="AR994" s="43"/>
      <c r="AS994" s="43"/>
      <c r="AT994" s="43"/>
      <c r="AU994" s="43"/>
      <c r="AV994" s="43"/>
      <c r="AW994" s="43"/>
      <c r="AX994" s="43"/>
      <c r="AY994" s="43"/>
      <c r="AZ994" s="43"/>
      <c r="BA994" s="43"/>
      <c r="BB994" s="43"/>
      <c r="BC994" s="43"/>
      <c r="BD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row>
    <row r="995" spans="1:97" ht="12.95" customHeight="1">
      <c r="A995" s="86"/>
      <c r="B995" s="21"/>
      <c r="C995" s="367"/>
      <c r="D995" s="1139"/>
      <c r="E995" s="1139"/>
      <c r="F995" s="1139"/>
      <c r="G995" s="1139"/>
      <c r="H995" s="1139"/>
      <c r="I995" s="1139"/>
      <c r="J995" s="1139"/>
      <c r="K995" s="1139"/>
      <c r="L995" s="1139"/>
      <c r="M995" s="1139"/>
      <c r="N995" s="1139"/>
      <c r="O995" s="1139"/>
      <c r="P995" s="1139"/>
      <c r="Q995" s="1139"/>
      <c r="R995" s="1139"/>
      <c r="S995" s="1139"/>
      <c r="T995" s="1139"/>
      <c r="U995" s="1139"/>
      <c r="V995" s="1139"/>
      <c r="W995" s="1139"/>
      <c r="X995" s="1139"/>
      <c r="Y995" s="1139"/>
      <c r="Z995" s="1139"/>
      <c r="AA995" s="1139"/>
      <c r="AB995" s="1139"/>
      <c r="AC995" s="1139"/>
      <c r="AD995" s="1139"/>
      <c r="AE995" s="1139"/>
      <c r="AF995" s="1139"/>
      <c r="AG995" s="1139"/>
      <c r="AH995" s="1139"/>
      <c r="AI995" s="1139"/>
      <c r="AJ995" s="1139"/>
      <c r="AK995" s="1139"/>
      <c r="AM995" s="43"/>
      <c r="AN995" s="43"/>
      <c r="AO995" s="43"/>
      <c r="AP995" s="43"/>
      <c r="AQ995" s="43"/>
      <c r="AR995" s="43"/>
      <c r="AS995" s="43"/>
      <c r="AT995" s="43"/>
      <c r="AU995" s="43"/>
      <c r="AV995" s="43"/>
      <c r="AW995" s="43"/>
      <c r="AX995" s="43"/>
      <c r="AY995" s="43"/>
      <c r="AZ995" s="43"/>
      <c r="BA995" s="43"/>
      <c r="BB995" s="43"/>
      <c r="BC995" s="43"/>
      <c r="BD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row>
    <row r="996" spans="1:97" ht="12.95" customHeight="1">
      <c r="A996" s="86"/>
      <c r="C996" s="367"/>
      <c r="D996" s="1139"/>
      <c r="E996" s="1139"/>
      <c r="F996" s="1139"/>
      <c r="G996" s="1139"/>
      <c r="H996" s="1139"/>
      <c r="I996" s="1139"/>
      <c r="J996" s="1139"/>
      <c r="K996" s="1139"/>
      <c r="L996" s="1139"/>
      <c r="M996" s="1139"/>
      <c r="N996" s="1139"/>
      <c r="O996" s="1139"/>
      <c r="P996" s="1139"/>
      <c r="Q996" s="1139"/>
      <c r="R996" s="1139"/>
      <c r="S996" s="1139"/>
      <c r="T996" s="1139"/>
      <c r="U996" s="1139"/>
      <c r="V996" s="1139"/>
      <c r="W996" s="1139"/>
      <c r="X996" s="1139"/>
      <c r="Y996" s="1139"/>
      <c r="Z996" s="1139"/>
      <c r="AA996" s="1139"/>
      <c r="AB996" s="1139"/>
      <c r="AC996" s="1139"/>
      <c r="AD996" s="1139"/>
      <c r="AE996" s="1139"/>
      <c r="AF996" s="1139"/>
      <c r="AG996" s="1139"/>
      <c r="AH996" s="1139"/>
      <c r="AI996" s="1139"/>
      <c r="AJ996" s="1139"/>
      <c r="AK996" s="1139"/>
      <c r="AM996" s="43"/>
      <c r="AN996" s="43"/>
      <c r="AO996" s="43"/>
      <c r="AP996" s="43"/>
      <c r="AQ996" s="43"/>
      <c r="AR996" s="43"/>
      <c r="AS996" s="43"/>
      <c r="AT996" s="43"/>
      <c r="AU996" s="43"/>
      <c r="AV996" s="43"/>
      <c r="AW996" s="43"/>
      <c r="AX996" s="43"/>
      <c r="AY996" s="43"/>
      <c r="AZ996" s="43"/>
      <c r="BA996" s="43"/>
      <c r="BB996" s="43"/>
      <c r="BC996" s="43"/>
      <c r="BD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row>
    <row r="997" spans="1:97" ht="12.95" hidden="1" customHeight="1">
      <c r="A997" s="86"/>
      <c r="B997" s="958"/>
      <c r="C997" s="958"/>
      <c r="D997" s="958"/>
      <c r="E997" s="958"/>
      <c r="F997" s="958"/>
      <c r="G997" s="958"/>
      <c r="H997" s="958"/>
      <c r="I997" s="958"/>
      <c r="J997" s="958"/>
      <c r="K997" s="958"/>
      <c r="L997" s="958"/>
      <c r="M997" s="958"/>
      <c r="N997" s="958"/>
      <c r="O997" s="958"/>
      <c r="P997" s="958"/>
      <c r="Q997" s="958"/>
      <c r="R997" s="958"/>
      <c r="S997" s="958"/>
      <c r="T997" s="958"/>
      <c r="U997" s="958"/>
      <c r="V997" s="958"/>
      <c r="W997" s="958"/>
      <c r="X997" s="958"/>
      <c r="Y997" s="958"/>
      <c r="Z997" s="958"/>
      <c r="AA997" s="958"/>
      <c r="AB997" s="958"/>
      <c r="AC997" s="958"/>
      <c r="AD997" s="958"/>
      <c r="AE997" s="958"/>
      <c r="AF997" s="958"/>
      <c r="AG997" s="958"/>
      <c r="AH997" s="958"/>
      <c r="AI997" s="958"/>
      <c r="AJ997" s="958"/>
      <c r="AK997" s="958"/>
      <c r="AM997" s="43"/>
      <c r="AN997" s="43"/>
      <c r="AO997" s="43"/>
      <c r="AP997" s="43"/>
      <c r="AQ997" s="43"/>
      <c r="AR997" s="43"/>
      <c r="AS997" s="43"/>
      <c r="AT997" s="43"/>
      <c r="AU997" s="43"/>
      <c r="AV997" s="43"/>
      <c r="AW997" s="43"/>
      <c r="AX997" s="43"/>
      <c r="AY997" s="43"/>
      <c r="AZ997" s="43"/>
      <c r="BA997" s="43"/>
      <c r="BB997" s="43"/>
      <c r="BC997" s="43"/>
      <c r="BD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row>
    <row r="998" spans="1:97" ht="12.95" hidden="1" customHeight="1">
      <c r="A998" s="86"/>
      <c r="B998" s="958"/>
      <c r="C998" s="958"/>
      <c r="D998" s="958"/>
      <c r="E998" s="958"/>
      <c r="F998" s="958"/>
      <c r="G998" s="958"/>
      <c r="H998" s="958"/>
      <c r="I998" s="958"/>
      <c r="J998" s="958"/>
      <c r="K998" s="958"/>
      <c r="L998" s="958"/>
      <c r="M998" s="958"/>
      <c r="N998" s="958"/>
      <c r="O998" s="958"/>
      <c r="P998" s="958"/>
      <c r="Q998" s="958"/>
      <c r="R998" s="958"/>
      <c r="S998" s="958"/>
      <c r="T998" s="958"/>
      <c r="U998" s="958"/>
      <c r="V998" s="958"/>
      <c r="W998" s="958"/>
      <c r="X998" s="958"/>
      <c r="Y998" s="958"/>
      <c r="Z998" s="958"/>
      <c r="AA998" s="958"/>
      <c r="AB998" s="958"/>
      <c r="AC998" s="958"/>
      <c r="AD998" s="958"/>
      <c r="AE998" s="958"/>
      <c r="AF998" s="958"/>
      <c r="AG998" s="958"/>
      <c r="AH998" s="958"/>
      <c r="AI998" s="958"/>
      <c r="AJ998" s="958"/>
      <c r="AK998" s="958"/>
      <c r="AM998" s="43"/>
      <c r="AN998" s="43"/>
      <c r="AO998" s="43"/>
      <c r="AP998" s="43"/>
      <c r="AQ998" s="43"/>
      <c r="AR998" s="43"/>
      <c r="AS998" s="43"/>
      <c r="AT998" s="43"/>
      <c r="AU998" s="43"/>
      <c r="AV998" s="43"/>
      <c r="AW998" s="43"/>
      <c r="AX998" s="43"/>
      <c r="AY998" s="43"/>
      <c r="AZ998" s="43"/>
      <c r="BA998" s="43"/>
      <c r="BB998" s="43"/>
      <c r="BC998" s="43"/>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row>
    <row r="999" spans="1:97" ht="12.95" customHeight="1">
      <c r="B999" s="1336"/>
      <c r="C999" s="1336"/>
      <c r="D999" s="1336"/>
      <c r="E999" s="1336"/>
      <c r="F999" s="1336"/>
      <c r="G999" s="1336"/>
      <c r="H999" s="1336"/>
      <c r="I999" s="1336"/>
      <c r="J999" s="1336"/>
      <c r="K999" s="1336"/>
      <c r="L999" s="1336"/>
      <c r="M999" s="1336"/>
      <c r="N999" s="1336"/>
      <c r="O999" s="1336"/>
      <c r="P999" s="1336"/>
      <c r="Q999" s="1336"/>
      <c r="R999" s="1336"/>
      <c r="S999" s="1336"/>
      <c r="T999" s="1336"/>
      <c r="U999" s="1336"/>
      <c r="V999" s="1336"/>
      <c r="W999" s="1336"/>
      <c r="X999" s="1336"/>
      <c r="Y999" s="1336"/>
      <c r="Z999" s="1336"/>
      <c r="AA999" s="1336"/>
      <c r="AB999" s="1336"/>
      <c r="AC999" s="1336"/>
      <c r="AD999" s="1336"/>
      <c r="AE999" s="1336"/>
      <c r="AF999" s="1336"/>
      <c r="AG999" s="1336"/>
      <c r="AH999" s="1336"/>
      <c r="AI999" s="1336"/>
      <c r="AJ999" s="1336"/>
      <c r="AK999" s="1336"/>
      <c r="AM999" s="43"/>
      <c r="AN999" s="43"/>
      <c r="AO999" s="43"/>
      <c r="AP999" s="43"/>
      <c r="AQ999" s="43"/>
      <c r="AR999" s="43"/>
      <c r="AS999" s="43"/>
      <c r="AT999" s="43"/>
      <c r="AU999" s="43"/>
      <c r="AV999" s="43"/>
      <c r="AW999" s="43"/>
      <c r="AX999" s="43"/>
      <c r="AY999" s="43"/>
      <c r="AZ999" s="43"/>
      <c r="BA999" s="43"/>
      <c r="BB999" s="43"/>
      <c r="BC999" s="43"/>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row>
    <row r="1000" spans="1:97" ht="12.95" customHeight="1" thickBot="1">
      <c r="A1000" s="1140" t="s">
        <v>1032</v>
      </c>
      <c r="B1000" s="1140"/>
      <c r="C1000" s="1140"/>
      <c r="D1000" s="1140"/>
      <c r="E1000" s="1140"/>
      <c r="F1000" s="1140"/>
      <c r="G1000" s="1140"/>
      <c r="H1000" s="1140"/>
      <c r="I1000" s="1140"/>
      <c r="J1000" s="1140"/>
      <c r="K1000" s="1140"/>
      <c r="L1000" s="1140"/>
      <c r="M1000" s="1140"/>
      <c r="N1000" s="1140"/>
      <c r="O1000" s="1140"/>
      <c r="P1000" s="1140"/>
      <c r="Q1000" s="1140"/>
      <c r="R1000" s="1140"/>
      <c r="S1000" s="1140"/>
      <c r="T1000" s="1140"/>
      <c r="U1000" s="1140"/>
      <c r="V1000" s="1140"/>
      <c r="W1000" s="1140"/>
      <c r="X1000" s="1140"/>
      <c r="Y1000" s="1140"/>
      <c r="Z1000" s="1140"/>
      <c r="AA1000" s="1140"/>
      <c r="AB1000" s="1140"/>
      <c r="AC1000" s="1140"/>
      <c r="AD1000" s="1140"/>
      <c r="AE1000" s="1140"/>
      <c r="AF1000" s="1140"/>
      <c r="AG1000" s="1140"/>
      <c r="AH1000" s="1140"/>
      <c r="AI1000" s="1140"/>
      <c r="AJ1000" s="1140"/>
      <c r="AK1000" s="1140"/>
      <c r="AM1000" s="43"/>
      <c r="AN1000" s="43"/>
      <c r="AO1000" s="43"/>
      <c r="AP1000" s="43"/>
      <c r="AQ1000" s="43"/>
      <c r="AR1000" s="43"/>
      <c r="AS1000" s="43"/>
      <c r="AT1000" s="43"/>
      <c r="AU1000" s="43"/>
      <c r="AV1000" s="43"/>
      <c r="AW1000" s="43"/>
      <c r="AX1000" s="43"/>
      <c r="AY1000" s="43"/>
      <c r="AZ1000" s="43"/>
      <c r="BA1000" s="43"/>
      <c r="BB1000" s="43"/>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row>
    <row r="1001" spans="1:97" ht="12.95" customHeight="1" thickTop="1">
      <c r="A1001" s="18"/>
      <c r="B1001" s="18"/>
      <c r="C1001" s="18"/>
      <c r="D1001" s="18"/>
      <c r="E1001" s="18"/>
      <c r="F1001" s="18"/>
      <c r="G1001" s="18"/>
      <c r="H1001" s="18"/>
      <c r="I1001" s="18"/>
      <c r="J1001" s="18"/>
      <c r="K1001" s="18"/>
      <c r="L1001" s="18"/>
      <c r="M1001" s="18"/>
      <c r="N1001" s="18"/>
      <c r="O1001" s="18"/>
      <c r="P1001" s="18"/>
      <c r="Q1001" s="18"/>
      <c r="R1001" s="18"/>
      <c r="S1001" s="18"/>
      <c r="T1001" s="18"/>
      <c r="U1001" s="18"/>
      <c r="V1001" s="18"/>
      <c r="W1001" s="18"/>
      <c r="X1001" s="18"/>
      <c r="Y1001" s="18"/>
      <c r="Z1001" s="18"/>
      <c r="AA1001" s="18"/>
      <c r="AB1001" s="18"/>
      <c r="AC1001" s="18"/>
      <c r="AD1001" s="18"/>
      <c r="AE1001" s="18"/>
      <c r="AF1001" s="18"/>
      <c r="AG1001" s="18"/>
      <c r="AH1001" s="18"/>
      <c r="AI1001" s="18"/>
      <c r="AJ1001" s="18"/>
      <c r="AK1001" s="18"/>
      <c r="AM1001" s="43"/>
      <c r="AN1001" s="43"/>
      <c r="AO1001" s="43"/>
      <c r="AP1001" s="43"/>
      <c r="AQ1001" s="43"/>
      <c r="AR1001" s="43"/>
      <c r="AS1001" s="43"/>
      <c r="AT1001" s="43"/>
      <c r="AU1001" s="43"/>
      <c r="AV1001" s="43"/>
      <c r="AW1001" s="43"/>
      <c r="AX1001" s="43"/>
      <c r="AY1001" s="43"/>
      <c r="AZ1001" s="43"/>
      <c r="BA1001" s="43"/>
      <c r="BB1001" s="43"/>
      <c r="BC1001" s="43"/>
      <c r="BD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row>
    <row r="1002" spans="1:97" ht="12.95" customHeight="1">
      <c r="A1002" s="63" t="s">
        <v>1033</v>
      </c>
      <c r="B1002" s="18"/>
      <c r="C1002" s="18"/>
      <c r="D1002" s="18"/>
      <c r="E1002" s="18"/>
      <c r="F1002" s="18"/>
      <c r="G1002" s="18"/>
      <c r="H1002" s="18"/>
      <c r="I1002" s="18"/>
      <c r="J1002" s="18"/>
      <c r="K1002" s="18"/>
      <c r="L1002" s="18"/>
      <c r="M1002" s="18"/>
      <c r="N1002" s="18"/>
      <c r="O1002" s="18"/>
      <c r="P1002" s="18"/>
      <c r="Q1002" s="18"/>
      <c r="R1002" s="18"/>
      <c r="S1002" s="18"/>
      <c r="T1002" s="18"/>
      <c r="U1002" s="18"/>
      <c r="V1002" s="18"/>
      <c r="W1002" s="18"/>
      <c r="X1002" s="18"/>
      <c r="Y1002" s="18"/>
      <c r="Z1002" s="18"/>
      <c r="AA1002" s="18"/>
      <c r="AB1002" s="18"/>
      <c r="AC1002" s="18"/>
      <c r="AD1002" s="18"/>
      <c r="AE1002" s="18"/>
      <c r="AF1002" s="18"/>
      <c r="AG1002" s="18"/>
      <c r="AH1002" s="18"/>
      <c r="AI1002" s="18"/>
      <c r="AJ1002" s="18"/>
      <c r="AK1002" s="18"/>
      <c r="AM1002" s="43"/>
      <c r="AN1002" s="43"/>
      <c r="AO1002" s="43"/>
      <c r="AP1002" s="43"/>
      <c r="AQ1002" s="43"/>
      <c r="AR1002" s="43"/>
      <c r="AS1002" s="43"/>
      <c r="AT1002" s="43"/>
      <c r="AU1002" s="43"/>
      <c r="AV1002" s="43"/>
      <c r="AW1002" s="43"/>
      <c r="AX1002" s="43"/>
      <c r="AY1002" s="43"/>
      <c r="AZ1002" s="43"/>
      <c r="BA1002" s="43"/>
      <c r="BB1002" s="43"/>
      <c r="BC1002" s="43"/>
      <c r="BD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row>
    <row r="1003" spans="1:97" ht="12.95" customHeight="1">
      <c r="A1003" s="266" t="s">
        <v>1034</v>
      </c>
      <c r="B1003" s="73"/>
      <c r="C1003" s="73"/>
      <c r="D1003" s="73"/>
      <c r="E1003" s="73"/>
      <c r="F1003" s="73"/>
      <c r="G1003" s="73"/>
      <c r="H1003" s="73"/>
      <c r="I1003" s="73"/>
      <c r="J1003" s="73"/>
      <c r="K1003" s="73"/>
      <c r="L1003" s="73"/>
      <c r="M1003" s="73"/>
      <c r="N1003" s="73"/>
      <c r="O1003" s="73"/>
      <c r="P1003" s="73"/>
      <c r="Q1003" s="18"/>
      <c r="R1003" s="18"/>
      <c r="S1003" s="18"/>
      <c r="T1003" s="18"/>
      <c r="U1003" s="18"/>
      <c r="V1003" s="18"/>
      <c r="W1003" s="18"/>
      <c r="X1003" s="18"/>
      <c r="Y1003" s="18"/>
      <c r="Z1003" s="18"/>
      <c r="AA1003" s="18"/>
      <c r="AB1003" s="18"/>
      <c r="AC1003" s="18"/>
      <c r="AJ1003" s="21"/>
      <c r="AK1003" s="21"/>
      <c r="AM1003" s="43"/>
      <c r="AN1003" s="43"/>
      <c r="AO1003" s="43"/>
      <c r="AP1003" s="43"/>
      <c r="AQ1003" s="43"/>
      <c r="AR1003" s="43"/>
      <c r="AS1003" s="43"/>
      <c r="AT1003" s="43"/>
      <c r="AU1003" s="43"/>
      <c r="AV1003" s="43"/>
      <c r="AW1003" s="43"/>
      <c r="AX1003" s="43"/>
      <c r="AY1003" s="43"/>
      <c r="AZ1003" s="43"/>
      <c r="BA1003" s="43"/>
      <c r="BB1003" s="43"/>
      <c r="BC1003" s="43"/>
      <c r="BD1003" s="43"/>
      <c r="BE1003" s="43"/>
      <c r="BF1003" s="43"/>
      <c r="BG1003" s="43"/>
      <c r="BH1003" s="43"/>
      <c r="BI1003" s="43"/>
      <c r="BJ1003" s="43"/>
      <c r="BK1003" s="43"/>
      <c r="BL1003" s="43"/>
      <c r="BM1003" s="43"/>
      <c r="BN1003" s="43"/>
      <c r="BO1003" s="43"/>
      <c r="BP1003" s="43"/>
      <c r="BQ1003" s="43"/>
      <c r="BR1003" s="43"/>
      <c r="BS1003" s="43"/>
      <c r="BT1003" s="43"/>
      <c r="BU1003" s="43"/>
      <c r="BV1003" s="43"/>
      <c r="BW1003" s="43"/>
      <c r="BX1003" s="43"/>
      <c r="BY1003" s="43"/>
      <c r="BZ1003" s="43"/>
      <c r="CA1003" s="43"/>
      <c r="CB1003" s="43"/>
      <c r="CC1003" s="43"/>
      <c r="CD1003" s="43"/>
      <c r="CE1003" s="43"/>
      <c r="CF1003" s="43"/>
      <c r="CG1003" s="43"/>
      <c r="CH1003" s="43"/>
      <c r="CI1003" s="43"/>
      <c r="CJ1003" s="43"/>
      <c r="CK1003" s="43"/>
      <c r="CL1003" s="43"/>
      <c r="CM1003" s="43"/>
      <c r="CN1003" s="43"/>
      <c r="CO1003" s="43"/>
      <c r="CP1003" s="43"/>
      <c r="CQ1003" s="43"/>
      <c r="CR1003" s="43"/>
      <c r="CS1003" s="43"/>
    </row>
    <row r="1004" spans="1:97" s="21" customFormat="1" ht="12.95" customHeight="1">
      <c r="A1004" s="1113" t="s">
        <v>132</v>
      </c>
      <c r="B1004" s="1113"/>
      <c r="C1004" s="12">
        <v>1</v>
      </c>
      <c r="D1004" s="976" t="s">
        <v>1585</v>
      </c>
      <c r="E1004" s="976"/>
      <c r="F1004" s="976"/>
      <c r="G1004" s="976"/>
      <c r="H1004" s="976"/>
      <c r="I1004" s="976"/>
      <c r="J1004" s="976"/>
      <c r="K1004" s="976"/>
      <c r="L1004" s="976"/>
      <c r="M1004" s="976"/>
      <c r="N1004" s="976"/>
      <c r="O1004" s="976"/>
      <c r="P1004" s="976"/>
      <c r="Q1004" s="976"/>
      <c r="R1004" s="976"/>
      <c r="S1004" s="976"/>
      <c r="T1004" s="976"/>
      <c r="U1004" s="976"/>
      <c r="V1004" s="976"/>
      <c r="W1004" s="976"/>
      <c r="X1004" s="976"/>
      <c r="Y1004" s="976"/>
      <c r="Z1004" s="976"/>
      <c r="AA1004" s="976"/>
      <c r="AB1004" s="976"/>
      <c r="AC1004" s="976"/>
      <c r="AD1004" s="976"/>
      <c r="AE1004" s="976"/>
      <c r="AF1004" s="976"/>
      <c r="AG1004" s="976"/>
      <c r="AH1004" s="976"/>
      <c r="AI1004" s="976"/>
      <c r="AJ1004" s="976"/>
      <c r="AK1004" s="976"/>
      <c r="AL1004"/>
      <c r="AM1004" s="38"/>
      <c r="AN1004" s="38"/>
      <c r="BO1004" s="76"/>
      <c r="BP1004" s="76"/>
      <c r="BQ1004" s="76"/>
      <c r="BR1004" s="76"/>
      <c r="BS1004" s="76"/>
      <c r="BT1004" s="76"/>
      <c r="BU1004" s="76"/>
      <c r="BV1004" s="76"/>
      <c r="BW1004" s="76"/>
      <c r="BX1004" s="76"/>
      <c r="BY1004" s="76"/>
      <c r="BZ1004" s="76"/>
      <c r="CA1004" s="76"/>
      <c r="CB1004" s="76"/>
      <c r="CC1004" s="76"/>
      <c r="CD1004" s="76"/>
      <c r="CE1004" s="76"/>
      <c r="CF1004" s="76"/>
      <c r="CG1004" s="76"/>
      <c r="CH1004" s="76"/>
      <c r="CI1004" s="76"/>
      <c r="CJ1004" s="76"/>
      <c r="CK1004" s="76"/>
      <c r="CL1004" s="76"/>
      <c r="CM1004" s="76"/>
      <c r="CN1004" s="76"/>
      <c r="CO1004" s="76"/>
      <c r="CP1004" s="76"/>
      <c r="CQ1004" s="76"/>
      <c r="CR1004" s="76"/>
      <c r="CS1004" s="76"/>
    </row>
    <row r="1005" spans="1:97" s="21" customFormat="1" ht="12.95" customHeight="1">
      <c r="A1005" s="1"/>
      <c r="B1005" s="1"/>
      <c r="C1005" s="12"/>
      <c r="D1005" s="976"/>
      <c r="E1005" s="976"/>
      <c r="F1005" s="976"/>
      <c r="G1005" s="976"/>
      <c r="H1005" s="976"/>
      <c r="I1005" s="976"/>
      <c r="J1005" s="976"/>
      <c r="K1005" s="976"/>
      <c r="L1005" s="976"/>
      <c r="M1005" s="976"/>
      <c r="N1005" s="976"/>
      <c r="O1005" s="976"/>
      <c r="P1005" s="976"/>
      <c r="Q1005" s="976"/>
      <c r="R1005" s="976"/>
      <c r="S1005" s="976"/>
      <c r="T1005" s="976"/>
      <c r="U1005" s="976"/>
      <c r="V1005" s="976"/>
      <c r="W1005" s="976"/>
      <c r="X1005" s="976"/>
      <c r="Y1005" s="976"/>
      <c r="Z1005" s="976"/>
      <c r="AA1005" s="976"/>
      <c r="AB1005" s="976"/>
      <c r="AC1005" s="976"/>
      <c r="AD1005" s="976"/>
      <c r="AE1005" s="976"/>
      <c r="AF1005" s="976"/>
      <c r="AG1005" s="976"/>
      <c r="AH1005" s="976"/>
      <c r="AI1005" s="976"/>
      <c r="AJ1005" s="976"/>
      <c r="AK1005" s="976"/>
      <c r="AL1005"/>
      <c r="AM1005" s="38"/>
      <c r="AN1005" s="38"/>
      <c r="BO1005" s="76"/>
      <c r="BP1005" s="76"/>
      <c r="BQ1005" s="76"/>
      <c r="BR1005" s="76"/>
      <c r="BS1005" s="76"/>
      <c r="BT1005" s="76"/>
      <c r="BU1005" s="76"/>
      <c r="BV1005" s="76"/>
      <c r="BW1005" s="76"/>
      <c r="BX1005" s="76"/>
      <c r="BY1005" s="76"/>
      <c r="BZ1005" s="76"/>
      <c r="CA1005" s="76"/>
      <c r="CB1005" s="76"/>
      <c r="CC1005" s="76"/>
      <c r="CD1005" s="76"/>
      <c r="CE1005" s="76"/>
      <c r="CF1005" s="76"/>
      <c r="CG1005" s="76"/>
      <c r="CH1005" s="76"/>
      <c r="CI1005" s="76"/>
      <c r="CJ1005" s="76"/>
      <c r="CK1005" s="76"/>
      <c r="CL1005" s="76"/>
      <c r="CM1005" s="76"/>
      <c r="CN1005" s="76"/>
      <c r="CO1005" s="76"/>
      <c r="CP1005" s="76"/>
      <c r="CQ1005" s="76"/>
      <c r="CR1005" s="76"/>
      <c r="CS1005" s="76"/>
    </row>
    <row r="1006" spans="1:97" s="21" customFormat="1" ht="12.95" customHeight="1">
      <c r="A1006" s="1"/>
      <c r="B1006" s="1"/>
      <c r="C1006" s="12"/>
      <c r="D1006" s="976"/>
      <c r="E1006" s="976"/>
      <c r="F1006" s="976"/>
      <c r="G1006" s="976"/>
      <c r="H1006" s="976"/>
      <c r="I1006" s="976"/>
      <c r="J1006" s="976"/>
      <c r="K1006" s="976"/>
      <c r="L1006" s="976"/>
      <c r="M1006" s="976"/>
      <c r="N1006" s="976"/>
      <c r="O1006" s="976"/>
      <c r="P1006" s="976"/>
      <c r="Q1006" s="976"/>
      <c r="R1006" s="976"/>
      <c r="S1006" s="976"/>
      <c r="T1006" s="976"/>
      <c r="U1006" s="976"/>
      <c r="V1006" s="976"/>
      <c r="W1006" s="976"/>
      <c r="X1006" s="976"/>
      <c r="Y1006" s="976"/>
      <c r="Z1006" s="976"/>
      <c r="AA1006" s="976"/>
      <c r="AB1006" s="976"/>
      <c r="AC1006" s="976"/>
      <c r="AD1006" s="976"/>
      <c r="AE1006" s="976"/>
      <c r="AF1006" s="976"/>
      <c r="AG1006" s="976"/>
      <c r="AH1006" s="976"/>
      <c r="AI1006" s="976"/>
      <c r="AJ1006" s="976"/>
      <c r="AK1006" s="976"/>
      <c r="AL1006"/>
      <c r="AM1006" s="38"/>
      <c r="AN1006" s="38"/>
      <c r="BO1006" s="76"/>
      <c r="BP1006" s="76"/>
      <c r="BQ1006" s="76"/>
      <c r="BR1006" s="76"/>
      <c r="BS1006" s="76"/>
      <c r="BT1006" s="76"/>
      <c r="BU1006" s="76"/>
      <c r="BV1006" s="76"/>
      <c r="BW1006" s="76"/>
      <c r="BX1006" s="76"/>
      <c r="BY1006" s="76"/>
      <c r="BZ1006" s="76"/>
      <c r="CA1006" s="76"/>
      <c r="CB1006" s="76"/>
      <c r="CC1006" s="76"/>
      <c r="CD1006" s="76"/>
      <c r="CE1006" s="76"/>
      <c r="CF1006" s="76"/>
      <c r="CG1006" s="76"/>
      <c r="CH1006" s="76"/>
      <c r="CI1006" s="76"/>
      <c r="CJ1006" s="76"/>
      <c r="CK1006" s="76"/>
      <c r="CL1006" s="76"/>
      <c r="CM1006" s="76"/>
      <c r="CN1006" s="76"/>
      <c r="CO1006" s="76"/>
      <c r="CP1006" s="76"/>
      <c r="CQ1006" s="76"/>
      <c r="CR1006" s="76"/>
      <c r="CS1006" s="76"/>
    </row>
    <row r="1007" spans="1:97" s="21" customFormat="1" ht="12.95" customHeight="1">
      <c r="A1007" s="1"/>
      <c r="B1007" s="1"/>
      <c r="C1007" s="12"/>
      <c r="D1007" s="976"/>
      <c r="E1007" s="976"/>
      <c r="F1007" s="976"/>
      <c r="G1007" s="976"/>
      <c r="H1007" s="976"/>
      <c r="I1007" s="976"/>
      <c r="J1007" s="976"/>
      <c r="K1007" s="976"/>
      <c r="L1007" s="976"/>
      <c r="M1007" s="976"/>
      <c r="N1007" s="976"/>
      <c r="O1007" s="976"/>
      <c r="P1007" s="976"/>
      <c r="Q1007" s="976"/>
      <c r="R1007" s="976"/>
      <c r="S1007" s="976"/>
      <c r="T1007" s="976"/>
      <c r="U1007" s="976"/>
      <c r="V1007" s="976"/>
      <c r="W1007" s="976"/>
      <c r="X1007" s="976"/>
      <c r="Y1007" s="976"/>
      <c r="Z1007" s="976"/>
      <c r="AA1007" s="976"/>
      <c r="AB1007" s="976"/>
      <c r="AC1007" s="976"/>
      <c r="AD1007" s="976"/>
      <c r="AE1007" s="976"/>
      <c r="AF1007" s="976"/>
      <c r="AG1007" s="976"/>
      <c r="AH1007" s="976"/>
      <c r="AI1007" s="976"/>
      <c r="AJ1007" s="976"/>
      <c r="AK1007" s="976"/>
      <c r="AL1007"/>
      <c r="AM1007" s="38"/>
      <c r="AN1007" s="38"/>
      <c r="BO1007" s="76"/>
      <c r="BP1007" s="76"/>
      <c r="BQ1007" s="76"/>
      <c r="BR1007" s="76"/>
      <c r="BS1007" s="76"/>
      <c r="BT1007" s="76"/>
      <c r="BU1007" s="76"/>
      <c r="BV1007" s="76"/>
      <c r="BW1007" s="76"/>
      <c r="BX1007" s="76"/>
      <c r="BY1007" s="76"/>
      <c r="BZ1007" s="76"/>
      <c r="CA1007" s="76"/>
      <c r="CB1007" s="76"/>
      <c r="CC1007" s="76"/>
      <c r="CD1007" s="76"/>
      <c r="CE1007" s="76"/>
      <c r="CF1007" s="76"/>
      <c r="CG1007" s="76"/>
      <c r="CH1007" s="76"/>
      <c r="CI1007" s="76"/>
      <c r="CJ1007" s="76"/>
      <c r="CK1007" s="76"/>
      <c r="CL1007" s="76"/>
      <c r="CM1007" s="76"/>
      <c r="CN1007" s="76"/>
      <c r="CO1007" s="76"/>
      <c r="CP1007" s="76"/>
      <c r="CQ1007" s="76"/>
      <c r="CR1007" s="76"/>
      <c r="CS1007" s="76"/>
    </row>
    <row r="1008" spans="1:97" s="21" customFormat="1" ht="12.95" customHeight="1">
      <c r="A1008" s="1"/>
      <c r="B1008" s="1"/>
      <c r="C1008" s="12"/>
      <c r="D1008" s="976"/>
      <c r="E1008" s="976"/>
      <c r="F1008" s="976"/>
      <c r="G1008" s="976"/>
      <c r="H1008" s="976"/>
      <c r="I1008" s="976"/>
      <c r="J1008" s="976"/>
      <c r="K1008" s="976"/>
      <c r="L1008" s="976"/>
      <c r="M1008" s="976"/>
      <c r="N1008" s="976"/>
      <c r="O1008" s="976"/>
      <c r="P1008" s="976"/>
      <c r="Q1008" s="976"/>
      <c r="R1008" s="976"/>
      <c r="S1008" s="976"/>
      <c r="T1008" s="976"/>
      <c r="U1008" s="976"/>
      <c r="V1008" s="976"/>
      <c r="W1008" s="976"/>
      <c r="X1008" s="976"/>
      <c r="Y1008" s="976"/>
      <c r="Z1008" s="976"/>
      <c r="AA1008" s="976"/>
      <c r="AB1008" s="976"/>
      <c r="AC1008" s="976"/>
      <c r="AD1008" s="976"/>
      <c r="AE1008" s="976"/>
      <c r="AF1008" s="976"/>
      <c r="AG1008" s="976"/>
      <c r="AH1008" s="976"/>
      <c r="AI1008" s="976"/>
      <c r="AJ1008" s="976"/>
      <c r="AK1008" s="976"/>
      <c r="AL1008"/>
      <c r="AM1008" s="38"/>
      <c r="AN1008" s="38"/>
      <c r="BO1008" s="76"/>
      <c r="BP1008" s="76"/>
      <c r="BQ1008" s="76"/>
      <c r="BR1008" s="76"/>
      <c r="BS1008" s="76"/>
      <c r="BT1008" s="76"/>
      <c r="BU1008" s="76"/>
      <c r="BV1008" s="76"/>
      <c r="BW1008" s="76"/>
      <c r="BX1008" s="76"/>
      <c r="BY1008" s="76"/>
      <c r="BZ1008" s="76"/>
      <c r="CA1008" s="76"/>
      <c r="CB1008" s="76"/>
      <c r="CC1008" s="76"/>
      <c r="CD1008" s="76"/>
      <c r="CE1008" s="76"/>
      <c r="CF1008" s="76"/>
      <c r="CG1008" s="76"/>
      <c r="CH1008" s="76"/>
      <c r="CI1008" s="76"/>
      <c r="CJ1008" s="76"/>
      <c r="CK1008" s="76"/>
      <c r="CL1008" s="76"/>
      <c r="CM1008" s="76"/>
      <c r="CN1008" s="76"/>
      <c r="CO1008" s="76"/>
      <c r="CP1008" s="76"/>
      <c r="CQ1008" s="76"/>
      <c r="CR1008" s="76"/>
      <c r="CS1008" s="76"/>
    </row>
    <row r="1009" spans="1:97" s="21" customFormat="1" ht="12.95" customHeight="1">
      <c r="A1009" s="3"/>
      <c r="B1009" s="32"/>
      <c r="C1009" s="12"/>
      <c r="D1009" s="976"/>
      <c r="E1009" s="976"/>
      <c r="F1009" s="976"/>
      <c r="G1009" s="976"/>
      <c r="H1009" s="976"/>
      <c r="I1009" s="976"/>
      <c r="J1009" s="976"/>
      <c r="K1009" s="976"/>
      <c r="L1009" s="976"/>
      <c r="M1009" s="976"/>
      <c r="N1009" s="976"/>
      <c r="O1009" s="976"/>
      <c r="P1009" s="976"/>
      <c r="Q1009" s="976"/>
      <c r="R1009" s="976"/>
      <c r="S1009" s="976"/>
      <c r="T1009" s="976"/>
      <c r="U1009" s="976"/>
      <c r="V1009" s="976"/>
      <c r="W1009" s="976"/>
      <c r="X1009" s="976"/>
      <c r="Y1009" s="976"/>
      <c r="Z1009" s="976"/>
      <c r="AA1009" s="976"/>
      <c r="AB1009" s="976"/>
      <c r="AC1009" s="976"/>
      <c r="AD1009" s="976"/>
      <c r="AE1009" s="976"/>
      <c r="AF1009" s="976"/>
      <c r="AG1009" s="976"/>
      <c r="AH1009" s="976"/>
      <c r="AI1009" s="976"/>
      <c r="AJ1009" s="976"/>
      <c r="AK1009" s="976"/>
      <c r="AL1009"/>
      <c r="AM1009" s="38"/>
      <c r="AN1009" s="38"/>
      <c r="BO1009" s="76"/>
      <c r="BP1009" s="76"/>
      <c r="BQ1009" s="76"/>
      <c r="BR1009" s="76"/>
      <c r="BS1009" s="76"/>
      <c r="BT1009" s="76"/>
      <c r="BU1009" s="76"/>
      <c r="BV1009" s="76"/>
      <c r="BW1009" s="76"/>
      <c r="BX1009" s="76"/>
      <c r="BY1009" s="76"/>
      <c r="BZ1009" s="76"/>
      <c r="CA1009" s="76"/>
      <c r="CB1009" s="76"/>
      <c r="CC1009" s="76"/>
      <c r="CD1009" s="76"/>
      <c r="CE1009" s="76"/>
      <c r="CF1009" s="76"/>
      <c r="CG1009" s="76"/>
      <c r="CH1009" s="76"/>
      <c r="CI1009" s="76"/>
      <c r="CJ1009" s="76"/>
      <c r="CK1009" s="76"/>
      <c r="CL1009" s="76"/>
      <c r="CM1009" s="76"/>
      <c r="CN1009" s="76"/>
      <c r="CO1009" s="76"/>
      <c r="CP1009" s="76"/>
      <c r="CQ1009" s="76"/>
      <c r="CR1009" s="76"/>
      <c r="CS1009" s="76"/>
    </row>
    <row r="1010" spans="1:97" s="21" customFormat="1" ht="12.95" customHeight="1">
      <c r="A1010" s="1113" t="s">
        <v>132</v>
      </c>
      <c r="B1010" s="1113"/>
      <c r="C1010" s="12">
        <v>2</v>
      </c>
      <c r="D1010" s="970" t="s">
        <v>1586</v>
      </c>
      <c r="E1010" s="976"/>
      <c r="F1010" s="976"/>
      <c r="G1010" s="976"/>
      <c r="H1010" s="976"/>
      <c r="I1010" s="976"/>
      <c r="J1010" s="976"/>
      <c r="K1010" s="976"/>
      <c r="L1010" s="976"/>
      <c r="M1010" s="976"/>
      <c r="N1010" s="976"/>
      <c r="O1010" s="976"/>
      <c r="P1010" s="976"/>
      <c r="Q1010" s="976"/>
      <c r="R1010" s="976"/>
      <c r="S1010" s="976"/>
      <c r="T1010" s="976"/>
      <c r="U1010" s="976"/>
      <c r="V1010" s="976"/>
      <c r="W1010" s="976"/>
      <c r="X1010" s="976"/>
      <c r="Y1010" s="976"/>
      <c r="Z1010" s="976"/>
      <c r="AA1010" s="976"/>
      <c r="AB1010" s="976"/>
      <c r="AC1010" s="976"/>
      <c r="AD1010" s="976"/>
      <c r="AE1010" s="976"/>
      <c r="AF1010" s="976"/>
      <c r="AG1010" s="976"/>
      <c r="AH1010" s="976"/>
      <c r="AI1010" s="976"/>
      <c r="AJ1010" s="976"/>
      <c r="AK1010" s="976"/>
      <c r="AL1010"/>
      <c r="AM1010" s="38"/>
      <c r="AN1010" s="38"/>
      <c r="BO1010" s="76"/>
      <c r="BP1010" s="76"/>
      <c r="BQ1010" s="76"/>
      <c r="BR1010" s="76"/>
      <c r="BS1010" s="76"/>
      <c r="BT1010" s="76"/>
      <c r="BU1010" s="76"/>
      <c r="BV1010" s="76"/>
      <c r="BW1010" s="76"/>
      <c r="BX1010" s="76"/>
      <c r="BY1010" s="76"/>
      <c r="BZ1010" s="76"/>
      <c r="CA1010" s="76"/>
      <c r="CB1010" s="76"/>
      <c r="CC1010" s="76"/>
      <c r="CD1010" s="76"/>
      <c r="CE1010" s="76"/>
      <c r="CF1010" s="76"/>
      <c r="CG1010" s="76"/>
      <c r="CH1010" s="76"/>
      <c r="CI1010" s="76"/>
      <c r="CJ1010" s="76"/>
      <c r="CK1010" s="76"/>
      <c r="CL1010" s="76"/>
      <c r="CM1010" s="76"/>
      <c r="CN1010" s="76"/>
      <c r="CO1010" s="76"/>
      <c r="CP1010" s="76"/>
      <c r="CQ1010" s="76"/>
      <c r="CR1010" s="76"/>
      <c r="CS1010" s="76"/>
    </row>
    <row r="1011" spans="1:97" s="21" customFormat="1" ht="12.95" customHeight="1">
      <c r="A1011" s="1"/>
      <c r="B1011" s="1"/>
      <c r="C1011" s="12"/>
      <c r="D1011" s="976"/>
      <c r="E1011" s="976"/>
      <c r="F1011" s="976"/>
      <c r="G1011" s="976"/>
      <c r="H1011" s="976"/>
      <c r="I1011" s="976"/>
      <c r="J1011" s="976"/>
      <c r="K1011" s="976"/>
      <c r="L1011" s="976"/>
      <c r="M1011" s="976"/>
      <c r="N1011" s="976"/>
      <c r="O1011" s="976"/>
      <c r="P1011" s="976"/>
      <c r="Q1011" s="976"/>
      <c r="R1011" s="976"/>
      <c r="S1011" s="976"/>
      <c r="T1011" s="976"/>
      <c r="U1011" s="976"/>
      <c r="V1011" s="976"/>
      <c r="W1011" s="976"/>
      <c r="X1011" s="976"/>
      <c r="Y1011" s="976"/>
      <c r="Z1011" s="976"/>
      <c r="AA1011" s="976"/>
      <c r="AB1011" s="976"/>
      <c r="AC1011" s="976"/>
      <c r="AD1011" s="976"/>
      <c r="AE1011" s="976"/>
      <c r="AF1011" s="976"/>
      <c r="AG1011" s="976"/>
      <c r="AH1011" s="976"/>
      <c r="AI1011" s="976"/>
      <c r="AJ1011" s="976"/>
      <c r="AK1011" s="976"/>
      <c r="AL1011"/>
      <c r="AM1011" s="38"/>
      <c r="AN1011" s="38"/>
      <c r="BO1011" s="76"/>
      <c r="BP1011" s="76"/>
      <c r="BQ1011" s="76"/>
      <c r="BR1011" s="76"/>
      <c r="BS1011" s="76"/>
      <c r="BT1011" s="76"/>
      <c r="BU1011" s="76"/>
      <c r="BV1011" s="76"/>
      <c r="BW1011" s="76"/>
      <c r="BX1011" s="76"/>
      <c r="BY1011" s="76"/>
      <c r="BZ1011" s="76"/>
      <c r="CA1011" s="76"/>
      <c r="CB1011" s="76"/>
      <c r="CC1011" s="76"/>
      <c r="CD1011" s="76"/>
      <c r="CE1011" s="76"/>
      <c r="CF1011" s="76"/>
      <c r="CG1011" s="76"/>
      <c r="CH1011" s="76"/>
      <c r="CI1011" s="76"/>
      <c r="CJ1011" s="76"/>
      <c r="CK1011" s="76"/>
      <c r="CL1011" s="76"/>
      <c r="CM1011" s="76"/>
      <c r="CN1011" s="76"/>
      <c r="CO1011" s="76"/>
      <c r="CP1011" s="76"/>
      <c r="CQ1011" s="76"/>
      <c r="CR1011" s="76"/>
      <c r="CS1011" s="76"/>
    </row>
    <row r="1012" spans="1:97" s="21" customFormat="1" ht="12.95" customHeight="1">
      <c r="A1012" s="1"/>
      <c r="B1012" s="1"/>
      <c r="C1012" s="12"/>
      <c r="D1012" s="976"/>
      <c r="E1012" s="976"/>
      <c r="F1012" s="976"/>
      <c r="G1012" s="976"/>
      <c r="H1012" s="976"/>
      <c r="I1012" s="976"/>
      <c r="J1012" s="976"/>
      <c r="K1012" s="976"/>
      <c r="L1012" s="976"/>
      <c r="M1012" s="976"/>
      <c r="N1012" s="976"/>
      <c r="O1012" s="976"/>
      <c r="P1012" s="976"/>
      <c r="Q1012" s="976"/>
      <c r="R1012" s="976"/>
      <c r="S1012" s="976"/>
      <c r="T1012" s="976"/>
      <c r="U1012" s="976"/>
      <c r="V1012" s="976"/>
      <c r="W1012" s="976"/>
      <c r="X1012" s="976"/>
      <c r="Y1012" s="976"/>
      <c r="Z1012" s="976"/>
      <c r="AA1012" s="976"/>
      <c r="AB1012" s="976"/>
      <c r="AC1012" s="976"/>
      <c r="AD1012" s="976"/>
      <c r="AE1012" s="976"/>
      <c r="AF1012" s="976"/>
      <c r="AG1012" s="976"/>
      <c r="AH1012" s="976"/>
      <c r="AI1012" s="976"/>
      <c r="AJ1012" s="976"/>
      <c r="AK1012" s="976"/>
      <c r="AL1012"/>
      <c r="BO1012" s="76"/>
      <c r="BP1012" s="76"/>
      <c r="BQ1012" s="76"/>
      <c r="BR1012" s="76"/>
      <c r="BS1012" s="76"/>
      <c r="BT1012" s="76"/>
      <c r="BU1012" s="76"/>
      <c r="BV1012" s="76"/>
      <c r="BW1012" s="76"/>
      <c r="BX1012" s="76"/>
      <c r="BY1012" s="76"/>
      <c r="BZ1012" s="76"/>
      <c r="CA1012" s="76"/>
      <c r="CB1012" s="76"/>
      <c r="CC1012" s="76"/>
      <c r="CD1012" s="76"/>
      <c r="CE1012" s="76"/>
      <c r="CF1012" s="76"/>
      <c r="CG1012" s="76"/>
      <c r="CH1012" s="76"/>
      <c r="CI1012" s="76"/>
      <c r="CJ1012" s="76"/>
      <c r="CK1012" s="76"/>
      <c r="CL1012" s="76"/>
      <c r="CM1012" s="76"/>
      <c r="CN1012" s="76"/>
      <c r="CO1012" s="76"/>
      <c r="CP1012" s="76"/>
      <c r="CQ1012" s="76"/>
      <c r="CR1012" s="76"/>
      <c r="CS1012" s="76"/>
    </row>
    <row r="1013" spans="1:97" s="21" customFormat="1" ht="12.95" customHeight="1">
      <c r="A1013" s="1"/>
      <c r="B1013" s="1"/>
      <c r="C1013" s="12"/>
      <c r="D1013" s="976"/>
      <c r="E1013" s="976"/>
      <c r="F1013" s="976"/>
      <c r="G1013" s="976"/>
      <c r="H1013" s="976"/>
      <c r="I1013" s="976"/>
      <c r="J1013" s="976"/>
      <c r="K1013" s="976"/>
      <c r="L1013" s="976"/>
      <c r="M1013" s="976"/>
      <c r="N1013" s="976"/>
      <c r="O1013" s="976"/>
      <c r="P1013" s="976"/>
      <c r="Q1013" s="976"/>
      <c r="R1013" s="976"/>
      <c r="S1013" s="976"/>
      <c r="T1013" s="976"/>
      <c r="U1013" s="976"/>
      <c r="V1013" s="976"/>
      <c r="W1013" s="976"/>
      <c r="X1013" s="976"/>
      <c r="Y1013" s="976"/>
      <c r="Z1013" s="976"/>
      <c r="AA1013" s="976"/>
      <c r="AB1013" s="976"/>
      <c r="AC1013" s="976"/>
      <c r="AD1013" s="976"/>
      <c r="AE1013" s="976"/>
      <c r="AF1013" s="976"/>
      <c r="AG1013" s="976"/>
      <c r="AH1013" s="976"/>
      <c r="AI1013" s="976"/>
      <c r="AJ1013" s="976"/>
      <c r="AK1013" s="976"/>
      <c r="AL1013"/>
      <c r="BO1013" s="76"/>
      <c r="BP1013" s="76"/>
      <c r="BQ1013" s="76"/>
      <c r="BR1013" s="76"/>
      <c r="BS1013" s="76"/>
      <c r="BT1013" s="76"/>
      <c r="BU1013" s="76"/>
      <c r="BV1013" s="76"/>
      <c r="BW1013" s="76"/>
      <c r="BX1013" s="76"/>
      <c r="BY1013" s="76"/>
      <c r="BZ1013" s="76"/>
      <c r="CA1013" s="76"/>
      <c r="CB1013" s="76"/>
      <c r="CC1013" s="76"/>
      <c r="CD1013" s="76"/>
      <c r="CE1013" s="76"/>
      <c r="CF1013" s="76"/>
      <c r="CG1013" s="76"/>
      <c r="CH1013" s="76"/>
      <c r="CI1013" s="76"/>
      <c r="CJ1013" s="76"/>
      <c r="CK1013" s="76"/>
      <c r="CL1013" s="76"/>
      <c r="CM1013" s="76"/>
      <c r="CN1013" s="76"/>
      <c r="CO1013" s="76"/>
      <c r="CP1013" s="76"/>
      <c r="CQ1013" s="76"/>
      <c r="CR1013" s="76"/>
      <c r="CS1013" s="76"/>
    </row>
    <row r="1014" spans="1:97" s="21" customFormat="1" ht="12.95" customHeight="1">
      <c r="A1014" s="1"/>
      <c r="B1014" s="1"/>
      <c r="C1014" s="12"/>
      <c r="D1014" s="976"/>
      <c r="E1014" s="976"/>
      <c r="F1014" s="976"/>
      <c r="G1014" s="976"/>
      <c r="H1014" s="976"/>
      <c r="I1014" s="976"/>
      <c r="J1014" s="976"/>
      <c r="K1014" s="976"/>
      <c r="L1014" s="976"/>
      <c r="M1014" s="976"/>
      <c r="N1014" s="976"/>
      <c r="O1014" s="976"/>
      <c r="P1014" s="976"/>
      <c r="Q1014" s="976"/>
      <c r="R1014" s="976"/>
      <c r="S1014" s="976"/>
      <c r="T1014" s="976"/>
      <c r="U1014" s="976"/>
      <c r="V1014" s="976"/>
      <c r="W1014" s="976"/>
      <c r="X1014" s="976"/>
      <c r="Y1014" s="976"/>
      <c r="Z1014" s="976"/>
      <c r="AA1014" s="976"/>
      <c r="AB1014" s="976"/>
      <c r="AC1014" s="976"/>
      <c r="AD1014" s="976"/>
      <c r="AE1014" s="976"/>
      <c r="AF1014" s="976"/>
      <c r="AG1014" s="976"/>
      <c r="AH1014" s="976"/>
      <c r="AI1014" s="976"/>
      <c r="AJ1014" s="976"/>
      <c r="AK1014" s="976"/>
      <c r="AL1014"/>
      <c r="BO1014" s="76"/>
      <c r="BP1014" s="76"/>
      <c r="BQ1014" s="76"/>
      <c r="BR1014" s="76"/>
      <c r="BS1014" s="76"/>
      <c r="BT1014" s="76"/>
      <c r="BU1014" s="76"/>
      <c r="BV1014" s="76"/>
      <c r="BW1014" s="76"/>
      <c r="BX1014" s="76"/>
      <c r="BY1014" s="76"/>
      <c r="BZ1014" s="76"/>
      <c r="CA1014" s="76"/>
      <c r="CB1014" s="76"/>
      <c r="CC1014" s="76"/>
      <c r="CD1014" s="76"/>
      <c r="CE1014" s="76"/>
      <c r="CF1014" s="76"/>
      <c r="CG1014" s="76"/>
      <c r="CH1014" s="76"/>
      <c r="CI1014" s="76"/>
      <c r="CJ1014" s="76"/>
      <c r="CK1014" s="76"/>
      <c r="CL1014" s="76"/>
      <c r="CM1014" s="76"/>
      <c r="CN1014" s="76"/>
      <c r="CO1014" s="76"/>
      <c r="CP1014" s="76"/>
      <c r="CQ1014" s="76"/>
      <c r="CR1014" s="76"/>
      <c r="CS1014" s="76"/>
    </row>
    <row r="1015" spans="1:97" ht="12.95" customHeight="1">
      <c r="A1015" s="1"/>
      <c r="B1015" s="1"/>
      <c r="C1015" s="12"/>
      <c r="D1015" s="976"/>
      <c r="E1015" s="976"/>
      <c r="F1015" s="976"/>
      <c r="G1015" s="976"/>
      <c r="H1015" s="976"/>
      <c r="I1015" s="976"/>
      <c r="J1015" s="976"/>
      <c r="K1015" s="976"/>
      <c r="L1015" s="976"/>
      <c r="M1015" s="976"/>
      <c r="N1015" s="976"/>
      <c r="O1015" s="976"/>
      <c r="P1015" s="976"/>
      <c r="Q1015" s="976"/>
      <c r="R1015" s="976"/>
      <c r="S1015" s="976"/>
      <c r="T1015" s="976"/>
      <c r="U1015" s="976"/>
      <c r="V1015" s="976"/>
      <c r="W1015" s="976"/>
      <c r="X1015" s="976"/>
      <c r="Y1015" s="976"/>
      <c r="Z1015" s="976"/>
      <c r="AA1015" s="976"/>
      <c r="AB1015" s="976"/>
      <c r="AC1015" s="976"/>
      <c r="AD1015" s="976"/>
      <c r="AE1015" s="976"/>
      <c r="AF1015" s="976"/>
      <c r="AG1015" s="976"/>
      <c r="AH1015" s="976"/>
      <c r="AI1015" s="976"/>
      <c r="AJ1015" s="976"/>
      <c r="AK1015" s="976"/>
      <c r="AM1015" s="38"/>
      <c r="AN1015" s="38"/>
      <c r="AO1015" s="21"/>
      <c r="AP1015" s="21"/>
      <c r="AQ1015" s="21"/>
      <c r="AR1015" s="21"/>
      <c r="AS1015" s="21"/>
      <c r="AT1015" s="21"/>
      <c r="AU1015" s="21"/>
      <c r="AV1015" s="21"/>
      <c r="AW1015" s="21"/>
      <c r="AX1015" s="21"/>
      <c r="AY1015" s="21"/>
      <c r="AZ1015" s="21"/>
      <c r="BA1015" s="21"/>
      <c r="BO1015" s="43"/>
      <c r="BP1015" s="43"/>
      <c r="BQ1015" s="43"/>
      <c r="BR1015" s="43"/>
      <c r="BS1015" s="43"/>
      <c r="BT1015" s="43"/>
      <c r="BU1015" s="43"/>
      <c r="BV1015" s="43"/>
      <c r="BW1015" s="43"/>
      <c r="BX1015" s="43"/>
      <c r="BY1015" s="43"/>
      <c r="BZ1015" s="43"/>
      <c r="CA1015" s="43"/>
      <c r="CB1015" s="43"/>
      <c r="CC1015" s="43"/>
      <c r="CD1015" s="43"/>
      <c r="CE1015" s="43"/>
      <c r="CF1015" s="43"/>
      <c r="CG1015" s="43"/>
      <c r="CH1015" s="43"/>
      <c r="CI1015" s="43"/>
      <c r="CJ1015" s="43"/>
      <c r="CK1015" s="43"/>
      <c r="CL1015" s="43"/>
      <c r="CM1015" s="43"/>
      <c r="CN1015" s="43"/>
      <c r="CO1015" s="43"/>
      <c r="CP1015" s="43"/>
      <c r="CQ1015" s="43"/>
      <c r="CR1015" s="43"/>
      <c r="CS1015" s="43"/>
    </row>
    <row r="1016" spans="1:97" ht="12.95" customHeight="1">
      <c r="A1016" s="1113" t="s">
        <v>132</v>
      </c>
      <c r="B1016" s="1113"/>
      <c r="C1016" s="12">
        <v>3</v>
      </c>
      <c r="D1016" s="970" t="s">
        <v>2336</v>
      </c>
      <c r="E1016" s="976"/>
      <c r="F1016" s="976"/>
      <c r="G1016" s="976"/>
      <c r="H1016" s="976"/>
      <c r="I1016" s="976"/>
      <c r="J1016" s="976"/>
      <c r="K1016" s="976"/>
      <c r="L1016" s="976"/>
      <c r="M1016" s="976"/>
      <c r="N1016" s="976"/>
      <c r="O1016" s="976"/>
      <c r="P1016" s="976"/>
      <c r="Q1016" s="976"/>
      <c r="R1016" s="976"/>
      <c r="S1016" s="976"/>
      <c r="T1016" s="976"/>
      <c r="U1016" s="976"/>
      <c r="V1016" s="976"/>
      <c r="W1016" s="976"/>
      <c r="X1016" s="976"/>
      <c r="Y1016" s="976"/>
      <c r="Z1016" s="976"/>
      <c r="AA1016" s="976"/>
      <c r="AB1016" s="976"/>
      <c r="AC1016" s="976"/>
      <c r="AD1016" s="976"/>
      <c r="AE1016" s="976"/>
      <c r="AF1016" s="976"/>
      <c r="AG1016" s="976"/>
      <c r="AH1016" s="976"/>
      <c r="AI1016" s="976"/>
      <c r="AJ1016" s="976"/>
      <c r="AK1016" s="976"/>
      <c r="AM1016" s="38"/>
      <c r="AN1016" s="38"/>
      <c r="AO1016" s="21"/>
      <c r="AP1016" s="21"/>
      <c r="AQ1016" s="21"/>
      <c r="AR1016" s="21"/>
      <c r="AS1016" s="21"/>
      <c r="AT1016" s="21"/>
      <c r="AU1016" s="21"/>
      <c r="AV1016" s="21"/>
      <c r="AW1016" s="21"/>
      <c r="AX1016" s="21"/>
      <c r="AY1016" s="21"/>
      <c r="AZ1016" s="21"/>
      <c r="BA1016" s="21"/>
      <c r="BO1016" s="43"/>
      <c r="BP1016" s="43"/>
      <c r="BQ1016" s="43"/>
      <c r="BR1016" s="43"/>
      <c r="BS1016" s="43"/>
      <c r="BT1016" s="43"/>
      <c r="BU1016" s="43"/>
      <c r="BV1016" s="43"/>
      <c r="BW1016" s="43"/>
      <c r="BX1016" s="43"/>
      <c r="BY1016" s="43"/>
      <c r="BZ1016" s="43"/>
      <c r="CA1016" s="43"/>
      <c r="CB1016" s="43"/>
      <c r="CC1016" s="43"/>
      <c r="CD1016" s="43"/>
      <c r="CE1016" s="43"/>
      <c r="CF1016" s="43"/>
      <c r="CG1016" s="43"/>
      <c r="CH1016" s="43"/>
      <c r="CI1016" s="43"/>
      <c r="CJ1016" s="43"/>
      <c r="CK1016" s="43"/>
      <c r="CL1016" s="43"/>
      <c r="CM1016" s="43"/>
      <c r="CN1016" s="43"/>
      <c r="CO1016" s="43"/>
      <c r="CP1016" s="43"/>
      <c r="CQ1016" s="43"/>
      <c r="CR1016" s="43"/>
      <c r="CS1016" s="43"/>
    </row>
    <row r="1017" spans="1:97" ht="12.95" customHeight="1">
      <c r="A1017" s="5"/>
      <c r="B1017" s="5"/>
      <c r="C1017" s="12"/>
      <c r="D1017" s="976"/>
      <c r="E1017" s="976"/>
      <c r="F1017" s="976"/>
      <c r="G1017" s="976"/>
      <c r="H1017" s="976"/>
      <c r="I1017" s="976"/>
      <c r="J1017" s="976"/>
      <c r="K1017" s="976"/>
      <c r="L1017" s="976"/>
      <c r="M1017" s="976"/>
      <c r="N1017" s="976"/>
      <c r="O1017" s="976"/>
      <c r="P1017" s="976"/>
      <c r="Q1017" s="976"/>
      <c r="R1017" s="976"/>
      <c r="S1017" s="976"/>
      <c r="T1017" s="976"/>
      <c r="U1017" s="976"/>
      <c r="V1017" s="976"/>
      <c r="W1017" s="976"/>
      <c r="X1017" s="976"/>
      <c r="Y1017" s="976"/>
      <c r="Z1017" s="976"/>
      <c r="AA1017" s="976"/>
      <c r="AB1017" s="976"/>
      <c r="AC1017" s="976"/>
      <c r="AD1017" s="976"/>
      <c r="AE1017" s="976"/>
      <c r="AF1017" s="976"/>
      <c r="AG1017" s="976"/>
      <c r="AH1017" s="976"/>
      <c r="AI1017" s="976"/>
      <c r="AJ1017" s="976"/>
      <c r="AK1017" s="976"/>
      <c r="AM1017" s="38"/>
      <c r="AN1017" s="38"/>
      <c r="AO1017" s="21"/>
      <c r="AP1017" s="21"/>
      <c r="AQ1017" s="21"/>
      <c r="AR1017" s="21"/>
      <c r="AS1017" s="21"/>
      <c r="AT1017" s="21"/>
      <c r="AU1017" s="21"/>
      <c r="AV1017" s="21"/>
      <c r="AW1017" s="21"/>
      <c r="AX1017" s="21"/>
      <c r="AY1017" s="21"/>
      <c r="AZ1017" s="21"/>
      <c r="BA1017" s="21"/>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row>
    <row r="1018" spans="1:97" ht="12.95" customHeight="1">
      <c r="A1018" s="44"/>
      <c r="B1018" s="32"/>
      <c r="C1018" s="12"/>
      <c r="D1018" s="976"/>
      <c r="E1018" s="976"/>
      <c r="F1018" s="976"/>
      <c r="G1018" s="976"/>
      <c r="H1018" s="976"/>
      <c r="I1018" s="976"/>
      <c r="J1018" s="976"/>
      <c r="K1018" s="976"/>
      <c r="L1018" s="976"/>
      <c r="M1018" s="976"/>
      <c r="N1018" s="976"/>
      <c r="O1018" s="976"/>
      <c r="P1018" s="976"/>
      <c r="Q1018" s="976"/>
      <c r="R1018" s="976"/>
      <c r="S1018" s="976"/>
      <c r="T1018" s="976"/>
      <c r="U1018" s="976"/>
      <c r="V1018" s="976"/>
      <c r="W1018" s="976"/>
      <c r="X1018" s="976"/>
      <c r="Y1018" s="976"/>
      <c r="Z1018" s="976"/>
      <c r="AA1018" s="976"/>
      <c r="AB1018" s="976"/>
      <c r="AC1018" s="976"/>
      <c r="AD1018" s="976"/>
      <c r="AE1018" s="976"/>
      <c r="AF1018" s="976"/>
      <c r="AG1018" s="976"/>
      <c r="AH1018" s="976"/>
      <c r="AI1018" s="976"/>
      <c r="AJ1018" s="976"/>
      <c r="AK1018" s="976"/>
      <c r="AM1018" s="38"/>
      <c r="AN1018" s="38"/>
      <c r="AO1018" s="21"/>
      <c r="AP1018" s="21"/>
      <c r="AQ1018" s="21"/>
      <c r="AR1018" s="21"/>
      <c r="AS1018" s="21"/>
      <c r="AT1018" s="21"/>
      <c r="AU1018" s="21"/>
      <c r="AV1018" s="21"/>
      <c r="AW1018" s="21"/>
      <c r="AX1018" s="21"/>
      <c r="AY1018" s="21"/>
      <c r="AZ1018" s="21"/>
      <c r="BA1018" s="21"/>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row>
    <row r="1019" spans="1:97" ht="12.95" customHeight="1">
      <c r="A1019" s="44"/>
      <c r="B1019" s="32"/>
      <c r="C1019" s="12"/>
      <c r="D1019" s="976"/>
      <c r="E1019" s="976"/>
      <c r="F1019" s="976"/>
      <c r="G1019" s="976"/>
      <c r="H1019" s="976"/>
      <c r="I1019" s="976"/>
      <c r="J1019" s="976"/>
      <c r="K1019" s="976"/>
      <c r="L1019" s="976"/>
      <c r="M1019" s="976"/>
      <c r="N1019" s="976"/>
      <c r="O1019" s="976"/>
      <c r="P1019" s="976"/>
      <c r="Q1019" s="976"/>
      <c r="R1019" s="976"/>
      <c r="S1019" s="976"/>
      <c r="T1019" s="976"/>
      <c r="U1019" s="976"/>
      <c r="V1019" s="976"/>
      <c r="W1019" s="976"/>
      <c r="X1019" s="976"/>
      <c r="Y1019" s="976"/>
      <c r="Z1019" s="976"/>
      <c r="AA1019" s="976"/>
      <c r="AB1019" s="976"/>
      <c r="AC1019" s="976"/>
      <c r="AD1019" s="976"/>
      <c r="AE1019" s="976"/>
      <c r="AF1019" s="976"/>
      <c r="AG1019" s="976"/>
      <c r="AH1019" s="976"/>
      <c r="AI1019" s="976"/>
      <c r="AJ1019" s="976"/>
      <c r="AK1019" s="976"/>
      <c r="AM1019" s="38"/>
      <c r="AN1019" s="38"/>
      <c r="AO1019" s="21"/>
      <c r="AP1019" s="21"/>
      <c r="AQ1019" s="21"/>
      <c r="AR1019" s="21"/>
      <c r="AS1019" s="21"/>
      <c r="AT1019" s="21"/>
      <c r="AU1019" s="21"/>
      <c r="AV1019" s="21"/>
      <c r="AW1019" s="21"/>
      <c r="AX1019" s="21"/>
      <c r="AY1019" s="21"/>
      <c r="AZ1019" s="21"/>
      <c r="BA1019" s="21"/>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row>
    <row r="1020" spans="1:97" ht="12.95" customHeight="1">
      <c r="A1020" s="44"/>
      <c r="B1020" s="32"/>
      <c r="C1020" s="12"/>
      <c r="D1020" s="976"/>
      <c r="E1020" s="976"/>
      <c r="F1020" s="976"/>
      <c r="G1020" s="976"/>
      <c r="H1020" s="976"/>
      <c r="I1020" s="976"/>
      <c r="J1020" s="976"/>
      <c r="K1020" s="976"/>
      <c r="L1020" s="976"/>
      <c r="M1020" s="976"/>
      <c r="N1020" s="976"/>
      <c r="O1020" s="976"/>
      <c r="P1020" s="976"/>
      <c r="Q1020" s="976"/>
      <c r="R1020" s="976"/>
      <c r="S1020" s="976"/>
      <c r="T1020" s="976"/>
      <c r="U1020" s="976"/>
      <c r="V1020" s="976"/>
      <c r="W1020" s="976"/>
      <c r="X1020" s="976"/>
      <c r="Y1020" s="976"/>
      <c r="Z1020" s="976"/>
      <c r="AA1020" s="976"/>
      <c r="AB1020" s="976"/>
      <c r="AC1020" s="976"/>
      <c r="AD1020" s="976"/>
      <c r="AE1020" s="976"/>
      <c r="AF1020" s="976"/>
      <c r="AG1020" s="976"/>
      <c r="AH1020" s="976"/>
      <c r="AI1020" s="976"/>
      <c r="AJ1020" s="976"/>
      <c r="AK1020" s="976"/>
      <c r="AM1020" s="38"/>
      <c r="AN1020" s="38"/>
      <c r="AO1020" s="21"/>
      <c r="AP1020" s="21"/>
      <c r="AQ1020" s="21"/>
      <c r="AR1020" s="21"/>
      <c r="AS1020" s="21"/>
      <c r="AT1020" s="21"/>
      <c r="AU1020" s="21"/>
      <c r="AV1020" s="21"/>
      <c r="AW1020" s="21"/>
      <c r="AX1020" s="21"/>
      <c r="AY1020" s="21"/>
      <c r="AZ1020" s="21"/>
      <c r="BA1020" s="21"/>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row>
    <row r="1021" spans="1:97" ht="14.25" customHeight="1">
      <c r="A1021" s="44"/>
      <c r="B1021" s="32"/>
      <c r="C1021" s="12"/>
      <c r="D1021" s="976"/>
      <c r="E1021" s="976"/>
      <c r="F1021" s="976"/>
      <c r="G1021" s="976"/>
      <c r="H1021" s="976"/>
      <c r="I1021" s="976"/>
      <c r="J1021" s="976"/>
      <c r="K1021" s="976"/>
      <c r="L1021" s="976"/>
      <c r="M1021" s="976"/>
      <c r="N1021" s="976"/>
      <c r="O1021" s="976"/>
      <c r="P1021" s="976"/>
      <c r="Q1021" s="976"/>
      <c r="R1021" s="976"/>
      <c r="S1021" s="976"/>
      <c r="T1021" s="976"/>
      <c r="U1021" s="976"/>
      <c r="V1021" s="976"/>
      <c r="W1021" s="976"/>
      <c r="X1021" s="976"/>
      <c r="Y1021" s="976"/>
      <c r="Z1021" s="976"/>
      <c r="AA1021" s="976"/>
      <c r="AB1021" s="976"/>
      <c r="AC1021" s="976"/>
      <c r="AD1021" s="976"/>
      <c r="AE1021" s="976"/>
      <c r="AF1021" s="976"/>
      <c r="AG1021" s="976"/>
      <c r="AH1021" s="976"/>
      <c r="AI1021" s="976"/>
      <c r="AJ1021" s="976"/>
      <c r="AK1021" s="976"/>
      <c r="AM1021" s="38"/>
      <c r="AN1021" s="38"/>
      <c r="AO1021" s="21"/>
      <c r="AP1021" s="21"/>
      <c r="AQ1021" s="21"/>
      <c r="AR1021" s="21"/>
      <c r="AS1021" s="21"/>
      <c r="AT1021" s="21"/>
      <c r="AU1021" s="21"/>
      <c r="AV1021" s="21"/>
      <c r="AW1021" s="21"/>
      <c r="AX1021" s="21"/>
      <c r="AY1021" s="21"/>
      <c r="AZ1021" s="21"/>
      <c r="BA1021" s="21"/>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row>
    <row r="1022" spans="1:97" ht="15" customHeight="1">
      <c r="A1022" s="44"/>
      <c r="B1022" s="32"/>
      <c r="C1022" s="12"/>
      <c r="D1022" s="24"/>
      <c r="E1022" s="24"/>
      <c r="F1022" s="24"/>
      <c r="G1022" s="24"/>
      <c r="H1022" s="24"/>
      <c r="I1022" s="24"/>
      <c r="J1022" s="24"/>
      <c r="K1022" s="24"/>
      <c r="L1022" s="24"/>
      <c r="M1022" s="24"/>
      <c r="N1022" s="24"/>
      <c r="O1022" s="24"/>
      <c r="P1022" s="24"/>
      <c r="Q1022" s="24"/>
      <c r="R1022" s="24"/>
      <c r="S1022" s="24"/>
      <c r="T1022" s="24"/>
      <c r="U1022" s="24"/>
      <c r="V1022" s="24"/>
      <c r="W1022" s="24"/>
      <c r="X1022" s="24"/>
      <c r="Y1022" s="24"/>
      <c r="Z1022" s="24"/>
      <c r="AA1022" s="24"/>
      <c r="AB1022" s="24"/>
      <c r="AC1022" s="24"/>
      <c r="AD1022" s="24"/>
      <c r="AE1022" s="24"/>
      <c r="AF1022" s="24"/>
      <c r="AG1022" s="24"/>
      <c r="AH1022" s="24"/>
      <c r="AI1022" s="24"/>
      <c r="AJ1022" s="24"/>
      <c r="AK1022" s="24"/>
      <c r="AM1022" s="38"/>
      <c r="AN1022" s="38"/>
      <c r="AO1022" s="21"/>
      <c r="AP1022" s="21"/>
      <c r="AQ1022" s="21"/>
      <c r="AR1022" s="21"/>
      <c r="AS1022" s="21"/>
      <c r="AT1022" s="21"/>
      <c r="AU1022" s="21"/>
      <c r="AV1022" s="21"/>
      <c r="AW1022" s="21"/>
      <c r="AX1022" s="21"/>
      <c r="AY1022" s="21"/>
      <c r="AZ1022" s="21"/>
      <c r="BA1022" s="21"/>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row>
    <row r="1023" spans="1:97" ht="12.95" customHeight="1">
      <c r="A1023" s="1113" t="s">
        <v>132</v>
      </c>
      <c r="B1023" s="1113"/>
      <c r="C1023" s="12">
        <v>4</v>
      </c>
      <c r="D1023" s="970" t="s">
        <v>2142</v>
      </c>
      <c r="E1023" s="976"/>
      <c r="F1023" s="976"/>
      <c r="G1023" s="976"/>
      <c r="H1023" s="976"/>
      <c r="I1023" s="976"/>
      <c r="J1023" s="976"/>
      <c r="K1023" s="976"/>
      <c r="L1023" s="976"/>
      <c r="M1023" s="976"/>
      <c r="N1023" s="976"/>
      <c r="O1023" s="976"/>
      <c r="P1023" s="976"/>
      <c r="Q1023" s="976"/>
      <c r="R1023" s="976"/>
      <c r="S1023" s="976"/>
      <c r="T1023" s="976"/>
      <c r="U1023" s="976"/>
      <c r="V1023" s="976"/>
      <c r="W1023" s="976"/>
      <c r="X1023" s="976"/>
      <c r="Y1023" s="976"/>
      <c r="Z1023" s="976"/>
      <c r="AA1023" s="976"/>
      <c r="AB1023" s="976"/>
      <c r="AC1023" s="976"/>
      <c r="AD1023" s="976"/>
      <c r="AE1023" s="976"/>
      <c r="AF1023" s="976"/>
      <c r="AG1023" s="976"/>
      <c r="AH1023" s="976"/>
      <c r="AI1023" s="976"/>
      <c r="AJ1023" s="976"/>
      <c r="AK1023" s="976"/>
      <c r="AM1023" s="38"/>
      <c r="AN1023" s="38"/>
      <c r="AO1023" s="21"/>
      <c r="AP1023" s="21"/>
      <c r="AQ1023" s="21"/>
      <c r="AR1023" s="21"/>
      <c r="AS1023" s="21"/>
      <c r="AT1023" s="21"/>
      <c r="AU1023" s="21"/>
      <c r="AV1023" s="21"/>
      <c r="AW1023" s="21"/>
      <c r="AX1023" s="21"/>
      <c r="AY1023" s="21"/>
      <c r="AZ1023" s="21"/>
      <c r="BA1023" s="21"/>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row>
    <row r="1024" spans="1:97" ht="12.95" customHeight="1">
      <c r="A1024" s="1"/>
      <c r="B1024" s="1"/>
      <c r="C1024" s="12"/>
      <c r="D1024" s="976"/>
      <c r="E1024" s="976"/>
      <c r="F1024" s="976"/>
      <c r="G1024" s="976"/>
      <c r="H1024" s="976"/>
      <c r="I1024" s="976"/>
      <c r="J1024" s="976"/>
      <c r="K1024" s="976"/>
      <c r="L1024" s="976"/>
      <c r="M1024" s="976"/>
      <c r="N1024" s="976"/>
      <c r="O1024" s="976"/>
      <c r="P1024" s="976"/>
      <c r="Q1024" s="976"/>
      <c r="R1024" s="976"/>
      <c r="S1024" s="976"/>
      <c r="T1024" s="976"/>
      <c r="U1024" s="976"/>
      <c r="V1024" s="976"/>
      <c r="W1024" s="976"/>
      <c r="X1024" s="976"/>
      <c r="Y1024" s="976"/>
      <c r="Z1024" s="976"/>
      <c r="AA1024" s="976"/>
      <c r="AB1024" s="976"/>
      <c r="AC1024" s="976"/>
      <c r="AD1024" s="976"/>
      <c r="AE1024" s="976"/>
      <c r="AF1024" s="976"/>
      <c r="AG1024" s="976"/>
      <c r="AH1024" s="976"/>
      <c r="AI1024" s="976"/>
      <c r="AJ1024" s="976"/>
      <c r="AK1024" s="976"/>
      <c r="AM1024" s="38"/>
      <c r="AN1024" s="38"/>
      <c r="AO1024" s="21"/>
      <c r="AP1024" s="21"/>
      <c r="AQ1024" s="21"/>
      <c r="AR1024" s="21"/>
      <c r="AS1024" s="21"/>
      <c r="AT1024" s="21"/>
      <c r="AU1024" s="21"/>
      <c r="AV1024" s="21"/>
      <c r="AW1024" s="21"/>
      <c r="AX1024" s="21"/>
      <c r="AY1024" s="21"/>
      <c r="AZ1024" s="21"/>
      <c r="BA1024" s="21"/>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row>
    <row r="1025" spans="1:97" ht="23.25" customHeight="1">
      <c r="A1025" s="44"/>
      <c r="B1025" s="32"/>
      <c r="C1025" s="12"/>
      <c r="D1025" s="976"/>
      <c r="E1025" s="976"/>
      <c r="F1025" s="976"/>
      <c r="G1025" s="976"/>
      <c r="H1025" s="976"/>
      <c r="I1025" s="976"/>
      <c r="J1025" s="976"/>
      <c r="K1025" s="976"/>
      <c r="L1025" s="976"/>
      <c r="M1025" s="976"/>
      <c r="N1025" s="976"/>
      <c r="O1025" s="976"/>
      <c r="P1025" s="976"/>
      <c r="Q1025" s="976"/>
      <c r="R1025" s="976"/>
      <c r="S1025" s="976"/>
      <c r="T1025" s="976"/>
      <c r="U1025" s="976"/>
      <c r="V1025" s="976"/>
      <c r="W1025" s="976"/>
      <c r="X1025" s="976"/>
      <c r="Y1025" s="976"/>
      <c r="Z1025" s="976"/>
      <c r="AA1025" s="976"/>
      <c r="AB1025" s="976"/>
      <c r="AC1025" s="976"/>
      <c r="AD1025" s="976"/>
      <c r="AE1025" s="976"/>
      <c r="AF1025" s="976"/>
      <c r="AG1025" s="976"/>
      <c r="AH1025" s="976"/>
      <c r="AI1025" s="976"/>
      <c r="AJ1025" s="976"/>
      <c r="AK1025" s="976"/>
      <c r="AM1025" s="38"/>
      <c r="AN1025" s="38"/>
      <c r="AO1025" s="21"/>
      <c r="AP1025" s="21"/>
      <c r="AQ1025" s="21"/>
      <c r="AR1025" s="21"/>
      <c r="AS1025" s="21"/>
      <c r="AT1025" s="21"/>
      <c r="AU1025" s="21"/>
      <c r="AV1025" s="21"/>
      <c r="AW1025" s="21"/>
      <c r="AX1025" s="21"/>
      <c r="AY1025" s="21"/>
      <c r="AZ1025" s="21"/>
      <c r="BA1025" s="21"/>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row>
    <row r="1026" spans="1:97" ht="12.95" customHeight="1">
      <c r="A1026" s="1113" t="s">
        <v>132</v>
      </c>
      <c r="B1026" s="1113"/>
      <c r="C1026" s="12">
        <v>5</v>
      </c>
      <c r="D1026" s="970" t="s">
        <v>1792</v>
      </c>
      <c r="E1026" s="976"/>
      <c r="F1026" s="976"/>
      <c r="G1026" s="976"/>
      <c r="H1026" s="976"/>
      <c r="I1026" s="976"/>
      <c r="J1026" s="976"/>
      <c r="K1026" s="976"/>
      <c r="L1026" s="976"/>
      <c r="M1026" s="976"/>
      <c r="N1026" s="976"/>
      <c r="O1026" s="976"/>
      <c r="P1026" s="976"/>
      <c r="Q1026" s="976"/>
      <c r="R1026" s="976"/>
      <c r="S1026" s="976"/>
      <c r="T1026" s="976"/>
      <c r="U1026" s="976"/>
      <c r="V1026" s="976"/>
      <c r="W1026" s="976"/>
      <c r="X1026" s="976"/>
      <c r="Y1026" s="976"/>
      <c r="Z1026" s="976"/>
      <c r="AA1026" s="976"/>
      <c r="AB1026" s="976"/>
      <c r="AC1026" s="976"/>
      <c r="AD1026" s="976"/>
      <c r="AE1026" s="976"/>
      <c r="AF1026" s="976"/>
      <c r="AG1026" s="976"/>
      <c r="AH1026" s="976"/>
      <c r="AI1026" s="976"/>
      <c r="AJ1026" s="976"/>
      <c r="AK1026" s="976"/>
      <c r="AM1026" s="38"/>
      <c r="AN1026" s="38"/>
      <c r="AO1026" s="21"/>
      <c r="AP1026" s="21"/>
      <c r="AQ1026" s="21"/>
      <c r="AR1026" s="21"/>
      <c r="AS1026" s="21"/>
      <c r="AT1026" s="21"/>
      <c r="AU1026" s="21"/>
      <c r="AV1026" s="21"/>
      <c r="AW1026" s="21"/>
      <c r="AX1026" s="21"/>
      <c r="AY1026" s="21"/>
      <c r="AZ1026" s="21"/>
      <c r="BA1026" s="21"/>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row>
    <row r="1027" spans="1:97" ht="12.95" customHeight="1">
      <c r="A1027" s="1"/>
      <c r="B1027" s="1"/>
      <c r="C1027" s="12"/>
      <c r="D1027" s="976"/>
      <c r="E1027" s="976"/>
      <c r="F1027" s="976"/>
      <c r="G1027" s="976"/>
      <c r="H1027" s="976"/>
      <c r="I1027" s="976"/>
      <c r="J1027" s="976"/>
      <c r="K1027" s="976"/>
      <c r="L1027" s="976"/>
      <c r="M1027" s="976"/>
      <c r="N1027" s="976"/>
      <c r="O1027" s="976"/>
      <c r="P1027" s="976"/>
      <c r="Q1027" s="976"/>
      <c r="R1027" s="976"/>
      <c r="S1027" s="976"/>
      <c r="T1027" s="976"/>
      <c r="U1027" s="976"/>
      <c r="V1027" s="976"/>
      <c r="W1027" s="976"/>
      <c r="X1027" s="976"/>
      <c r="Y1027" s="976"/>
      <c r="Z1027" s="976"/>
      <c r="AA1027" s="976"/>
      <c r="AB1027" s="976"/>
      <c r="AC1027" s="976"/>
      <c r="AD1027" s="976"/>
      <c r="AE1027" s="976"/>
      <c r="AF1027" s="976"/>
      <c r="AG1027" s="976"/>
      <c r="AH1027" s="976"/>
      <c r="AI1027" s="976"/>
      <c r="AJ1027" s="976"/>
      <c r="AK1027" s="976"/>
      <c r="AM1027" s="43"/>
      <c r="AN1027" s="43"/>
      <c r="AO1027" s="43"/>
      <c r="AP1027" s="43"/>
      <c r="AQ1027" s="43"/>
      <c r="AR1027" s="43"/>
      <c r="AS1027" s="43"/>
      <c r="AT1027" s="43"/>
      <c r="AU1027" s="43"/>
      <c r="AV1027" s="43"/>
      <c r="AW1027" s="43"/>
      <c r="AX1027" s="43"/>
      <c r="AY1027" s="43"/>
      <c r="AZ1027" s="43"/>
      <c r="BA1027" s="43"/>
      <c r="BB1027" s="43"/>
      <c r="BC1027" s="43"/>
      <c r="BD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row>
    <row r="1028" spans="1:97" ht="12.95" customHeight="1">
      <c r="A1028" s="1"/>
      <c r="B1028" s="1"/>
      <c r="C1028" s="12"/>
      <c r="D1028" s="976"/>
      <c r="E1028" s="976"/>
      <c r="F1028" s="976"/>
      <c r="G1028" s="976"/>
      <c r="H1028" s="976"/>
      <c r="I1028" s="976"/>
      <c r="J1028" s="976"/>
      <c r="K1028" s="976"/>
      <c r="L1028" s="976"/>
      <c r="M1028" s="976"/>
      <c r="N1028" s="976"/>
      <c r="O1028" s="976"/>
      <c r="P1028" s="976"/>
      <c r="Q1028" s="976"/>
      <c r="R1028" s="976"/>
      <c r="S1028" s="976"/>
      <c r="T1028" s="976"/>
      <c r="U1028" s="976"/>
      <c r="V1028" s="976"/>
      <c r="W1028" s="976"/>
      <c r="X1028" s="976"/>
      <c r="Y1028" s="976"/>
      <c r="Z1028" s="976"/>
      <c r="AA1028" s="976"/>
      <c r="AB1028" s="976"/>
      <c r="AC1028" s="976"/>
      <c r="AD1028" s="976"/>
      <c r="AE1028" s="976"/>
      <c r="AF1028" s="976"/>
      <c r="AG1028" s="976"/>
      <c r="AH1028" s="976"/>
      <c r="AI1028" s="976"/>
      <c r="AJ1028" s="976"/>
      <c r="AK1028" s="976"/>
      <c r="AM1028" s="43"/>
      <c r="AN1028" s="43"/>
      <c r="AO1028" s="43"/>
      <c r="AP1028" s="43"/>
      <c r="AQ1028" s="43"/>
      <c r="AR1028" s="43"/>
      <c r="AS1028" s="43"/>
      <c r="AT1028" s="43"/>
      <c r="AU1028" s="43"/>
      <c r="AV1028" s="43"/>
      <c r="AW1028" s="43"/>
      <c r="AX1028" s="43"/>
      <c r="AY1028" s="43"/>
      <c r="AZ1028" s="43"/>
      <c r="BA1028" s="43"/>
      <c r="BB1028" s="43"/>
      <c r="BC1028" s="43"/>
      <c r="BD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row>
    <row r="1029" spans="1:97" ht="12.95" hidden="1" customHeight="1">
      <c r="A1029" s="1"/>
      <c r="B1029" s="1"/>
      <c r="C1029" s="12"/>
      <c r="D1029" s="976"/>
      <c r="E1029" s="976"/>
      <c r="F1029" s="976"/>
      <c r="G1029" s="976"/>
      <c r="H1029" s="976"/>
      <c r="I1029" s="976"/>
      <c r="J1029" s="976"/>
      <c r="K1029" s="976"/>
      <c r="L1029" s="976"/>
      <c r="M1029" s="976"/>
      <c r="N1029" s="976"/>
      <c r="O1029" s="976"/>
      <c r="P1029" s="976"/>
      <c r="Q1029" s="976"/>
      <c r="R1029" s="976"/>
      <c r="S1029" s="976"/>
      <c r="T1029" s="976"/>
      <c r="U1029" s="976"/>
      <c r="V1029" s="976"/>
      <c r="W1029" s="976"/>
      <c r="X1029" s="976"/>
      <c r="Y1029" s="976"/>
      <c r="Z1029" s="976"/>
      <c r="AA1029" s="976"/>
      <c r="AB1029" s="976"/>
      <c r="AC1029" s="976"/>
      <c r="AD1029" s="976"/>
      <c r="AE1029" s="976"/>
      <c r="AF1029" s="976"/>
      <c r="AG1029" s="976"/>
      <c r="AH1029" s="976"/>
      <c r="AI1029" s="976"/>
      <c r="AJ1029" s="976"/>
      <c r="AK1029" s="976"/>
      <c r="AM1029" s="43"/>
      <c r="AN1029" s="43"/>
      <c r="AO1029" s="43"/>
      <c r="AP1029" s="43"/>
      <c r="AQ1029" s="43"/>
      <c r="AR1029" s="43"/>
      <c r="AS1029" s="43"/>
      <c r="AT1029" s="43"/>
      <c r="AU1029" s="43"/>
      <c r="AV1029" s="43"/>
      <c r="AW1029" s="43"/>
      <c r="AX1029" s="43"/>
      <c r="AY1029" s="43"/>
      <c r="AZ1029" s="43"/>
      <c r="BA1029" s="43"/>
      <c r="BB1029" s="43"/>
      <c r="BC1029" s="43"/>
      <c r="BD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row>
    <row r="1030" spans="1:97" ht="12.95" customHeight="1">
      <c r="A1030" s="44"/>
      <c r="B1030" s="32"/>
      <c r="C1030" s="12"/>
      <c r="D1030" s="976"/>
      <c r="E1030" s="976"/>
      <c r="F1030" s="976"/>
      <c r="G1030" s="976"/>
      <c r="H1030" s="976"/>
      <c r="I1030" s="976"/>
      <c r="J1030" s="976"/>
      <c r="K1030" s="976"/>
      <c r="L1030" s="976"/>
      <c r="M1030" s="976"/>
      <c r="N1030" s="976"/>
      <c r="O1030" s="976"/>
      <c r="P1030" s="976"/>
      <c r="Q1030" s="976"/>
      <c r="R1030" s="976"/>
      <c r="S1030" s="976"/>
      <c r="T1030" s="976"/>
      <c r="U1030" s="976"/>
      <c r="V1030" s="976"/>
      <c r="W1030" s="976"/>
      <c r="X1030" s="976"/>
      <c r="Y1030" s="976"/>
      <c r="Z1030" s="976"/>
      <c r="AA1030" s="976"/>
      <c r="AB1030" s="976"/>
      <c r="AC1030" s="976"/>
      <c r="AD1030" s="976"/>
      <c r="AE1030" s="976"/>
      <c r="AF1030" s="976"/>
      <c r="AG1030" s="976"/>
      <c r="AH1030" s="976"/>
      <c r="AI1030" s="976"/>
      <c r="AJ1030" s="976"/>
      <c r="AK1030" s="976"/>
      <c r="AM1030" s="43"/>
      <c r="AN1030" s="43"/>
      <c r="AO1030" s="43"/>
      <c r="AP1030" s="43"/>
      <c r="AQ1030" s="43"/>
      <c r="AR1030" s="43"/>
      <c r="AS1030" s="43"/>
      <c r="AT1030" s="43"/>
      <c r="AU1030" s="43"/>
      <c r="AV1030" s="43"/>
      <c r="AW1030" s="43"/>
      <c r="AX1030" s="43"/>
      <c r="AY1030" s="43"/>
      <c r="AZ1030" s="43"/>
      <c r="BA1030" s="43"/>
      <c r="BB1030" s="43"/>
      <c r="BC1030" s="43"/>
      <c r="BD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row>
    <row r="1031" spans="1:97" ht="12.95" customHeight="1">
      <c r="A1031" s="1113" t="s">
        <v>132</v>
      </c>
      <c r="B1031" s="1113"/>
      <c r="C1031" s="12">
        <v>6</v>
      </c>
      <c r="D1031" s="976" t="s">
        <v>1587</v>
      </c>
      <c r="E1031" s="976"/>
      <c r="F1031" s="976"/>
      <c r="G1031" s="976"/>
      <c r="H1031" s="976"/>
      <c r="I1031" s="976"/>
      <c r="J1031" s="976"/>
      <c r="K1031" s="976"/>
      <c r="L1031" s="976"/>
      <c r="M1031" s="976"/>
      <c r="N1031" s="976"/>
      <c r="O1031" s="976"/>
      <c r="P1031" s="976"/>
      <c r="Q1031" s="976"/>
      <c r="R1031" s="976"/>
      <c r="S1031" s="976"/>
      <c r="T1031" s="976"/>
      <c r="U1031" s="976"/>
      <c r="V1031" s="976"/>
      <c r="W1031" s="976"/>
      <c r="X1031" s="976"/>
      <c r="Y1031" s="976"/>
      <c r="Z1031" s="976"/>
      <c r="AA1031" s="976"/>
      <c r="AB1031" s="976"/>
      <c r="AC1031" s="976"/>
      <c r="AD1031" s="976"/>
      <c r="AE1031" s="976"/>
      <c r="AF1031" s="976"/>
      <c r="AG1031" s="976"/>
      <c r="AH1031" s="976"/>
      <c r="AI1031" s="976"/>
      <c r="AJ1031" s="976"/>
      <c r="AK1031" s="976"/>
      <c r="AM1031" s="43"/>
      <c r="AN1031" s="43"/>
      <c r="AO1031" s="43"/>
      <c r="AP1031" s="43"/>
      <c r="AQ1031" s="43"/>
      <c r="AR1031" s="43"/>
      <c r="AS1031" s="43"/>
      <c r="AT1031" s="43"/>
      <c r="AU1031" s="43"/>
      <c r="AV1031" s="43"/>
      <c r="AW1031" s="43"/>
      <c r="AX1031" s="43"/>
      <c r="AY1031" s="43"/>
      <c r="AZ1031" s="43"/>
      <c r="BA1031" s="43"/>
      <c r="BB1031" s="43"/>
      <c r="BC1031" s="43"/>
      <c r="BD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row>
    <row r="1032" spans="1:97" ht="12.95" customHeight="1">
      <c r="A1032" s="44"/>
      <c r="B1032" s="32"/>
      <c r="C1032" s="12"/>
      <c r="D1032" s="976"/>
      <c r="E1032" s="976"/>
      <c r="F1032" s="976"/>
      <c r="G1032" s="976"/>
      <c r="H1032" s="976"/>
      <c r="I1032" s="976"/>
      <c r="J1032" s="976"/>
      <c r="K1032" s="976"/>
      <c r="L1032" s="976"/>
      <c r="M1032" s="976"/>
      <c r="N1032" s="976"/>
      <c r="O1032" s="976"/>
      <c r="P1032" s="976"/>
      <c r="Q1032" s="976"/>
      <c r="R1032" s="976"/>
      <c r="S1032" s="976"/>
      <c r="T1032" s="976"/>
      <c r="U1032" s="976"/>
      <c r="V1032" s="976"/>
      <c r="W1032" s="976"/>
      <c r="X1032" s="976"/>
      <c r="Y1032" s="976"/>
      <c r="Z1032" s="976"/>
      <c r="AA1032" s="976"/>
      <c r="AB1032" s="976"/>
      <c r="AC1032" s="976"/>
      <c r="AD1032" s="976"/>
      <c r="AE1032" s="976"/>
      <c r="AF1032" s="976"/>
      <c r="AG1032" s="976"/>
      <c r="AH1032" s="976"/>
      <c r="AI1032" s="976"/>
      <c r="AJ1032" s="976"/>
      <c r="AK1032" s="976"/>
      <c r="AM1032" s="43"/>
      <c r="AN1032" s="43"/>
      <c r="AO1032" s="43"/>
      <c r="AP1032" s="43"/>
      <c r="AQ1032" s="43"/>
      <c r="AR1032" s="43"/>
      <c r="AS1032" s="43"/>
      <c r="AT1032" s="43"/>
      <c r="AU1032" s="43"/>
      <c r="AV1032" s="43"/>
      <c r="AW1032" s="43"/>
      <c r="AX1032" s="43"/>
      <c r="AY1032" s="43"/>
      <c r="AZ1032" s="43"/>
      <c r="BA1032" s="43"/>
      <c r="BB1032" s="43"/>
      <c r="BC1032" s="43"/>
      <c r="BD1032" s="43"/>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row>
    <row r="1033" spans="1:97" ht="12.95" customHeight="1">
      <c r="A1033" s="44"/>
      <c r="B1033" s="32"/>
      <c r="C1033" s="12"/>
      <c r="D1033" s="976"/>
      <c r="E1033" s="976"/>
      <c r="F1033" s="976"/>
      <c r="G1033" s="976"/>
      <c r="H1033" s="976"/>
      <c r="I1033" s="976"/>
      <c r="J1033" s="976"/>
      <c r="K1033" s="976"/>
      <c r="L1033" s="976"/>
      <c r="M1033" s="976"/>
      <c r="N1033" s="976"/>
      <c r="O1033" s="976"/>
      <c r="P1033" s="976"/>
      <c r="Q1033" s="976"/>
      <c r="R1033" s="976"/>
      <c r="S1033" s="976"/>
      <c r="T1033" s="976"/>
      <c r="U1033" s="976"/>
      <c r="V1033" s="976"/>
      <c r="W1033" s="976"/>
      <c r="X1033" s="976"/>
      <c r="Y1033" s="976"/>
      <c r="Z1033" s="976"/>
      <c r="AA1033" s="976"/>
      <c r="AB1033" s="976"/>
      <c r="AC1033" s="976"/>
      <c r="AD1033" s="976"/>
      <c r="AE1033" s="976"/>
      <c r="AF1033" s="976"/>
      <c r="AG1033" s="976"/>
      <c r="AH1033" s="976"/>
      <c r="AI1033" s="976"/>
      <c r="AJ1033" s="976"/>
      <c r="AK1033" s="976"/>
      <c r="AM1033" s="43"/>
      <c r="AN1033" s="43"/>
      <c r="AO1033" s="43"/>
      <c r="AP1033" s="43"/>
      <c r="AQ1033" s="43"/>
      <c r="AR1033" s="43"/>
      <c r="AS1033" s="43"/>
      <c r="AT1033" s="43"/>
      <c r="AU1033" s="43"/>
      <c r="AV1033" s="43"/>
      <c r="AW1033" s="43"/>
      <c r="AX1033" s="43"/>
      <c r="AY1033" s="43"/>
      <c r="AZ1033" s="43"/>
      <c r="BA1033" s="43"/>
      <c r="BB1033" s="43"/>
      <c r="BC1033" s="43"/>
      <c r="BD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row>
    <row r="1034" spans="1:97" ht="12.95" customHeight="1">
      <c r="A1034" s="1113" t="s">
        <v>132</v>
      </c>
      <c r="B1034" s="1113"/>
      <c r="C1034" s="352">
        <v>7</v>
      </c>
      <c r="D1034" s="976" t="s">
        <v>1589</v>
      </c>
      <c r="E1034" s="976"/>
      <c r="F1034" s="976"/>
      <c r="G1034" s="976"/>
      <c r="H1034" s="976"/>
      <c r="I1034" s="976"/>
      <c r="J1034" s="976"/>
      <c r="K1034" s="976"/>
      <c r="L1034" s="976"/>
      <c r="M1034" s="976"/>
      <c r="N1034" s="976"/>
      <c r="O1034" s="976"/>
      <c r="P1034" s="976"/>
      <c r="Q1034" s="976"/>
      <c r="R1034" s="976"/>
      <c r="S1034" s="976"/>
      <c r="T1034" s="976"/>
      <c r="U1034" s="976"/>
      <c r="V1034" s="976"/>
      <c r="W1034" s="976"/>
      <c r="X1034" s="976"/>
      <c r="Y1034" s="976"/>
      <c r="Z1034" s="976"/>
      <c r="AA1034" s="976"/>
      <c r="AB1034" s="976"/>
      <c r="AC1034" s="976"/>
      <c r="AD1034" s="976"/>
      <c r="AE1034" s="976"/>
      <c r="AF1034" s="976"/>
      <c r="AG1034" s="976"/>
      <c r="AH1034" s="976"/>
      <c r="AI1034" s="976"/>
      <c r="AJ1034" s="976"/>
      <c r="AK1034" s="976"/>
      <c r="AM1034" s="43"/>
      <c r="AN1034" s="43"/>
      <c r="AO1034" s="43"/>
      <c r="AP1034" s="43"/>
      <c r="AQ1034" s="43"/>
      <c r="AR1034" s="43"/>
      <c r="AS1034" s="43"/>
      <c r="AT1034" s="43"/>
      <c r="AU1034" s="43"/>
      <c r="AV1034" s="43"/>
      <c r="AW1034" s="43"/>
      <c r="AX1034" s="43"/>
      <c r="AY1034" s="43"/>
      <c r="AZ1034" s="43"/>
      <c r="BA1034" s="43"/>
      <c r="BB1034" s="43"/>
      <c r="BC1034" s="43"/>
      <c r="BD1034" s="43"/>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row>
    <row r="1035" spans="1:97" ht="12.95" customHeight="1">
      <c r="A1035" s="1"/>
      <c r="B1035" s="1"/>
      <c r="C1035" s="352"/>
      <c r="D1035" s="976"/>
      <c r="E1035" s="976"/>
      <c r="F1035" s="976"/>
      <c r="G1035" s="976"/>
      <c r="H1035" s="976"/>
      <c r="I1035" s="976"/>
      <c r="J1035" s="976"/>
      <c r="K1035" s="976"/>
      <c r="L1035" s="976"/>
      <c r="M1035" s="976"/>
      <c r="N1035" s="976"/>
      <c r="O1035" s="976"/>
      <c r="P1035" s="976"/>
      <c r="Q1035" s="976"/>
      <c r="R1035" s="976"/>
      <c r="S1035" s="976"/>
      <c r="T1035" s="976"/>
      <c r="U1035" s="976"/>
      <c r="V1035" s="976"/>
      <c r="W1035" s="976"/>
      <c r="X1035" s="976"/>
      <c r="Y1035" s="976"/>
      <c r="Z1035" s="976"/>
      <c r="AA1035" s="976"/>
      <c r="AB1035" s="976"/>
      <c r="AC1035" s="976"/>
      <c r="AD1035" s="976"/>
      <c r="AE1035" s="976"/>
      <c r="AF1035" s="976"/>
      <c r="AG1035" s="976"/>
      <c r="AH1035" s="976"/>
      <c r="AI1035" s="976"/>
      <c r="AJ1035" s="976"/>
      <c r="AK1035" s="976"/>
      <c r="AM1035" s="43"/>
      <c r="AN1035" s="43"/>
      <c r="AO1035" s="43"/>
      <c r="AP1035" s="43"/>
      <c r="AQ1035" s="43"/>
      <c r="AR1035" s="43"/>
      <c r="AS1035" s="43"/>
      <c r="AT1035" s="43"/>
      <c r="AU1035" s="43"/>
      <c r="AV1035" s="43"/>
      <c r="AW1035" s="43"/>
      <c r="AX1035" s="43"/>
      <c r="AY1035" s="43"/>
      <c r="AZ1035" s="43"/>
      <c r="BA1035" s="43"/>
      <c r="BB1035" s="43"/>
      <c r="BC1035" s="43"/>
      <c r="BD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row>
    <row r="1036" spans="1:97" ht="12.95" customHeight="1">
      <c r="A1036" s="1"/>
      <c r="B1036" s="1"/>
      <c r="C1036" s="352"/>
      <c r="D1036" s="976"/>
      <c r="E1036" s="976"/>
      <c r="F1036" s="976"/>
      <c r="G1036" s="976"/>
      <c r="H1036" s="976"/>
      <c r="I1036" s="976"/>
      <c r="J1036" s="976"/>
      <c r="K1036" s="976"/>
      <c r="L1036" s="976"/>
      <c r="M1036" s="976"/>
      <c r="N1036" s="976"/>
      <c r="O1036" s="976"/>
      <c r="P1036" s="976"/>
      <c r="Q1036" s="976"/>
      <c r="R1036" s="976"/>
      <c r="S1036" s="976"/>
      <c r="T1036" s="976"/>
      <c r="U1036" s="976"/>
      <c r="V1036" s="976"/>
      <c r="W1036" s="976"/>
      <c r="X1036" s="976"/>
      <c r="Y1036" s="976"/>
      <c r="Z1036" s="976"/>
      <c r="AA1036" s="976"/>
      <c r="AB1036" s="976"/>
      <c r="AC1036" s="976"/>
      <c r="AD1036" s="976"/>
      <c r="AE1036" s="976"/>
      <c r="AF1036" s="976"/>
      <c r="AG1036" s="976"/>
      <c r="AH1036" s="976"/>
      <c r="AI1036" s="976"/>
      <c r="AJ1036" s="976"/>
      <c r="AK1036" s="976"/>
      <c r="AM1036" s="43"/>
      <c r="AN1036" s="43"/>
      <c r="AO1036" s="43"/>
      <c r="AP1036" s="43"/>
      <c r="AQ1036" s="43"/>
      <c r="AR1036" s="43"/>
      <c r="AS1036" s="43"/>
      <c r="AT1036" s="43"/>
      <c r="AU1036" s="43"/>
      <c r="AV1036" s="43"/>
      <c r="AW1036" s="43"/>
      <c r="AX1036" s="43"/>
      <c r="AY1036" s="43"/>
      <c r="AZ1036" s="43"/>
      <c r="BA1036" s="43"/>
      <c r="BB1036" s="43"/>
      <c r="BC1036" s="43"/>
      <c r="BD1036" s="43"/>
      <c r="BE1036" s="43"/>
      <c r="BF1036" s="43"/>
      <c r="BG1036" s="43"/>
      <c r="BH1036" s="43"/>
      <c r="BI1036" s="43"/>
      <c r="BJ1036" s="43"/>
      <c r="BK1036" s="43"/>
      <c r="BL1036" s="43"/>
      <c r="BM1036" s="43"/>
      <c r="BN1036" s="43"/>
      <c r="BO1036" s="43"/>
      <c r="BP1036" s="43"/>
      <c r="BQ1036" s="43"/>
      <c r="BR1036" s="43"/>
      <c r="BS1036" s="43"/>
      <c r="BT1036" s="43"/>
      <c r="BU1036" s="43"/>
      <c r="BV1036" s="43"/>
      <c r="BW1036" s="43"/>
      <c r="BX1036" s="43"/>
      <c r="BY1036" s="43"/>
      <c r="BZ1036" s="43"/>
      <c r="CA1036" s="43"/>
      <c r="CB1036" s="43"/>
      <c r="CC1036" s="43"/>
      <c r="CD1036" s="43"/>
      <c r="CE1036" s="43"/>
      <c r="CF1036" s="43"/>
      <c r="CG1036" s="43"/>
      <c r="CH1036" s="43"/>
      <c r="CI1036" s="43"/>
      <c r="CJ1036" s="43"/>
      <c r="CK1036" s="43"/>
      <c r="CL1036" s="43"/>
      <c r="CM1036" s="43"/>
      <c r="CN1036" s="43"/>
      <c r="CO1036" s="43"/>
      <c r="CP1036" s="43"/>
      <c r="CQ1036" s="43"/>
      <c r="CR1036" s="43"/>
      <c r="CS1036" s="43"/>
    </row>
    <row r="1037" spans="1:97" ht="12.95" customHeight="1">
      <c r="A1037" s="44"/>
      <c r="B1037" s="32"/>
      <c r="C1037" s="352"/>
      <c r="D1037" s="976"/>
      <c r="E1037" s="976"/>
      <c r="F1037" s="976"/>
      <c r="G1037" s="976"/>
      <c r="H1037" s="976"/>
      <c r="I1037" s="976"/>
      <c r="J1037" s="976"/>
      <c r="K1037" s="976"/>
      <c r="L1037" s="976"/>
      <c r="M1037" s="976"/>
      <c r="N1037" s="976"/>
      <c r="O1037" s="976"/>
      <c r="P1037" s="976"/>
      <c r="Q1037" s="976"/>
      <c r="R1037" s="976"/>
      <c r="S1037" s="976"/>
      <c r="T1037" s="976"/>
      <c r="U1037" s="976"/>
      <c r="V1037" s="976"/>
      <c r="W1037" s="976"/>
      <c r="X1037" s="976"/>
      <c r="Y1037" s="976"/>
      <c r="Z1037" s="976"/>
      <c r="AA1037" s="976"/>
      <c r="AB1037" s="976"/>
      <c r="AC1037" s="976"/>
      <c r="AD1037" s="976"/>
      <c r="AE1037" s="976"/>
      <c r="AF1037" s="976"/>
      <c r="AG1037" s="976"/>
      <c r="AH1037" s="976"/>
      <c r="AI1037" s="976"/>
      <c r="AJ1037" s="976"/>
      <c r="AK1037" s="976"/>
      <c r="AM1037" s="43"/>
      <c r="AN1037" s="43"/>
      <c r="AO1037" s="43"/>
      <c r="AP1037" s="43"/>
      <c r="AQ1037" s="43"/>
      <c r="AR1037" s="43"/>
      <c r="AS1037" s="43"/>
      <c r="AT1037" s="43"/>
      <c r="AU1037" s="43"/>
      <c r="AV1037" s="43"/>
      <c r="AW1037" s="43"/>
      <c r="AX1037" s="43"/>
      <c r="AY1037" s="43"/>
      <c r="AZ1037" s="43"/>
      <c r="BA1037" s="43"/>
      <c r="BB1037" s="43"/>
      <c r="BC1037" s="43"/>
      <c r="BD1037" s="43"/>
      <c r="BE1037" s="43"/>
      <c r="BF1037" s="43"/>
      <c r="BG1037" s="43"/>
      <c r="BH1037" s="43"/>
      <c r="BI1037" s="43"/>
      <c r="BJ1037" s="43"/>
      <c r="BK1037" s="43"/>
      <c r="BL1037" s="43"/>
      <c r="BM1037" s="43"/>
      <c r="BN1037" s="43"/>
      <c r="BO1037" s="43"/>
      <c r="BP1037" s="43"/>
      <c r="BQ1037" s="43"/>
      <c r="BR1037" s="43"/>
      <c r="BS1037" s="43"/>
      <c r="BT1037" s="43"/>
      <c r="BU1037" s="43"/>
      <c r="BV1037" s="43"/>
      <c r="BW1037" s="43"/>
      <c r="BX1037" s="43"/>
      <c r="BY1037" s="43"/>
      <c r="BZ1037" s="43"/>
      <c r="CA1037" s="43"/>
      <c r="CB1037" s="43"/>
      <c r="CC1037" s="43"/>
      <c r="CD1037" s="43"/>
      <c r="CE1037" s="43"/>
      <c r="CF1037" s="43"/>
      <c r="CG1037" s="43"/>
      <c r="CH1037" s="43"/>
      <c r="CI1037" s="43"/>
      <c r="CJ1037" s="43"/>
      <c r="CK1037" s="43"/>
      <c r="CL1037" s="43"/>
      <c r="CM1037" s="43"/>
      <c r="CN1037" s="43"/>
      <c r="CO1037" s="43"/>
      <c r="CP1037" s="43"/>
      <c r="CQ1037" s="43"/>
      <c r="CR1037" s="43"/>
      <c r="CS1037" s="43"/>
    </row>
    <row r="1038" spans="1:97" ht="12.95" customHeight="1">
      <c r="A1038" s="1113" t="s">
        <v>132</v>
      </c>
      <c r="B1038" s="1113"/>
      <c r="C1038" s="352">
        <v>8</v>
      </c>
      <c r="D1038" s="970" t="s">
        <v>2112</v>
      </c>
      <c r="E1038" s="976"/>
      <c r="F1038" s="976"/>
      <c r="G1038" s="976"/>
      <c r="H1038" s="976"/>
      <c r="I1038" s="976"/>
      <c r="J1038" s="976"/>
      <c r="K1038" s="976"/>
      <c r="L1038" s="976"/>
      <c r="M1038" s="976"/>
      <c r="N1038" s="976"/>
      <c r="O1038" s="976"/>
      <c r="P1038" s="976"/>
      <c r="Q1038" s="976"/>
      <c r="R1038" s="976"/>
      <c r="S1038" s="976"/>
      <c r="T1038" s="976"/>
      <c r="U1038" s="976"/>
      <c r="V1038" s="976"/>
      <c r="W1038" s="976"/>
      <c r="X1038" s="976"/>
      <c r="Y1038" s="976"/>
      <c r="Z1038" s="976"/>
      <c r="AA1038" s="976"/>
      <c r="AB1038" s="976"/>
      <c r="AC1038" s="976"/>
      <c r="AD1038" s="976"/>
      <c r="AE1038" s="976"/>
      <c r="AF1038" s="976"/>
      <c r="AG1038" s="976"/>
      <c r="AH1038" s="976"/>
      <c r="AI1038" s="976"/>
      <c r="AJ1038" s="976"/>
      <c r="AK1038" s="976"/>
    </row>
    <row r="1039" spans="1:97" ht="12.95" customHeight="1">
      <c r="A1039" s="1"/>
      <c r="B1039" s="1"/>
      <c r="C1039" s="352"/>
      <c r="D1039" s="976"/>
      <c r="E1039" s="976"/>
      <c r="F1039" s="976"/>
      <c r="G1039" s="976"/>
      <c r="H1039" s="976"/>
      <c r="I1039" s="976"/>
      <c r="J1039" s="976"/>
      <c r="K1039" s="976"/>
      <c r="L1039" s="976"/>
      <c r="M1039" s="976"/>
      <c r="N1039" s="976"/>
      <c r="O1039" s="976"/>
      <c r="P1039" s="976"/>
      <c r="Q1039" s="976"/>
      <c r="R1039" s="976"/>
      <c r="S1039" s="976"/>
      <c r="T1039" s="976"/>
      <c r="U1039" s="976"/>
      <c r="V1039" s="976"/>
      <c r="W1039" s="976"/>
      <c r="X1039" s="976"/>
      <c r="Y1039" s="976"/>
      <c r="Z1039" s="976"/>
      <c r="AA1039" s="976"/>
      <c r="AB1039" s="976"/>
      <c r="AC1039" s="976"/>
      <c r="AD1039" s="976"/>
      <c r="AE1039" s="976"/>
      <c r="AF1039" s="976"/>
      <c r="AG1039" s="976"/>
      <c r="AH1039" s="976"/>
      <c r="AI1039" s="976"/>
      <c r="AJ1039" s="976"/>
      <c r="AK1039" s="976"/>
    </row>
    <row r="1040" spans="1:97" ht="12.95" customHeight="1">
      <c r="A1040" s="1"/>
      <c r="B1040" s="1"/>
      <c r="C1040" s="352"/>
      <c r="D1040" s="976"/>
      <c r="E1040" s="976"/>
      <c r="F1040" s="976"/>
      <c r="G1040" s="976"/>
      <c r="H1040" s="976"/>
      <c r="I1040" s="976"/>
      <c r="J1040" s="976"/>
      <c r="K1040" s="976"/>
      <c r="L1040" s="976"/>
      <c r="M1040" s="976"/>
      <c r="N1040" s="976"/>
      <c r="O1040" s="976"/>
      <c r="P1040" s="976"/>
      <c r="Q1040" s="976"/>
      <c r="R1040" s="976"/>
      <c r="S1040" s="976"/>
      <c r="T1040" s="976"/>
      <c r="U1040" s="976"/>
      <c r="V1040" s="976"/>
      <c r="W1040" s="976"/>
      <c r="X1040" s="976"/>
      <c r="Y1040" s="976"/>
      <c r="Z1040" s="976"/>
      <c r="AA1040" s="976"/>
      <c r="AB1040" s="976"/>
      <c r="AC1040" s="976"/>
      <c r="AD1040" s="976"/>
      <c r="AE1040" s="976"/>
      <c r="AF1040" s="976"/>
      <c r="AG1040" s="976"/>
      <c r="AH1040" s="976"/>
      <c r="AI1040" s="976"/>
      <c r="AJ1040" s="976"/>
      <c r="AK1040" s="976"/>
    </row>
    <row r="1041" spans="1:38" ht="12.95" customHeight="1">
      <c r="A1041" s="44"/>
      <c r="B1041" s="32"/>
      <c r="C1041" s="352"/>
      <c r="D1041" s="976"/>
      <c r="E1041" s="976"/>
      <c r="F1041" s="976"/>
      <c r="G1041" s="976"/>
      <c r="H1041" s="976"/>
      <c r="I1041" s="976"/>
      <c r="J1041" s="976"/>
      <c r="K1041" s="976"/>
      <c r="L1041" s="976"/>
      <c r="M1041" s="976"/>
      <c r="N1041" s="976"/>
      <c r="O1041" s="976"/>
      <c r="P1041" s="976"/>
      <c r="Q1041" s="976"/>
      <c r="R1041" s="976"/>
      <c r="S1041" s="976"/>
      <c r="T1041" s="976"/>
      <c r="U1041" s="976"/>
      <c r="V1041" s="976"/>
      <c r="W1041" s="976"/>
      <c r="X1041" s="976"/>
      <c r="Y1041" s="976"/>
      <c r="Z1041" s="976"/>
      <c r="AA1041" s="976"/>
      <c r="AB1041" s="976"/>
      <c r="AC1041" s="976"/>
      <c r="AD1041" s="976"/>
      <c r="AE1041" s="976"/>
      <c r="AF1041" s="976"/>
      <c r="AG1041" s="976"/>
      <c r="AH1041" s="976"/>
      <c r="AI1041" s="976"/>
      <c r="AJ1041" s="976"/>
      <c r="AK1041" s="976"/>
    </row>
    <row r="1042" spans="1:38" ht="12.95" customHeight="1">
      <c r="A1042" s="1138" t="s">
        <v>132</v>
      </c>
      <c r="B1042" s="1138"/>
      <c r="C1042" s="352">
        <v>9</v>
      </c>
      <c r="D1042" s="970" t="s">
        <v>1588</v>
      </c>
      <c r="E1042" s="976"/>
      <c r="F1042" s="976"/>
      <c r="G1042" s="976"/>
      <c r="H1042" s="976"/>
      <c r="I1042" s="976"/>
      <c r="J1042" s="976"/>
      <c r="K1042" s="976"/>
      <c r="L1042" s="976"/>
      <c r="M1042" s="976"/>
      <c r="N1042" s="976"/>
      <c r="O1042" s="976"/>
      <c r="P1042" s="976"/>
      <c r="Q1042" s="976"/>
      <c r="R1042" s="976"/>
      <c r="S1042" s="976"/>
      <c r="T1042" s="976"/>
      <c r="U1042" s="976"/>
      <c r="V1042" s="976"/>
      <c r="W1042" s="976"/>
      <c r="X1042" s="976"/>
      <c r="Y1042" s="976"/>
      <c r="Z1042" s="976"/>
      <c r="AA1042" s="976"/>
      <c r="AB1042" s="976"/>
      <c r="AC1042" s="976"/>
      <c r="AD1042" s="976"/>
      <c r="AE1042" s="976"/>
      <c r="AF1042" s="976"/>
      <c r="AG1042" s="976"/>
      <c r="AH1042" s="976"/>
      <c r="AI1042" s="976"/>
      <c r="AJ1042" s="976"/>
      <c r="AK1042" s="976"/>
    </row>
    <row r="1043" spans="1:38" ht="12.95" customHeight="1">
      <c r="A1043" s="44"/>
      <c r="B1043" s="32"/>
      <c r="C1043" s="352"/>
      <c r="D1043" s="976"/>
      <c r="E1043" s="976"/>
      <c r="F1043" s="976"/>
      <c r="G1043" s="976"/>
      <c r="H1043" s="976"/>
      <c r="I1043" s="976"/>
      <c r="J1043" s="976"/>
      <c r="K1043" s="976"/>
      <c r="L1043" s="976"/>
      <c r="M1043" s="976"/>
      <c r="N1043" s="976"/>
      <c r="O1043" s="976"/>
      <c r="P1043" s="976"/>
      <c r="Q1043" s="976"/>
      <c r="R1043" s="976"/>
      <c r="S1043" s="976"/>
      <c r="T1043" s="976"/>
      <c r="U1043" s="976"/>
      <c r="V1043" s="976"/>
      <c r="W1043" s="976"/>
      <c r="X1043" s="976"/>
      <c r="Y1043" s="976"/>
      <c r="Z1043" s="976"/>
      <c r="AA1043" s="976"/>
      <c r="AB1043" s="976"/>
      <c r="AC1043" s="976"/>
      <c r="AD1043" s="976"/>
      <c r="AE1043" s="976"/>
      <c r="AF1043" s="976"/>
      <c r="AG1043" s="976"/>
      <c r="AH1043" s="976"/>
      <c r="AI1043" s="976"/>
      <c r="AJ1043" s="976"/>
      <c r="AK1043" s="976"/>
    </row>
    <row r="1044" spans="1:38" ht="12.95" customHeight="1">
      <c r="D1044" s="976"/>
      <c r="E1044" s="976"/>
      <c r="F1044" s="976"/>
      <c r="G1044" s="976"/>
      <c r="H1044" s="976"/>
      <c r="I1044" s="976"/>
      <c r="J1044" s="976"/>
      <c r="K1044" s="976"/>
      <c r="L1044" s="976"/>
      <c r="M1044" s="976"/>
      <c r="N1044" s="976"/>
      <c r="O1044" s="976"/>
      <c r="P1044" s="976"/>
      <c r="Q1044" s="976"/>
      <c r="R1044" s="976"/>
      <c r="S1044" s="976"/>
      <c r="T1044" s="976"/>
      <c r="U1044" s="976"/>
      <c r="V1044" s="976"/>
      <c r="W1044" s="976"/>
      <c r="X1044" s="976"/>
      <c r="Y1044" s="976"/>
      <c r="Z1044" s="976"/>
      <c r="AA1044" s="976"/>
      <c r="AB1044" s="976"/>
      <c r="AC1044" s="976"/>
      <c r="AD1044" s="976"/>
      <c r="AE1044" s="976"/>
      <c r="AF1044" s="976"/>
      <c r="AG1044" s="976"/>
      <c r="AH1044" s="976"/>
      <c r="AI1044" s="976"/>
      <c r="AJ1044" s="976"/>
      <c r="AK1044" s="976"/>
    </row>
    <row r="1045" spans="1:38" ht="12.95" customHeight="1">
      <c r="A1045" s="54"/>
      <c r="B1045" s="54"/>
      <c r="C1045" s="54"/>
      <c r="D1045" s="54"/>
      <c r="E1045" s="54"/>
      <c r="F1045" s="54"/>
      <c r="G1045" s="54"/>
      <c r="H1045" s="54"/>
      <c r="I1045" s="54"/>
      <c r="J1045" s="54"/>
      <c r="K1045" s="54"/>
      <c r="L1045" s="54"/>
      <c r="M1045" s="54"/>
      <c r="N1045" s="54"/>
      <c r="O1045" s="54"/>
      <c r="P1045" s="54"/>
      <c r="Q1045" s="54"/>
      <c r="R1045" s="54"/>
      <c r="S1045" s="54"/>
      <c r="T1045" s="54"/>
      <c r="U1045" s="54"/>
      <c r="V1045" s="54"/>
      <c r="W1045" s="54"/>
      <c r="X1045" s="54"/>
      <c r="Y1045" s="54"/>
      <c r="Z1045" s="54"/>
      <c r="AA1045" s="54"/>
      <c r="AB1045" s="54"/>
      <c r="AC1045" s="54"/>
      <c r="AD1045" s="54"/>
      <c r="AE1045" s="54"/>
      <c r="AF1045" s="54"/>
      <c r="AG1045" s="54"/>
      <c r="AH1045" s="54"/>
      <c r="AI1045" s="54"/>
      <c r="AJ1045" s="54"/>
      <c r="AK1045" s="54"/>
      <c r="AL1045" s="54"/>
    </row>
  </sheetData>
  <sheetProtection algorithmName="SHA-512" hashValue="zjGRG+LKAnYQGt1fgdw6hMowzsNzPfLqdRVFRUJJIbqO2gjSLYUAmJJZdwyOjmE8BRzP7pPTTJZmLC0/Lf66lA==" saltValue="s+NOhRc0ay3KcfnnXQ+olA=="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5" right="0.5" top="1" bottom="1" header="0.5" footer="0.5"/>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2154">
    <mergeCell ref="D465:V465"/>
    <mergeCell ref="W465:Y465"/>
    <mergeCell ref="D468:Y470"/>
    <mergeCell ref="AJ959:AQ962"/>
    <mergeCell ref="D937:Q937"/>
    <mergeCell ref="R937:AA937"/>
    <mergeCell ref="AB937:AI937"/>
    <mergeCell ref="AJ937:AQ937"/>
    <mergeCell ref="R934:AA934"/>
    <mergeCell ref="AB934:AI934"/>
    <mergeCell ref="AJ934:AQ934"/>
    <mergeCell ref="D935:Q935"/>
    <mergeCell ref="R935:AA935"/>
    <mergeCell ref="AB935:AI935"/>
    <mergeCell ref="AJ935:AQ935"/>
    <mergeCell ref="D936:Q936"/>
    <mergeCell ref="R936:AA936"/>
    <mergeCell ref="D959:AE959"/>
    <mergeCell ref="AG959:AH959"/>
    <mergeCell ref="AG941:AH941"/>
    <mergeCell ref="B938:AA938"/>
    <mergeCell ref="AB938:AI938"/>
    <mergeCell ref="AJ938:AQ938"/>
    <mergeCell ref="B939:AI939"/>
    <mergeCell ref="AJ939:AQ939"/>
    <mergeCell ref="B940:AE940"/>
    <mergeCell ref="AF940:AI940"/>
    <mergeCell ref="AJ940:AQ940"/>
    <mergeCell ref="D941:AE941"/>
    <mergeCell ref="D950:AE950"/>
    <mergeCell ref="AG950:AH950"/>
    <mergeCell ref="AJ950:AQ953"/>
    <mergeCell ref="D951:AE953"/>
    <mergeCell ref="AG956:AH956"/>
    <mergeCell ref="AJ956:AQ958"/>
    <mergeCell ref="AG979:AH979"/>
    <mergeCell ref="AJ979:AQ983"/>
    <mergeCell ref="D980:AE983"/>
    <mergeCell ref="D984:AE984"/>
    <mergeCell ref="AG984:AH984"/>
    <mergeCell ref="AJ984:AQ987"/>
    <mergeCell ref="D985:AE987"/>
    <mergeCell ref="D963:AE964"/>
    <mergeCell ref="AG963:AH963"/>
    <mergeCell ref="AJ963:AQ967"/>
    <mergeCell ref="D965:AE966"/>
    <mergeCell ref="J967:AE967"/>
    <mergeCell ref="D968:AE968"/>
    <mergeCell ref="AG968:AH968"/>
    <mergeCell ref="AJ968:AQ971"/>
    <mergeCell ref="D969:AE971"/>
    <mergeCell ref="D972:AE972"/>
    <mergeCell ref="AG972:AH972"/>
    <mergeCell ref="AJ972:AQ974"/>
    <mergeCell ref="D973:AE974"/>
    <mergeCell ref="D975:AE975"/>
    <mergeCell ref="AG975:AH975"/>
    <mergeCell ref="AJ975:AQ978"/>
    <mergeCell ref="D976:AE978"/>
    <mergeCell ref="D957:AE958"/>
    <mergeCell ref="AG791:AJ791"/>
    <mergeCell ref="C801:AJ801"/>
    <mergeCell ref="M810:V810"/>
    <mergeCell ref="M796:P796"/>
    <mergeCell ref="W808:AC808"/>
    <mergeCell ref="W823:AC823"/>
    <mergeCell ref="M840:V840"/>
    <mergeCell ref="AC859:AH859"/>
    <mergeCell ref="AC850:AH850"/>
    <mergeCell ref="F877:T877"/>
    <mergeCell ref="C796:L796"/>
    <mergeCell ref="M795:P795"/>
    <mergeCell ref="AA881:AF881"/>
    <mergeCell ref="AA883:AF883"/>
    <mergeCell ref="U883:Z883"/>
    <mergeCell ref="L903:S903"/>
    <mergeCell ref="U895:Z895"/>
    <mergeCell ref="U896:Z896"/>
    <mergeCell ref="AC848:AH848"/>
    <mergeCell ref="AB879:AE879"/>
    <mergeCell ref="W816:AC816"/>
    <mergeCell ref="W811:AC811"/>
    <mergeCell ref="E858:AB858"/>
    <mergeCell ref="Y795:AB795"/>
    <mergeCell ref="U791:X791"/>
    <mergeCell ref="W842:AC842"/>
    <mergeCell ref="Q796:T796"/>
    <mergeCell ref="AA885:AF885"/>
    <mergeCell ref="A872:AL873"/>
    <mergeCell ref="M825:V825"/>
    <mergeCell ref="W827:AC827"/>
    <mergeCell ref="AG795:AJ795"/>
    <mergeCell ref="L906:S906"/>
    <mergeCell ref="U893:Z893"/>
    <mergeCell ref="AA891:AF891"/>
    <mergeCell ref="Z862:AE862"/>
    <mergeCell ref="AA880:AF880"/>
    <mergeCell ref="AC858:AH858"/>
    <mergeCell ref="AN860:AO860"/>
    <mergeCell ref="AA919:AG919"/>
    <mergeCell ref="AG944:AH944"/>
    <mergeCell ref="AJ944:AQ949"/>
    <mergeCell ref="D955:AE955"/>
    <mergeCell ref="D956:AE956"/>
    <mergeCell ref="W806:AC806"/>
    <mergeCell ref="W825:AC825"/>
    <mergeCell ref="AG796:AJ796"/>
    <mergeCell ref="AC849:AH849"/>
    <mergeCell ref="W836:AC836"/>
    <mergeCell ref="AC854:AH854"/>
    <mergeCell ref="AC855:AH855"/>
    <mergeCell ref="AC852:AH852"/>
    <mergeCell ref="M842:V842"/>
    <mergeCell ref="AC851:AH851"/>
    <mergeCell ref="AC796:AF796"/>
    <mergeCell ref="W813:AC813"/>
    <mergeCell ref="W815:AC815"/>
    <mergeCell ref="W821:AC821"/>
    <mergeCell ref="W807:AC807"/>
    <mergeCell ref="W817:AC817"/>
    <mergeCell ref="J813:V813"/>
    <mergeCell ref="T824:V824"/>
    <mergeCell ref="Y796:AB796"/>
    <mergeCell ref="W829:AC829"/>
    <mergeCell ref="AG790:AJ790"/>
    <mergeCell ref="F795:L795"/>
    <mergeCell ref="Y789:AB789"/>
    <mergeCell ref="Q792:T792"/>
    <mergeCell ref="AC794:AF794"/>
    <mergeCell ref="Q793:T793"/>
    <mergeCell ref="Q791:T791"/>
    <mergeCell ref="AG787:AJ788"/>
    <mergeCell ref="M792:P792"/>
    <mergeCell ref="M794:P794"/>
    <mergeCell ref="AG792:AJ792"/>
    <mergeCell ref="Z782:AE782"/>
    <mergeCell ref="M791:P791"/>
    <mergeCell ref="U790:X790"/>
    <mergeCell ref="AC790:AF790"/>
    <mergeCell ref="Y790:AB790"/>
    <mergeCell ref="AC793:AF793"/>
    <mergeCell ref="Q789:T789"/>
    <mergeCell ref="M789:P789"/>
    <mergeCell ref="M790:P790"/>
    <mergeCell ref="Q790:T790"/>
    <mergeCell ref="M787:P788"/>
    <mergeCell ref="Q787:T788"/>
    <mergeCell ref="AC789:AF789"/>
    <mergeCell ref="U789:X789"/>
    <mergeCell ref="C791:H791"/>
    <mergeCell ref="M793:P793"/>
    <mergeCell ref="C789:H789"/>
    <mergeCell ref="C790:H790"/>
    <mergeCell ref="Y794:AB794"/>
    <mergeCell ref="Y792:AB792"/>
    <mergeCell ref="C794:H794"/>
    <mergeCell ref="AM716:AO716"/>
    <mergeCell ref="T717:X717"/>
    <mergeCell ref="AH717:AL717"/>
    <mergeCell ref="AM717:AO717"/>
    <mergeCell ref="T734:W737"/>
    <mergeCell ref="X734:AB737"/>
    <mergeCell ref="AC734:AG737"/>
    <mergeCell ref="T738:W738"/>
    <mergeCell ref="X738:AB738"/>
    <mergeCell ref="AC738:AG738"/>
    <mergeCell ref="Z722:AB722"/>
    <mergeCell ref="AC741:AG741"/>
    <mergeCell ref="T716:X716"/>
    <mergeCell ref="Y716:AB716"/>
    <mergeCell ref="AC716:AG716"/>
    <mergeCell ref="AH716:AL716"/>
    <mergeCell ref="T760:W760"/>
    <mergeCell ref="X760:AB760"/>
    <mergeCell ref="AC760:AG760"/>
    <mergeCell ref="T752:W752"/>
    <mergeCell ref="T758:W758"/>
    <mergeCell ref="X758:AB758"/>
    <mergeCell ref="X742:AB742"/>
    <mergeCell ref="AC742:AG742"/>
    <mergeCell ref="T748:W751"/>
    <mergeCell ref="X748:AB751"/>
    <mergeCell ref="X752:AB752"/>
    <mergeCell ref="AC752:AG752"/>
    <mergeCell ref="T753:W753"/>
    <mergeCell ref="X753:AB753"/>
    <mergeCell ref="AC753:AG753"/>
    <mergeCell ref="T754:W754"/>
    <mergeCell ref="AM713:AO713"/>
    <mergeCell ref="K714:N714"/>
    <mergeCell ref="O714:S714"/>
    <mergeCell ref="T714:X714"/>
    <mergeCell ref="Y714:AB714"/>
    <mergeCell ref="AC714:AG714"/>
    <mergeCell ref="AH714:AL714"/>
    <mergeCell ref="AM714:AO714"/>
    <mergeCell ref="K712:N712"/>
    <mergeCell ref="O712:S712"/>
    <mergeCell ref="Y715:AB715"/>
    <mergeCell ref="AC715:AG715"/>
    <mergeCell ref="AH715:AL715"/>
    <mergeCell ref="AM715:AO715"/>
    <mergeCell ref="T712:X712"/>
    <mergeCell ref="Y712:AB712"/>
    <mergeCell ref="AC712:AG712"/>
    <mergeCell ref="AH712:AL712"/>
    <mergeCell ref="K713:N713"/>
    <mergeCell ref="O713:S713"/>
    <mergeCell ref="AC713:AG713"/>
    <mergeCell ref="AH713:AL713"/>
    <mergeCell ref="T715:X715"/>
    <mergeCell ref="AM708:AO708"/>
    <mergeCell ref="K709:N709"/>
    <mergeCell ref="O709:S709"/>
    <mergeCell ref="T709:X709"/>
    <mergeCell ref="Y709:AB709"/>
    <mergeCell ref="AC709:AG709"/>
    <mergeCell ref="AH709:AL709"/>
    <mergeCell ref="AM709:AO709"/>
    <mergeCell ref="AM710:AO710"/>
    <mergeCell ref="K711:N711"/>
    <mergeCell ref="O711:S711"/>
    <mergeCell ref="T711:X711"/>
    <mergeCell ref="Y711:AB711"/>
    <mergeCell ref="AC711:AG711"/>
    <mergeCell ref="AH711:AL711"/>
    <mergeCell ref="AM711:AO711"/>
    <mergeCell ref="AM712:AO712"/>
    <mergeCell ref="K708:N708"/>
    <mergeCell ref="O708:S708"/>
    <mergeCell ref="T708:X708"/>
    <mergeCell ref="Y708:AB708"/>
    <mergeCell ref="AC708:AG708"/>
    <mergeCell ref="AH708:AL708"/>
    <mergeCell ref="K705:N705"/>
    <mergeCell ref="O705:S705"/>
    <mergeCell ref="T705:X705"/>
    <mergeCell ref="Y705:AB705"/>
    <mergeCell ref="AC705:AG705"/>
    <mergeCell ref="AH705:AL705"/>
    <mergeCell ref="AM705:AO705"/>
    <mergeCell ref="AM706:AO706"/>
    <mergeCell ref="K707:N707"/>
    <mergeCell ref="O707:S707"/>
    <mergeCell ref="T707:X707"/>
    <mergeCell ref="Y707:AB707"/>
    <mergeCell ref="AC707:AG707"/>
    <mergeCell ref="AH707:AL707"/>
    <mergeCell ref="AM707:AO707"/>
    <mergeCell ref="K704:N704"/>
    <mergeCell ref="O704:S704"/>
    <mergeCell ref="T704:X704"/>
    <mergeCell ref="Y704:AB704"/>
    <mergeCell ref="K706:N706"/>
    <mergeCell ref="O706:S706"/>
    <mergeCell ref="T706:X706"/>
    <mergeCell ref="Y706:AB706"/>
    <mergeCell ref="AC706:AG706"/>
    <mergeCell ref="AH704:AL704"/>
    <mergeCell ref="AM703:AO703"/>
    <mergeCell ref="K700:N700"/>
    <mergeCell ref="O700:S700"/>
    <mergeCell ref="T700:X700"/>
    <mergeCell ref="Y700:AB700"/>
    <mergeCell ref="AC700:AG700"/>
    <mergeCell ref="AH700:AL700"/>
    <mergeCell ref="AM704:AO704"/>
    <mergeCell ref="AM698:AO698"/>
    <mergeCell ref="K699:N699"/>
    <mergeCell ref="O699:S699"/>
    <mergeCell ref="T699:X699"/>
    <mergeCell ref="Y699:AB699"/>
    <mergeCell ref="AC699:AG699"/>
    <mergeCell ref="AH699:AL699"/>
    <mergeCell ref="AM699:AO699"/>
    <mergeCell ref="AM700:AO700"/>
    <mergeCell ref="K701:N701"/>
    <mergeCell ref="O701:S701"/>
    <mergeCell ref="T701:X701"/>
    <mergeCell ref="Y701:AB701"/>
    <mergeCell ref="AC701:AG701"/>
    <mergeCell ref="AH701:AL701"/>
    <mergeCell ref="AC704:AG704"/>
    <mergeCell ref="AH703:AL703"/>
    <mergeCell ref="AM697:AO697"/>
    <mergeCell ref="AM692:AO692"/>
    <mergeCell ref="K693:N693"/>
    <mergeCell ref="O693:S693"/>
    <mergeCell ref="T693:X693"/>
    <mergeCell ref="Y693:AB693"/>
    <mergeCell ref="AC693:AG693"/>
    <mergeCell ref="AH693:AL693"/>
    <mergeCell ref="AM693:AO693"/>
    <mergeCell ref="K702:N702"/>
    <mergeCell ref="O702:S702"/>
    <mergeCell ref="T702:X702"/>
    <mergeCell ref="Y702:AB702"/>
    <mergeCell ref="AC702:AG702"/>
    <mergeCell ref="AH702:AL702"/>
    <mergeCell ref="AM702:AO702"/>
    <mergeCell ref="AC698:AG698"/>
    <mergeCell ref="AH698:AL698"/>
    <mergeCell ref="AO631:AS631"/>
    <mergeCell ref="G650:R650"/>
    <mergeCell ref="G692:J692"/>
    <mergeCell ref="T692:X692"/>
    <mergeCell ref="P646:R646"/>
    <mergeCell ref="N648:O648"/>
    <mergeCell ref="AA647:AK647"/>
    <mergeCell ref="Z646:AE646"/>
    <mergeCell ref="AI646:AK646"/>
    <mergeCell ref="AI662:AK662"/>
    <mergeCell ref="Z658:AK658"/>
    <mergeCell ref="Z654:AE654"/>
    <mergeCell ref="G642:R642"/>
    <mergeCell ref="AG672:AH672"/>
    <mergeCell ref="H679:R679"/>
    <mergeCell ref="N680:O680"/>
    <mergeCell ref="G677:R677"/>
    <mergeCell ref="AG656:AH656"/>
    <mergeCell ref="N672:O672"/>
    <mergeCell ref="Z652:AK652"/>
    <mergeCell ref="AI654:AK654"/>
    <mergeCell ref="P662:R662"/>
    <mergeCell ref="Z675:AK675"/>
    <mergeCell ref="P678:R678"/>
    <mergeCell ref="H671:R671"/>
    <mergeCell ref="Z674:AK674"/>
    <mergeCell ref="P654:R654"/>
    <mergeCell ref="AA663:AK663"/>
    <mergeCell ref="P670:R670"/>
    <mergeCell ref="Z676:AK676"/>
    <mergeCell ref="AG664:AH664"/>
    <mergeCell ref="AI670:AK670"/>
    <mergeCell ref="AO632:AS632"/>
    <mergeCell ref="K688:N691"/>
    <mergeCell ref="O688:S691"/>
    <mergeCell ref="T688:X691"/>
    <mergeCell ref="Y688:AB691"/>
    <mergeCell ref="AC688:AG691"/>
    <mergeCell ref="AH688:AL691"/>
    <mergeCell ref="AM688:AO691"/>
    <mergeCell ref="G645:R645"/>
    <mergeCell ref="G670:L670"/>
    <mergeCell ref="N640:O640"/>
    <mergeCell ref="H639:R639"/>
    <mergeCell ref="G643:R643"/>
    <mergeCell ref="G644:R644"/>
    <mergeCell ref="G638:L638"/>
    <mergeCell ref="G661:R661"/>
    <mergeCell ref="AA639:AK639"/>
    <mergeCell ref="G666:R666"/>
    <mergeCell ref="Z661:AK661"/>
    <mergeCell ref="N664:O664"/>
    <mergeCell ref="Z659:AK659"/>
    <mergeCell ref="G660:R660"/>
    <mergeCell ref="AG640:AH640"/>
    <mergeCell ref="Z669:AK669"/>
    <mergeCell ref="AI678:AK678"/>
    <mergeCell ref="G669:R669"/>
    <mergeCell ref="G674:R674"/>
    <mergeCell ref="Z660:AK660"/>
    <mergeCell ref="N656:O656"/>
    <mergeCell ref="G668:R668"/>
    <mergeCell ref="Z668:AK668"/>
    <mergeCell ref="G662:L662"/>
    <mergeCell ref="AO625:AS625"/>
    <mergeCell ref="AC626:AE626"/>
    <mergeCell ref="AF626:AJ626"/>
    <mergeCell ref="AK626:AN626"/>
    <mergeCell ref="AO626:AS626"/>
    <mergeCell ref="AC627:AE627"/>
    <mergeCell ref="AF627:AJ627"/>
    <mergeCell ref="AK627:AN627"/>
    <mergeCell ref="AO627:AS627"/>
    <mergeCell ref="AC628:AE628"/>
    <mergeCell ref="AF628:AJ628"/>
    <mergeCell ref="AK628:AN628"/>
    <mergeCell ref="AO628:AS628"/>
    <mergeCell ref="B630:AN630"/>
    <mergeCell ref="AO630:AS630"/>
    <mergeCell ref="Z625:AB625"/>
    <mergeCell ref="Z626:AB626"/>
    <mergeCell ref="Z627:AB627"/>
    <mergeCell ref="Z628:AB628"/>
    <mergeCell ref="Z629:AB629"/>
    <mergeCell ref="M628:P628"/>
    <mergeCell ref="M629:P629"/>
    <mergeCell ref="Q628:S628"/>
    <mergeCell ref="Q629:S629"/>
    <mergeCell ref="AC629:AE629"/>
    <mergeCell ref="AF629:AJ629"/>
    <mergeCell ref="AK629:AN629"/>
    <mergeCell ref="AO629:AS629"/>
    <mergeCell ref="T628:V628"/>
    <mergeCell ref="T629:V629"/>
    <mergeCell ref="W625:Y625"/>
    <mergeCell ref="W626:Y626"/>
    <mergeCell ref="BN631:BR631"/>
    <mergeCell ref="BS631:BW631"/>
    <mergeCell ref="BX631:CB631"/>
    <mergeCell ref="CC631:CG631"/>
    <mergeCell ref="CH631:CL631"/>
    <mergeCell ref="CM631:CQ631"/>
    <mergeCell ref="BN629:BR629"/>
    <mergeCell ref="BN632:BR632"/>
    <mergeCell ref="BS632:BW632"/>
    <mergeCell ref="BX632:CB632"/>
    <mergeCell ref="CC632:CG632"/>
    <mergeCell ref="CH632:CL632"/>
    <mergeCell ref="CM632:CQ632"/>
    <mergeCell ref="BN638:BR638"/>
    <mergeCell ref="BS638:BW638"/>
    <mergeCell ref="BX638:CB638"/>
    <mergeCell ref="CC638:CG638"/>
    <mergeCell ref="CH638:CL638"/>
    <mergeCell ref="CM638:CQ638"/>
    <mergeCell ref="BN630:BR630"/>
    <mergeCell ref="BS630:BW630"/>
    <mergeCell ref="BX630:CB630"/>
    <mergeCell ref="CC630:CG630"/>
    <mergeCell ref="CH630:CL630"/>
    <mergeCell ref="CM630:CQ630"/>
    <mergeCell ref="BS626:BW626"/>
    <mergeCell ref="BX626:CB626"/>
    <mergeCell ref="CC626:CG626"/>
    <mergeCell ref="CH626:CL626"/>
    <mergeCell ref="CM626:CQ626"/>
    <mergeCell ref="BN627:BR627"/>
    <mergeCell ref="BS627:BW627"/>
    <mergeCell ref="BX627:CB627"/>
    <mergeCell ref="CC627:CG627"/>
    <mergeCell ref="CH627:CL627"/>
    <mergeCell ref="CM627:CQ627"/>
    <mergeCell ref="BN625:BR625"/>
    <mergeCell ref="BS625:BW625"/>
    <mergeCell ref="BX625:CB625"/>
    <mergeCell ref="CC625:CG625"/>
    <mergeCell ref="CH625:CL625"/>
    <mergeCell ref="CM625:CQ625"/>
    <mergeCell ref="CM622:CQ622"/>
    <mergeCell ref="BN628:BR628"/>
    <mergeCell ref="BS628:BW628"/>
    <mergeCell ref="BX628:CB628"/>
    <mergeCell ref="CC628:CG628"/>
    <mergeCell ref="CH628:CL628"/>
    <mergeCell ref="CM628:CQ628"/>
    <mergeCell ref="BN626:BR626"/>
    <mergeCell ref="BS629:BW629"/>
    <mergeCell ref="BX629:CB629"/>
    <mergeCell ref="CC629:CG629"/>
    <mergeCell ref="CH629:CL629"/>
    <mergeCell ref="CM629:CQ629"/>
    <mergeCell ref="BS611:BW611"/>
    <mergeCell ref="BX611:CB611"/>
    <mergeCell ref="CC611:CG611"/>
    <mergeCell ref="CH611:CL611"/>
    <mergeCell ref="BS612:BW612"/>
    <mergeCell ref="BN623:BR623"/>
    <mergeCell ref="BS623:BW623"/>
    <mergeCell ref="BX623:CB623"/>
    <mergeCell ref="CC623:CG623"/>
    <mergeCell ref="CH623:CL623"/>
    <mergeCell ref="CM623:CQ623"/>
    <mergeCell ref="BN624:BR624"/>
    <mergeCell ref="BS624:BW624"/>
    <mergeCell ref="BX624:CB624"/>
    <mergeCell ref="CC624:CG624"/>
    <mergeCell ref="CH624:CL624"/>
    <mergeCell ref="CM624:CQ624"/>
    <mergeCell ref="CM611:CQ611"/>
    <mergeCell ref="BX612:CB612"/>
    <mergeCell ref="BN622:BR622"/>
    <mergeCell ref="BS622:BW622"/>
    <mergeCell ref="BX622:CB622"/>
    <mergeCell ref="BS605:BW605"/>
    <mergeCell ref="BX605:CB605"/>
    <mergeCell ref="CC605:CG605"/>
    <mergeCell ref="CH605:CL605"/>
    <mergeCell ref="BN613:BR613"/>
    <mergeCell ref="BN616:BR616"/>
    <mergeCell ref="BN617:BR617"/>
    <mergeCell ref="BN618:BR618"/>
    <mergeCell ref="BN619:BR619"/>
    <mergeCell ref="BN605:BR605"/>
    <mergeCell ref="BN606:BR606"/>
    <mergeCell ref="BN607:BR607"/>
    <mergeCell ref="BN608:BR608"/>
    <mergeCell ref="BN609:BR609"/>
    <mergeCell ref="BN610:BR610"/>
    <mergeCell ref="BN611:BR611"/>
    <mergeCell ref="BS609:BW609"/>
    <mergeCell ref="BX609:CB609"/>
    <mergeCell ref="CC609:CG609"/>
    <mergeCell ref="CH609:CL609"/>
    <mergeCell ref="BS610:BW610"/>
    <mergeCell ref="BX610:CB610"/>
    <mergeCell ref="CC610:CG610"/>
    <mergeCell ref="CH610:CL610"/>
    <mergeCell ref="CC622:CG622"/>
    <mergeCell ref="CH622:CL622"/>
    <mergeCell ref="CC612:CG612"/>
    <mergeCell ref="BS613:BW613"/>
    <mergeCell ref="BX613:CB613"/>
    <mergeCell ref="CM619:CQ619"/>
    <mergeCell ref="CH619:CL619"/>
    <mergeCell ref="CM616:CQ616"/>
    <mergeCell ref="CM617:CQ617"/>
    <mergeCell ref="CM618:CQ618"/>
    <mergeCell ref="BS620:BW620"/>
    <mergeCell ref="BS616:BW616"/>
    <mergeCell ref="BS617:BW617"/>
    <mergeCell ref="BS618:BW618"/>
    <mergeCell ref="BS619:BW619"/>
    <mergeCell ref="BX616:CB616"/>
    <mergeCell ref="BX617:CB617"/>
    <mergeCell ref="BX618:CB618"/>
    <mergeCell ref="BX619:CB619"/>
    <mergeCell ref="CC616:CG616"/>
    <mergeCell ref="BN620:BR620"/>
    <mergeCell ref="CM620:CQ620"/>
    <mergeCell ref="CH620:CL620"/>
    <mergeCell ref="CC620:CG620"/>
    <mergeCell ref="BX620:CB620"/>
    <mergeCell ref="CC617:CG617"/>
    <mergeCell ref="CC618:CG618"/>
    <mergeCell ref="CC619:CG619"/>
    <mergeCell ref="CC613:CG613"/>
    <mergeCell ref="CH613:CL613"/>
    <mergeCell ref="CM613:CQ613"/>
    <mergeCell ref="CH616:CL616"/>
    <mergeCell ref="CH617:CL617"/>
    <mergeCell ref="CH618:CL618"/>
    <mergeCell ref="CM605:CQ605"/>
    <mergeCell ref="BS606:BW606"/>
    <mergeCell ref="BX606:CB606"/>
    <mergeCell ref="CC606:CG606"/>
    <mergeCell ref="CH606:CL606"/>
    <mergeCell ref="CM606:CQ606"/>
    <mergeCell ref="BS607:BW607"/>
    <mergeCell ref="BX607:CB607"/>
    <mergeCell ref="CC607:CG607"/>
    <mergeCell ref="CH607:CL607"/>
    <mergeCell ref="CM607:CQ607"/>
    <mergeCell ref="BS608:BW608"/>
    <mergeCell ref="BX608:CB608"/>
    <mergeCell ref="CC608:CG608"/>
    <mergeCell ref="CH608:CL608"/>
    <mergeCell ref="CM608:CQ608"/>
    <mergeCell ref="CH612:CL612"/>
    <mergeCell ref="CM612:CQ612"/>
    <mergeCell ref="BS597:BW597"/>
    <mergeCell ref="BX597:CB597"/>
    <mergeCell ref="CC597:CG597"/>
    <mergeCell ref="CH597:CL597"/>
    <mergeCell ref="CM597:CQ597"/>
    <mergeCell ref="BS598:BW598"/>
    <mergeCell ref="BX598:CB598"/>
    <mergeCell ref="CC598:CG598"/>
    <mergeCell ref="CH598:CL598"/>
    <mergeCell ref="CM598:CQ598"/>
    <mergeCell ref="BS599:BW599"/>
    <mergeCell ref="BX599:CB599"/>
    <mergeCell ref="CC599:CG599"/>
    <mergeCell ref="CH599:CL599"/>
    <mergeCell ref="CM599:CQ599"/>
    <mergeCell ref="BS600:BW600"/>
    <mergeCell ref="BX600:CB600"/>
    <mergeCell ref="CC600:CG600"/>
    <mergeCell ref="CH600:CL600"/>
    <mergeCell ref="CM600:CQ600"/>
    <mergeCell ref="BS593:BW593"/>
    <mergeCell ref="BX593:CB593"/>
    <mergeCell ref="CC593:CG593"/>
    <mergeCell ref="CH593:CL593"/>
    <mergeCell ref="CM593:CQ593"/>
    <mergeCell ref="BS594:BW594"/>
    <mergeCell ref="BX594:CB594"/>
    <mergeCell ref="CC594:CG594"/>
    <mergeCell ref="CH594:CL594"/>
    <mergeCell ref="CM594:CQ594"/>
    <mergeCell ref="BS595:BW595"/>
    <mergeCell ref="BX595:CB595"/>
    <mergeCell ref="CC595:CG595"/>
    <mergeCell ref="CH595:CL595"/>
    <mergeCell ref="CM595:CQ595"/>
    <mergeCell ref="BS596:BW596"/>
    <mergeCell ref="BX596:CB596"/>
    <mergeCell ref="CC596:CG596"/>
    <mergeCell ref="CH596:CL596"/>
    <mergeCell ref="CM596:CQ596"/>
    <mergeCell ref="CH589:CL589"/>
    <mergeCell ref="CM589:CQ589"/>
    <mergeCell ref="BS590:BW590"/>
    <mergeCell ref="BX590:CB590"/>
    <mergeCell ref="CC590:CG590"/>
    <mergeCell ref="CH590:CL590"/>
    <mergeCell ref="CM590:CQ590"/>
    <mergeCell ref="BS591:BW591"/>
    <mergeCell ref="BX591:CB591"/>
    <mergeCell ref="CC591:CG591"/>
    <mergeCell ref="CH591:CL591"/>
    <mergeCell ref="CM591:CQ591"/>
    <mergeCell ref="BS592:BW592"/>
    <mergeCell ref="BX592:CB592"/>
    <mergeCell ref="CC592:CG592"/>
    <mergeCell ref="CH592:CL592"/>
    <mergeCell ref="CM592:CQ592"/>
    <mergeCell ref="CS604:CW604"/>
    <mergeCell ref="CS605:CW605"/>
    <mergeCell ref="CS606:CW606"/>
    <mergeCell ref="CS607:CW607"/>
    <mergeCell ref="CS608:CW608"/>
    <mergeCell ref="CS609:CW609"/>
    <mergeCell ref="CS610:CW610"/>
    <mergeCell ref="CS611:CW611"/>
    <mergeCell ref="CS612:CW612"/>
    <mergeCell ref="CS613:CW613"/>
    <mergeCell ref="BS601:BW601"/>
    <mergeCell ref="BX601:CB601"/>
    <mergeCell ref="CC601:CG601"/>
    <mergeCell ref="CH601:CL601"/>
    <mergeCell ref="CM601:CQ601"/>
    <mergeCell ref="BS602:BW602"/>
    <mergeCell ref="BX602:CB602"/>
    <mergeCell ref="CC602:CG602"/>
    <mergeCell ref="CH602:CL602"/>
    <mergeCell ref="CM602:CQ602"/>
    <mergeCell ref="BS603:BW603"/>
    <mergeCell ref="BX603:CB603"/>
    <mergeCell ref="CC603:CG603"/>
    <mergeCell ref="CH603:CL603"/>
    <mergeCell ref="CM603:CQ603"/>
    <mergeCell ref="BS604:BW604"/>
    <mergeCell ref="BX604:CB604"/>
    <mergeCell ref="CC604:CG604"/>
    <mergeCell ref="CH604:CL604"/>
    <mergeCell ref="CM604:CQ604"/>
    <mergeCell ref="CM609:CQ609"/>
    <mergeCell ref="CM610:CQ610"/>
    <mergeCell ref="BN588:BR588"/>
    <mergeCell ref="BN589:BR589"/>
    <mergeCell ref="BN590:BR590"/>
    <mergeCell ref="BN591:BR591"/>
    <mergeCell ref="BN592:BR592"/>
    <mergeCell ref="BN593:BR593"/>
    <mergeCell ref="BN594:BR594"/>
    <mergeCell ref="BN595:BR595"/>
    <mergeCell ref="BN596:BR596"/>
    <mergeCell ref="BN597:BR597"/>
    <mergeCell ref="BN598:BR598"/>
    <mergeCell ref="BN599:BR599"/>
    <mergeCell ref="BN600:BR600"/>
    <mergeCell ref="BN601:BR601"/>
    <mergeCell ref="BN602:BR602"/>
    <mergeCell ref="BN603:BR603"/>
    <mergeCell ref="BN604:BR604"/>
    <mergeCell ref="DC613:DG613"/>
    <mergeCell ref="DC614:DG614"/>
    <mergeCell ref="CX614:DB614"/>
    <mergeCell ref="CS614:CW614"/>
    <mergeCell ref="CX589:DB589"/>
    <mergeCell ref="CX590:DB590"/>
    <mergeCell ref="CX591:DB591"/>
    <mergeCell ref="CX592:DB592"/>
    <mergeCell ref="CX593:DB593"/>
    <mergeCell ref="CX594:DB594"/>
    <mergeCell ref="CX595:DB595"/>
    <mergeCell ref="CX596:DB596"/>
    <mergeCell ref="CX597:DB597"/>
    <mergeCell ref="CX598:DB598"/>
    <mergeCell ref="CX599:DB599"/>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S601:CW601"/>
    <mergeCell ref="CS602:CW602"/>
    <mergeCell ref="CS603:CW603"/>
    <mergeCell ref="DH607:DL607"/>
    <mergeCell ref="DH608:DL608"/>
    <mergeCell ref="DH609:DL609"/>
    <mergeCell ref="DH610:DL610"/>
    <mergeCell ref="DH611:DL611"/>
    <mergeCell ref="DH612:DL612"/>
    <mergeCell ref="DH613:DL613"/>
    <mergeCell ref="DH614:DL614"/>
    <mergeCell ref="DC589:DG589"/>
    <mergeCell ref="DC590:DG590"/>
    <mergeCell ref="DC591:DG591"/>
    <mergeCell ref="DC592:DG592"/>
    <mergeCell ref="DC593:DG593"/>
    <mergeCell ref="DC594:DG594"/>
    <mergeCell ref="DC595:DG595"/>
    <mergeCell ref="DC596:DG596"/>
    <mergeCell ref="DC597:DG597"/>
    <mergeCell ref="DC598:DG598"/>
    <mergeCell ref="DC599:DG599"/>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R609:DV609"/>
    <mergeCell ref="DR610:DV610"/>
    <mergeCell ref="DR611:DV611"/>
    <mergeCell ref="DR612:DV612"/>
    <mergeCell ref="DR613:DV613"/>
    <mergeCell ref="DR614:DV614"/>
    <mergeCell ref="DM590:DQ590"/>
    <mergeCell ref="DM591:DQ591"/>
    <mergeCell ref="DM592:DQ592"/>
    <mergeCell ref="DM593:DQ593"/>
    <mergeCell ref="DM594:DQ594"/>
    <mergeCell ref="DM595:DQ595"/>
    <mergeCell ref="DM596:DQ596"/>
    <mergeCell ref="DM597:DQ597"/>
    <mergeCell ref="DM598:DQ598"/>
    <mergeCell ref="DM599:DQ599"/>
    <mergeCell ref="DM600:DQ600"/>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CH588:CL588"/>
    <mergeCell ref="CM588:CQ588"/>
    <mergeCell ref="BS589:BW589"/>
    <mergeCell ref="BX589:CB589"/>
    <mergeCell ref="CC589:CG589"/>
    <mergeCell ref="DR601:DV601"/>
    <mergeCell ref="DR602:DV602"/>
    <mergeCell ref="DR603:DV603"/>
    <mergeCell ref="DR604:DV604"/>
    <mergeCell ref="DR605:DV605"/>
    <mergeCell ref="DR606:DV606"/>
    <mergeCell ref="DR607:DV607"/>
    <mergeCell ref="DM589:DQ589"/>
    <mergeCell ref="DR608:DV608"/>
    <mergeCell ref="DH589:DL589"/>
    <mergeCell ref="DH590:DL590"/>
    <mergeCell ref="DH591:DL591"/>
    <mergeCell ref="DH592:DL592"/>
    <mergeCell ref="DH593:DL593"/>
    <mergeCell ref="DH594:DL594"/>
    <mergeCell ref="DH595:DL595"/>
    <mergeCell ref="DH596:DL596"/>
    <mergeCell ref="DH597:DL597"/>
    <mergeCell ref="DH598:DL598"/>
    <mergeCell ref="DH599:DL599"/>
    <mergeCell ref="DH600:DL600"/>
    <mergeCell ref="DH601:DL601"/>
    <mergeCell ref="DH602:DL602"/>
    <mergeCell ref="DH603:DL603"/>
    <mergeCell ref="DH604:DL604"/>
    <mergeCell ref="DH605:DL605"/>
    <mergeCell ref="DH606:DL606"/>
    <mergeCell ref="W552:Y552"/>
    <mergeCell ref="Z552:AD552"/>
    <mergeCell ref="AE552:AH552"/>
    <mergeCell ref="AI552:AL552"/>
    <mergeCell ref="AM552:AS552"/>
    <mergeCell ref="DR589:DV589"/>
    <mergeCell ref="DR590:DV590"/>
    <mergeCell ref="DR591:DV591"/>
    <mergeCell ref="DR592:DV592"/>
    <mergeCell ref="DR593:DV593"/>
    <mergeCell ref="DR594:DV594"/>
    <mergeCell ref="DR595:DV595"/>
    <mergeCell ref="DR596:DV596"/>
    <mergeCell ref="DR597:DV597"/>
    <mergeCell ref="DR598:DV598"/>
    <mergeCell ref="DR599:DV599"/>
    <mergeCell ref="DR600:DV600"/>
    <mergeCell ref="CS594:CW594"/>
    <mergeCell ref="CS595:CW595"/>
    <mergeCell ref="CS596:CW596"/>
    <mergeCell ref="CS597:CW597"/>
    <mergeCell ref="CS598:CW598"/>
    <mergeCell ref="CS599:CW599"/>
    <mergeCell ref="CS600:CW600"/>
    <mergeCell ref="CS589:CW589"/>
    <mergeCell ref="CS590:CW590"/>
    <mergeCell ref="CS591:CW591"/>
    <mergeCell ref="CS592:CW592"/>
    <mergeCell ref="CS593:CW593"/>
    <mergeCell ref="BS588:BW588"/>
    <mergeCell ref="BX588:CB588"/>
    <mergeCell ref="CC588:CG588"/>
    <mergeCell ref="AC514:AF514"/>
    <mergeCell ref="AH515:AK515"/>
    <mergeCell ref="AH513:AK513"/>
    <mergeCell ref="AC503:AF503"/>
    <mergeCell ref="AH503:AK503"/>
    <mergeCell ref="AM558:AS558"/>
    <mergeCell ref="A536:AS537"/>
    <mergeCell ref="Q549:S549"/>
    <mergeCell ref="T549:V549"/>
    <mergeCell ref="W549:Y549"/>
    <mergeCell ref="Z549:AD549"/>
    <mergeCell ref="AE549:AH549"/>
    <mergeCell ref="AI549:AL549"/>
    <mergeCell ref="AM549:AS549"/>
    <mergeCell ref="Q550:S550"/>
    <mergeCell ref="T550:V550"/>
    <mergeCell ref="W550:Y550"/>
    <mergeCell ref="Z550:AD550"/>
    <mergeCell ref="AE550:AH550"/>
    <mergeCell ref="AI550:AL550"/>
    <mergeCell ref="AM550:AS550"/>
    <mergeCell ref="AI553:AL553"/>
    <mergeCell ref="AM553:AS553"/>
    <mergeCell ref="AI546:AL546"/>
    <mergeCell ref="AM546:AS546"/>
    <mergeCell ref="Q547:S547"/>
    <mergeCell ref="T547:V547"/>
    <mergeCell ref="W547:Y547"/>
    <mergeCell ref="Z547:AD547"/>
    <mergeCell ref="AE547:AH547"/>
    <mergeCell ref="AM556:AS556"/>
    <mergeCell ref="Q557:S557"/>
    <mergeCell ref="Q553:S553"/>
    <mergeCell ref="T553:V553"/>
    <mergeCell ref="W553:Y553"/>
    <mergeCell ref="Z553:AD553"/>
    <mergeCell ref="AE553:AH553"/>
    <mergeCell ref="AM555:AS555"/>
    <mergeCell ref="AI557:AL557"/>
    <mergeCell ref="AM557:AS557"/>
    <mergeCell ref="Q554:S554"/>
    <mergeCell ref="T554:V554"/>
    <mergeCell ref="W554:Y554"/>
    <mergeCell ref="Z554:AD554"/>
    <mergeCell ref="AE554:AH554"/>
    <mergeCell ref="AI554:AL554"/>
    <mergeCell ref="AM554:AS554"/>
    <mergeCell ref="Q555:S555"/>
    <mergeCell ref="T555:V555"/>
    <mergeCell ref="Q548:S548"/>
    <mergeCell ref="T548:V548"/>
    <mergeCell ref="W548:Y548"/>
    <mergeCell ref="Z548:AD548"/>
    <mergeCell ref="AH520:AK520"/>
    <mergeCell ref="AC534:AF534"/>
    <mergeCell ref="AC517:AF517"/>
    <mergeCell ref="AH519:AK519"/>
    <mergeCell ref="AC521:AF521"/>
    <mergeCell ref="AE548:AH548"/>
    <mergeCell ref="AI548:AL548"/>
    <mergeCell ref="AM548:AS548"/>
    <mergeCell ref="Q546:S546"/>
    <mergeCell ref="T546:V546"/>
    <mergeCell ref="W546:Y546"/>
    <mergeCell ref="Z546:AD546"/>
    <mergeCell ref="AE546:AH546"/>
    <mergeCell ref="AM547:AS547"/>
    <mergeCell ref="AH499:AK499"/>
    <mergeCell ref="AH498:AK498"/>
    <mergeCell ref="AC499:AF499"/>
    <mergeCell ref="B494:H495"/>
    <mergeCell ref="Q479:AK479"/>
    <mergeCell ref="AG439:AJ439"/>
    <mergeCell ref="Q480:AK480"/>
    <mergeCell ref="AC511:AF511"/>
    <mergeCell ref="AC493:AF493"/>
    <mergeCell ref="AC505:AF505"/>
    <mergeCell ref="AH508:AK508"/>
    <mergeCell ref="AH514:AK514"/>
    <mergeCell ref="AC507:AF507"/>
    <mergeCell ref="W460:Y460"/>
    <mergeCell ref="AM551:AS551"/>
    <mergeCell ref="AA322:AK322"/>
    <mergeCell ref="AG370:AH370"/>
    <mergeCell ref="AI390:AJ390"/>
    <mergeCell ref="T391:AJ391"/>
    <mergeCell ref="T392:AJ392"/>
    <mergeCell ref="D441:AF441"/>
    <mergeCell ref="W459:Y459"/>
    <mergeCell ref="P414:R414"/>
    <mergeCell ref="E411:G411"/>
    <mergeCell ref="AE417:AF417"/>
    <mergeCell ref="R405:S405"/>
    <mergeCell ref="AF411:AH411"/>
    <mergeCell ref="Q482:R483"/>
    <mergeCell ref="S482:AK483"/>
    <mergeCell ref="Q484:AK484"/>
    <mergeCell ref="Q487:AK487"/>
    <mergeCell ref="M488:P488"/>
    <mergeCell ref="I403:AD403"/>
    <mergeCell ref="W458:Y458"/>
    <mergeCell ref="AD404:AE404"/>
    <mergeCell ref="AE423:AF423"/>
    <mergeCell ref="I411:K411"/>
    <mergeCell ref="D431:AF431"/>
    <mergeCell ref="D443:AF443"/>
    <mergeCell ref="P411:R411"/>
    <mergeCell ref="W411:Y411"/>
    <mergeCell ref="AH521:AK521"/>
    <mergeCell ref="AC525:AF525"/>
    <mergeCell ref="AH526:AK526"/>
    <mergeCell ref="AC530:AF530"/>
    <mergeCell ref="AH517:AK517"/>
    <mergeCell ref="AH518:AK518"/>
    <mergeCell ref="AC522:AF522"/>
    <mergeCell ref="AH523:AK523"/>
    <mergeCell ref="AH525:AK525"/>
    <mergeCell ref="AH530:AK530"/>
    <mergeCell ref="AC528:AF528"/>
    <mergeCell ref="AH524:AK524"/>
    <mergeCell ref="L501:AB501"/>
    <mergeCell ref="Z425:AA425"/>
    <mergeCell ref="G466:V466"/>
    <mergeCell ref="W462:Y462"/>
    <mergeCell ref="Q478:AK478"/>
    <mergeCell ref="AC449:AF449"/>
    <mergeCell ref="D439:AF439"/>
    <mergeCell ref="AG438:AJ438"/>
    <mergeCell ref="AH500:AK500"/>
    <mergeCell ref="AC500:AF500"/>
    <mergeCell ref="AH496:AK496"/>
    <mergeCell ref="AG433:AJ433"/>
    <mergeCell ref="AG440:AJ440"/>
    <mergeCell ref="AG441:AJ441"/>
    <mergeCell ref="D464:V464"/>
    <mergeCell ref="AG431:AJ431"/>
    <mergeCell ref="AG435:AJ435"/>
    <mergeCell ref="AG432:AJ432"/>
    <mergeCell ref="D440:AF440"/>
    <mergeCell ref="D463:V463"/>
    <mergeCell ref="R404:S404"/>
    <mergeCell ref="AE418:AF418"/>
    <mergeCell ref="Q422:R422"/>
    <mergeCell ref="D433:AF433"/>
    <mergeCell ref="D438:AF438"/>
    <mergeCell ref="H407:AJ408"/>
    <mergeCell ref="AD405:AE405"/>
    <mergeCell ref="S406:T406"/>
    <mergeCell ref="AG436:AJ436"/>
    <mergeCell ref="AH516:AK516"/>
    <mergeCell ref="AC512:AF512"/>
    <mergeCell ref="AC513:AF513"/>
    <mergeCell ref="AH511:AK511"/>
    <mergeCell ref="O512:AA512"/>
    <mergeCell ref="AC494:AF494"/>
    <mergeCell ref="W551:Y551"/>
    <mergeCell ref="AE551:AH551"/>
    <mergeCell ref="AI551:AL551"/>
    <mergeCell ref="AH505:AK505"/>
    <mergeCell ref="AC379:AJ379"/>
    <mergeCell ref="J380:U380"/>
    <mergeCell ref="AC380:AJ380"/>
    <mergeCell ref="J381:U381"/>
    <mergeCell ref="V381:AJ381"/>
    <mergeCell ref="AG443:AJ443"/>
    <mergeCell ref="AG388:AJ388"/>
    <mergeCell ref="F420:AH421"/>
    <mergeCell ref="D399:AJ400"/>
    <mergeCell ref="I414:K414"/>
    <mergeCell ref="D444:AJ445"/>
    <mergeCell ref="D430:AF430"/>
    <mergeCell ref="P418:Q418"/>
    <mergeCell ref="E413:AJ413"/>
    <mergeCell ref="D458:V458"/>
    <mergeCell ref="AC447:AF447"/>
    <mergeCell ref="S394:U394"/>
    <mergeCell ref="K396:AJ396"/>
    <mergeCell ref="AG394:AJ394"/>
    <mergeCell ref="AH510:AK510"/>
    <mergeCell ref="AH506:AK506"/>
    <mergeCell ref="P417:Q417"/>
    <mergeCell ref="AI638:AK638"/>
    <mergeCell ref="Z637:AK637"/>
    <mergeCell ref="G654:L654"/>
    <mergeCell ref="Z666:AK666"/>
    <mergeCell ref="G658:R658"/>
    <mergeCell ref="AF625:AJ625"/>
    <mergeCell ref="AK625:AN625"/>
    <mergeCell ref="AG680:AH680"/>
    <mergeCell ref="AA655:AK655"/>
    <mergeCell ref="B631:AN631"/>
    <mergeCell ref="AM701:AO701"/>
    <mergeCell ref="AM694:AO694"/>
    <mergeCell ref="K695:N695"/>
    <mergeCell ref="O695:S695"/>
    <mergeCell ref="T695:X695"/>
    <mergeCell ref="B509:H511"/>
    <mergeCell ref="AH488:AK488"/>
    <mergeCell ref="AC498:AF498"/>
    <mergeCell ref="AC510:AF510"/>
    <mergeCell ref="T556:V556"/>
    <mergeCell ref="W556:Y556"/>
    <mergeCell ref="Z556:AD556"/>
    <mergeCell ref="AE556:AH556"/>
    <mergeCell ref="AI556:AL556"/>
    <mergeCell ref="W555:Y555"/>
    <mergeCell ref="Z555:AD555"/>
    <mergeCell ref="AE555:AH555"/>
    <mergeCell ref="AI555:AL555"/>
    <mergeCell ref="AH529:AK529"/>
    <mergeCell ref="AH528:AK528"/>
    <mergeCell ref="O527:AA527"/>
    <mergeCell ref="AC516:AF516"/>
    <mergeCell ref="AC761:AG761"/>
    <mergeCell ref="A683:AS685"/>
    <mergeCell ref="B697:F697"/>
    <mergeCell ref="AC762:AG762"/>
    <mergeCell ref="Z777:AE777"/>
    <mergeCell ref="J759:N759"/>
    <mergeCell ref="O759:S759"/>
    <mergeCell ref="Z772:AE772"/>
    <mergeCell ref="O715:S715"/>
    <mergeCell ref="J758:N758"/>
    <mergeCell ref="X754:AB754"/>
    <mergeCell ref="AC754:AG754"/>
    <mergeCell ref="T755:W755"/>
    <mergeCell ref="X755:AB755"/>
    <mergeCell ref="AC755:AG755"/>
    <mergeCell ref="G706:J706"/>
    <mergeCell ref="G705:J705"/>
    <mergeCell ref="G699:J699"/>
    <mergeCell ref="Y695:AB695"/>
    <mergeCell ref="AC695:AG695"/>
    <mergeCell ref="AH695:AL695"/>
    <mergeCell ref="AM695:AO695"/>
    <mergeCell ref="K696:N696"/>
    <mergeCell ref="O696:S696"/>
    <mergeCell ref="T696:X696"/>
    <mergeCell ref="Y696:AB696"/>
    <mergeCell ref="AC696:AG696"/>
    <mergeCell ref="AH696:AL696"/>
    <mergeCell ref="AM696:AO696"/>
    <mergeCell ref="K697:N697"/>
    <mergeCell ref="AC697:AG697"/>
    <mergeCell ref="AH697:AL697"/>
    <mergeCell ref="Y791:AB791"/>
    <mergeCell ref="U880:Z880"/>
    <mergeCell ref="AA884:AF884"/>
    <mergeCell ref="U795:X795"/>
    <mergeCell ref="W809:AC809"/>
    <mergeCell ref="AO623:AS623"/>
    <mergeCell ref="AK624:AN624"/>
    <mergeCell ref="AO624:AS624"/>
    <mergeCell ref="AF624:AJ624"/>
    <mergeCell ref="AC625:AE625"/>
    <mergeCell ref="P638:R638"/>
    <mergeCell ref="Z644:AK644"/>
    <mergeCell ref="G636:R636"/>
    <mergeCell ref="AC623:AE623"/>
    <mergeCell ref="AF623:AJ623"/>
    <mergeCell ref="AK623:AN623"/>
    <mergeCell ref="G635:R635"/>
    <mergeCell ref="Z643:AK643"/>
    <mergeCell ref="Z642:AK642"/>
    <mergeCell ref="Z638:AE638"/>
    <mergeCell ref="Z651:AK651"/>
    <mergeCell ref="AC748:AG751"/>
    <mergeCell ref="J756:N756"/>
    <mergeCell ref="O756:S756"/>
    <mergeCell ref="J757:N757"/>
    <mergeCell ref="O757:S757"/>
    <mergeCell ref="G716:J716"/>
    <mergeCell ref="G715:J715"/>
    <mergeCell ref="J740:N740"/>
    <mergeCell ref="J754:N754"/>
    <mergeCell ref="J739:N739"/>
    <mergeCell ref="O758:S758"/>
    <mergeCell ref="BI612:BJ612"/>
    <mergeCell ref="BI607:BJ607"/>
    <mergeCell ref="BE611:BF611"/>
    <mergeCell ref="BG611:BH611"/>
    <mergeCell ref="BG589:BH589"/>
    <mergeCell ref="BI589:BJ589"/>
    <mergeCell ref="BI591:BJ591"/>
    <mergeCell ref="BI605:BJ605"/>
    <mergeCell ref="BK598:BL598"/>
    <mergeCell ref="D1034:AK1037"/>
    <mergeCell ref="D1038:AK1041"/>
    <mergeCell ref="D1042:AK1044"/>
    <mergeCell ref="D1004:AK1009"/>
    <mergeCell ref="D1010:AK1015"/>
    <mergeCell ref="D1016:AK1021"/>
    <mergeCell ref="D1023:AK1025"/>
    <mergeCell ref="D1026:AK1030"/>
    <mergeCell ref="E857:AB857"/>
    <mergeCell ref="Z778:AE778"/>
    <mergeCell ref="Z771:AE771"/>
    <mergeCell ref="P894:T894"/>
    <mergeCell ref="T739:W739"/>
    <mergeCell ref="X739:AB739"/>
    <mergeCell ref="AC739:AG739"/>
    <mergeCell ref="T740:W740"/>
    <mergeCell ref="X740:AB740"/>
    <mergeCell ref="AC740:AG740"/>
    <mergeCell ref="T741:W741"/>
    <mergeCell ref="Z779:AE779"/>
    <mergeCell ref="O761:S761"/>
    <mergeCell ref="AC758:AG758"/>
    <mergeCell ref="T759:W759"/>
    <mergeCell ref="BK613:BL613"/>
    <mergeCell ref="BK611:BL611"/>
    <mergeCell ref="BK603:BL603"/>
    <mergeCell ref="BI604:BJ604"/>
    <mergeCell ref="BK604:BL604"/>
    <mergeCell ref="BK607:BL607"/>
    <mergeCell ref="BI606:BJ606"/>
    <mergeCell ref="BE613:BF613"/>
    <mergeCell ref="AK618:AN618"/>
    <mergeCell ref="BG602:BH602"/>
    <mergeCell ref="BG612:BH612"/>
    <mergeCell ref="BG588:BH588"/>
    <mergeCell ref="BK588:BL588"/>
    <mergeCell ref="BI609:BJ609"/>
    <mergeCell ref="BK609:BL609"/>
    <mergeCell ref="BE593:BF593"/>
    <mergeCell ref="BI592:BJ592"/>
    <mergeCell ref="BI603:BJ603"/>
    <mergeCell ref="BG603:BH603"/>
    <mergeCell ref="BK614:BL614"/>
    <mergeCell ref="BE607:BF607"/>
    <mergeCell ref="BG610:BH610"/>
    <mergeCell ref="BG613:BH613"/>
    <mergeCell ref="BI613:BJ613"/>
    <mergeCell ref="BG614:BH614"/>
    <mergeCell ref="BE605:BF605"/>
    <mergeCell ref="BK612:BL612"/>
    <mergeCell ref="BI610:BJ610"/>
    <mergeCell ref="BG606:BH606"/>
    <mergeCell ref="BK605:BL605"/>
    <mergeCell ref="BE612:BF612"/>
    <mergeCell ref="BE592:BF592"/>
    <mergeCell ref="BI611:BJ611"/>
    <mergeCell ref="BG599:BH599"/>
    <mergeCell ref="BI593:BJ593"/>
    <mergeCell ref="BK593:BL593"/>
    <mergeCell ref="BG593:BH593"/>
    <mergeCell ref="BE599:BF599"/>
    <mergeCell ref="BG600:BH600"/>
    <mergeCell ref="Z602:AK602"/>
    <mergeCell ref="BE601:BF601"/>
    <mergeCell ref="BE604:BF604"/>
    <mergeCell ref="BG607:BH607"/>
    <mergeCell ref="BG605:BH605"/>
    <mergeCell ref="BK606:BL606"/>
    <mergeCell ref="BE598:BF598"/>
    <mergeCell ref="BK596:BL596"/>
    <mergeCell ref="AG606:AH606"/>
    <mergeCell ref="BE608:BF608"/>
    <mergeCell ref="BG608:BH608"/>
    <mergeCell ref="BI594:BJ594"/>
    <mergeCell ref="BK610:BL610"/>
    <mergeCell ref="BG597:BH597"/>
    <mergeCell ref="BI601:BJ601"/>
    <mergeCell ref="BK601:BL601"/>
    <mergeCell ref="BE609:BF609"/>
    <mergeCell ref="BE610:BF610"/>
    <mergeCell ref="BG609:BH609"/>
    <mergeCell ref="BG604:BH604"/>
    <mergeCell ref="BI602:BJ602"/>
    <mergeCell ref="BK602:BL602"/>
    <mergeCell ref="BE595:BF595"/>
    <mergeCell ref="BE600:BF600"/>
    <mergeCell ref="BI608:BJ608"/>
    <mergeCell ref="BK589:BL589"/>
    <mergeCell ref="Z568:AK568"/>
    <mergeCell ref="G568:R568"/>
    <mergeCell ref="Z578:AK578"/>
    <mergeCell ref="G600:R600"/>
    <mergeCell ref="N598:O598"/>
    <mergeCell ref="BE589:BF589"/>
    <mergeCell ref="Z577:AK577"/>
    <mergeCell ref="Z571:AK571"/>
    <mergeCell ref="G571:R571"/>
    <mergeCell ref="Z588:AE588"/>
    <mergeCell ref="AI588:AK588"/>
    <mergeCell ref="G579:R579"/>
    <mergeCell ref="Z580:AE580"/>
    <mergeCell ref="AA597:AK597"/>
    <mergeCell ref="G602:R602"/>
    <mergeCell ref="G603:R603"/>
    <mergeCell ref="G593:R593"/>
    <mergeCell ref="P596:R596"/>
    <mergeCell ref="G595:R595"/>
    <mergeCell ref="G594:R594"/>
    <mergeCell ref="BK591:BL591"/>
    <mergeCell ref="BK592:BL592"/>
    <mergeCell ref="BE591:BF591"/>
    <mergeCell ref="BG591:BH591"/>
    <mergeCell ref="BE590:BF590"/>
    <mergeCell ref="BG590:BH590"/>
    <mergeCell ref="BI590:BJ590"/>
    <mergeCell ref="BK590:BL590"/>
    <mergeCell ref="BG595:BH595"/>
    <mergeCell ref="Z593:AK593"/>
    <mergeCell ref="BE594:BF594"/>
    <mergeCell ref="BK608:BL608"/>
    <mergeCell ref="BG598:BH598"/>
    <mergeCell ref="BE597:BF597"/>
    <mergeCell ref="BE596:BF596"/>
    <mergeCell ref="BI599:BJ599"/>
    <mergeCell ref="BI600:BJ600"/>
    <mergeCell ref="BK600:BL600"/>
    <mergeCell ref="BG592:BH592"/>
    <mergeCell ref="Z600:AK600"/>
    <mergeCell ref="Z595:AK595"/>
    <mergeCell ref="BG594:BH594"/>
    <mergeCell ref="BK594:BL594"/>
    <mergeCell ref="AG598:AH598"/>
    <mergeCell ref="BI597:BJ597"/>
    <mergeCell ref="BK599:BL599"/>
    <mergeCell ref="BG601:BH601"/>
    <mergeCell ref="BE602:BF602"/>
    <mergeCell ref="BE603:BF603"/>
    <mergeCell ref="BE606:BF606"/>
    <mergeCell ref="Z603:AK603"/>
    <mergeCell ref="AG574:AH574"/>
    <mergeCell ref="N574:O574"/>
    <mergeCell ref="Z576:AK576"/>
    <mergeCell ref="AC515:AF515"/>
    <mergeCell ref="AC524:AF524"/>
    <mergeCell ref="AC519:AF519"/>
    <mergeCell ref="P572:R572"/>
    <mergeCell ref="B512:H534"/>
    <mergeCell ref="AH512:AK512"/>
    <mergeCell ref="AC526:AF526"/>
    <mergeCell ref="AH531:AK531"/>
    <mergeCell ref="AC531:AF531"/>
    <mergeCell ref="AC533:AF533"/>
    <mergeCell ref="AH532:AK532"/>
    <mergeCell ref="AC527:AF527"/>
    <mergeCell ref="AC523:AF523"/>
    <mergeCell ref="AH534:AK534"/>
    <mergeCell ref="AH527:AK527"/>
    <mergeCell ref="G576:R576"/>
    <mergeCell ref="O518:AA518"/>
    <mergeCell ref="AC518:AF518"/>
    <mergeCell ref="AI547:AL547"/>
    <mergeCell ref="T557:V557"/>
    <mergeCell ref="W557:Y557"/>
    <mergeCell ref="Z557:AD557"/>
    <mergeCell ref="AE557:AH557"/>
    <mergeCell ref="Q552:S552"/>
    <mergeCell ref="T552:V552"/>
    <mergeCell ref="AI572:AK572"/>
    <mergeCell ref="AC532:AF532"/>
    <mergeCell ref="O524:AA524"/>
    <mergeCell ref="Z551:AD551"/>
    <mergeCell ref="Z560:AK560"/>
    <mergeCell ref="N566:O566"/>
    <mergeCell ref="Z563:AK563"/>
    <mergeCell ref="P564:R564"/>
    <mergeCell ref="Z570:AK570"/>
    <mergeCell ref="G564:L564"/>
    <mergeCell ref="AG442:AJ442"/>
    <mergeCell ref="G572:L572"/>
    <mergeCell ref="Z572:AE572"/>
    <mergeCell ref="Z562:AK562"/>
    <mergeCell ref="G562:R562"/>
    <mergeCell ref="H565:R565"/>
    <mergeCell ref="G563:R563"/>
    <mergeCell ref="G569:R569"/>
    <mergeCell ref="O515:AA515"/>
    <mergeCell ref="AH522:AK522"/>
    <mergeCell ref="O521:AA521"/>
    <mergeCell ref="Q551:S551"/>
    <mergeCell ref="T551:V551"/>
    <mergeCell ref="AH493:AK493"/>
    <mergeCell ref="AC520:AF520"/>
    <mergeCell ref="AH533:AK533"/>
    <mergeCell ref="Z569:AK569"/>
    <mergeCell ref="G561:R561"/>
    <mergeCell ref="G560:R560"/>
    <mergeCell ref="AC501:AF501"/>
    <mergeCell ref="B506:H508"/>
    <mergeCell ref="AC448:AF448"/>
    <mergeCell ref="AC529:AF529"/>
    <mergeCell ref="D461:V461"/>
    <mergeCell ref="Z564:AE564"/>
    <mergeCell ref="AI564:AK564"/>
    <mergeCell ref="Q382:U382"/>
    <mergeCell ref="K397:AJ397"/>
    <mergeCell ref="S398:AJ398"/>
    <mergeCell ref="B496:H505"/>
    <mergeCell ref="D460:V460"/>
    <mergeCell ref="B482:P483"/>
    <mergeCell ref="W463:Y463"/>
    <mergeCell ref="AG447:AJ447"/>
    <mergeCell ref="AG448:AJ448"/>
    <mergeCell ref="D462:V462"/>
    <mergeCell ref="AG430:AJ430"/>
    <mergeCell ref="D434:AF434"/>
    <mergeCell ref="D435:AF435"/>
    <mergeCell ref="D436:AF436"/>
    <mergeCell ref="AG437:AJ437"/>
    <mergeCell ref="AH501:AK501"/>
    <mergeCell ref="AH509:AK509"/>
    <mergeCell ref="AC506:AF506"/>
    <mergeCell ref="AC509:AF509"/>
    <mergeCell ref="AC496:AF496"/>
    <mergeCell ref="AC497:AF497"/>
    <mergeCell ref="AC508:AF508"/>
    <mergeCell ref="AG434:AJ434"/>
    <mergeCell ref="D446:AJ446"/>
    <mergeCell ref="W464:Y464"/>
    <mergeCell ref="Q387:U387"/>
    <mergeCell ref="D459:V459"/>
    <mergeCell ref="Q481:AK481"/>
    <mergeCell ref="S395:U395"/>
    <mergeCell ref="AE395:AJ395"/>
    <mergeCell ref="AG387:AJ387"/>
    <mergeCell ref="Z427:AA427"/>
    <mergeCell ref="A9:AL9"/>
    <mergeCell ref="D203:M203"/>
    <mergeCell ref="P203:U203"/>
    <mergeCell ref="W203:AB203"/>
    <mergeCell ref="A19:AL19"/>
    <mergeCell ref="O225:P225"/>
    <mergeCell ref="I185:AE185"/>
    <mergeCell ref="A10:AL10"/>
    <mergeCell ref="H15:AJ15"/>
    <mergeCell ref="AA327:AK327"/>
    <mergeCell ref="AC218:AM218"/>
    <mergeCell ref="Y131:AK131"/>
    <mergeCell ref="Y134:AK134"/>
    <mergeCell ref="AA324:AK324"/>
    <mergeCell ref="AA319:AK319"/>
    <mergeCell ref="A11:AL11"/>
    <mergeCell ref="C130:K130"/>
    <mergeCell ref="A12:AL13"/>
    <mergeCell ref="G128:H128"/>
    <mergeCell ref="M238:AE238"/>
    <mergeCell ref="A20:AL20"/>
    <mergeCell ref="H17:AJ17"/>
    <mergeCell ref="AA241:AK241"/>
    <mergeCell ref="T189:AE189"/>
    <mergeCell ref="I189:P189"/>
    <mergeCell ref="H318:M318"/>
    <mergeCell ref="E217:Z217"/>
    <mergeCell ref="T196:U196"/>
    <mergeCell ref="D211:P211"/>
    <mergeCell ref="D214:Z214"/>
    <mergeCell ref="AI194:AJ194"/>
    <mergeCell ref="N191:AE192"/>
    <mergeCell ref="M25:Q25"/>
    <mergeCell ref="M27:Q27"/>
    <mergeCell ref="M235:AK235"/>
    <mergeCell ref="P204:U204"/>
    <mergeCell ref="W204:AB204"/>
    <mergeCell ref="H329:R329"/>
    <mergeCell ref="AH507:AK507"/>
    <mergeCell ref="W466:Y466"/>
    <mergeCell ref="AH494:AK494"/>
    <mergeCell ref="AH497:AK497"/>
    <mergeCell ref="Q485:AK485"/>
    <mergeCell ref="AH495:AK495"/>
    <mergeCell ref="Q486:AK486"/>
    <mergeCell ref="AC495:AF495"/>
    <mergeCell ref="AC492:AK492"/>
    <mergeCell ref="P341:R341"/>
    <mergeCell ref="D442:AF442"/>
    <mergeCell ref="N364:Q364"/>
    <mergeCell ref="A473:AL474"/>
    <mergeCell ref="M349:N349"/>
    <mergeCell ref="J178:K178"/>
    <mergeCell ref="M178:N178"/>
    <mergeCell ref="AD178:AH178"/>
    <mergeCell ref="E187:AE188"/>
    <mergeCell ref="AF215:AG215"/>
    <mergeCell ref="AI309:AK309"/>
    <mergeCell ref="AA308:AK308"/>
    <mergeCell ref="AC502:AF502"/>
    <mergeCell ref="AH502:AK502"/>
    <mergeCell ref="D437:AF437"/>
    <mergeCell ref="D432:AF432"/>
    <mergeCell ref="W461:Y461"/>
    <mergeCell ref="Z579:AK579"/>
    <mergeCell ref="AI604:AK604"/>
    <mergeCell ref="Z596:AE596"/>
    <mergeCell ref="G588:L588"/>
    <mergeCell ref="P588:R588"/>
    <mergeCell ref="Z592:AK592"/>
    <mergeCell ref="G578:R578"/>
    <mergeCell ref="G592:R592"/>
    <mergeCell ref="C546:L546"/>
    <mergeCell ref="M546:P546"/>
    <mergeCell ref="AG566:AH566"/>
    <mergeCell ref="AA573:AK573"/>
    <mergeCell ref="G585:R585"/>
    <mergeCell ref="AA581:AK581"/>
    <mergeCell ref="Z587:AK587"/>
    <mergeCell ref="G580:L580"/>
    <mergeCell ref="P580:R580"/>
    <mergeCell ref="G587:R587"/>
    <mergeCell ref="H589:R589"/>
    <mergeCell ref="N582:O582"/>
    <mergeCell ref="N590:O590"/>
    <mergeCell ref="Z604:AE604"/>
    <mergeCell ref="C549:L549"/>
    <mergeCell ref="M549:P549"/>
    <mergeCell ref="C550:L550"/>
    <mergeCell ref="M550:P550"/>
    <mergeCell ref="C551:L551"/>
    <mergeCell ref="M551:P551"/>
    <mergeCell ref="C552:L552"/>
    <mergeCell ref="M552:P552"/>
    <mergeCell ref="AA565:AK565"/>
    <mergeCell ref="Z561:AK561"/>
    <mergeCell ref="AO619:AS619"/>
    <mergeCell ref="AI580:AK580"/>
    <mergeCell ref="AG582:AH582"/>
    <mergeCell ref="Z594:AK594"/>
    <mergeCell ref="AA589:AK589"/>
    <mergeCell ref="Z636:AK636"/>
    <mergeCell ref="B632:AN632"/>
    <mergeCell ref="AC618:AE618"/>
    <mergeCell ref="AF618:AJ618"/>
    <mergeCell ref="C625:L625"/>
    <mergeCell ref="C626:L626"/>
    <mergeCell ref="C627:L627"/>
    <mergeCell ref="C628:L628"/>
    <mergeCell ref="C629:L629"/>
    <mergeCell ref="Z615:AB617"/>
    <mergeCell ref="Z618:AB618"/>
    <mergeCell ref="Z619:AB619"/>
    <mergeCell ref="Z620:AB620"/>
    <mergeCell ref="Z621:AB621"/>
    <mergeCell ref="Z622:AB622"/>
    <mergeCell ref="Z623:AB623"/>
    <mergeCell ref="Z624:AB624"/>
    <mergeCell ref="Z586:AK586"/>
    <mergeCell ref="P604:R604"/>
    <mergeCell ref="AC620:AE620"/>
    <mergeCell ref="AF620:AJ620"/>
    <mergeCell ref="AK620:AN620"/>
    <mergeCell ref="AC621:AE621"/>
    <mergeCell ref="AK622:AN622"/>
    <mergeCell ref="AC622:AE622"/>
    <mergeCell ref="AF622:AJ622"/>
    <mergeCell ref="W618:Y618"/>
    <mergeCell ref="Z584:AK584"/>
    <mergeCell ref="G601:R601"/>
    <mergeCell ref="Z635:AK635"/>
    <mergeCell ref="G634:R634"/>
    <mergeCell ref="G604:L604"/>
    <mergeCell ref="H597:R597"/>
    <mergeCell ref="Z634:AK634"/>
    <mergeCell ref="G586:R586"/>
    <mergeCell ref="G584:R584"/>
    <mergeCell ref="AO620:AS620"/>
    <mergeCell ref="AO621:AS621"/>
    <mergeCell ref="AO622:AS622"/>
    <mergeCell ref="W620:Y620"/>
    <mergeCell ref="W621:Y621"/>
    <mergeCell ref="W622:Y622"/>
    <mergeCell ref="W623:Y623"/>
    <mergeCell ref="G646:L646"/>
    <mergeCell ref="G637:R637"/>
    <mergeCell ref="Z645:AK645"/>
    <mergeCell ref="N606:O606"/>
    <mergeCell ref="M625:P625"/>
    <mergeCell ref="M626:P626"/>
    <mergeCell ref="M627:P627"/>
    <mergeCell ref="Q618:S618"/>
    <mergeCell ref="Q619:S619"/>
    <mergeCell ref="Q620:S620"/>
    <mergeCell ref="Q621:S621"/>
    <mergeCell ref="Q622:S622"/>
    <mergeCell ref="G596:L596"/>
    <mergeCell ref="AO615:AS617"/>
    <mergeCell ref="AO618:AS618"/>
    <mergeCell ref="M621:P621"/>
    <mergeCell ref="Z653:AK653"/>
    <mergeCell ref="G653:R653"/>
    <mergeCell ref="H655:R655"/>
    <mergeCell ref="H647:R647"/>
    <mergeCell ref="G698:J698"/>
    <mergeCell ref="B696:F696"/>
    <mergeCell ref="B702:F702"/>
    <mergeCell ref="B700:F700"/>
    <mergeCell ref="B688:F691"/>
    <mergeCell ref="Z677:AK677"/>
    <mergeCell ref="G675:R675"/>
    <mergeCell ref="Z670:AE670"/>
    <mergeCell ref="G652:R652"/>
    <mergeCell ref="G659:R659"/>
    <mergeCell ref="G667:R667"/>
    <mergeCell ref="H663:R663"/>
    <mergeCell ref="Z662:AE662"/>
    <mergeCell ref="Z667:AK667"/>
    <mergeCell ref="AC694:AG694"/>
    <mergeCell ref="AH694:AL694"/>
    <mergeCell ref="K698:N698"/>
    <mergeCell ref="O698:S698"/>
    <mergeCell ref="G676:R676"/>
    <mergeCell ref="Z678:AE678"/>
    <mergeCell ref="G701:J701"/>
    <mergeCell ref="AG648:AH648"/>
    <mergeCell ref="Z650:AK650"/>
    <mergeCell ref="O697:S697"/>
    <mergeCell ref="T697:X697"/>
    <mergeCell ref="Y697:AB697"/>
    <mergeCell ref="G693:J693"/>
    <mergeCell ref="B693:F693"/>
    <mergeCell ref="X993:AC993"/>
    <mergeCell ref="B999:AK999"/>
    <mergeCell ref="AY906:AZ906"/>
    <mergeCell ref="AY913:AZ913"/>
    <mergeCell ref="AY908:AZ908"/>
    <mergeCell ref="X992:AC992"/>
    <mergeCell ref="U897:Z897"/>
    <mergeCell ref="L905:S905"/>
    <mergeCell ref="L904:S904"/>
    <mergeCell ref="U898:Z898"/>
    <mergeCell ref="L908:S908"/>
    <mergeCell ref="M915:S915"/>
    <mergeCell ref="M919:S919"/>
    <mergeCell ref="AA918:AG918"/>
    <mergeCell ref="M918:S918"/>
    <mergeCell ref="AA916:AG916"/>
    <mergeCell ref="AB936:AI936"/>
    <mergeCell ref="AJ936:AQ936"/>
    <mergeCell ref="D954:AE954"/>
    <mergeCell ref="AG954:AH954"/>
    <mergeCell ref="AJ954:AQ955"/>
    <mergeCell ref="AJ941:AQ943"/>
    <mergeCell ref="D960:AE962"/>
    <mergeCell ref="D943:AE943"/>
    <mergeCell ref="D988:AI988"/>
    <mergeCell ref="AJ988:AQ988"/>
    <mergeCell ref="D979:AE979"/>
    <mergeCell ref="AY909:AZ909"/>
    <mergeCell ref="AE905:AK905"/>
    <mergeCell ref="AA920:AG920"/>
    <mergeCell ref="D944:AE944"/>
    <mergeCell ref="AY912:BA912"/>
    <mergeCell ref="BA916:BB916"/>
    <mergeCell ref="AY907:AZ907"/>
    <mergeCell ref="D942:AE942"/>
    <mergeCell ref="AB933:AI933"/>
    <mergeCell ref="AJ933:AQ933"/>
    <mergeCell ref="D934:Q934"/>
    <mergeCell ref="AB932:AI932"/>
    <mergeCell ref="AY916:AZ916"/>
    <mergeCell ref="AY910:AZ910"/>
    <mergeCell ref="AY911:AZ911"/>
    <mergeCell ref="L909:S909"/>
    <mergeCell ref="M916:S916"/>
    <mergeCell ref="AA921:AG921"/>
    <mergeCell ref="W922:AG922"/>
    <mergeCell ref="AA923:AG923"/>
    <mergeCell ref="T921:Z921"/>
    <mergeCell ref="T920:Z920"/>
    <mergeCell ref="M921:S921"/>
    <mergeCell ref="M917:S917"/>
    <mergeCell ref="AE908:AK908"/>
    <mergeCell ref="L910:S910"/>
    <mergeCell ref="F923:L923"/>
    <mergeCell ref="AY914:AZ914"/>
    <mergeCell ref="AJ932:AQ932"/>
    <mergeCell ref="AE910:AK910"/>
    <mergeCell ref="AA915:AG915"/>
    <mergeCell ref="L907:S907"/>
    <mergeCell ref="AE907:AK907"/>
    <mergeCell ref="AJ349:AK349"/>
    <mergeCell ref="H337:R337"/>
    <mergeCell ref="AI596:AK596"/>
    <mergeCell ref="AA605:AK605"/>
    <mergeCell ref="G678:L678"/>
    <mergeCell ref="AH706:AL706"/>
    <mergeCell ref="U796:X796"/>
    <mergeCell ref="G708:J708"/>
    <mergeCell ref="AA330:AK330"/>
    <mergeCell ref="AJ351:AK351"/>
    <mergeCell ref="A345:AL346"/>
    <mergeCell ref="AA343:AK343"/>
    <mergeCell ref="M351:N351"/>
    <mergeCell ref="O742:S742"/>
    <mergeCell ref="AC378:AJ378"/>
    <mergeCell ref="V375:W375"/>
    <mergeCell ref="B703:F703"/>
    <mergeCell ref="AA334:AF334"/>
    <mergeCell ref="AG372:AH372"/>
    <mergeCell ref="AA339:AK339"/>
    <mergeCell ref="H335:R335"/>
    <mergeCell ref="H338:R338"/>
    <mergeCell ref="E361:AH362"/>
    <mergeCell ref="AC364:AF364"/>
    <mergeCell ref="P333:R333"/>
    <mergeCell ref="N365:Q365"/>
    <mergeCell ref="G700:J700"/>
    <mergeCell ref="O740:S740"/>
    <mergeCell ref="G694:J694"/>
    <mergeCell ref="B694:F694"/>
    <mergeCell ref="B699:F699"/>
    <mergeCell ref="B715:F715"/>
    <mergeCell ref="J379:U379"/>
    <mergeCell ref="AA340:AK340"/>
    <mergeCell ref="V370:W370"/>
    <mergeCell ref="J378:U378"/>
    <mergeCell ref="P325:R325"/>
    <mergeCell ref="AA341:AF341"/>
    <mergeCell ref="Z543:AD545"/>
    <mergeCell ref="AE543:AH545"/>
    <mergeCell ref="AI543:AL545"/>
    <mergeCell ref="M350:N350"/>
    <mergeCell ref="Q543:S545"/>
    <mergeCell ref="T543:V545"/>
    <mergeCell ref="H323:R323"/>
    <mergeCell ref="AA323:AK323"/>
    <mergeCell ref="J760:N760"/>
    <mergeCell ref="O760:S760"/>
    <mergeCell ref="O748:S751"/>
    <mergeCell ref="G688:J691"/>
    <mergeCell ref="G702:J702"/>
    <mergeCell ref="K692:N692"/>
    <mergeCell ref="O692:S692"/>
    <mergeCell ref="G709:J709"/>
    <mergeCell ref="G710:J710"/>
    <mergeCell ref="C718:AH719"/>
    <mergeCell ref="Y692:AB692"/>
    <mergeCell ref="AC692:AG692"/>
    <mergeCell ref="AH692:AL692"/>
    <mergeCell ref="N366:AF367"/>
    <mergeCell ref="Q383:U383"/>
    <mergeCell ref="AG383:AJ383"/>
    <mergeCell ref="H334:M334"/>
    <mergeCell ref="AA337:AK337"/>
    <mergeCell ref="AC255:AE255"/>
    <mergeCell ref="M256:AE256"/>
    <mergeCell ref="U257:W257"/>
    <mergeCell ref="H310:M310"/>
    <mergeCell ref="L281:AD281"/>
    <mergeCell ref="AA259:AK259"/>
    <mergeCell ref="L279:AD279"/>
    <mergeCell ref="X272:AC272"/>
    <mergeCell ref="H289:R289"/>
    <mergeCell ref="M262:AE262"/>
    <mergeCell ref="AA293:AF293"/>
    <mergeCell ref="H322:R322"/>
    <mergeCell ref="H324:R324"/>
    <mergeCell ref="AA298:AK298"/>
    <mergeCell ref="P293:R293"/>
    <mergeCell ref="H317:M317"/>
    <mergeCell ref="AA306:AK306"/>
    <mergeCell ref="AA313:AK313"/>
    <mergeCell ref="H311:R311"/>
    <mergeCell ref="T280:V280"/>
    <mergeCell ref="H298:R298"/>
    <mergeCell ref="M255:T255"/>
    <mergeCell ref="AA305:AK305"/>
    <mergeCell ref="L278:S278"/>
    <mergeCell ref="AF261:AK261"/>
    <mergeCell ref="P317:R317"/>
    <mergeCell ref="H302:M302"/>
    <mergeCell ref="M263:T263"/>
    <mergeCell ref="D272:H272"/>
    <mergeCell ref="AA314:AK314"/>
    <mergeCell ref="AA318:AF318"/>
    <mergeCell ref="M261:AE261"/>
    <mergeCell ref="O33:P33"/>
    <mergeCell ref="O159:AH159"/>
    <mergeCell ref="O158:AH158"/>
    <mergeCell ref="O157:AH157"/>
    <mergeCell ref="Z265:AE265"/>
    <mergeCell ref="M251:T251"/>
    <mergeCell ref="D208:M208"/>
    <mergeCell ref="M245:AE245"/>
    <mergeCell ref="W247:X247"/>
    <mergeCell ref="M237:T237"/>
    <mergeCell ref="O226:P226"/>
    <mergeCell ref="O227:P227"/>
    <mergeCell ref="U239:W239"/>
    <mergeCell ref="M257:R257"/>
    <mergeCell ref="D223:AI223"/>
    <mergeCell ref="T194:U194"/>
    <mergeCell ref="J173:S173"/>
    <mergeCell ref="A169:AL170"/>
    <mergeCell ref="A231:AL232"/>
    <mergeCell ref="L128:N128"/>
    <mergeCell ref="X175:Y175"/>
    <mergeCell ref="T195:U195"/>
    <mergeCell ref="M239:R239"/>
    <mergeCell ref="Z257:AE257"/>
    <mergeCell ref="M240:AE240"/>
    <mergeCell ref="D167:Y167"/>
    <mergeCell ref="W237:X237"/>
    <mergeCell ref="M242:AE242"/>
    <mergeCell ref="O161:R161"/>
    <mergeCell ref="O156:AH156"/>
    <mergeCell ref="W162:X162"/>
    <mergeCell ref="O160:X160"/>
    <mergeCell ref="O162:T162"/>
    <mergeCell ref="M248:AE248"/>
    <mergeCell ref="Z249:AE249"/>
    <mergeCell ref="M247:T247"/>
    <mergeCell ref="M241:T241"/>
    <mergeCell ref="AC247:AE247"/>
    <mergeCell ref="AF245:AK245"/>
    <mergeCell ref="M236:AE236"/>
    <mergeCell ref="AC237:AE237"/>
    <mergeCell ref="M246:AE246"/>
    <mergeCell ref="AF253:AK253"/>
    <mergeCell ref="U174:V174"/>
    <mergeCell ref="U175:V175"/>
    <mergeCell ref="U176:V176"/>
    <mergeCell ref="I190:N190"/>
    <mergeCell ref="T190:AE190"/>
    <mergeCell ref="Y211:Z211"/>
    <mergeCell ref="M250:AE250"/>
    <mergeCell ref="T197:U197"/>
    <mergeCell ref="Z239:AE239"/>
    <mergeCell ref="O164:AH164"/>
    <mergeCell ref="O163:T163"/>
    <mergeCell ref="Y180:Z180"/>
    <mergeCell ref="W198:X198"/>
    <mergeCell ref="AC219:AM219"/>
    <mergeCell ref="I184:AE184"/>
    <mergeCell ref="T193:U193"/>
    <mergeCell ref="M253:AE253"/>
    <mergeCell ref="R199:AB199"/>
    <mergeCell ref="U249:W249"/>
    <mergeCell ref="M249:R249"/>
    <mergeCell ref="AA251:AK251"/>
    <mergeCell ref="AK196:AL196"/>
    <mergeCell ref="AA193:AC193"/>
    <mergeCell ref="L276:AJ276"/>
    <mergeCell ref="V278:W278"/>
    <mergeCell ref="H307:R307"/>
    <mergeCell ref="H321:R321"/>
    <mergeCell ref="AA303:AK303"/>
    <mergeCell ref="M267:T267"/>
    <mergeCell ref="AA317:AF317"/>
    <mergeCell ref="H314:R314"/>
    <mergeCell ref="AI317:AK317"/>
    <mergeCell ref="AA315:AK315"/>
    <mergeCell ref="W263:X263"/>
    <mergeCell ref="M259:T259"/>
    <mergeCell ref="H300:R300"/>
    <mergeCell ref="H313:R313"/>
    <mergeCell ref="M266:AE266"/>
    <mergeCell ref="M254:AE254"/>
    <mergeCell ref="M264:AE264"/>
    <mergeCell ref="AI301:AK301"/>
    <mergeCell ref="L277:AD277"/>
    <mergeCell ref="W255:X255"/>
    <mergeCell ref="AA289:AK289"/>
    <mergeCell ref="AC215:AD215"/>
    <mergeCell ref="AA295:AK295"/>
    <mergeCell ref="AA267:AK267"/>
    <mergeCell ref="H290:R290"/>
    <mergeCell ref="AA302:AF302"/>
    <mergeCell ref="AB278:AD278"/>
    <mergeCell ref="U265:W265"/>
    <mergeCell ref="A284:AL285"/>
    <mergeCell ref="L280:Q280"/>
    <mergeCell ref="AP861:AS861"/>
    <mergeCell ref="E849:AB849"/>
    <mergeCell ref="W830:AC830"/>
    <mergeCell ref="W831:AC831"/>
    <mergeCell ref="W839:AC839"/>
    <mergeCell ref="M841:V841"/>
    <mergeCell ref="AA898:AF898"/>
    <mergeCell ref="U884:Z884"/>
    <mergeCell ref="AC853:AH853"/>
    <mergeCell ref="AC857:AH857"/>
    <mergeCell ref="I898:T898"/>
    <mergeCell ref="AA896:AF896"/>
    <mergeCell ref="I895:T895"/>
    <mergeCell ref="W841:AC841"/>
    <mergeCell ref="U894:Z894"/>
    <mergeCell ref="AA894:AF894"/>
    <mergeCell ref="I896:T896"/>
    <mergeCell ref="U890:Z890"/>
    <mergeCell ref="AA893:AF893"/>
    <mergeCell ref="M835:V835"/>
    <mergeCell ref="AA889:AF889"/>
    <mergeCell ref="AA892:AF892"/>
    <mergeCell ref="Z863:AE863"/>
    <mergeCell ref="W835:AC835"/>
    <mergeCell ref="W834:AC834"/>
    <mergeCell ref="W832:AC832"/>
    <mergeCell ref="U889:Z889"/>
    <mergeCell ref="W843:AC843"/>
    <mergeCell ref="U881:Z881"/>
    <mergeCell ref="AA887:AF887"/>
    <mergeCell ref="W833:AC833"/>
    <mergeCell ref="W840:AC840"/>
    <mergeCell ref="B695:F695"/>
    <mergeCell ref="G696:J696"/>
    <mergeCell ref="G695:J695"/>
    <mergeCell ref="G703:J703"/>
    <mergeCell ref="T703:X703"/>
    <mergeCell ref="Y703:AB703"/>
    <mergeCell ref="AC703:AG703"/>
    <mergeCell ref="T822:V822"/>
    <mergeCell ref="B709:F709"/>
    <mergeCell ref="F878:T879"/>
    <mergeCell ref="Q794:T794"/>
    <mergeCell ref="U793:X793"/>
    <mergeCell ref="AG793:AJ793"/>
    <mergeCell ref="O752:S752"/>
    <mergeCell ref="J753:N753"/>
    <mergeCell ref="Y793:AB793"/>
    <mergeCell ref="Y765:AC765"/>
    <mergeCell ref="U787:X788"/>
    <mergeCell ref="J744:K744"/>
    <mergeCell ref="J755:N755"/>
    <mergeCell ref="B708:F708"/>
    <mergeCell ref="B710:F710"/>
    <mergeCell ref="AG720:AJ720"/>
    <mergeCell ref="B713:F713"/>
    <mergeCell ref="G712:J712"/>
    <mergeCell ref="J742:N742"/>
    <mergeCell ref="B711:F711"/>
    <mergeCell ref="J734:N737"/>
    <mergeCell ref="O738:S738"/>
    <mergeCell ref="K716:N716"/>
    <mergeCell ref="G711:J711"/>
    <mergeCell ref="U792:X792"/>
    <mergeCell ref="C726:AM733"/>
    <mergeCell ref="AC787:AF788"/>
    <mergeCell ref="K710:N710"/>
    <mergeCell ref="O710:S710"/>
    <mergeCell ref="T710:X710"/>
    <mergeCell ref="Y710:AB710"/>
    <mergeCell ref="AC710:AG710"/>
    <mergeCell ref="AH710:AL710"/>
    <mergeCell ref="K715:N715"/>
    <mergeCell ref="G714:J714"/>
    <mergeCell ref="T713:X713"/>
    <mergeCell ref="Y713:AB713"/>
    <mergeCell ref="J748:N751"/>
    <mergeCell ref="G717:J717"/>
    <mergeCell ref="B717:F717"/>
    <mergeCell ref="O753:S753"/>
    <mergeCell ref="J741:N741"/>
    <mergeCell ref="O741:S741"/>
    <mergeCell ref="B712:F712"/>
    <mergeCell ref="X759:AB759"/>
    <mergeCell ref="AC759:AG759"/>
    <mergeCell ref="Z770:AE770"/>
    <mergeCell ref="T761:W761"/>
    <mergeCell ref="O739:S739"/>
    <mergeCell ref="J738:N738"/>
    <mergeCell ref="O734:S737"/>
    <mergeCell ref="B716:F716"/>
    <mergeCell ref="B714:F714"/>
    <mergeCell ref="O716:S716"/>
    <mergeCell ref="X741:AB741"/>
    <mergeCell ref="Z781:AE781"/>
    <mergeCell ref="X761:AB761"/>
    <mergeCell ref="BN612:BR612"/>
    <mergeCell ref="BK595:BL595"/>
    <mergeCell ref="BI595:BJ595"/>
    <mergeCell ref="BK597:BL597"/>
    <mergeCell ref="BI596:BJ596"/>
    <mergeCell ref="BI598:BJ598"/>
    <mergeCell ref="AG384:AJ384"/>
    <mergeCell ref="BG596:BH596"/>
    <mergeCell ref="AA671:AK671"/>
    <mergeCell ref="A608:AS609"/>
    <mergeCell ref="AM543:AS545"/>
    <mergeCell ref="B705:F705"/>
    <mergeCell ref="B701:F701"/>
    <mergeCell ref="H605:R605"/>
    <mergeCell ref="B707:F707"/>
    <mergeCell ref="G651:R651"/>
    <mergeCell ref="Z601:AK601"/>
    <mergeCell ref="B706:F706"/>
    <mergeCell ref="K694:N694"/>
    <mergeCell ref="O694:S694"/>
    <mergeCell ref="T694:X694"/>
    <mergeCell ref="Y694:AB694"/>
    <mergeCell ref="T698:X698"/>
    <mergeCell ref="Y698:AB698"/>
    <mergeCell ref="K703:N703"/>
    <mergeCell ref="O703:S703"/>
    <mergeCell ref="B692:F692"/>
    <mergeCell ref="B543:L545"/>
    <mergeCell ref="C547:L547"/>
    <mergeCell ref="M547:P547"/>
    <mergeCell ref="C548:L548"/>
    <mergeCell ref="M548:P548"/>
    <mergeCell ref="W819:AC819"/>
    <mergeCell ref="W818:AC818"/>
    <mergeCell ref="G697:J697"/>
    <mergeCell ref="G704:J704"/>
    <mergeCell ref="J752:N752"/>
    <mergeCell ref="G707:J707"/>
    <mergeCell ref="AA679:AK679"/>
    <mergeCell ref="Y787:AB788"/>
    <mergeCell ref="Z780:AE780"/>
    <mergeCell ref="AC795:AF795"/>
    <mergeCell ref="O755:S755"/>
    <mergeCell ref="AG789:AJ789"/>
    <mergeCell ref="T756:W756"/>
    <mergeCell ref="X756:AB756"/>
    <mergeCell ref="AC756:AG756"/>
    <mergeCell ref="T757:W757"/>
    <mergeCell ref="X757:AB757"/>
    <mergeCell ref="AC757:AG757"/>
    <mergeCell ref="B723:AL724"/>
    <mergeCell ref="B704:F704"/>
    <mergeCell ref="B698:F698"/>
    <mergeCell ref="C793:H793"/>
    <mergeCell ref="AC792:AF792"/>
    <mergeCell ref="O720:R720"/>
    <mergeCell ref="C792:H792"/>
    <mergeCell ref="Q795:T795"/>
    <mergeCell ref="J761:N761"/>
    <mergeCell ref="J762:N762"/>
    <mergeCell ref="O762:S762"/>
    <mergeCell ref="U794:X794"/>
    <mergeCell ref="O754:S754"/>
    <mergeCell ref="G713:J713"/>
    <mergeCell ref="BO805:BU805"/>
    <mergeCell ref="BA805:BB805"/>
    <mergeCell ref="D945:AE949"/>
    <mergeCell ref="D933:Q933"/>
    <mergeCell ref="R933:AA933"/>
    <mergeCell ref="AA897:AF897"/>
    <mergeCell ref="U887:Z887"/>
    <mergeCell ref="U886:Z886"/>
    <mergeCell ref="U882:Z882"/>
    <mergeCell ref="AA882:AF882"/>
    <mergeCell ref="Z864:AE864"/>
    <mergeCell ref="AC847:AH847"/>
    <mergeCell ref="AC856:AH856"/>
    <mergeCell ref="I897:T897"/>
    <mergeCell ref="D932:Q932"/>
    <mergeCell ref="R932:AA932"/>
    <mergeCell ref="AE906:AK906"/>
    <mergeCell ref="AE903:AK903"/>
    <mergeCell ref="U891:Z891"/>
    <mergeCell ref="AA886:AF886"/>
    <mergeCell ref="AA895:AF895"/>
    <mergeCell ref="AE904:AK904"/>
    <mergeCell ref="AA890:AF890"/>
    <mergeCell ref="U885:Z885"/>
    <mergeCell ref="U888:Z888"/>
    <mergeCell ref="AA888:AF888"/>
    <mergeCell ref="AE909:AK909"/>
    <mergeCell ref="W826:AC826"/>
    <mergeCell ref="AP860:AS860"/>
    <mergeCell ref="AY905:AZ905"/>
    <mergeCell ref="AV861:AY861"/>
    <mergeCell ref="W810:AC810"/>
    <mergeCell ref="A1042:B1042"/>
    <mergeCell ref="A1038:B1038"/>
    <mergeCell ref="A1004:B1004"/>
    <mergeCell ref="D994:AK996"/>
    <mergeCell ref="A1034:B1034"/>
    <mergeCell ref="A1000:AK1000"/>
    <mergeCell ref="M838:V838"/>
    <mergeCell ref="W838:AC838"/>
    <mergeCell ref="A927:AL928"/>
    <mergeCell ref="A1010:B1010"/>
    <mergeCell ref="A1026:B1026"/>
    <mergeCell ref="M923:S923"/>
    <mergeCell ref="AA917:AG917"/>
    <mergeCell ref="Z865:AE865"/>
    <mergeCell ref="Z773:AE773"/>
    <mergeCell ref="Y764:AC764"/>
    <mergeCell ref="P780:Y780"/>
    <mergeCell ref="AF964:AI965"/>
    <mergeCell ref="AF966:AI967"/>
    <mergeCell ref="AF970:AI971"/>
    <mergeCell ref="AF969:AI969"/>
    <mergeCell ref="O922:P922"/>
    <mergeCell ref="U892:Z892"/>
    <mergeCell ref="A1023:B1023"/>
    <mergeCell ref="A1031:B1031"/>
    <mergeCell ref="A1016:B1016"/>
    <mergeCell ref="D1031:AK1033"/>
    <mergeCell ref="M839:V839"/>
    <mergeCell ref="M920:S920"/>
    <mergeCell ref="AC791:AF791"/>
    <mergeCell ref="U877:Z879"/>
    <mergeCell ref="AG794:AJ794"/>
    <mergeCell ref="T269:X269"/>
    <mergeCell ref="AC263:AE263"/>
    <mergeCell ref="M258:AE258"/>
    <mergeCell ref="Y280:AD280"/>
    <mergeCell ref="M265:R265"/>
    <mergeCell ref="AA332:AK332"/>
    <mergeCell ref="W543:Y545"/>
    <mergeCell ref="AA335:AK335"/>
    <mergeCell ref="AA333:AF333"/>
    <mergeCell ref="AA321:AK321"/>
    <mergeCell ref="H327:R327"/>
    <mergeCell ref="H325:M325"/>
    <mergeCell ref="AA326:AF326"/>
    <mergeCell ref="H340:R340"/>
    <mergeCell ref="H342:M342"/>
    <mergeCell ref="AA331:AK331"/>
    <mergeCell ref="AA292:AK292"/>
    <mergeCell ref="AA297:AK297"/>
    <mergeCell ref="AA301:AF301"/>
    <mergeCell ref="AA307:AK307"/>
    <mergeCell ref="AA300:AK300"/>
    <mergeCell ref="H297:R297"/>
    <mergeCell ref="M543:P545"/>
    <mergeCell ref="AA325:AF325"/>
    <mergeCell ref="H332:R332"/>
    <mergeCell ref="H292:R292"/>
    <mergeCell ref="L282:AD282"/>
    <mergeCell ref="H301:M301"/>
    <mergeCell ref="AA291:AK291"/>
    <mergeCell ref="H291:R291"/>
    <mergeCell ref="AA290:AK290"/>
    <mergeCell ref="H295:R295"/>
    <mergeCell ref="AI293:AK293"/>
    <mergeCell ref="H315:R315"/>
    <mergeCell ref="H316:R316"/>
    <mergeCell ref="H308:R308"/>
    <mergeCell ref="AA299:AK299"/>
    <mergeCell ref="H299:R299"/>
    <mergeCell ref="H303:R303"/>
    <mergeCell ref="P309:R309"/>
    <mergeCell ref="H309:M309"/>
    <mergeCell ref="H294:M294"/>
    <mergeCell ref="H319:R319"/>
    <mergeCell ref="AA311:AK311"/>
    <mergeCell ref="P301:R301"/>
    <mergeCell ref="H293:M293"/>
    <mergeCell ref="M615:P617"/>
    <mergeCell ref="M618:P618"/>
    <mergeCell ref="M619:P619"/>
    <mergeCell ref="AK619:AN619"/>
    <mergeCell ref="AK615:AN617"/>
    <mergeCell ref="J360:K360"/>
    <mergeCell ref="AI325:AK325"/>
    <mergeCell ref="I385:N385"/>
    <mergeCell ref="S385:U385"/>
    <mergeCell ref="AI385:AJ385"/>
    <mergeCell ref="Q386:U386"/>
    <mergeCell ref="AG386:AJ386"/>
    <mergeCell ref="H326:M326"/>
    <mergeCell ref="H339:R339"/>
    <mergeCell ref="AA329:AK329"/>
    <mergeCell ref="H331:R331"/>
    <mergeCell ref="H341:M341"/>
    <mergeCell ref="H330:R330"/>
    <mergeCell ref="M622:P622"/>
    <mergeCell ref="M623:P623"/>
    <mergeCell ref="M624:P624"/>
    <mergeCell ref="AA316:AK316"/>
    <mergeCell ref="H306:R306"/>
    <mergeCell ref="AA309:AF309"/>
    <mergeCell ref="AA294:AF294"/>
    <mergeCell ref="AA310:AF310"/>
    <mergeCell ref="Y358:Z358"/>
    <mergeCell ref="AI333:AK333"/>
    <mergeCell ref="AI341:AK341"/>
    <mergeCell ref="AA342:AF342"/>
    <mergeCell ref="AJ350:AK350"/>
    <mergeCell ref="N357:O357"/>
    <mergeCell ref="H343:R343"/>
    <mergeCell ref="H305:R305"/>
    <mergeCell ref="N363:Q363"/>
    <mergeCell ref="V374:W374"/>
    <mergeCell ref="N371:P371"/>
    <mergeCell ref="AG373:AH373"/>
    <mergeCell ref="AD370:AE370"/>
    <mergeCell ref="S370:T370"/>
    <mergeCell ref="AC363:AF363"/>
    <mergeCell ref="Q384:U384"/>
    <mergeCell ref="M352:N352"/>
    <mergeCell ref="H333:M333"/>
    <mergeCell ref="AA338:AK338"/>
    <mergeCell ref="W624:Y624"/>
    <mergeCell ref="T618:V618"/>
    <mergeCell ref="T619:V619"/>
    <mergeCell ref="AI382:AJ382"/>
    <mergeCell ref="AK621:AN621"/>
    <mergeCell ref="W628:Y628"/>
    <mergeCell ref="W629:Y629"/>
    <mergeCell ref="C553:L553"/>
    <mergeCell ref="M553:P553"/>
    <mergeCell ref="C554:L554"/>
    <mergeCell ref="M554:P554"/>
    <mergeCell ref="C555:L555"/>
    <mergeCell ref="M555:P555"/>
    <mergeCell ref="C556:L556"/>
    <mergeCell ref="M556:P556"/>
    <mergeCell ref="C557:L557"/>
    <mergeCell ref="M557:P557"/>
    <mergeCell ref="C618:L618"/>
    <mergeCell ref="C619:L619"/>
    <mergeCell ref="C620:L620"/>
    <mergeCell ref="C621:L621"/>
    <mergeCell ref="C622:L622"/>
    <mergeCell ref="C623:L623"/>
    <mergeCell ref="C624:L624"/>
    <mergeCell ref="G577:R577"/>
    <mergeCell ref="H581:R581"/>
    <mergeCell ref="H573:R573"/>
    <mergeCell ref="G570:R570"/>
    <mergeCell ref="Q556:S556"/>
    <mergeCell ref="B558:AL558"/>
    <mergeCell ref="B615:L617"/>
    <mergeCell ref="Z585:AK585"/>
    <mergeCell ref="AG590:AH590"/>
    <mergeCell ref="W615:Y617"/>
    <mergeCell ref="Q615:S617"/>
    <mergeCell ref="T615:V617"/>
    <mergeCell ref="M620:P620"/>
    <mergeCell ref="AC624:AE624"/>
    <mergeCell ref="T620:V620"/>
    <mergeCell ref="T621:V621"/>
    <mergeCell ref="T622:V622"/>
    <mergeCell ref="Q623:S623"/>
    <mergeCell ref="Q624:S624"/>
    <mergeCell ref="Q625:S625"/>
    <mergeCell ref="Q626:S626"/>
    <mergeCell ref="Q627:S627"/>
    <mergeCell ref="T623:V623"/>
    <mergeCell ref="T624:V624"/>
    <mergeCell ref="T625:V625"/>
    <mergeCell ref="T626:V626"/>
    <mergeCell ref="T627:V627"/>
    <mergeCell ref="AF621:AJ621"/>
    <mergeCell ref="AC615:AE617"/>
    <mergeCell ref="AF615:AJ617"/>
    <mergeCell ref="AC619:AE619"/>
    <mergeCell ref="AF619:AJ619"/>
    <mergeCell ref="W627:Y627"/>
    <mergeCell ref="W619:Y619"/>
  </mergeCells>
  <phoneticPr fontId="0" type="noConversion"/>
  <conditionalFormatting sqref="B997 B999">
    <cfRule type="cellIs" dxfId="94" priority="44" stopIfTrue="1" operator="equal">
      <formula>#N/A</formula>
    </cfRule>
  </conditionalFormatting>
  <conditionalFormatting sqref="C546:C557 M546:M557 Q546:AS557 Q619:Q629 T619:T629 W619:W629 Z619:Z629 AC619:AS629">
    <cfRule type="expression" dxfId="93" priority="6">
      <formula>$AT546="!"</formula>
    </cfRule>
  </conditionalFormatting>
  <conditionalFormatting sqref="C718:AH719">
    <cfRule type="expression" dxfId="92" priority="4">
      <formula>NOT($D$214="Special Needs")</formula>
    </cfRule>
  </conditionalFormatting>
  <conditionalFormatting sqref="E218">
    <cfRule type="expression" dxfId="91" priority="32">
      <formula>NOT(OR($D$214="Seniors",$E$217="Seniors"))</formula>
    </cfRule>
  </conditionalFormatting>
  <conditionalFormatting sqref="E219">
    <cfRule type="expression" dxfId="90" priority="31">
      <formula>NOT($D$214="At-Risk")</formula>
    </cfRule>
  </conditionalFormatting>
  <conditionalFormatting sqref="E215:AA215">
    <cfRule type="expression" dxfId="89" priority="37">
      <formula>NOT($D$214="Special Needs")</formula>
    </cfRule>
  </conditionalFormatting>
  <conditionalFormatting sqref="E217:AA217">
    <cfRule type="expression" dxfId="88" priority="34">
      <formula>AND($AC$215&gt;0,$AF$215&lt;75%)</formula>
    </cfRule>
  </conditionalFormatting>
  <conditionalFormatting sqref="E857:AB858">
    <cfRule type="expression" dxfId="87" priority="15">
      <formula>AND(AC857&lt;&gt;"",OR(E857="Other (Specify):",E857=""))</formula>
    </cfRule>
  </conditionalFormatting>
  <conditionalFormatting sqref="E216:AI216">
    <cfRule type="expression" dxfId="86" priority="35">
      <formula>AND($AC$215&gt;0,$AF$215&lt;75%)</formula>
    </cfRule>
  </conditionalFormatting>
  <conditionalFormatting sqref="F795:L795">
    <cfRule type="expression" dxfId="85" priority="21">
      <formula>AND(OR(M795&lt;&gt;"",$Q$795&lt;&gt;"",$U$795&lt;&gt;"",$Y$795&lt;&gt;"",$AC$795&lt;&gt;"",$AG$795&lt;&gt;""),OR(F795="(specify here)",F795=""))</formula>
    </cfRule>
  </conditionalFormatting>
  <conditionalFormatting sqref="G466:V466">
    <cfRule type="expression" dxfId="84" priority="1">
      <formula>AND($W$466&gt;0,$G$466="")</formula>
    </cfRule>
  </conditionalFormatting>
  <conditionalFormatting sqref="L501:AB501">
    <cfRule type="expression" dxfId="83" priority="29">
      <formula>AND(NOT(AC501="N/A"),AH501&lt;&gt;"",OR(L501="(specify here)",L501=""))</formula>
    </cfRule>
  </conditionalFormatting>
  <conditionalFormatting sqref="M810:V810">
    <cfRule type="expression" dxfId="82" priority="20">
      <formula>AND(W810&lt;&gt;"",OR(M810="(specify here)",M810=""))</formula>
    </cfRule>
  </conditionalFormatting>
  <conditionalFormatting sqref="M825:V825">
    <cfRule type="expression" dxfId="81" priority="19">
      <formula>AND(W825&lt;&gt;"",OR(M825="(specify here)",M825=""))</formula>
    </cfRule>
  </conditionalFormatting>
  <conditionalFormatting sqref="M835:V835">
    <cfRule type="expression" dxfId="80" priority="18">
      <formula>AND(W835&lt;&gt;"",OR(M835="(specify here)",M835=""))</formula>
    </cfRule>
  </conditionalFormatting>
  <conditionalFormatting sqref="M838:V842">
    <cfRule type="expression" dxfId="79" priority="17">
      <formula>AND(W838&lt;&gt;"",OR(M838="(specify here)",M838=""))</formula>
    </cfRule>
  </conditionalFormatting>
  <conditionalFormatting sqref="O512:AA512">
    <cfRule type="expression" dxfId="78" priority="28">
      <formula>AND(OR(AND(NOT(AC512="N/A"),AH512&lt;&gt;""),AND(NOT(AC513="N/A"),AH513&lt;&gt;""),AND(NOT(AC514="N/A"),AH514&lt;&gt;"")),OR(O512="(specify here)",O512=""))</formula>
    </cfRule>
  </conditionalFormatting>
  <conditionalFormatting sqref="O515:AA515">
    <cfRule type="expression" dxfId="77" priority="11">
      <formula>AND(OR(AND(NOT(AC515="N/A"),AH515&lt;&gt;""),AND(NOT(AC516="N/A"),AH516&lt;&gt;""),AND(NOT(AC517="N/A"),AH517&lt;&gt;"")),OR(O515="(specify here)",O515=""))</formula>
    </cfRule>
  </conditionalFormatting>
  <conditionalFormatting sqref="O518:AA518">
    <cfRule type="expression" dxfId="76" priority="10">
      <formula>AND(OR(AND(NOT(AC518="N/A"),AH518&lt;&gt;""),AND(NOT(AC519="N/A"),AH519&lt;&gt;""),AND(NOT(AC520="N/A"),AH520&lt;&gt;"")),OR(O518="(specify here)",O518=""))</formula>
    </cfRule>
  </conditionalFormatting>
  <conditionalFormatting sqref="O521:AA521">
    <cfRule type="expression" dxfId="75" priority="9">
      <formula>AND(OR(AND(NOT(AC521="N/A"),AH521&lt;&gt;""),AND(NOT(AC522="N/A"),AH522&lt;&gt;""),AND(NOT(AC523="N/A"),AH523&lt;&gt;"")),OR(O521="(specify here)",O521=""))</formula>
    </cfRule>
  </conditionalFormatting>
  <conditionalFormatting sqref="O524:AA524">
    <cfRule type="expression" dxfId="74" priority="8">
      <formula>AND(OR(AND(NOT(AC524="N/A"),AH524&lt;&gt;""),AND(NOT(AC525="N/A"),AH525&lt;&gt;""),AND(NOT(AC526="N/A"),AH526&lt;&gt;"")),OR(O524="(specify here)",O524=""))</formula>
    </cfRule>
  </conditionalFormatting>
  <conditionalFormatting sqref="O527:AA527">
    <cfRule type="expression" dxfId="73" priority="7">
      <formula>AND(OR(AND(NOT(AC527="N/A"),AH527&lt;&gt;""),AND(NOT(AC528="N/A"),AH528&lt;&gt;""),AND(NOT(AC529="N/A"),AH529&lt;&gt;"")),OR(O527="(specify here)",O527=""))</formula>
    </cfRule>
  </conditionalFormatting>
  <conditionalFormatting sqref="P780:Y780">
    <cfRule type="expression" dxfId="72" priority="22">
      <formula>AND(Z780&lt;&gt;"",OR(P780="(specify here)",P780=""))</formula>
    </cfRule>
  </conditionalFormatting>
  <conditionalFormatting sqref="U720">
    <cfRule type="expression" dxfId="71" priority="3">
      <formula>NOT($D$214="Special Needs")</formula>
    </cfRule>
  </conditionalFormatting>
  <conditionalFormatting sqref="W922:AG922">
    <cfRule type="expression" dxfId="70" priority="12">
      <formula>AND($AA$923&lt;&gt;"",OR($W$922="",$W$922="(specify here)"))</formula>
    </cfRule>
  </conditionalFormatting>
  <conditionalFormatting sqref="AC215:AG215">
    <cfRule type="expression" dxfId="69" priority="36">
      <formula>NOT($D$214="Special Needs")</formula>
    </cfRule>
  </conditionalFormatting>
  <conditionalFormatting sqref="AC218:AN218">
    <cfRule type="expression" dxfId="68" priority="33">
      <formula>NOT(OR($D$214="Seniors",$E$217="Seniors"))</formula>
    </cfRule>
  </conditionalFormatting>
  <conditionalFormatting sqref="AC219:AN219">
    <cfRule type="expression" dxfId="67" priority="30">
      <formula>NOT($D$214="At-Risk")</formula>
    </cfRule>
  </conditionalFormatting>
  <conditionalFormatting sqref="AF964">
    <cfRule type="cellIs" dxfId="66" priority="40" stopIfTrue="1" operator="equal">
      <formula>"Please Enter Amount:"</formula>
    </cfRule>
  </conditionalFormatting>
  <conditionalFormatting sqref="AF969">
    <cfRule type="cellIs" dxfId="65" priority="38" stopIfTrue="1" operator="equal">
      <formula>"Please Enter Amount:"</formula>
    </cfRule>
  </conditionalFormatting>
  <conditionalFormatting sqref="AF976">
    <cfRule type="cellIs" dxfId="64" priority="39" stopIfTrue="1" operator="equal">
      <formula>"Please Enter Amount:"</formula>
    </cfRule>
  </conditionalFormatting>
  <conditionalFormatting sqref="AG434:AJ434">
    <cfRule type="expression" dxfId="63" priority="46" stopIfTrue="1">
      <formula>"iserror(d31)"</formula>
    </cfRule>
  </conditionalFormatting>
  <conditionalFormatting sqref="AG720:AJ720">
    <cfRule type="expression" dxfId="62" priority="2">
      <formula>NOT($D$214="Special Needs")</formula>
    </cfRule>
  </conditionalFormatting>
  <dataValidations xWindow="329" yWindow="269" count="53">
    <dataValidation type="list" allowBlank="1" showInputMessage="1" showErrorMessage="1" sqref="S406:T406 A1038:B1038 A1023:B1023 AE418:AF418 AE422:AF422 R404:S405 A1042:B1042 A1034:B1034 A1004:B1004 A1010:B1010 A1016:B1016 A1026:B1026 A1031:B1031 M349:N352">
      <formula1>"N/A, Yes"</formula1>
    </dataValidation>
    <dataValidation type="list" allowBlank="1" showInputMessage="1" showErrorMessage="1" sqref="O922 AG672 N672 AG656 N656 N640 AG640 AG606 N606 AG590 N590 N574 AG574 AG566 N566 AG582 N582 N598 AG598 N648 AG648 N664 AG664 N680 AG680 U176 Y180 AI194 W198 T193:T197 Y211:Z211 O33:P33">
      <formula1>"Yes, No"</formula1>
    </dataValidation>
    <dataValidation type="list" allowBlank="1" showInputMessage="1" showErrorMessage="1" sqref="Q482 AG954 AG963 AG972 AG941 AG944 AG979 AG950 AG956 AG959 AG968 AG975 AG984">
      <formula1>"Yes,No"</formula1>
    </dataValidation>
    <dataValidation type="list" allowBlank="1" showInputMessage="1" showErrorMessage="1" sqref="J967">
      <formula1>"N/A,Seismic Upgrading, Environmental Mitigation"</formula1>
    </dataValidation>
    <dataValidation type="decimal" allowBlank="1" showInputMessage="1" showErrorMessage="1" error="example: enter 30 for 30%, hit cancel and try again._x000a_" sqref="AH692:AH716 AI694:AL716">
      <formula1>0</formula1>
      <formula2>1</formula2>
    </dataValidation>
    <dataValidation type="list" showInputMessage="1" showErrorMessage="1" sqref="J744:K744">
      <formula1>"No,Yes"</formula1>
    </dataValidation>
    <dataValidation type="list" showInputMessage="1" showErrorMessage="1" sqref="Z274:AD274">
      <formula1>"Nonprofit, For-Profit, N/A"</formula1>
    </dataValidation>
    <dataValidation type="list" showInputMessage="1" showErrorMessage="1" sqref="AC494:AF501 AC506:AF534">
      <formula1>"N/A,1,2,3,4,5,6,7,8,9,10,11,12"</formula1>
    </dataValidation>
    <dataValidation type="list" allowBlank="1" showInputMessage="1" showErrorMessage="1" sqref="Z425:AA425 Q422:R422 AI385:AJ385 AI382:AJ382 AI390:AJ390">
      <formula1>"No, Yes"</formula1>
    </dataValidation>
    <dataValidation type="list" showInputMessage="1" showErrorMessage="1" sqref="Z427:AA427 AE427">
      <formula1>$BE$361:$BE$363</formula1>
    </dataValidation>
    <dataValidation type="list" allowBlank="1" showInputMessage="1" showErrorMessage="1" sqref="AJ349:AK349 AE423:AF423 J360:K360 Y358:Z358 N357:O357 AJ351:AK351">
      <formula1>"N/A, Yes, No"</formula1>
    </dataValidation>
    <dataValidation type="list" allowBlank="1" showInputMessage="1" showErrorMessage="1" sqref="U880:U898">
      <formula1>"Yes, No,N/A"</formula1>
    </dataValidation>
    <dataValidation type="list" showInputMessage="1" showErrorMessage="1" sqref="J173:S173">
      <formula1>"Preliminary Reservation, Subsidy Layering, Readiness, Placed in Service, Re-Application"</formula1>
    </dataValidation>
    <dataValidation type="list" showInputMessage="1" showErrorMessage="1" sqref="D208:M208">
      <formula1>"(select one),20%/50%, 40%/60%, 40%/60% Average Income"</formula1>
    </dataValidation>
    <dataValidation showInputMessage="1" showErrorMessage="1" sqref="W270"/>
    <dataValidation type="list" allowBlank="1" showInputMessage="1" showErrorMessage="1" sqref="BA805:BB805">
      <formula1>$BA$583:$BA$584</formula1>
    </dataValidation>
    <dataValidation type="list" allowBlank="1" showInputMessage="1" showErrorMessage="1" sqref="M259:T259 M251:T251">
      <formula1>"(select one),Nonprofit, For Profit"</formula1>
    </dataValidation>
    <dataValidation type="list" allowBlank="1" showInputMessage="1" showErrorMessage="1" sqref="P894:T894 S394:U394">
      <formula1>"No,Yes"</formula1>
    </dataValidation>
    <dataValidation type="list" showInputMessage="1" showErrorMessage="1" sqref="M267:T267">
      <formula1>"(select one),Nonprofit, For Profit"</formula1>
    </dataValidation>
    <dataValidation type="list" allowBlank="1" showInputMessage="1" showErrorMessage="1" sqref="M920:S920">
      <formula1>"(select one),Project-based vouchers (PBVs),Project-based contract (PBC),RAD PBVs, RAD PBC"</formula1>
    </dataValidation>
    <dataValidation type="whole" allowBlank="1" showInputMessage="1" showErrorMessage="1" error="Please enter a number" sqref="AH199:AI200 O225:P227">
      <formula1>0</formula1>
      <formula2>999</formula2>
    </dataValidation>
    <dataValidation type="list" allowBlank="1" showInputMessage="1" showErrorMessage="1" sqref="M917:S917">
      <formula1>"N/A,IRP,Decoupled IRP"</formula1>
    </dataValidation>
    <dataValidation type="list" allowBlank="1" showInputMessage="1" showErrorMessage="1" sqref="AF245:AK245 AF253:AK253 AF261:AK261">
      <formula1>"(select one),Managing GP,Administrative GP"</formula1>
    </dataValidation>
    <dataValidation type="list" allowBlank="1" showInputMessage="1" showErrorMessage="1" sqref="AG372:AH373 V374:W375 Z722:AB722">
      <formula1>"N/A,Yes,No"</formula1>
    </dataValidation>
    <dataValidation type="whole" operator="greaterThanOrEqual" allowBlank="1" showInputMessage="1" showErrorMessage="1" sqref="Z777:AE777 AG387:AJ387 Q546:V557 AE546:AH557 Q618:V629 AC618:AE629">
      <formula1>0</formula1>
    </dataValidation>
    <dataValidation type="list" allowBlank="1" showInputMessage="1" showErrorMessage="1" sqref="I403:AD403">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05:S905 AE905:AK905">
      <formula1>"(select one),Project-based vouchers (PBVs),Project-based contract (PBC),RAD conversion - PBVs, RAD conversion - PBC"</formula1>
    </dataValidation>
    <dataValidation type="whole" allowBlank="1" showInputMessage="1" showErrorMessage="1" sqref="AG401:AJ401">
      <formula1>0</formula1>
      <formula2>AG388</formula2>
    </dataValidation>
    <dataValidation type="whole" allowBlank="1" showInputMessage="1" showErrorMessage="1" sqref="AG394:AJ394 AG388:AJ389">
      <formula1>0</formula1>
      <formula2>AG387</formula2>
    </dataValidation>
    <dataValidation type="whole" allowBlank="1" showInputMessage="1" showErrorMessage="1" sqref="AG390:AH390">
      <formula1>0</formula1>
      <formula2>AG388</formula2>
    </dataValidation>
    <dataValidation type="whole" allowBlank="1" showInputMessage="1" showErrorMessage="1" sqref="AG393:AJ393">
      <formula1>0</formula1>
      <formula2>AG388</formula2>
    </dataValidation>
    <dataValidation type="list" allowBlank="1" showInputMessage="1" showErrorMessage="1" sqref="S398:AJ398">
      <formula1>"(select),Secured by Leasehold Interest,Secured by Fee Interest,Secured by both Leasehold &amp; Fee Interests,Other"</formula1>
    </dataValidation>
    <dataValidation type="list" allowBlank="1" showInputMessage="1" showErrorMessage="1" sqref="S395:U395">
      <formula1>"N/A,No,Yes"</formula1>
    </dataValidation>
    <dataValidation type="list" allowBlank="1" showInputMessage="1" showErrorMessage="1" sqref="AC502:AF502">
      <formula1>"(select),Yes,No"</formula1>
    </dataValidation>
    <dataValidation type="list" allowBlank="1" showInputMessage="1" showErrorMessage="1" sqref="Z546:AD557">
      <formula1>"(select),Fixed,Variable,N/A"</formula1>
    </dataValidation>
    <dataValidation type="list" allowBlank="1" showInputMessage="1" showErrorMessage="1" sqref="J738:N741 J752:N761 B692:F716">
      <formula1>$AZ$588:$AZ$593</formula1>
    </dataValidation>
    <dataValidation type="list" showInputMessage="1" showErrorMessage="1" sqref="U174:V174">
      <formula1>$BJ$160:$BJ$162</formula1>
    </dataValidation>
    <dataValidation type="list" allowBlank="1" showInputMessage="1" showErrorMessage="1" sqref="E217:Z217">
      <formula1>$BH$189:$BH$193</formula1>
    </dataValidation>
    <dataValidation type="list" showInputMessage="1" showErrorMessage="1" sqref="D214:Z214">
      <formula1>$BC$189:$BC$194</formula1>
    </dataValidation>
    <dataValidation type="list" allowBlank="1" showInputMessage="1" showErrorMessage="1" sqref="M241:T241">
      <formula1>$BC$212:$BC$220</formula1>
    </dataValidation>
    <dataValidation type="list" allowBlank="1" showInputMessage="1" showErrorMessage="1" sqref="D272:H272">
      <formula1>$BB$244:$BB$246</formula1>
    </dataValidation>
    <dataValidation type="list" showInputMessage="1" showErrorMessage="1" promptTitle="TCAC/HCD Opportunity Map Zone" sqref="R199">
      <formula1>$AX$206:$AX$213</formula1>
    </dataValidation>
    <dataValidation type="list" allowBlank="1" showInputMessage="1" showErrorMessage="1" sqref="D211:P211">
      <formula1>$AX$194:$AX$204</formula1>
    </dataValidation>
    <dataValidation type="list" showInputMessage="1" showErrorMessage="1" sqref="D223:AI223">
      <formula1>$BC$197:$BC$209</formula1>
    </dataValidation>
    <dataValidation type="list" allowBlank="1" showInputMessage="1" showErrorMessage="1" sqref="T189:AE189">
      <formula1>$BT$156:$BT$214</formula1>
    </dataValidation>
    <dataValidation type="whole" operator="greaterThanOrEqual" allowBlank="1" showInputMessage="1" showErrorMessage="1" error="Enter a whole number greater than or equal to zero." sqref="AG720:AJ720">
      <formula1>0</formula1>
    </dataValidation>
    <dataValidation type="whole" operator="greaterThanOrEqual" allowBlank="1" showInputMessage="1" showErrorMessage="1" errorTitle="Whole numbers only" error="If not applicable, leave blank or enter zero (0)." sqref="AC215:AD215">
      <formula1>0</formula1>
    </dataValidation>
    <dataValidation type="whole" operator="greaterThan" allowBlank="1" showInputMessage="1" showErrorMessage="1" sqref="L910:S910 AE910:AK910">
      <formula1>0</formula1>
    </dataValidation>
    <dataValidation type="list" allowBlank="1" showInputMessage="1" showErrorMessage="1" sqref="M546:P557 M618:P629">
      <formula1>ListofSources</formula1>
    </dataValidation>
    <dataValidation type="decimal" operator="greaterThanOrEqual" allowBlank="1" showInputMessage="1" showErrorMessage="1" sqref="W546:Y557 AI546:AS557 W618:Y629 AF618:AS629">
      <formula1>0</formula1>
    </dataValidation>
    <dataValidation type="list" allowBlank="1" showInputMessage="1" showErrorMessage="1" sqref="Z618:AB629">
      <formula1>$BA$618:$BA$622</formula1>
    </dataValidation>
    <dataValidation type="whole" operator="greaterThanOrEqual" allowBlank="1" showInputMessage="1" showErrorMessage="1" error="Please enter a whole number. If none or N/A, enter 0." sqref="AJ350:AK350">
      <formula1>0</formula1>
    </dataValidation>
    <dataValidation type="whole" operator="greaterThanOrEqual" allowBlank="1" showInputMessage="1" showErrorMessage="1" error="Input the number of units serving this population type. If not applicable, enter 0." sqref="W458:Y466">
      <formula1>0</formula1>
    </dataValidation>
  </dataValidations>
  <hyperlinks>
    <hyperlink ref="U229" r:id="rId2"/>
    <hyperlink ref="D167" r:id="rId3" display="http://www.treasurer.ca.gov/ctcac/2019/lra/contact.pdf"/>
    <hyperlink ref="D167:Y167" r:id="rId4" display="https://www.treasurer.ca.gov/ctcac/2018/lra/contact.pdf"/>
    <hyperlink ref="G201" r:id="rId5"/>
  </hyperlinks>
  <printOptions horizontalCentered="1"/>
  <pageMargins left="0.5" right="0.5" top="1" bottom="1" header="0.5" footer="0.5"/>
  <pageSetup scale="79" fitToHeight="26" orientation="portrait" useFirstPageNumber="1" r:id="rId6"/>
  <headerFooter alignWithMargins="0">
    <oddFooter xml:space="preserve">&amp;L&amp;8
&amp;C&amp;P&amp;R&amp;8&amp;A </oddFooter>
  </headerFooter>
  <rowBreaks count="19" manualBreakCount="19">
    <brk id="61" max="16383" man="1"/>
    <brk id="154" max="16383" man="1"/>
    <brk id="168" max="16383" man="1"/>
    <brk id="225" max="16383" man="1"/>
    <brk id="284" max="16383" man="1"/>
    <brk id="345" max="16383" man="1"/>
    <brk id="416" max="16383" man="1"/>
    <brk id="473" max="16383" man="1"/>
    <brk id="490" max="16383" man="1"/>
    <brk id="536" max="16383" man="1"/>
    <brk id="600" max="16383" man="1"/>
    <brk id="608" max="16383" man="1"/>
    <brk id="666" max="16383" man="1"/>
    <brk id="683" max="16383" man="1"/>
    <brk id="746" max="16383" man="1"/>
    <brk id="804" max="16383" man="1"/>
    <brk id="867" max="16383" man="1"/>
    <brk id="923" max="16383" man="1"/>
    <brk id="977" max="16383" man="1"/>
  </rowBreak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dimension ref="A1:U147"/>
  <sheetViews>
    <sheetView topLeftCell="A52" workbookViewId="0">
      <selection activeCell="C80" sqref="C80"/>
    </sheetView>
  </sheetViews>
  <sheetFormatPr defaultColWidth="8.85546875" defaultRowHeight="12" zeroHeight="1"/>
  <cols>
    <col min="1" max="1" width="32.42578125" style="489" customWidth="1"/>
    <col min="2" max="12" width="12.140625" style="487" customWidth="1"/>
    <col min="13" max="17" width="11.42578125" style="487" customWidth="1"/>
    <col min="18" max="18" width="12.42578125" style="487" customWidth="1"/>
    <col min="19" max="20" width="12.140625" style="487" customWidth="1"/>
    <col min="21" max="21" width="0.42578125" style="488" customWidth="1"/>
    <col min="22" max="16384" width="8.85546875" style="487"/>
  </cols>
  <sheetData>
    <row r="1" spans="1:21" s="200" customFormat="1" ht="13.5">
      <c r="A1" s="264" t="s">
        <v>141</v>
      </c>
      <c r="B1" s="227"/>
      <c r="C1" s="227"/>
      <c r="D1" s="227"/>
      <c r="E1" s="228"/>
      <c r="F1" s="1562" t="s">
        <v>195</v>
      </c>
      <c r="G1" s="1563"/>
      <c r="H1" s="1563"/>
      <c r="I1" s="1563"/>
      <c r="J1" s="1563"/>
      <c r="K1" s="1563"/>
      <c r="L1" s="1563"/>
      <c r="M1" s="1563"/>
      <c r="N1" s="1563"/>
      <c r="O1" s="1563"/>
      <c r="P1" s="1563"/>
      <c r="Q1" s="1563"/>
      <c r="R1" s="1564"/>
      <c r="S1" s="202"/>
      <c r="T1" s="201"/>
      <c r="U1" s="203"/>
    </row>
    <row r="2" spans="1:21" s="232" customFormat="1" ht="60" customHeight="1">
      <c r="A2" s="231"/>
      <c r="B2" s="232" t="s">
        <v>835</v>
      </c>
      <c r="C2" s="232" t="s">
        <v>537</v>
      </c>
      <c r="D2" s="232" t="s">
        <v>536</v>
      </c>
      <c r="E2" s="232" t="s">
        <v>836</v>
      </c>
      <c r="F2" s="233" t="str">
        <f>Application!B618&amp;Application!C618</f>
        <v>1)Sponsor Loan - HomeKey</v>
      </c>
      <c r="G2" s="233" t="str">
        <f>Application!B619&amp;Application!C619</f>
        <v>2)</v>
      </c>
      <c r="H2" s="233" t="str">
        <f>Application!B620&amp;Application!C620</f>
        <v>3)</v>
      </c>
      <c r="I2" s="233" t="str">
        <f>Application!B621&amp;Application!C621</f>
        <v>4)</v>
      </c>
      <c r="J2" s="233" t="str">
        <f>Application!B622&amp;Application!C622</f>
        <v>5)</v>
      </c>
      <c r="K2" s="233" t="str">
        <f>Application!B623&amp;Application!C623</f>
        <v>6)</v>
      </c>
      <c r="L2" s="233" t="str">
        <f>Application!B624&amp;Application!C624</f>
        <v>7)</v>
      </c>
      <c r="M2" s="233" t="str">
        <f>Application!B625&amp;Application!C625</f>
        <v>8)</v>
      </c>
      <c r="N2" s="233" t="str">
        <f>Application!B626&amp;Application!C626</f>
        <v>9)</v>
      </c>
      <c r="O2" s="233" t="str">
        <f>Application!B627&amp;Application!C627</f>
        <v>10)</v>
      </c>
      <c r="P2" s="233" t="str">
        <f>Application!B628&amp;Application!C628</f>
        <v>11)</v>
      </c>
      <c r="Q2" s="233" t="str">
        <f>Application!B629&amp;Application!C629</f>
        <v>12)</v>
      </c>
      <c r="R2" s="232" t="s">
        <v>569</v>
      </c>
      <c r="S2" s="232" t="s">
        <v>287</v>
      </c>
      <c r="T2" s="232" t="s">
        <v>837</v>
      </c>
      <c r="U2" s="234"/>
    </row>
    <row r="3" spans="1:21" s="238" customFormat="1">
      <c r="A3" s="235" t="s">
        <v>363</v>
      </c>
      <c r="B3" s="236"/>
      <c r="C3" s="236"/>
      <c r="D3" s="236"/>
      <c r="E3" s="236"/>
      <c r="F3" s="236"/>
      <c r="G3" s="236"/>
      <c r="H3" s="236"/>
      <c r="I3" s="236"/>
      <c r="J3" s="236"/>
      <c r="K3" s="236"/>
      <c r="L3" s="236"/>
      <c r="M3" s="236"/>
      <c r="N3" s="236"/>
      <c r="O3" s="236"/>
      <c r="P3" s="236"/>
      <c r="Q3" s="236"/>
      <c r="R3" s="236"/>
      <c r="S3" s="236"/>
      <c r="T3" s="236"/>
      <c r="U3" s="237"/>
    </row>
    <row r="4" spans="1:21" s="238" customFormat="1" ht="13.5">
      <c r="A4" s="300" t="s">
        <v>72</v>
      </c>
      <c r="B4" s="240">
        <f>SUM(C4+D4)</f>
        <v>592000</v>
      </c>
      <c r="C4" s="241">
        <v>592000</v>
      </c>
      <c r="D4" s="241"/>
      <c r="E4" s="241">
        <f>C4-F4</f>
        <v>0</v>
      </c>
      <c r="F4" s="241">
        <f>C4</f>
        <v>592000</v>
      </c>
      <c r="G4" s="241"/>
      <c r="H4" s="241"/>
      <c r="I4" s="241"/>
      <c r="J4" s="241"/>
      <c r="K4" s="241"/>
      <c r="L4" s="241"/>
      <c r="M4" s="241"/>
      <c r="N4" s="241"/>
      <c r="O4" s="241"/>
      <c r="P4" s="241"/>
      <c r="Q4" s="241"/>
      <c r="R4" s="241">
        <f>C4</f>
        <v>592000</v>
      </c>
      <c r="S4" s="242"/>
      <c r="T4" s="242"/>
      <c r="U4" s="237"/>
    </row>
    <row r="5" spans="1:21" s="238" customFormat="1" ht="13.5">
      <c r="A5" s="300" t="s">
        <v>73</v>
      </c>
      <c r="B5" s="240">
        <f>SUM(C5+D5)</f>
        <v>300000</v>
      </c>
      <c r="C5" s="241">
        <v>300000</v>
      </c>
      <c r="D5" s="241"/>
      <c r="E5" s="241">
        <f>C5-F5</f>
        <v>300000</v>
      </c>
      <c r="F5" s="241"/>
      <c r="G5" s="241"/>
      <c r="H5" s="241"/>
      <c r="I5" s="241"/>
      <c r="J5" s="241"/>
      <c r="K5" s="241"/>
      <c r="L5" s="241"/>
      <c r="M5" s="241"/>
      <c r="N5" s="241"/>
      <c r="O5" s="241"/>
      <c r="P5" s="241"/>
      <c r="Q5" s="241"/>
      <c r="R5" s="241">
        <f>SUM(E5:Q5)</f>
        <v>300000</v>
      </c>
      <c r="S5" s="242"/>
      <c r="T5" s="242"/>
      <c r="U5" s="237"/>
    </row>
    <row r="6" spans="1:21" s="238" customFormat="1">
      <c r="A6" s="239" t="s">
        <v>364</v>
      </c>
      <c r="B6" s="240">
        <f>SUM(C6+D6)</f>
        <v>0</v>
      </c>
      <c r="C6" s="241"/>
      <c r="D6" s="241"/>
      <c r="E6" s="241"/>
      <c r="F6" s="241"/>
      <c r="G6" s="241"/>
      <c r="H6" s="241"/>
      <c r="I6" s="241"/>
      <c r="J6" s="241"/>
      <c r="K6" s="241"/>
      <c r="L6" s="241"/>
      <c r="M6" s="241"/>
      <c r="N6" s="241"/>
      <c r="O6" s="241"/>
      <c r="P6" s="241"/>
      <c r="Q6" s="241"/>
      <c r="R6" s="241">
        <f>SUM(E6:Q6)</f>
        <v>0</v>
      </c>
      <c r="S6" s="242"/>
      <c r="T6" s="242"/>
      <c r="U6" s="237"/>
    </row>
    <row r="7" spans="1:21" s="238" customFormat="1">
      <c r="A7" s="239" t="s">
        <v>296</v>
      </c>
      <c r="B7" s="240">
        <f>SUM(C7+D7)</f>
        <v>0</v>
      </c>
      <c r="C7" s="241"/>
      <c r="D7" s="241"/>
      <c r="E7" s="241"/>
      <c r="F7" s="241"/>
      <c r="G7" s="241"/>
      <c r="H7" s="241"/>
      <c r="I7" s="241"/>
      <c r="J7" s="241"/>
      <c r="K7" s="241"/>
      <c r="L7" s="241"/>
      <c r="M7" s="241"/>
      <c r="N7" s="241"/>
      <c r="O7" s="241"/>
      <c r="P7" s="241"/>
      <c r="Q7" s="241"/>
      <c r="R7" s="241">
        <f>SUM(E7:Q7)</f>
        <v>0</v>
      </c>
      <c r="S7" s="242"/>
      <c r="T7" s="242"/>
      <c r="U7" s="237"/>
    </row>
    <row r="8" spans="1:21" s="238" customFormat="1" ht="13.5">
      <c r="A8" s="301" t="s">
        <v>739</v>
      </c>
      <c r="B8" s="240">
        <f>SUM(C8:D8)</f>
        <v>892000</v>
      </c>
      <c r="C8" s="240">
        <f t="shared" ref="C8:R8" si="0">SUM(C4:C7)</f>
        <v>892000</v>
      </c>
      <c r="D8" s="240">
        <f t="shared" si="0"/>
        <v>0</v>
      </c>
      <c r="E8" s="240">
        <f t="shared" si="0"/>
        <v>300000</v>
      </c>
      <c r="F8" s="240">
        <f t="shared" si="0"/>
        <v>592000</v>
      </c>
      <c r="G8" s="240">
        <f t="shared" si="0"/>
        <v>0</v>
      </c>
      <c r="H8" s="240">
        <f t="shared" si="0"/>
        <v>0</v>
      </c>
      <c r="I8" s="240">
        <f t="shared" si="0"/>
        <v>0</v>
      </c>
      <c r="J8" s="240">
        <f t="shared" si="0"/>
        <v>0</v>
      </c>
      <c r="K8" s="240">
        <f t="shared" si="0"/>
        <v>0</v>
      </c>
      <c r="L8" s="240">
        <f t="shared" si="0"/>
        <v>0</v>
      </c>
      <c r="M8" s="240">
        <f t="shared" si="0"/>
        <v>0</v>
      </c>
      <c r="N8" s="240">
        <f t="shared" si="0"/>
        <v>0</v>
      </c>
      <c r="O8" s="240">
        <f t="shared" si="0"/>
        <v>0</v>
      </c>
      <c r="P8" s="240">
        <f t="shared" si="0"/>
        <v>0</v>
      </c>
      <c r="Q8" s="240">
        <f t="shared" si="0"/>
        <v>0</v>
      </c>
      <c r="R8" s="240">
        <f t="shared" si="0"/>
        <v>892000</v>
      </c>
      <c r="S8" s="242"/>
      <c r="T8" s="242"/>
      <c r="U8" s="237"/>
    </row>
    <row r="9" spans="1:21" s="238" customFormat="1">
      <c r="A9" s="239" t="s">
        <v>1791</v>
      </c>
      <c r="B9" s="240">
        <f>SUM(C9+D9)</f>
        <v>2408000</v>
      </c>
      <c r="C9" s="241">
        <v>2408000</v>
      </c>
      <c r="D9" s="241"/>
      <c r="E9" s="241">
        <f>C9-F9</f>
        <v>0</v>
      </c>
      <c r="F9" s="241">
        <f>C9</f>
        <v>2408000</v>
      </c>
      <c r="G9" s="241"/>
      <c r="H9" s="241"/>
      <c r="I9" s="241"/>
      <c r="J9" s="241"/>
      <c r="K9" s="241"/>
      <c r="L9" s="241"/>
      <c r="M9" s="241"/>
      <c r="N9" s="241"/>
      <c r="O9" s="241"/>
      <c r="P9" s="241"/>
      <c r="Q9" s="241"/>
      <c r="R9" s="241">
        <f>C9</f>
        <v>2408000</v>
      </c>
      <c r="S9" s="242"/>
      <c r="T9" s="241"/>
      <c r="U9" s="237"/>
    </row>
    <row r="10" spans="1:21" s="238" customFormat="1" ht="13.5">
      <c r="A10" s="300" t="s">
        <v>74</v>
      </c>
      <c r="B10" s="240">
        <f>SUM(C10+D10)</f>
        <v>0</v>
      </c>
      <c r="C10" s="241"/>
      <c r="D10" s="241"/>
      <c r="E10" s="241"/>
      <c r="F10" s="241"/>
      <c r="G10" s="241"/>
      <c r="H10" s="241"/>
      <c r="I10" s="241"/>
      <c r="J10" s="241"/>
      <c r="K10" s="241"/>
      <c r="L10" s="241"/>
      <c r="M10" s="241"/>
      <c r="N10" s="241"/>
      <c r="O10" s="241"/>
      <c r="P10" s="241"/>
      <c r="Q10" s="241"/>
      <c r="R10" s="241">
        <f>SUM(E10:Q10)</f>
        <v>0</v>
      </c>
      <c r="S10" s="241">
        <f>C10</f>
        <v>0</v>
      </c>
      <c r="T10" s="241"/>
      <c r="U10" s="237"/>
    </row>
    <row r="11" spans="1:21" s="238" customFormat="1">
      <c r="A11" s="243" t="s">
        <v>616</v>
      </c>
      <c r="B11" s="240">
        <f>SUM(C11:D11)</f>
        <v>2408000</v>
      </c>
      <c r="C11" s="240">
        <f t="shared" ref="C11:T11" si="1">SUM(C9:C10)</f>
        <v>2408000</v>
      </c>
      <c r="D11" s="240">
        <f t="shared" si="1"/>
        <v>0</v>
      </c>
      <c r="E11" s="240">
        <f t="shared" si="1"/>
        <v>0</v>
      </c>
      <c r="F11" s="240">
        <f t="shared" si="1"/>
        <v>2408000</v>
      </c>
      <c r="G11" s="240">
        <f t="shared" si="1"/>
        <v>0</v>
      </c>
      <c r="H11" s="240">
        <f t="shared" si="1"/>
        <v>0</v>
      </c>
      <c r="I11" s="240">
        <f t="shared" si="1"/>
        <v>0</v>
      </c>
      <c r="J11" s="240">
        <f t="shared" si="1"/>
        <v>0</v>
      </c>
      <c r="K11" s="240">
        <f t="shared" si="1"/>
        <v>0</v>
      </c>
      <c r="L11" s="240">
        <f t="shared" si="1"/>
        <v>0</v>
      </c>
      <c r="M11" s="240">
        <f t="shared" si="1"/>
        <v>0</v>
      </c>
      <c r="N11" s="240">
        <f t="shared" si="1"/>
        <v>0</v>
      </c>
      <c r="O11" s="240">
        <f t="shared" si="1"/>
        <v>0</v>
      </c>
      <c r="P11" s="240">
        <f t="shared" si="1"/>
        <v>0</v>
      </c>
      <c r="Q11" s="240">
        <f t="shared" si="1"/>
        <v>0</v>
      </c>
      <c r="R11" s="240">
        <f t="shared" si="1"/>
        <v>2408000</v>
      </c>
      <c r="S11" s="242"/>
      <c r="T11" s="240">
        <f t="shared" si="1"/>
        <v>0</v>
      </c>
      <c r="U11" s="237"/>
    </row>
    <row r="12" spans="1:21" s="238" customFormat="1">
      <c r="A12" s="243" t="s">
        <v>746</v>
      </c>
      <c r="B12" s="240">
        <f t="shared" ref="B12:R12" si="2">SUM(B8+B11)</f>
        <v>3300000</v>
      </c>
      <c r="C12" s="240">
        <f t="shared" si="2"/>
        <v>3300000</v>
      </c>
      <c r="D12" s="240">
        <f t="shared" si="2"/>
        <v>0</v>
      </c>
      <c r="E12" s="240">
        <f t="shared" si="2"/>
        <v>300000</v>
      </c>
      <c r="F12" s="240">
        <f t="shared" si="2"/>
        <v>3000000</v>
      </c>
      <c r="G12" s="240">
        <f t="shared" si="2"/>
        <v>0</v>
      </c>
      <c r="H12" s="240">
        <f t="shared" si="2"/>
        <v>0</v>
      </c>
      <c r="I12" s="240">
        <f t="shared" si="2"/>
        <v>0</v>
      </c>
      <c r="J12" s="240">
        <f t="shared" si="2"/>
        <v>0</v>
      </c>
      <c r="K12" s="240">
        <f t="shared" si="2"/>
        <v>0</v>
      </c>
      <c r="L12" s="240">
        <f t="shared" si="2"/>
        <v>0</v>
      </c>
      <c r="M12" s="240">
        <f t="shared" si="2"/>
        <v>0</v>
      </c>
      <c r="N12" s="240">
        <f t="shared" si="2"/>
        <v>0</v>
      </c>
      <c r="O12" s="240">
        <f t="shared" si="2"/>
        <v>0</v>
      </c>
      <c r="P12" s="240">
        <f t="shared" si="2"/>
        <v>0</v>
      </c>
      <c r="Q12" s="240">
        <f t="shared" si="2"/>
        <v>0</v>
      </c>
      <c r="R12" s="240">
        <f t="shared" si="2"/>
        <v>3300000</v>
      </c>
      <c r="S12" s="242"/>
      <c r="T12" s="242"/>
      <c r="U12" s="237"/>
    </row>
    <row r="13" spans="1:21" s="238" customFormat="1">
      <c r="A13" s="461" t="s">
        <v>1156</v>
      </c>
      <c r="B13" s="240">
        <f>SUM(C13+D13)</f>
        <v>759124</v>
      </c>
      <c r="C13" s="241">
        <v>759124</v>
      </c>
      <c r="D13" s="241"/>
      <c r="E13" s="241">
        <f>C13-F13</f>
        <v>0</v>
      </c>
      <c r="F13" s="241">
        <f>B13</f>
        <v>759124</v>
      </c>
      <c r="G13" s="241"/>
      <c r="H13" s="241"/>
      <c r="I13" s="241"/>
      <c r="J13" s="241"/>
      <c r="K13" s="241"/>
      <c r="L13" s="241"/>
      <c r="M13" s="241"/>
      <c r="N13" s="241"/>
      <c r="O13" s="241"/>
      <c r="P13" s="241"/>
      <c r="Q13" s="241"/>
      <c r="R13" s="241">
        <f>SUM(E13:Q13)</f>
        <v>759124</v>
      </c>
      <c r="S13" s="241">
        <v>0</v>
      </c>
      <c r="T13" s="241"/>
      <c r="U13" s="237"/>
    </row>
    <row r="14" spans="1:21" s="238" customFormat="1" ht="24">
      <c r="A14" s="239" t="s">
        <v>1188</v>
      </c>
      <c r="B14" s="240">
        <f>SUM(C14+D14)</f>
        <v>0</v>
      </c>
      <c r="C14" s="241"/>
      <c r="D14" s="241"/>
      <c r="E14" s="241"/>
      <c r="F14" s="241"/>
      <c r="G14" s="241"/>
      <c r="H14" s="241"/>
      <c r="I14" s="241"/>
      <c r="J14" s="241"/>
      <c r="K14" s="241"/>
      <c r="L14" s="241"/>
      <c r="M14" s="241"/>
      <c r="N14" s="241"/>
      <c r="O14" s="241"/>
      <c r="P14" s="241"/>
      <c r="Q14" s="241"/>
      <c r="R14" s="241">
        <f>SUM(E14:Q14)</f>
        <v>0</v>
      </c>
      <c r="S14" s="241"/>
      <c r="T14" s="241"/>
      <c r="U14" s="237"/>
    </row>
    <row r="15" spans="1:21" s="238" customFormat="1">
      <c r="A15" s="239" t="s">
        <v>1751</v>
      </c>
      <c r="B15" s="240">
        <f>SUM(C15+D15)</f>
        <v>0</v>
      </c>
      <c r="C15" s="241"/>
      <c r="D15" s="241"/>
      <c r="E15" s="241"/>
      <c r="F15" s="241"/>
      <c r="G15" s="241"/>
      <c r="H15" s="241"/>
      <c r="I15" s="241"/>
      <c r="J15" s="241"/>
      <c r="K15" s="241"/>
      <c r="L15" s="241"/>
      <c r="M15" s="241"/>
      <c r="N15" s="241"/>
      <c r="O15" s="241"/>
      <c r="P15" s="241"/>
      <c r="Q15" s="241"/>
      <c r="R15" s="241">
        <f>SUM(E15:Q15)</f>
        <v>0</v>
      </c>
      <c r="S15" s="242"/>
      <c r="T15" s="242"/>
      <c r="U15" s="237"/>
    </row>
    <row r="16" spans="1:21" s="238" customFormat="1">
      <c r="A16" s="235" t="s">
        <v>952</v>
      </c>
      <c r="B16" s="236"/>
      <c r="C16" s="236"/>
      <c r="D16" s="236"/>
      <c r="E16" s="245"/>
      <c r="F16" s="245"/>
      <c r="G16" s="245"/>
      <c r="H16" s="245"/>
      <c r="I16" s="245"/>
      <c r="J16" s="245"/>
      <c r="K16" s="245"/>
      <c r="L16" s="245"/>
      <c r="M16" s="245"/>
      <c r="N16" s="245"/>
      <c r="O16" s="245"/>
      <c r="P16" s="245"/>
      <c r="Q16" s="245"/>
      <c r="R16" s="245"/>
      <c r="S16" s="236"/>
      <c r="T16" s="236"/>
      <c r="U16" s="237"/>
    </row>
    <row r="17" spans="1:21" s="238" customFormat="1">
      <c r="A17" s="239" t="s">
        <v>953</v>
      </c>
      <c r="B17" s="240">
        <f t="shared" ref="B17:B27" si="3">SUM(C17:D17)</f>
        <v>0</v>
      </c>
      <c r="C17" s="241"/>
      <c r="D17" s="241"/>
      <c r="E17" s="241"/>
      <c r="F17" s="241"/>
      <c r="G17" s="241"/>
      <c r="H17" s="241"/>
      <c r="I17" s="241"/>
      <c r="J17" s="241"/>
      <c r="K17" s="241"/>
      <c r="L17" s="241"/>
      <c r="M17" s="241"/>
      <c r="N17" s="241"/>
      <c r="O17" s="241"/>
      <c r="P17" s="241"/>
      <c r="Q17" s="241"/>
      <c r="R17" s="241">
        <f>SUM(E17:Q17)</f>
        <v>0</v>
      </c>
      <c r="S17" s="241"/>
      <c r="T17" s="241"/>
      <c r="U17" s="237"/>
    </row>
    <row r="18" spans="1:21" s="238" customFormat="1">
      <c r="A18" s="239" t="s">
        <v>954</v>
      </c>
      <c r="B18" s="240">
        <f t="shared" si="3"/>
        <v>0</v>
      </c>
      <c r="C18" s="241"/>
      <c r="D18" s="241"/>
      <c r="E18" s="241"/>
      <c r="F18" s="241"/>
      <c r="G18" s="241"/>
      <c r="H18" s="241"/>
      <c r="I18" s="241"/>
      <c r="J18" s="241"/>
      <c r="K18" s="241"/>
      <c r="L18" s="241"/>
      <c r="M18" s="241"/>
      <c r="N18" s="241"/>
      <c r="O18" s="241"/>
      <c r="P18" s="241"/>
      <c r="Q18" s="241"/>
      <c r="R18" s="241">
        <f>SUM(E18:Q18)</f>
        <v>0</v>
      </c>
      <c r="S18" s="241"/>
      <c r="T18" s="241"/>
      <c r="U18" s="237"/>
    </row>
    <row r="19" spans="1:21" s="238" customFormat="1">
      <c r="A19" s="239" t="s">
        <v>955</v>
      </c>
      <c r="B19" s="240">
        <f t="shared" si="3"/>
        <v>0</v>
      </c>
      <c r="C19" s="241"/>
      <c r="D19" s="241"/>
      <c r="E19" s="241"/>
      <c r="F19" s="241"/>
      <c r="G19" s="241"/>
      <c r="H19" s="241"/>
      <c r="I19" s="241"/>
      <c r="J19" s="241"/>
      <c r="K19" s="241"/>
      <c r="L19" s="241"/>
      <c r="M19" s="241"/>
      <c r="N19" s="241"/>
      <c r="O19" s="241"/>
      <c r="P19" s="241"/>
      <c r="Q19" s="241"/>
      <c r="R19" s="241">
        <f>SUM(E19:Q19)</f>
        <v>0</v>
      </c>
      <c r="S19" s="241"/>
      <c r="T19" s="241"/>
      <c r="U19" s="237"/>
    </row>
    <row r="20" spans="1:21" s="238" customFormat="1">
      <c r="A20" s="239" t="s">
        <v>956</v>
      </c>
      <c r="B20" s="240">
        <f t="shared" si="3"/>
        <v>0</v>
      </c>
      <c r="C20" s="241"/>
      <c r="D20" s="241"/>
      <c r="E20" s="241"/>
      <c r="F20" s="241"/>
      <c r="G20" s="241"/>
      <c r="H20" s="241"/>
      <c r="I20" s="241"/>
      <c r="J20" s="241"/>
      <c r="K20" s="241"/>
      <c r="L20" s="241"/>
      <c r="M20" s="241"/>
      <c r="N20" s="241"/>
      <c r="O20" s="241"/>
      <c r="P20" s="241"/>
      <c r="Q20" s="241"/>
      <c r="R20" s="241">
        <f t="shared" ref="R20:R27" si="4">SUM(E20:Q20)</f>
        <v>0</v>
      </c>
      <c r="S20" s="241"/>
      <c r="T20" s="241"/>
      <c r="U20" s="237"/>
    </row>
    <row r="21" spans="1:21" s="238" customFormat="1">
      <c r="A21" s="239" t="s">
        <v>957</v>
      </c>
      <c r="B21" s="240">
        <f t="shared" si="3"/>
        <v>0</v>
      </c>
      <c r="C21" s="241"/>
      <c r="D21" s="241"/>
      <c r="E21" s="241"/>
      <c r="F21" s="241"/>
      <c r="G21" s="241"/>
      <c r="H21" s="241"/>
      <c r="I21" s="241"/>
      <c r="J21" s="241"/>
      <c r="K21" s="241"/>
      <c r="L21" s="241"/>
      <c r="M21" s="241"/>
      <c r="N21" s="241"/>
      <c r="O21" s="241"/>
      <c r="P21" s="241"/>
      <c r="Q21" s="241"/>
      <c r="R21" s="241">
        <f t="shared" si="4"/>
        <v>0</v>
      </c>
      <c r="S21" s="241"/>
      <c r="T21" s="241"/>
      <c r="U21" s="237"/>
    </row>
    <row r="22" spans="1:21" s="238" customFormat="1">
      <c r="A22" s="239" t="s">
        <v>958</v>
      </c>
      <c r="B22" s="240">
        <f t="shared" si="3"/>
        <v>0</v>
      </c>
      <c r="C22" s="241"/>
      <c r="D22" s="241"/>
      <c r="E22" s="241"/>
      <c r="F22" s="241"/>
      <c r="G22" s="241"/>
      <c r="H22" s="241"/>
      <c r="I22" s="241"/>
      <c r="J22" s="241"/>
      <c r="K22" s="241"/>
      <c r="L22" s="241"/>
      <c r="M22" s="241"/>
      <c r="N22" s="241"/>
      <c r="O22" s="241"/>
      <c r="P22" s="241"/>
      <c r="Q22" s="241"/>
      <c r="R22" s="241">
        <f t="shared" si="4"/>
        <v>0</v>
      </c>
      <c r="S22" s="241"/>
      <c r="T22" s="241"/>
      <c r="U22" s="237"/>
    </row>
    <row r="23" spans="1:21" s="238" customFormat="1">
      <c r="A23" s="239" t="s">
        <v>959</v>
      </c>
      <c r="B23" s="240">
        <f t="shared" si="3"/>
        <v>0</v>
      </c>
      <c r="C23" s="241"/>
      <c r="D23" s="241"/>
      <c r="E23" s="241"/>
      <c r="F23" s="241"/>
      <c r="G23" s="241"/>
      <c r="H23" s="241"/>
      <c r="I23" s="241"/>
      <c r="J23" s="241"/>
      <c r="K23" s="241"/>
      <c r="L23" s="241"/>
      <c r="M23" s="241"/>
      <c r="N23" s="241"/>
      <c r="O23" s="241"/>
      <c r="P23" s="241"/>
      <c r="Q23" s="241"/>
      <c r="R23" s="241">
        <f t="shared" si="4"/>
        <v>0</v>
      </c>
      <c r="S23" s="241"/>
      <c r="T23" s="241"/>
      <c r="U23" s="237"/>
    </row>
    <row r="24" spans="1:21" s="238" customFormat="1">
      <c r="A24" s="250" t="s">
        <v>2046</v>
      </c>
      <c r="B24" s="240">
        <f t="shared" si="3"/>
        <v>0</v>
      </c>
      <c r="C24" s="241"/>
      <c r="D24" s="241"/>
      <c r="E24" s="241"/>
      <c r="F24" s="241"/>
      <c r="G24" s="241"/>
      <c r="H24" s="241"/>
      <c r="I24" s="241"/>
      <c r="J24" s="241"/>
      <c r="K24" s="241"/>
      <c r="L24" s="241"/>
      <c r="M24" s="241"/>
      <c r="N24" s="241"/>
      <c r="O24" s="241"/>
      <c r="P24" s="241"/>
      <c r="Q24" s="241"/>
      <c r="R24" s="241">
        <f t="shared" si="4"/>
        <v>0</v>
      </c>
      <c r="S24" s="241"/>
      <c r="T24" s="241"/>
      <c r="U24" s="237"/>
    </row>
    <row r="25" spans="1:21" s="238" customFormat="1">
      <c r="A25" s="246" t="s">
        <v>563</v>
      </c>
      <c r="B25" s="240">
        <f t="shared" si="3"/>
        <v>0</v>
      </c>
      <c r="C25" s="241"/>
      <c r="D25" s="241"/>
      <c r="E25" s="241"/>
      <c r="F25" s="241"/>
      <c r="G25" s="241"/>
      <c r="H25" s="241"/>
      <c r="I25" s="241"/>
      <c r="J25" s="241"/>
      <c r="K25" s="241"/>
      <c r="L25" s="241"/>
      <c r="M25" s="241"/>
      <c r="N25" s="241"/>
      <c r="O25" s="241"/>
      <c r="P25" s="241"/>
      <c r="Q25" s="241"/>
      <c r="R25" s="241">
        <f t="shared" si="4"/>
        <v>0</v>
      </c>
      <c r="S25" s="241"/>
      <c r="T25" s="241"/>
      <c r="U25" s="237"/>
    </row>
    <row r="26" spans="1:21" s="238" customFormat="1">
      <c r="A26" s="243" t="s">
        <v>236</v>
      </c>
      <c r="B26" s="240">
        <f t="shared" si="3"/>
        <v>0</v>
      </c>
      <c r="C26" s="240">
        <f>SUM(C17:C25)</f>
        <v>0</v>
      </c>
      <c r="D26" s="240">
        <f>SUM(D17:D25)</f>
        <v>0</v>
      </c>
      <c r="E26" s="240">
        <f>SUM(E17:E25)</f>
        <v>0</v>
      </c>
      <c r="F26" s="240">
        <f t="shared" ref="F26:T26" si="5">SUM(F17:F25)</f>
        <v>0</v>
      </c>
      <c r="G26" s="240">
        <f t="shared" si="5"/>
        <v>0</v>
      </c>
      <c r="H26" s="240">
        <f t="shared" si="5"/>
        <v>0</v>
      </c>
      <c r="I26" s="240">
        <f t="shared" si="5"/>
        <v>0</v>
      </c>
      <c r="J26" s="240">
        <f t="shared" si="5"/>
        <v>0</v>
      </c>
      <c r="K26" s="240">
        <f t="shared" si="5"/>
        <v>0</v>
      </c>
      <c r="L26" s="240">
        <f t="shared" si="5"/>
        <v>0</v>
      </c>
      <c r="M26" s="240">
        <f t="shared" si="5"/>
        <v>0</v>
      </c>
      <c r="N26" s="240">
        <f t="shared" si="5"/>
        <v>0</v>
      </c>
      <c r="O26" s="240">
        <f t="shared" si="5"/>
        <v>0</v>
      </c>
      <c r="P26" s="240">
        <f t="shared" si="5"/>
        <v>0</v>
      </c>
      <c r="Q26" s="240">
        <f t="shared" si="5"/>
        <v>0</v>
      </c>
      <c r="R26" s="240">
        <f>SUM(R17:R25)</f>
        <v>0</v>
      </c>
      <c r="S26" s="244">
        <f t="shared" si="5"/>
        <v>0</v>
      </c>
      <c r="T26" s="244">
        <f t="shared" si="5"/>
        <v>0</v>
      </c>
      <c r="U26" s="237"/>
    </row>
    <row r="27" spans="1:21" s="238" customFormat="1">
      <c r="A27" s="243" t="s">
        <v>960</v>
      </c>
      <c r="B27" s="240">
        <f t="shared" si="3"/>
        <v>250000</v>
      </c>
      <c r="C27" s="241">
        <v>250000</v>
      </c>
      <c r="D27" s="241"/>
      <c r="E27" s="241">
        <f>C27-F27</f>
        <v>250000</v>
      </c>
      <c r="F27" s="241"/>
      <c r="G27" s="241"/>
      <c r="H27" s="241"/>
      <c r="I27" s="241"/>
      <c r="J27" s="241"/>
      <c r="K27" s="241"/>
      <c r="L27" s="241"/>
      <c r="M27" s="241"/>
      <c r="N27" s="241"/>
      <c r="O27" s="241"/>
      <c r="P27" s="241"/>
      <c r="Q27" s="241"/>
      <c r="R27" s="241">
        <f t="shared" si="4"/>
        <v>250000</v>
      </c>
      <c r="S27" s="241">
        <v>0</v>
      </c>
      <c r="T27" s="241"/>
      <c r="U27" s="237"/>
    </row>
    <row r="28" spans="1:21" s="238" customFormat="1">
      <c r="A28" s="235" t="s">
        <v>961</v>
      </c>
      <c r="B28" s="236"/>
      <c r="C28" s="236"/>
      <c r="D28" s="236"/>
      <c r="E28" s="245"/>
      <c r="F28" s="245"/>
      <c r="G28" s="245"/>
      <c r="H28" s="245"/>
      <c r="I28" s="245"/>
      <c r="J28" s="245"/>
      <c r="K28" s="245"/>
      <c r="L28" s="245"/>
      <c r="M28" s="245"/>
      <c r="N28" s="245"/>
      <c r="O28" s="245"/>
      <c r="P28" s="245"/>
      <c r="Q28" s="245"/>
      <c r="R28" s="245"/>
      <c r="S28" s="236"/>
      <c r="T28" s="236"/>
      <c r="U28" s="237"/>
    </row>
    <row r="29" spans="1:21" s="238" customFormat="1">
      <c r="A29" s="239" t="s">
        <v>953</v>
      </c>
      <c r="B29" s="240">
        <f t="shared" ref="B29:B38" si="6">SUM(C29+D29)</f>
        <v>700000</v>
      </c>
      <c r="C29" s="241">
        <v>700000</v>
      </c>
      <c r="D29" s="241"/>
      <c r="E29" s="241">
        <f>C29-F29</f>
        <v>700000</v>
      </c>
      <c r="F29" s="241"/>
      <c r="G29" s="241"/>
      <c r="H29" s="241"/>
      <c r="I29" s="241"/>
      <c r="J29" s="241"/>
      <c r="K29" s="241"/>
      <c r="L29" s="241"/>
      <c r="M29" s="241"/>
      <c r="N29" s="241"/>
      <c r="O29" s="241"/>
      <c r="P29" s="241"/>
      <c r="Q29" s="241"/>
      <c r="R29" s="241">
        <f t="shared" ref="R29:R37" si="7">SUM(E29:Q29)</f>
        <v>700000</v>
      </c>
      <c r="S29" s="241">
        <f>R29</f>
        <v>700000</v>
      </c>
      <c r="T29" s="241"/>
      <c r="U29" s="237"/>
    </row>
    <row r="30" spans="1:21" s="238" customFormat="1">
      <c r="A30" s="239" t="s">
        <v>954</v>
      </c>
      <c r="B30" s="240">
        <f t="shared" si="6"/>
        <v>13065000</v>
      </c>
      <c r="C30" s="241">
        <v>13065000</v>
      </c>
      <c r="D30" s="241"/>
      <c r="E30" s="241">
        <f>C30-F30</f>
        <v>13065000</v>
      </c>
      <c r="F30" s="241"/>
      <c r="G30" s="241"/>
      <c r="H30" s="241"/>
      <c r="I30" s="241"/>
      <c r="J30" s="241"/>
      <c r="K30" s="241"/>
      <c r="L30" s="241"/>
      <c r="M30" s="241"/>
      <c r="N30" s="241"/>
      <c r="O30" s="241"/>
      <c r="P30" s="241"/>
      <c r="Q30" s="241"/>
      <c r="R30" s="241">
        <f t="shared" si="7"/>
        <v>13065000</v>
      </c>
      <c r="S30" s="241">
        <f>R30</f>
        <v>13065000</v>
      </c>
      <c r="T30" s="241"/>
      <c r="U30" s="237"/>
    </row>
    <row r="31" spans="1:21" s="238" customFormat="1">
      <c r="A31" s="239" t="s">
        <v>955</v>
      </c>
      <c r="B31" s="240">
        <f t="shared" si="6"/>
        <v>783900</v>
      </c>
      <c r="C31" s="241">
        <v>783900</v>
      </c>
      <c r="D31" s="241"/>
      <c r="E31" s="241">
        <f>C31-F31</f>
        <v>783900</v>
      </c>
      <c r="F31" s="241"/>
      <c r="G31" s="241"/>
      <c r="H31" s="241"/>
      <c r="I31" s="241"/>
      <c r="J31" s="241"/>
      <c r="K31" s="241"/>
      <c r="L31" s="241"/>
      <c r="M31" s="241"/>
      <c r="N31" s="241"/>
      <c r="O31" s="241"/>
      <c r="P31" s="241"/>
      <c r="Q31" s="241"/>
      <c r="R31" s="241">
        <f t="shared" si="7"/>
        <v>783900</v>
      </c>
      <c r="S31" s="241">
        <f>R31</f>
        <v>783900</v>
      </c>
      <c r="T31" s="241"/>
      <c r="U31" s="237"/>
    </row>
    <row r="32" spans="1:21" s="238" customFormat="1">
      <c r="A32" s="239" t="s">
        <v>956</v>
      </c>
      <c r="B32" s="240">
        <f t="shared" si="6"/>
        <v>1045200</v>
      </c>
      <c r="C32" s="241">
        <v>1045200</v>
      </c>
      <c r="D32" s="241"/>
      <c r="E32" s="241">
        <f>C32-F32</f>
        <v>1045200</v>
      </c>
      <c r="F32" s="241"/>
      <c r="G32" s="241"/>
      <c r="H32" s="241"/>
      <c r="I32" s="241"/>
      <c r="J32" s="241"/>
      <c r="K32" s="241"/>
      <c r="L32" s="241"/>
      <c r="M32" s="241"/>
      <c r="N32" s="241"/>
      <c r="O32" s="241"/>
      <c r="P32" s="241"/>
      <c r="Q32" s="241"/>
      <c r="R32" s="241">
        <f t="shared" si="7"/>
        <v>1045200</v>
      </c>
      <c r="S32" s="241">
        <f>R32</f>
        <v>1045200</v>
      </c>
      <c r="T32" s="241"/>
      <c r="U32" s="237"/>
    </row>
    <row r="33" spans="1:21" s="238" customFormat="1">
      <c r="A33" s="239" t="s">
        <v>957</v>
      </c>
      <c r="B33" s="240">
        <f t="shared" si="6"/>
        <v>0</v>
      </c>
      <c r="C33" s="241"/>
      <c r="D33" s="241"/>
      <c r="E33" s="241"/>
      <c r="F33" s="241"/>
      <c r="G33" s="241"/>
      <c r="H33" s="241"/>
      <c r="I33" s="241"/>
      <c r="J33" s="241"/>
      <c r="K33" s="241"/>
      <c r="L33" s="241"/>
      <c r="M33" s="241"/>
      <c r="N33" s="241"/>
      <c r="O33" s="241"/>
      <c r="P33" s="241"/>
      <c r="Q33" s="241"/>
      <c r="R33" s="241">
        <f t="shared" si="7"/>
        <v>0</v>
      </c>
      <c r="S33" s="241"/>
      <c r="T33" s="241"/>
      <c r="U33" s="237"/>
    </row>
    <row r="34" spans="1:21" s="238" customFormat="1">
      <c r="A34" s="239" t="s">
        <v>958</v>
      </c>
      <c r="B34" s="240">
        <f t="shared" si="6"/>
        <v>0</v>
      </c>
      <c r="C34" s="241"/>
      <c r="D34" s="241"/>
      <c r="E34" s="241"/>
      <c r="F34" s="241"/>
      <c r="G34" s="241"/>
      <c r="H34" s="241"/>
      <c r="I34" s="241"/>
      <c r="J34" s="241"/>
      <c r="K34" s="241"/>
      <c r="L34" s="241"/>
      <c r="M34" s="241"/>
      <c r="N34" s="241"/>
      <c r="O34" s="241"/>
      <c r="P34" s="241"/>
      <c r="Q34" s="241"/>
      <c r="R34" s="241">
        <f t="shared" si="7"/>
        <v>0</v>
      </c>
      <c r="S34" s="241"/>
      <c r="T34" s="241"/>
      <c r="U34" s="237"/>
    </row>
    <row r="35" spans="1:21" s="238" customFormat="1">
      <c r="A35" s="239" t="s">
        <v>959</v>
      </c>
      <c r="B35" s="240">
        <f t="shared" si="6"/>
        <v>0</v>
      </c>
      <c r="C35" s="241"/>
      <c r="D35" s="241"/>
      <c r="E35" s="241"/>
      <c r="F35" s="241"/>
      <c r="G35" s="241"/>
      <c r="H35" s="241"/>
      <c r="I35" s="241"/>
      <c r="J35" s="241"/>
      <c r="K35" s="241"/>
      <c r="L35" s="241"/>
      <c r="M35" s="241"/>
      <c r="N35" s="241"/>
      <c r="O35" s="241"/>
      <c r="P35" s="241"/>
      <c r="Q35" s="241"/>
      <c r="R35" s="241">
        <f t="shared" si="7"/>
        <v>0</v>
      </c>
      <c r="S35" s="241"/>
      <c r="T35" s="241"/>
      <c r="U35" s="237"/>
    </row>
    <row r="36" spans="1:21" s="238" customFormat="1">
      <c r="A36" s="250" t="s">
        <v>2046</v>
      </c>
      <c r="B36" s="240">
        <f t="shared" si="6"/>
        <v>0</v>
      </c>
      <c r="C36" s="241"/>
      <c r="D36" s="241"/>
      <c r="E36" s="241"/>
      <c r="F36" s="241"/>
      <c r="G36" s="241"/>
      <c r="H36" s="241"/>
      <c r="I36" s="241"/>
      <c r="J36" s="241"/>
      <c r="K36" s="241"/>
      <c r="L36" s="241"/>
      <c r="M36" s="241"/>
      <c r="N36" s="241"/>
      <c r="O36" s="241"/>
      <c r="P36" s="241"/>
      <c r="Q36" s="241"/>
      <c r="R36" s="241">
        <f t="shared" si="7"/>
        <v>0</v>
      </c>
      <c r="S36" s="241"/>
      <c r="T36" s="241"/>
      <c r="U36" s="237"/>
    </row>
    <row r="37" spans="1:21" s="238" customFormat="1">
      <c r="A37" s="246" t="s">
        <v>2475</v>
      </c>
      <c r="B37" s="240">
        <f t="shared" si="6"/>
        <v>100000</v>
      </c>
      <c r="C37" s="241">
        <v>100000</v>
      </c>
      <c r="D37" s="241"/>
      <c r="E37" s="241">
        <f>C37-F37</f>
        <v>100000</v>
      </c>
      <c r="F37" s="241"/>
      <c r="G37" s="241"/>
      <c r="H37" s="241"/>
      <c r="I37" s="241"/>
      <c r="J37" s="241"/>
      <c r="K37" s="241"/>
      <c r="L37" s="241"/>
      <c r="M37" s="241"/>
      <c r="N37" s="241"/>
      <c r="O37" s="241"/>
      <c r="P37" s="241"/>
      <c r="Q37" s="241"/>
      <c r="R37" s="241">
        <f t="shared" si="7"/>
        <v>100000</v>
      </c>
      <c r="S37" s="241">
        <f>R37</f>
        <v>100000</v>
      </c>
      <c r="T37" s="241"/>
      <c r="U37" s="237"/>
    </row>
    <row r="38" spans="1:21" s="238" customFormat="1">
      <c r="A38" s="243" t="s">
        <v>962</v>
      </c>
      <c r="B38" s="240">
        <f t="shared" si="6"/>
        <v>15694100</v>
      </c>
      <c r="C38" s="240">
        <f>SUM(C29:C37)</f>
        <v>15694100</v>
      </c>
      <c r="D38" s="240">
        <f>SUM(D29:D37)</f>
        <v>0</v>
      </c>
      <c r="E38" s="240">
        <f>SUM(E29:E37)</f>
        <v>15694100</v>
      </c>
      <c r="F38" s="240">
        <f t="shared" ref="F38:T38" si="8">SUM(F29:F37)</f>
        <v>0</v>
      </c>
      <c r="G38" s="240">
        <f t="shared" si="8"/>
        <v>0</v>
      </c>
      <c r="H38" s="240">
        <f t="shared" si="8"/>
        <v>0</v>
      </c>
      <c r="I38" s="240">
        <f t="shared" si="8"/>
        <v>0</v>
      </c>
      <c r="J38" s="240">
        <f t="shared" si="8"/>
        <v>0</v>
      </c>
      <c r="K38" s="240">
        <f t="shared" si="8"/>
        <v>0</v>
      </c>
      <c r="L38" s="240">
        <f t="shared" si="8"/>
        <v>0</v>
      </c>
      <c r="M38" s="240">
        <f t="shared" si="8"/>
        <v>0</v>
      </c>
      <c r="N38" s="240">
        <f t="shared" si="8"/>
        <v>0</v>
      </c>
      <c r="O38" s="240">
        <f t="shared" si="8"/>
        <v>0</v>
      </c>
      <c r="P38" s="240">
        <f t="shared" si="8"/>
        <v>0</v>
      </c>
      <c r="Q38" s="240">
        <f t="shared" si="8"/>
        <v>0</v>
      </c>
      <c r="R38" s="240">
        <f t="shared" si="8"/>
        <v>15694100</v>
      </c>
      <c r="S38" s="244">
        <f t="shared" si="8"/>
        <v>15694100</v>
      </c>
      <c r="T38" s="244">
        <f t="shared" si="8"/>
        <v>0</v>
      </c>
      <c r="U38" s="237"/>
    </row>
    <row r="39" spans="1:21" s="238" customFormat="1">
      <c r="A39" s="235" t="s">
        <v>963</v>
      </c>
      <c r="B39" s="236"/>
      <c r="C39" s="236"/>
      <c r="D39" s="236"/>
      <c r="E39" s="245"/>
      <c r="F39" s="245"/>
      <c r="G39" s="245"/>
      <c r="H39" s="245"/>
      <c r="I39" s="245"/>
      <c r="J39" s="245"/>
      <c r="K39" s="245"/>
      <c r="L39" s="245"/>
      <c r="M39" s="245"/>
      <c r="N39" s="245"/>
      <c r="O39" s="245"/>
      <c r="P39" s="245"/>
      <c r="Q39" s="245"/>
      <c r="R39" s="245"/>
      <c r="S39" s="236"/>
      <c r="T39" s="236"/>
      <c r="U39" s="237"/>
    </row>
    <row r="40" spans="1:21" s="238" customFormat="1">
      <c r="A40" s="239" t="s">
        <v>964</v>
      </c>
      <c r="B40" s="240">
        <f>SUM(C40+D40)</f>
        <v>535000</v>
      </c>
      <c r="C40" s="241">
        <v>535000</v>
      </c>
      <c r="D40" s="241"/>
      <c r="E40" s="241">
        <f>C40-F40</f>
        <v>535000</v>
      </c>
      <c r="F40" s="241"/>
      <c r="G40" s="241"/>
      <c r="H40" s="241"/>
      <c r="I40" s="241"/>
      <c r="J40" s="241"/>
      <c r="K40" s="241"/>
      <c r="L40" s="241"/>
      <c r="M40" s="241"/>
      <c r="N40" s="241"/>
      <c r="O40" s="241"/>
      <c r="P40" s="241"/>
      <c r="Q40" s="241"/>
      <c r="R40" s="241">
        <f>SUM(E40:Q40)</f>
        <v>535000</v>
      </c>
      <c r="S40" s="241">
        <f>R40</f>
        <v>535000</v>
      </c>
      <c r="T40" s="241"/>
      <c r="U40" s="237"/>
    </row>
    <row r="41" spans="1:21" s="238" customFormat="1">
      <c r="A41" s="239" t="s">
        <v>965</v>
      </c>
      <c r="B41" s="240">
        <f>SUM(C41+D41)</f>
        <v>0</v>
      </c>
      <c r="C41" s="241"/>
      <c r="D41" s="241"/>
      <c r="E41" s="241"/>
      <c r="F41" s="241"/>
      <c r="G41" s="241"/>
      <c r="H41" s="241"/>
      <c r="I41" s="241"/>
      <c r="J41" s="241"/>
      <c r="K41" s="241"/>
      <c r="L41" s="241"/>
      <c r="M41" s="241"/>
      <c r="N41" s="241"/>
      <c r="O41" s="241"/>
      <c r="P41" s="241"/>
      <c r="Q41" s="241"/>
      <c r="R41" s="241">
        <f>SUM(E41:Q41)</f>
        <v>0</v>
      </c>
      <c r="S41" s="241"/>
      <c r="T41" s="241"/>
      <c r="U41" s="237"/>
    </row>
    <row r="42" spans="1:21" s="238" customFormat="1">
      <c r="A42" s="243" t="s">
        <v>966</v>
      </c>
      <c r="B42" s="240">
        <f>SUM(C42:D42)</f>
        <v>535000</v>
      </c>
      <c r="C42" s="240">
        <f>SUM(C39:C41)</f>
        <v>535000</v>
      </c>
      <c r="D42" s="240">
        <f>SUM(D39:D41)</f>
        <v>0</v>
      </c>
      <c r="E42" s="240">
        <f t="shared" ref="E42:T42" si="9">SUM(E40:E41)</f>
        <v>535000</v>
      </c>
      <c r="F42" s="240">
        <f t="shared" si="9"/>
        <v>0</v>
      </c>
      <c r="G42" s="240">
        <f t="shared" si="9"/>
        <v>0</v>
      </c>
      <c r="H42" s="240">
        <f t="shared" si="9"/>
        <v>0</v>
      </c>
      <c r="I42" s="240">
        <f t="shared" si="9"/>
        <v>0</v>
      </c>
      <c r="J42" s="240">
        <f t="shared" si="9"/>
        <v>0</v>
      </c>
      <c r="K42" s="240">
        <f t="shared" si="9"/>
        <v>0</v>
      </c>
      <c r="L42" s="240">
        <f t="shared" si="9"/>
        <v>0</v>
      </c>
      <c r="M42" s="240">
        <f t="shared" si="9"/>
        <v>0</v>
      </c>
      <c r="N42" s="240">
        <f t="shared" si="9"/>
        <v>0</v>
      </c>
      <c r="O42" s="240">
        <f t="shared" si="9"/>
        <v>0</v>
      </c>
      <c r="P42" s="240">
        <f t="shared" si="9"/>
        <v>0</v>
      </c>
      <c r="Q42" s="240">
        <f t="shared" si="9"/>
        <v>0</v>
      </c>
      <c r="R42" s="240">
        <f t="shared" si="9"/>
        <v>535000</v>
      </c>
      <c r="S42" s="244">
        <f t="shared" si="9"/>
        <v>535000</v>
      </c>
      <c r="T42" s="244">
        <f t="shared" si="9"/>
        <v>0</v>
      </c>
      <c r="U42" s="237"/>
    </row>
    <row r="43" spans="1:21" s="238" customFormat="1">
      <c r="A43" s="243" t="s">
        <v>967</v>
      </c>
      <c r="B43" s="240">
        <f>SUM(C43:D43)</f>
        <v>100000</v>
      </c>
      <c r="C43" s="241">
        <v>100000</v>
      </c>
      <c r="D43" s="241"/>
      <c r="E43" s="241">
        <f>C43-F43</f>
        <v>100000</v>
      </c>
      <c r="F43" s="241">
        <v>0</v>
      </c>
      <c r="G43" s="241"/>
      <c r="H43" s="241"/>
      <c r="I43" s="241"/>
      <c r="J43" s="241"/>
      <c r="K43" s="241"/>
      <c r="L43" s="241"/>
      <c r="M43" s="241"/>
      <c r="N43" s="241"/>
      <c r="O43" s="241"/>
      <c r="P43" s="241"/>
      <c r="Q43" s="241"/>
      <c r="R43" s="241">
        <f>SUM(E43:Q43)</f>
        <v>100000</v>
      </c>
      <c r="S43" s="241">
        <f>R43</f>
        <v>100000</v>
      </c>
      <c r="T43" s="241"/>
      <c r="U43" s="237"/>
    </row>
    <row r="44" spans="1:21" s="238" customFormat="1">
      <c r="A44" s="235" t="s">
        <v>968</v>
      </c>
      <c r="B44" s="236"/>
      <c r="C44" s="236"/>
      <c r="D44" s="236"/>
      <c r="E44" s="245"/>
      <c r="F44" s="245"/>
      <c r="G44" s="245"/>
      <c r="H44" s="245"/>
      <c r="I44" s="245"/>
      <c r="J44" s="245"/>
      <c r="K44" s="245"/>
      <c r="L44" s="245"/>
      <c r="M44" s="245"/>
      <c r="N44" s="245"/>
      <c r="O44" s="245"/>
      <c r="P44" s="245"/>
      <c r="Q44" s="245"/>
      <c r="R44" s="245"/>
      <c r="S44" s="236"/>
      <c r="T44" s="236"/>
      <c r="U44" s="237"/>
    </row>
    <row r="45" spans="1:21" s="238" customFormat="1">
      <c r="A45" s="239" t="s">
        <v>969</v>
      </c>
      <c r="B45" s="240">
        <f t="shared" ref="B45:B52" si="10">SUM(C45+D45)</f>
        <v>1842757</v>
      </c>
      <c r="C45" s="241">
        <f>1842758-1</f>
        <v>1842757</v>
      </c>
      <c r="D45" s="241"/>
      <c r="E45" s="241">
        <f>C45-F45</f>
        <v>1842757</v>
      </c>
      <c r="F45" s="241"/>
      <c r="G45" s="241"/>
      <c r="H45" s="241"/>
      <c r="I45" s="241"/>
      <c r="J45" s="241"/>
      <c r="K45" s="241"/>
      <c r="L45" s="241"/>
      <c r="M45" s="241"/>
      <c r="N45" s="241"/>
      <c r="O45" s="241"/>
      <c r="P45" s="241"/>
      <c r="Q45" s="241"/>
      <c r="R45" s="241">
        <f t="shared" ref="R45:R52" si="11">SUM(E45:Q45)</f>
        <v>1842757</v>
      </c>
      <c r="S45" s="241">
        <v>1110294</v>
      </c>
      <c r="T45" s="241"/>
      <c r="U45" s="237"/>
    </row>
    <row r="46" spans="1:21" s="238" customFormat="1">
      <c r="A46" s="239" t="s">
        <v>970</v>
      </c>
      <c r="B46" s="240">
        <f t="shared" si="10"/>
        <v>192754</v>
      </c>
      <c r="C46" s="241">
        <v>192754</v>
      </c>
      <c r="D46" s="241"/>
      <c r="E46" s="241">
        <f>C46-F46</f>
        <v>192754</v>
      </c>
      <c r="F46" s="241"/>
      <c r="G46" s="241"/>
      <c r="H46" s="241"/>
      <c r="I46" s="241"/>
      <c r="J46" s="241"/>
      <c r="K46" s="241"/>
      <c r="L46" s="241"/>
      <c r="M46" s="241"/>
      <c r="N46" s="241"/>
      <c r="O46" s="241"/>
      <c r="P46" s="241"/>
      <c r="Q46" s="241"/>
      <c r="R46" s="241">
        <f t="shared" si="11"/>
        <v>192754</v>
      </c>
      <c r="S46" s="241">
        <v>116137</v>
      </c>
      <c r="T46" s="241"/>
      <c r="U46" s="237"/>
    </row>
    <row r="47" spans="1:21" s="238" customFormat="1" ht="12" customHeight="1">
      <c r="A47" s="239" t="s">
        <v>971</v>
      </c>
      <c r="B47" s="240">
        <f t="shared" si="10"/>
        <v>0</v>
      </c>
      <c r="C47" s="241"/>
      <c r="D47" s="241"/>
      <c r="E47" s="241"/>
      <c r="F47" s="241"/>
      <c r="G47" s="241"/>
      <c r="H47" s="241"/>
      <c r="I47" s="241"/>
      <c r="J47" s="241"/>
      <c r="K47" s="241"/>
      <c r="L47" s="241"/>
      <c r="M47" s="241"/>
      <c r="N47" s="241"/>
      <c r="O47" s="241"/>
      <c r="P47" s="241"/>
      <c r="Q47" s="241"/>
      <c r="R47" s="241">
        <f t="shared" si="11"/>
        <v>0</v>
      </c>
      <c r="S47" s="241"/>
      <c r="T47" s="241"/>
      <c r="U47" s="237"/>
    </row>
    <row r="48" spans="1:21" s="238" customFormat="1">
      <c r="A48" s="239" t="s">
        <v>972</v>
      </c>
      <c r="B48" s="240">
        <f t="shared" si="10"/>
        <v>0</v>
      </c>
      <c r="C48" s="241"/>
      <c r="D48" s="241"/>
      <c r="E48" s="241"/>
      <c r="F48" s="241"/>
      <c r="G48" s="241"/>
      <c r="H48" s="241"/>
      <c r="I48" s="241"/>
      <c r="J48" s="241"/>
      <c r="K48" s="241"/>
      <c r="L48" s="241"/>
      <c r="M48" s="241"/>
      <c r="N48" s="241"/>
      <c r="O48" s="241"/>
      <c r="P48" s="241"/>
      <c r="Q48" s="241"/>
      <c r="R48" s="241">
        <f t="shared" si="11"/>
        <v>0</v>
      </c>
      <c r="S48" s="241"/>
      <c r="T48" s="241"/>
      <c r="U48" s="237"/>
    </row>
    <row r="49" spans="1:21" s="238" customFormat="1">
      <c r="A49" s="239" t="s">
        <v>975</v>
      </c>
      <c r="B49" s="240">
        <f t="shared" si="10"/>
        <v>110000</v>
      </c>
      <c r="C49" s="241">
        <v>110000</v>
      </c>
      <c r="D49" s="241"/>
      <c r="E49" s="241">
        <f>C49-F49</f>
        <v>110000</v>
      </c>
      <c r="F49" s="241"/>
      <c r="G49" s="241"/>
      <c r="H49" s="241"/>
      <c r="I49" s="241"/>
      <c r="J49" s="241"/>
      <c r="K49" s="241"/>
      <c r="L49" s="241"/>
      <c r="M49" s="241"/>
      <c r="N49" s="241"/>
      <c r="O49" s="241"/>
      <c r="P49" s="241"/>
      <c r="Q49" s="241"/>
      <c r="R49" s="241">
        <f t="shared" si="11"/>
        <v>110000</v>
      </c>
      <c r="S49" s="241">
        <f>R49</f>
        <v>110000</v>
      </c>
      <c r="T49" s="241"/>
      <c r="U49" s="237"/>
    </row>
    <row r="50" spans="1:21" s="238" customFormat="1">
      <c r="A50" s="239" t="s">
        <v>973</v>
      </c>
      <c r="B50" s="240">
        <f t="shared" si="10"/>
        <v>5000</v>
      </c>
      <c r="C50" s="241">
        <v>5000</v>
      </c>
      <c r="D50" s="241"/>
      <c r="E50" s="241">
        <f>C50-F50</f>
        <v>5000</v>
      </c>
      <c r="F50" s="241"/>
      <c r="G50" s="241"/>
      <c r="H50" s="241"/>
      <c r="I50" s="241"/>
      <c r="J50" s="241"/>
      <c r="K50" s="241"/>
      <c r="L50" s="241"/>
      <c r="M50" s="241"/>
      <c r="N50" s="241"/>
      <c r="O50" s="241"/>
      <c r="P50" s="241"/>
      <c r="Q50" s="241"/>
      <c r="R50" s="241">
        <f t="shared" si="11"/>
        <v>5000</v>
      </c>
      <c r="S50" s="241">
        <f>R50</f>
        <v>5000</v>
      </c>
      <c r="T50" s="241"/>
      <c r="U50" s="237"/>
    </row>
    <row r="51" spans="1:21" s="238" customFormat="1">
      <c r="A51" s="239" t="s">
        <v>974</v>
      </c>
      <c r="B51" s="240">
        <f t="shared" si="10"/>
        <v>40000</v>
      </c>
      <c r="C51" s="241">
        <v>40000</v>
      </c>
      <c r="D51" s="241"/>
      <c r="E51" s="241">
        <f>C51-F51</f>
        <v>40000</v>
      </c>
      <c r="F51" s="241"/>
      <c r="G51" s="241"/>
      <c r="H51" s="241"/>
      <c r="I51" s="241"/>
      <c r="J51" s="241"/>
      <c r="K51" s="241"/>
      <c r="L51" s="241"/>
      <c r="M51" s="241"/>
      <c r="N51" s="241"/>
      <c r="O51" s="241"/>
      <c r="P51" s="241"/>
      <c r="Q51" s="241"/>
      <c r="R51" s="241">
        <f t="shared" si="11"/>
        <v>40000</v>
      </c>
      <c r="S51" s="241">
        <f>R51</f>
        <v>40000</v>
      </c>
      <c r="T51" s="241"/>
      <c r="U51" s="237"/>
    </row>
    <row r="52" spans="1:21" s="238" customFormat="1">
      <c r="A52" s="246" t="s">
        <v>2470</v>
      </c>
      <c r="B52" s="240">
        <f t="shared" si="10"/>
        <v>50000</v>
      </c>
      <c r="C52" s="241">
        <v>50000</v>
      </c>
      <c r="D52" s="241"/>
      <c r="E52" s="241">
        <f>C52-F52</f>
        <v>50000</v>
      </c>
      <c r="F52" s="241"/>
      <c r="G52" s="241"/>
      <c r="H52" s="241"/>
      <c r="I52" s="241"/>
      <c r="J52" s="241"/>
      <c r="K52" s="241"/>
      <c r="L52" s="241"/>
      <c r="M52" s="241"/>
      <c r="N52" s="241"/>
      <c r="O52" s="241"/>
      <c r="P52" s="241"/>
      <c r="Q52" s="241"/>
      <c r="R52" s="241">
        <f t="shared" si="11"/>
        <v>50000</v>
      </c>
      <c r="S52" s="241">
        <v>30126</v>
      </c>
      <c r="T52" s="241"/>
      <c r="U52" s="237"/>
    </row>
    <row r="53" spans="1:21" s="248" customFormat="1">
      <c r="A53" s="243" t="s">
        <v>976</v>
      </c>
      <c r="B53" s="244">
        <f>SUM(C53:D53)</f>
        <v>2240511</v>
      </c>
      <c r="C53" s="244">
        <f t="shared" ref="C53:T53" si="12">SUM(C45:C52)</f>
        <v>2240511</v>
      </c>
      <c r="D53" s="244">
        <f t="shared" si="12"/>
        <v>0</v>
      </c>
      <c r="E53" s="244">
        <f t="shared" si="12"/>
        <v>2240511</v>
      </c>
      <c r="F53" s="244">
        <f t="shared" si="12"/>
        <v>0</v>
      </c>
      <c r="G53" s="244">
        <f t="shared" si="12"/>
        <v>0</v>
      </c>
      <c r="H53" s="244">
        <f t="shared" si="12"/>
        <v>0</v>
      </c>
      <c r="I53" s="244">
        <f t="shared" si="12"/>
        <v>0</v>
      </c>
      <c r="J53" s="244">
        <f t="shared" si="12"/>
        <v>0</v>
      </c>
      <c r="K53" s="244">
        <f t="shared" si="12"/>
        <v>0</v>
      </c>
      <c r="L53" s="244">
        <f t="shared" si="12"/>
        <v>0</v>
      </c>
      <c r="M53" s="244">
        <f t="shared" si="12"/>
        <v>0</v>
      </c>
      <c r="N53" s="244">
        <f t="shared" si="12"/>
        <v>0</v>
      </c>
      <c r="O53" s="244">
        <f t="shared" si="12"/>
        <v>0</v>
      </c>
      <c r="P53" s="244">
        <f t="shared" si="12"/>
        <v>0</v>
      </c>
      <c r="Q53" s="244">
        <f t="shared" si="12"/>
        <v>0</v>
      </c>
      <c r="R53" s="240">
        <f t="shared" si="12"/>
        <v>2240511</v>
      </c>
      <c r="S53" s="244">
        <f t="shared" si="12"/>
        <v>1411557</v>
      </c>
      <c r="T53" s="244">
        <f t="shared" si="12"/>
        <v>0</v>
      </c>
      <c r="U53" s="247"/>
    </row>
    <row r="54" spans="1:21" s="238" customFormat="1">
      <c r="A54" s="235" t="s">
        <v>718</v>
      </c>
      <c r="B54" s="236"/>
      <c r="C54" s="236"/>
      <c r="D54" s="236"/>
      <c r="E54" s="245"/>
      <c r="F54" s="245"/>
      <c r="G54" s="245"/>
      <c r="H54" s="245"/>
      <c r="I54" s="245"/>
      <c r="J54" s="245"/>
      <c r="K54" s="245"/>
      <c r="L54" s="245"/>
      <c r="M54" s="245"/>
      <c r="N54" s="245"/>
      <c r="O54" s="245"/>
      <c r="P54" s="245"/>
      <c r="Q54" s="245"/>
      <c r="R54" s="245"/>
      <c r="S54" s="236"/>
      <c r="T54" s="236"/>
      <c r="U54" s="237"/>
    </row>
    <row r="55" spans="1:21" s="238" customFormat="1">
      <c r="A55" s="239" t="s">
        <v>977</v>
      </c>
      <c r="B55" s="240">
        <f t="shared" ref="B55:B60" si="13">SUM(C55+D55)</f>
        <v>0</v>
      </c>
      <c r="C55" s="241"/>
      <c r="D55" s="241"/>
      <c r="E55" s="241"/>
      <c r="F55" s="241"/>
      <c r="G55" s="241"/>
      <c r="H55" s="241"/>
      <c r="I55" s="241"/>
      <c r="J55" s="241"/>
      <c r="K55" s="241"/>
      <c r="L55" s="241"/>
      <c r="M55" s="241"/>
      <c r="N55" s="241"/>
      <c r="O55" s="241"/>
      <c r="P55" s="241"/>
      <c r="Q55" s="241"/>
      <c r="R55" s="241">
        <f t="shared" ref="R55:R60" si="14">SUM(E55:Q55)</f>
        <v>0</v>
      </c>
      <c r="S55" s="242"/>
      <c r="T55" s="242"/>
      <c r="U55" s="237"/>
    </row>
    <row r="56" spans="1:21" s="238" customFormat="1" ht="12" customHeight="1">
      <c r="A56" s="239" t="s">
        <v>971</v>
      </c>
      <c r="B56" s="240">
        <f t="shared" si="13"/>
        <v>0</v>
      </c>
      <c r="C56" s="241"/>
      <c r="D56" s="241"/>
      <c r="E56" s="241"/>
      <c r="F56" s="241"/>
      <c r="G56" s="241"/>
      <c r="H56" s="241"/>
      <c r="I56" s="241"/>
      <c r="J56" s="241"/>
      <c r="K56" s="241"/>
      <c r="L56" s="241"/>
      <c r="M56" s="241"/>
      <c r="N56" s="241"/>
      <c r="O56" s="241"/>
      <c r="P56" s="241"/>
      <c r="Q56" s="241"/>
      <c r="R56" s="241">
        <f t="shared" si="14"/>
        <v>0</v>
      </c>
      <c r="S56" s="242"/>
      <c r="T56" s="242"/>
      <c r="U56" s="237"/>
    </row>
    <row r="57" spans="1:21" s="238" customFormat="1">
      <c r="A57" s="239" t="s">
        <v>975</v>
      </c>
      <c r="B57" s="240">
        <f t="shared" si="13"/>
        <v>15000</v>
      </c>
      <c r="C57" s="241">
        <v>15000</v>
      </c>
      <c r="D57" s="241"/>
      <c r="E57" s="241">
        <f>C57-F57</f>
        <v>15000</v>
      </c>
      <c r="F57" s="241"/>
      <c r="G57" s="241"/>
      <c r="H57" s="241"/>
      <c r="I57" s="241"/>
      <c r="J57" s="241"/>
      <c r="K57" s="241"/>
      <c r="L57" s="241"/>
      <c r="M57" s="241"/>
      <c r="N57" s="241"/>
      <c r="O57" s="241"/>
      <c r="P57" s="241"/>
      <c r="Q57" s="241"/>
      <c r="R57" s="241">
        <f t="shared" si="14"/>
        <v>15000</v>
      </c>
      <c r="S57" s="242"/>
      <c r="T57" s="242"/>
      <c r="U57" s="237"/>
    </row>
    <row r="58" spans="1:21" s="238" customFormat="1">
      <c r="A58" s="239" t="s">
        <v>973</v>
      </c>
      <c r="B58" s="240">
        <f t="shared" si="13"/>
        <v>0</v>
      </c>
      <c r="C58" s="241"/>
      <c r="D58" s="241"/>
      <c r="E58" s="241"/>
      <c r="F58" s="241"/>
      <c r="G58" s="241"/>
      <c r="H58" s="241"/>
      <c r="I58" s="241"/>
      <c r="J58" s="241"/>
      <c r="K58" s="241"/>
      <c r="L58" s="241"/>
      <c r="M58" s="241"/>
      <c r="N58" s="241"/>
      <c r="O58" s="241"/>
      <c r="P58" s="241"/>
      <c r="Q58" s="241"/>
      <c r="R58" s="241">
        <f t="shared" si="14"/>
        <v>0</v>
      </c>
      <c r="S58" s="242"/>
      <c r="T58" s="242"/>
      <c r="U58" s="237"/>
    </row>
    <row r="59" spans="1:21" s="238" customFormat="1">
      <c r="A59" s="239" t="s">
        <v>974</v>
      </c>
      <c r="B59" s="240">
        <f t="shared" si="13"/>
        <v>0</v>
      </c>
      <c r="C59" s="241"/>
      <c r="D59" s="241"/>
      <c r="E59" s="241"/>
      <c r="F59" s="241"/>
      <c r="G59" s="241"/>
      <c r="H59" s="241"/>
      <c r="I59" s="241"/>
      <c r="J59" s="241"/>
      <c r="K59" s="241"/>
      <c r="L59" s="241"/>
      <c r="M59" s="241"/>
      <c r="N59" s="241"/>
      <c r="O59" s="241"/>
      <c r="P59" s="241"/>
      <c r="Q59" s="241"/>
      <c r="R59" s="241">
        <f t="shared" si="14"/>
        <v>0</v>
      </c>
      <c r="S59" s="242"/>
      <c r="T59" s="242"/>
      <c r="U59" s="237"/>
    </row>
    <row r="60" spans="1:21" s="238" customFormat="1">
      <c r="A60" s="246" t="s">
        <v>563</v>
      </c>
      <c r="B60" s="240">
        <f t="shared" si="13"/>
        <v>0</v>
      </c>
      <c r="C60" s="241"/>
      <c r="D60" s="241"/>
      <c r="E60" s="241"/>
      <c r="F60" s="241"/>
      <c r="G60" s="241"/>
      <c r="H60" s="241"/>
      <c r="I60" s="241"/>
      <c r="J60" s="241"/>
      <c r="K60" s="241"/>
      <c r="L60" s="241"/>
      <c r="M60" s="241"/>
      <c r="N60" s="241"/>
      <c r="O60" s="241"/>
      <c r="P60" s="241"/>
      <c r="Q60" s="241"/>
      <c r="R60" s="241">
        <f t="shared" si="14"/>
        <v>0</v>
      </c>
      <c r="S60" s="242"/>
      <c r="T60" s="242"/>
      <c r="U60" s="237"/>
    </row>
    <row r="61" spans="1:21" s="238" customFormat="1" ht="14.1" customHeight="1">
      <c r="A61" s="243" t="s">
        <v>528</v>
      </c>
      <c r="B61" s="240">
        <f>SUM(C61:D61)</f>
        <v>15000</v>
      </c>
      <c r="C61" s="240">
        <f t="shared" ref="C61:R61" si="15">SUM(C55:C60)</f>
        <v>15000</v>
      </c>
      <c r="D61" s="240">
        <f t="shared" si="15"/>
        <v>0</v>
      </c>
      <c r="E61" s="240">
        <f t="shared" si="15"/>
        <v>15000</v>
      </c>
      <c r="F61" s="240">
        <f t="shared" si="15"/>
        <v>0</v>
      </c>
      <c r="G61" s="240">
        <f t="shared" si="15"/>
        <v>0</v>
      </c>
      <c r="H61" s="240">
        <f t="shared" si="15"/>
        <v>0</v>
      </c>
      <c r="I61" s="240">
        <f t="shared" si="15"/>
        <v>0</v>
      </c>
      <c r="J61" s="240">
        <f t="shared" si="15"/>
        <v>0</v>
      </c>
      <c r="K61" s="240">
        <f t="shared" si="15"/>
        <v>0</v>
      </c>
      <c r="L61" s="240">
        <f t="shared" si="15"/>
        <v>0</v>
      </c>
      <c r="M61" s="240">
        <f t="shared" si="15"/>
        <v>0</v>
      </c>
      <c r="N61" s="240">
        <f t="shared" si="15"/>
        <v>0</v>
      </c>
      <c r="O61" s="240">
        <f t="shared" si="15"/>
        <v>0</v>
      </c>
      <c r="P61" s="240">
        <f t="shared" si="15"/>
        <v>0</v>
      </c>
      <c r="Q61" s="240">
        <f t="shared" si="15"/>
        <v>0</v>
      </c>
      <c r="R61" s="240">
        <f t="shared" si="15"/>
        <v>15000</v>
      </c>
      <c r="S61" s="242"/>
      <c r="T61" s="242"/>
      <c r="U61" s="237"/>
    </row>
    <row r="62" spans="1:21" s="238" customFormat="1">
      <c r="A62" s="249" t="s">
        <v>529</v>
      </c>
      <c r="B62" s="240">
        <f>SUM(C62:D62)</f>
        <v>22893735</v>
      </c>
      <c r="C62" s="240">
        <f t="shared" ref="C62:R62" si="16">SUM(C8+C11+C13+C14+C15+C26+C27+C38+C42+C43+C53+C61)</f>
        <v>22893735</v>
      </c>
      <c r="D62" s="240">
        <f t="shared" si="16"/>
        <v>0</v>
      </c>
      <c r="E62" s="240">
        <f t="shared" si="16"/>
        <v>19134611</v>
      </c>
      <c r="F62" s="240">
        <f t="shared" si="16"/>
        <v>3759124</v>
      </c>
      <c r="G62" s="240">
        <f t="shared" si="16"/>
        <v>0</v>
      </c>
      <c r="H62" s="240">
        <f t="shared" si="16"/>
        <v>0</v>
      </c>
      <c r="I62" s="240">
        <f t="shared" si="16"/>
        <v>0</v>
      </c>
      <c r="J62" s="240">
        <f t="shared" si="16"/>
        <v>0</v>
      </c>
      <c r="K62" s="240">
        <f t="shared" si="16"/>
        <v>0</v>
      </c>
      <c r="L62" s="240">
        <f t="shared" si="16"/>
        <v>0</v>
      </c>
      <c r="M62" s="240">
        <f t="shared" si="16"/>
        <v>0</v>
      </c>
      <c r="N62" s="240">
        <f t="shared" si="16"/>
        <v>0</v>
      </c>
      <c r="O62" s="240">
        <f t="shared" si="16"/>
        <v>0</v>
      </c>
      <c r="P62" s="240">
        <f t="shared" si="16"/>
        <v>0</v>
      </c>
      <c r="Q62" s="240">
        <f t="shared" si="16"/>
        <v>0</v>
      </c>
      <c r="R62" s="240">
        <f t="shared" si="16"/>
        <v>22893735</v>
      </c>
      <c r="S62" s="240">
        <f>SUM(S10+S13+S14+S15+S26+S27+S38+S42+S43+S53)</f>
        <v>17740657</v>
      </c>
      <c r="T62" s="240">
        <f>SUM(T11+T13+T14+T15+T26+T27+T38+T42+T43+T53)</f>
        <v>0</v>
      </c>
      <c r="U62" s="237"/>
    </row>
    <row r="63" spans="1:21" s="238" customFormat="1" ht="24">
      <c r="A63" s="235" t="s">
        <v>2047</v>
      </c>
      <c r="B63" s="236"/>
      <c r="C63" s="236"/>
      <c r="D63" s="236"/>
      <c r="E63" s="245"/>
      <c r="F63" s="245"/>
      <c r="G63" s="245"/>
      <c r="H63" s="245"/>
      <c r="I63" s="245"/>
      <c r="J63" s="245"/>
      <c r="K63" s="245"/>
      <c r="L63" s="245"/>
      <c r="M63" s="245"/>
      <c r="N63" s="245"/>
      <c r="O63" s="245"/>
      <c r="P63" s="245"/>
      <c r="Q63" s="245"/>
      <c r="R63" s="245"/>
      <c r="S63" s="236"/>
      <c r="T63" s="236"/>
      <c r="U63" s="237"/>
    </row>
    <row r="64" spans="1:21" s="238" customFormat="1">
      <c r="A64" s="239" t="s">
        <v>298</v>
      </c>
      <c r="B64" s="240">
        <f>SUM(C64+D64)</f>
        <v>60000</v>
      </c>
      <c r="C64" s="241">
        <v>60000</v>
      </c>
      <c r="D64" s="241"/>
      <c r="E64" s="241">
        <f>C64-F64</f>
        <v>60000</v>
      </c>
      <c r="F64" s="241"/>
      <c r="G64" s="241"/>
      <c r="H64" s="241"/>
      <c r="I64" s="241"/>
      <c r="J64" s="241"/>
      <c r="K64" s="241"/>
      <c r="L64" s="241"/>
      <c r="M64" s="241"/>
      <c r="N64" s="241"/>
      <c r="O64" s="241"/>
      <c r="P64" s="241"/>
      <c r="Q64" s="241"/>
      <c r="R64" s="241">
        <f>SUM(E64:Q64)</f>
        <v>60000</v>
      </c>
      <c r="S64" s="241">
        <v>36151</v>
      </c>
      <c r="T64" s="241"/>
      <c r="U64" s="237"/>
    </row>
    <row r="65" spans="1:21" s="238" customFormat="1" ht="24">
      <c r="A65" s="239" t="s">
        <v>2048</v>
      </c>
      <c r="B65" s="240">
        <f>SUM(C65+D65)</f>
        <v>0</v>
      </c>
      <c r="C65" s="241"/>
      <c r="D65" s="241"/>
      <c r="E65" s="241"/>
      <c r="F65" s="241"/>
      <c r="G65" s="241"/>
      <c r="H65" s="241"/>
      <c r="I65" s="241"/>
      <c r="J65" s="241"/>
      <c r="K65" s="241"/>
      <c r="L65" s="241"/>
      <c r="M65" s="241"/>
      <c r="N65" s="241"/>
      <c r="O65" s="241"/>
      <c r="P65" s="241"/>
      <c r="Q65" s="241"/>
      <c r="R65" s="241">
        <f>SUM(E65:Q65)</f>
        <v>0</v>
      </c>
      <c r="S65" s="241"/>
      <c r="T65" s="241"/>
      <c r="U65" s="237"/>
    </row>
    <row r="66" spans="1:21" s="238" customFormat="1" ht="24">
      <c r="A66" s="239" t="s">
        <v>2049</v>
      </c>
      <c r="B66" s="240">
        <f>SUM(C66+D66)</f>
        <v>0</v>
      </c>
      <c r="C66" s="241"/>
      <c r="D66" s="241"/>
      <c r="E66" s="241"/>
      <c r="F66" s="241"/>
      <c r="G66" s="241"/>
      <c r="H66" s="241"/>
      <c r="I66" s="241"/>
      <c r="J66" s="241"/>
      <c r="K66" s="241"/>
      <c r="L66" s="241"/>
      <c r="M66" s="241"/>
      <c r="N66" s="241"/>
      <c r="O66" s="241"/>
      <c r="P66" s="241"/>
      <c r="Q66" s="241"/>
      <c r="R66" s="241">
        <f>SUM(E66:Q66)</f>
        <v>0</v>
      </c>
      <c r="S66" s="241"/>
      <c r="T66" s="241"/>
      <c r="U66" s="237"/>
    </row>
    <row r="67" spans="1:21" s="238" customFormat="1">
      <c r="A67" s="239" t="s">
        <v>2050</v>
      </c>
      <c r="B67" s="240">
        <f>SUM(C67+D67)</f>
        <v>0</v>
      </c>
      <c r="C67" s="241"/>
      <c r="D67" s="241"/>
      <c r="E67" s="241"/>
      <c r="F67" s="241"/>
      <c r="G67" s="241"/>
      <c r="H67" s="241"/>
      <c r="I67" s="241"/>
      <c r="J67" s="241"/>
      <c r="K67" s="241"/>
      <c r="L67" s="241"/>
      <c r="M67" s="241"/>
      <c r="N67" s="241"/>
      <c r="O67" s="241"/>
      <c r="P67" s="241"/>
      <c r="Q67" s="241"/>
      <c r="R67" s="241">
        <f>SUM(E67:Q67)</f>
        <v>0</v>
      </c>
      <c r="S67" s="241"/>
      <c r="T67" s="241"/>
      <c r="U67" s="237"/>
    </row>
    <row r="68" spans="1:21" s="238" customFormat="1">
      <c r="A68" s="246" t="s">
        <v>2467</v>
      </c>
      <c r="B68" s="240">
        <f>SUM(C68+D68)</f>
        <v>140000</v>
      </c>
      <c r="C68" s="241">
        <v>140000</v>
      </c>
      <c r="D68" s="241"/>
      <c r="E68" s="241">
        <f>C68-F68</f>
        <v>140000</v>
      </c>
      <c r="F68" s="241"/>
      <c r="G68" s="241"/>
      <c r="H68" s="241"/>
      <c r="I68" s="241"/>
      <c r="J68" s="241"/>
      <c r="K68" s="241"/>
      <c r="L68" s="241"/>
      <c r="M68" s="241"/>
      <c r="N68" s="241"/>
      <c r="O68" s="241"/>
      <c r="P68" s="241"/>
      <c r="Q68" s="241"/>
      <c r="R68" s="241">
        <f>SUM(E68:Q68)</f>
        <v>140000</v>
      </c>
      <c r="S68" s="241">
        <f>R68</f>
        <v>140000</v>
      </c>
      <c r="T68" s="241"/>
      <c r="U68" s="237"/>
    </row>
    <row r="69" spans="1:21" s="238" customFormat="1">
      <c r="A69" s="243" t="s">
        <v>2051</v>
      </c>
      <c r="B69" s="240">
        <f>SUM(C69:D69)</f>
        <v>200000</v>
      </c>
      <c r="C69" s="240">
        <f>SUM(C63:C68)</f>
        <v>200000</v>
      </c>
      <c r="D69" s="240">
        <f>SUM(D63:D68)</f>
        <v>0</v>
      </c>
      <c r="E69" s="240">
        <f t="shared" ref="E69:T69" si="17">SUM(E64:E68)</f>
        <v>200000</v>
      </c>
      <c r="F69" s="240">
        <f t="shared" si="17"/>
        <v>0</v>
      </c>
      <c r="G69" s="240">
        <f t="shared" si="17"/>
        <v>0</v>
      </c>
      <c r="H69" s="240">
        <f t="shared" si="17"/>
        <v>0</v>
      </c>
      <c r="I69" s="240">
        <f t="shared" si="17"/>
        <v>0</v>
      </c>
      <c r="J69" s="240">
        <f t="shared" si="17"/>
        <v>0</v>
      </c>
      <c r="K69" s="240">
        <f t="shared" si="17"/>
        <v>0</v>
      </c>
      <c r="L69" s="240">
        <f t="shared" si="17"/>
        <v>0</v>
      </c>
      <c r="M69" s="240">
        <f t="shared" si="17"/>
        <v>0</v>
      </c>
      <c r="N69" s="240">
        <f t="shared" si="17"/>
        <v>0</v>
      </c>
      <c r="O69" s="240">
        <f t="shared" si="17"/>
        <v>0</v>
      </c>
      <c r="P69" s="240">
        <f t="shared" si="17"/>
        <v>0</v>
      </c>
      <c r="Q69" s="240">
        <f t="shared" si="17"/>
        <v>0</v>
      </c>
      <c r="R69" s="240">
        <f t="shared" si="17"/>
        <v>200000</v>
      </c>
      <c r="S69" s="244">
        <f t="shared" si="17"/>
        <v>176151</v>
      </c>
      <c r="T69" s="244">
        <f t="shared" si="17"/>
        <v>0</v>
      </c>
      <c r="U69" s="237"/>
    </row>
    <row r="70" spans="1:21" s="238" customFormat="1">
      <c r="A70" s="235" t="s">
        <v>299</v>
      </c>
      <c r="B70" s="245"/>
      <c r="C70" s="245"/>
      <c r="D70" s="245"/>
      <c r="E70" s="245"/>
      <c r="F70" s="245"/>
      <c r="G70" s="245"/>
      <c r="H70" s="245"/>
      <c r="I70" s="245"/>
      <c r="J70" s="245"/>
      <c r="K70" s="245"/>
      <c r="L70" s="245"/>
      <c r="M70" s="245"/>
      <c r="N70" s="245"/>
      <c r="O70" s="245"/>
      <c r="P70" s="245"/>
      <c r="Q70" s="245"/>
      <c r="R70" s="245"/>
      <c r="S70" s="245"/>
      <c r="T70" s="245"/>
      <c r="U70" s="237"/>
    </row>
    <row r="71" spans="1:21" s="238" customFormat="1">
      <c r="A71" s="239" t="s">
        <v>300</v>
      </c>
      <c r="B71" s="240">
        <f>SUM(C71+D71)</f>
        <v>0</v>
      </c>
      <c r="C71" s="241"/>
      <c r="D71" s="241"/>
      <c r="E71" s="241"/>
      <c r="F71" s="241"/>
      <c r="G71" s="241"/>
      <c r="H71" s="241"/>
      <c r="I71" s="241"/>
      <c r="J71" s="241"/>
      <c r="K71" s="241"/>
      <c r="L71" s="241"/>
      <c r="M71" s="241"/>
      <c r="N71" s="241"/>
      <c r="O71" s="241"/>
      <c r="P71" s="241"/>
      <c r="Q71" s="241"/>
      <c r="R71" s="241">
        <f>SUM(E71:Q71)</f>
        <v>0</v>
      </c>
      <c r="S71" s="242"/>
      <c r="T71" s="242"/>
      <c r="U71" s="237"/>
    </row>
    <row r="72" spans="1:21" s="238" customFormat="1">
      <c r="A72" s="239" t="s">
        <v>301</v>
      </c>
      <c r="B72" s="240">
        <f>SUM(C72+D72)</f>
        <v>0</v>
      </c>
      <c r="C72" s="241"/>
      <c r="D72" s="241"/>
      <c r="E72" s="241"/>
      <c r="F72" s="241"/>
      <c r="G72" s="241"/>
      <c r="H72" s="241"/>
      <c r="I72" s="241"/>
      <c r="J72" s="241"/>
      <c r="K72" s="241"/>
      <c r="L72" s="241"/>
      <c r="M72" s="241"/>
      <c r="N72" s="241"/>
      <c r="O72" s="241"/>
      <c r="P72" s="241"/>
      <c r="Q72" s="241"/>
      <c r="R72" s="241">
        <f>SUM(E72:Q72)</f>
        <v>0</v>
      </c>
      <c r="S72" s="242"/>
      <c r="T72" s="242"/>
      <c r="U72" s="237"/>
    </row>
    <row r="73" spans="1:21" s="238" customFormat="1">
      <c r="A73" s="461" t="s">
        <v>1290</v>
      </c>
      <c r="B73" s="240">
        <f>SUM(C73+D73)</f>
        <v>0</v>
      </c>
      <c r="C73" s="241"/>
      <c r="D73" s="241"/>
      <c r="E73" s="241"/>
      <c r="F73" s="241"/>
      <c r="G73" s="241"/>
      <c r="H73" s="241"/>
      <c r="I73" s="241"/>
      <c r="J73" s="241"/>
      <c r="K73" s="241"/>
      <c r="L73" s="241"/>
      <c r="M73" s="241"/>
      <c r="N73" s="241"/>
      <c r="O73" s="241"/>
      <c r="P73" s="241"/>
      <c r="Q73" s="241"/>
      <c r="R73" s="241">
        <f>SUM(E73:Q73)</f>
        <v>0</v>
      </c>
      <c r="S73" s="242"/>
      <c r="T73" s="242"/>
      <c r="U73" s="237"/>
    </row>
    <row r="74" spans="1:21" s="238" customFormat="1">
      <c r="A74" s="239" t="s">
        <v>302</v>
      </c>
      <c r="B74" s="240">
        <f>SUM(C74+D74)</f>
        <v>106682.75</v>
      </c>
      <c r="C74" s="241">
        <f>Application!AC850</f>
        <v>106682.75</v>
      </c>
      <c r="D74" s="241"/>
      <c r="E74" s="241">
        <f>C74-F74</f>
        <v>106682.75</v>
      </c>
      <c r="F74" s="241"/>
      <c r="G74" s="241"/>
      <c r="H74" s="241"/>
      <c r="I74" s="241"/>
      <c r="J74" s="241"/>
      <c r="K74" s="241"/>
      <c r="L74" s="241"/>
      <c r="M74" s="241"/>
      <c r="N74" s="241"/>
      <c r="O74" s="241"/>
      <c r="P74" s="241"/>
      <c r="Q74" s="241"/>
      <c r="R74" s="241">
        <f>SUM(E74:Q74)</f>
        <v>106682.75</v>
      </c>
      <c r="S74" s="242"/>
      <c r="T74" s="242"/>
      <c r="U74" s="237"/>
    </row>
    <row r="75" spans="1:21" s="238" customFormat="1" ht="24">
      <c r="A75" s="246" t="s">
        <v>2469</v>
      </c>
      <c r="B75" s="240">
        <f>SUM(C75+D75)</f>
        <v>106683.25</v>
      </c>
      <c r="C75" s="241">
        <f>213366-C74</f>
        <v>106683.25</v>
      </c>
      <c r="D75" s="241"/>
      <c r="E75" s="241">
        <f>C75-F75</f>
        <v>106683.25</v>
      </c>
      <c r="F75" s="241"/>
      <c r="G75" s="241"/>
      <c r="H75" s="241"/>
      <c r="I75" s="241"/>
      <c r="J75" s="241"/>
      <c r="K75" s="241"/>
      <c r="L75" s="241"/>
      <c r="M75" s="241"/>
      <c r="N75" s="241"/>
      <c r="O75" s="241"/>
      <c r="P75" s="241"/>
      <c r="Q75" s="241"/>
      <c r="R75" s="241">
        <f>SUM(E75:Q75)</f>
        <v>106683.25</v>
      </c>
      <c r="S75" s="242"/>
      <c r="T75" s="242"/>
      <c r="U75" s="237"/>
    </row>
    <row r="76" spans="1:21" s="238" customFormat="1">
      <c r="A76" s="243" t="s">
        <v>303</v>
      </c>
      <c r="B76" s="240">
        <f>SUM(C76:D76)</f>
        <v>213366</v>
      </c>
      <c r="C76" s="240">
        <f t="shared" ref="C76:Q76" si="18">SUM(C71:C75)</f>
        <v>213366</v>
      </c>
      <c r="D76" s="240">
        <f t="shared" si="18"/>
        <v>0</v>
      </c>
      <c r="E76" s="240">
        <f>SUM(E71:E75)</f>
        <v>213366</v>
      </c>
      <c r="F76" s="240">
        <f>SUM(F71:F75)</f>
        <v>0</v>
      </c>
      <c r="G76" s="240">
        <f>SUM(G71:G75)</f>
        <v>0</v>
      </c>
      <c r="H76" s="240">
        <f t="shared" si="18"/>
        <v>0</v>
      </c>
      <c r="I76" s="240">
        <f t="shared" si="18"/>
        <v>0</v>
      </c>
      <c r="J76" s="240">
        <f t="shared" si="18"/>
        <v>0</v>
      </c>
      <c r="K76" s="240">
        <f t="shared" si="18"/>
        <v>0</v>
      </c>
      <c r="L76" s="240">
        <f t="shared" si="18"/>
        <v>0</v>
      </c>
      <c r="M76" s="240">
        <f t="shared" si="18"/>
        <v>0</v>
      </c>
      <c r="N76" s="240">
        <f t="shared" si="18"/>
        <v>0</v>
      </c>
      <c r="O76" s="240">
        <f t="shared" si="18"/>
        <v>0</v>
      </c>
      <c r="P76" s="240">
        <f t="shared" si="18"/>
        <v>0</v>
      </c>
      <c r="Q76" s="240">
        <f t="shared" si="18"/>
        <v>0</v>
      </c>
      <c r="R76" s="240">
        <f>SUM(R71:R75)</f>
        <v>213366</v>
      </c>
      <c r="S76" s="242"/>
      <c r="T76" s="242"/>
      <c r="U76" s="237"/>
    </row>
    <row r="77" spans="1:21" s="238" customFormat="1" ht="11.85" customHeight="1">
      <c r="A77" s="235" t="s">
        <v>1814</v>
      </c>
      <c r="B77" s="245"/>
      <c r="C77" s="245"/>
      <c r="D77" s="245"/>
      <c r="E77" s="245"/>
      <c r="F77" s="245"/>
      <c r="G77" s="245"/>
      <c r="H77" s="245"/>
      <c r="I77" s="245"/>
      <c r="J77" s="245"/>
      <c r="K77" s="245"/>
      <c r="L77" s="245"/>
      <c r="M77" s="245"/>
      <c r="N77" s="245"/>
      <c r="O77" s="245"/>
      <c r="P77" s="245"/>
      <c r="Q77" s="245"/>
      <c r="R77" s="245"/>
      <c r="S77" s="245"/>
      <c r="T77" s="245"/>
      <c r="U77" s="237"/>
    </row>
    <row r="78" spans="1:21" s="238" customFormat="1">
      <c r="A78" s="239" t="s">
        <v>1812</v>
      </c>
      <c r="B78" s="240">
        <f>SUM(C78+D78)</f>
        <v>1599410</v>
      </c>
      <c r="C78" s="241">
        <v>1599410</v>
      </c>
      <c r="D78" s="241"/>
      <c r="E78" s="241">
        <f>C78-F78</f>
        <v>1599410</v>
      </c>
      <c r="F78" s="241"/>
      <c r="G78" s="241"/>
      <c r="H78" s="241"/>
      <c r="I78" s="241"/>
      <c r="J78" s="241"/>
      <c r="K78" s="241"/>
      <c r="L78" s="241"/>
      <c r="M78" s="241"/>
      <c r="N78" s="241"/>
      <c r="O78" s="241"/>
      <c r="P78" s="241"/>
      <c r="Q78" s="241"/>
      <c r="R78" s="241">
        <f>SUM(E78:Q78)</f>
        <v>1599410</v>
      </c>
      <c r="S78" s="241">
        <f>R78</f>
        <v>1599410</v>
      </c>
      <c r="T78" s="241"/>
      <c r="U78" s="237"/>
    </row>
    <row r="79" spans="1:21" s="238" customFormat="1">
      <c r="A79" s="239" t="s">
        <v>568</v>
      </c>
      <c r="B79" s="240">
        <f>SUM(C79+D79)</f>
        <v>222183</v>
      </c>
      <c r="C79" s="241">
        <f>221910+273</f>
        <v>222183</v>
      </c>
      <c r="D79" s="241"/>
      <c r="E79" s="241">
        <f>C79-F79</f>
        <v>222183</v>
      </c>
      <c r="F79" s="241"/>
      <c r="G79" s="241"/>
      <c r="H79" s="241"/>
      <c r="I79" s="241"/>
      <c r="J79" s="241"/>
      <c r="K79" s="241"/>
      <c r="L79" s="241"/>
      <c r="M79" s="241"/>
      <c r="N79" s="241"/>
      <c r="O79" s="241"/>
      <c r="P79" s="241"/>
      <c r="Q79" s="241"/>
      <c r="R79" s="241">
        <f>SUM(E79:Q79)</f>
        <v>222183</v>
      </c>
      <c r="S79" s="241">
        <f>R79</f>
        <v>222183</v>
      </c>
      <c r="T79" s="241"/>
      <c r="U79" s="237"/>
    </row>
    <row r="80" spans="1:21" s="238" customFormat="1">
      <c r="A80" s="243" t="s">
        <v>1813</v>
      </c>
      <c r="B80" s="240">
        <f>SUM(C80:D80)</f>
        <v>1821593</v>
      </c>
      <c r="C80" s="673">
        <f>SUM(C78:C79)</f>
        <v>1821593</v>
      </c>
      <c r="D80" s="673">
        <f t="shared" ref="D80:R80" si="19">SUM(D78:D79)</f>
        <v>0</v>
      </c>
      <c r="E80" s="673">
        <f t="shared" si="19"/>
        <v>1821593</v>
      </c>
      <c r="F80" s="673">
        <f t="shared" si="19"/>
        <v>0</v>
      </c>
      <c r="G80" s="673">
        <f t="shared" si="19"/>
        <v>0</v>
      </c>
      <c r="H80" s="673">
        <f t="shared" si="19"/>
        <v>0</v>
      </c>
      <c r="I80" s="673">
        <f t="shared" si="19"/>
        <v>0</v>
      </c>
      <c r="J80" s="673">
        <f t="shared" si="19"/>
        <v>0</v>
      </c>
      <c r="K80" s="673">
        <f t="shared" si="19"/>
        <v>0</v>
      </c>
      <c r="L80" s="673">
        <f t="shared" si="19"/>
        <v>0</v>
      </c>
      <c r="M80" s="673">
        <f t="shared" si="19"/>
        <v>0</v>
      </c>
      <c r="N80" s="673">
        <f t="shared" si="19"/>
        <v>0</v>
      </c>
      <c r="O80" s="673">
        <f t="shared" si="19"/>
        <v>0</v>
      </c>
      <c r="P80" s="673">
        <f t="shared" si="19"/>
        <v>0</v>
      </c>
      <c r="Q80" s="673">
        <f t="shared" si="19"/>
        <v>0</v>
      </c>
      <c r="R80" s="673">
        <f t="shared" si="19"/>
        <v>1821593</v>
      </c>
      <c r="S80" s="673">
        <f>SUM(S78:S79)</f>
        <v>1821593</v>
      </c>
      <c r="T80" s="673">
        <f>SUM(T78:T79)</f>
        <v>0</v>
      </c>
      <c r="U80" s="237"/>
    </row>
    <row r="81" spans="1:21" s="238" customFormat="1">
      <c r="A81" s="235" t="s">
        <v>545</v>
      </c>
      <c r="B81" s="245"/>
      <c r="C81" s="245"/>
      <c r="D81" s="245"/>
      <c r="E81" s="245"/>
      <c r="F81" s="245"/>
      <c r="G81" s="245"/>
      <c r="H81" s="245"/>
      <c r="I81" s="245"/>
      <c r="J81" s="245"/>
      <c r="K81" s="245"/>
      <c r="L81" s="245"/>
      <c r="M81" s="245"/>
      <c r="N81" s="245"/>
      <c r="O81" s="245"/>
      <c r="P81" s="245"/>
      <c r="Q81" s="245"/>
      <c r="R81" s="245"/>
      <c r="S81" s="245"/>
      <c r="T81" s="245"/>
      <c r="U81" s="237"/>
    </row>
    <row r="82" spans="1:21" s="238" customFormat="1" ht="14.1" customHeight="1">
      <c r="A82" s="239" t="s">
        <v>2230</v>
      </c>
      <c r="B82" s="240">
        <f>SUM(C82+D82)</f>
        <v>109311</v>
      </c>
      <c r="C82" s="241">
        <v>109311</v>
      </c>
      <c r="D82" s="241"/>
      <c r="E82" s="241">
        <f>C82-F82</f>
        <v>109311</v>
      </c>
      <c r="F82" s="241"/>
      <c r="G82" s="241"/>
      <c r="H82" s="241"/>
      <c r="I82" s="241"/>
      <c r="J82" s="241"/>
      <c r="K82" s="241"/>
      <c r="L82" s="241"/>
      <c r="M82" s="241"/>
      <c r="N82" s="241"/>
      <c r="O82" s="241"/>
      <c r="P82" s="241"/>
      <c r="Q82" s="241"/>
      <c r="R82" s="241">
        <f>SUM(E82:Q82)</f>
        <v>109311</v>
      </c>
      <c r="S82" s="242"/>
      <c r="T82" s="242"/>
      <c r="U82" s="237"/>
    </row>
    <row r="83" spans="1:21" s="238" customFormat="1">
      <c r="A83" s="239" t="s">
        <v>546</v>
      </c>
      <c r="B83" s="240">
        <f t="shared" ref="B83:B93" si="20">SUM(C83+D83)</f>
        <v>80000</v>
      </c>
      <c r="C83" s="241">
        <v>80000</v>
      </c>
      <c r="D83" s="241"/>
      <c r="E83" s="241">
        <f>C83-F83</f>
        <v>80000</v>
      </c>
      <c r="F83" s="241"/>
      <c r="G83" s="241"/>
      <c r="H83" s="241"/>
      <c r="I83" s="241"/>
      <c r="J83" s="241"/>
      <c r="K83" s="241"/>
      <c r="L83" s="241"/>
      <c r="M83" s="241"/>
      <c r="N83" s="241"/>
      <c r="O83" s="241"/>
      <c r="P83" s="241"/>
      <c r="Q83" s="241"/>
      <c r="R83" s="241">
        <f t="shared" ref="R83:R93" si="21">SUM(E83:Q83)</f>
        <v>80000</v>
      </c>
      <c r="S83" s="241">
        <f>R83</f>
        <v>80000</v>
      </c>
      <c r="T83" s="241"/>
      <c r="U83" s="237"/>
    </row>
    <row r="84" spans="1:21" s="238" customFormat="1">
      <c r="A84" s="239" t="s">
        <v>547</v>
      </c>
      <c r="B84" s="240">
        <f t="shared" si="20"/>
        <v>391107</v>
      </c>
      <c r="C84" s="241">
        <v>391107</v>
      </c>
      <c r="D84" s="241"/>
      <c r="E84" s="241">
        <f>C84-F84</f>
        <v>391107</v>
      </c>
      <c r="F84" s="241"/>
      <c r="G84" s="241"/>
      <c r="H84" s="241"/>
      <c r="I84" s="241"/>
      <c r="J84" s="241"/>
      <c r="K84" s="241"/>
      <c r="L84" s="241"/>
      <c r="M84" s="241"/>
      <c r="N84" s="241"/>
      <c r="O84" s="241"/>
      <c r="P84" s="241"/>
      <c r="Q84" s="241"/>
      <c r="R84" s="241">
        <f t="shared" si="21"/>
        <v>391107</v>
      </c>
      <c r="S84" s="241">
        <f>R84</f>
        <v>391107</v>
      </c>
      <c r="T84" s="241"/>
      <c r="U84" s="237"/>
    </row>
    <row r="85" spans="1:21" s="238" customFormat="1">
      <c r="A85" s="239" t="s">
        <v>548</v>
      </c>
      <c r="B85" s="240">
        <f t="shared" si="20"/>
        <v>125000</v>
      </c>
      <c r="C85" s="241">
        <v>125000</v>
      </c>
      <c r="D85" s="241"/>
      <c r="E85" s="241">
        <f>C85-F85</f>
        <v>125000</v>
      </c>
      <c r="F85" s="241"/>
      <c r="G85" s="241"/>
      <c r="H85" s="241"/>
      <c r="I85" s="241"/>
      <c r="J85" s="241"/>
      <c r="K85" s="241"/>
      <c r="L85" s="241"/>
      <c r="M85" s="241"/>
      <c r="N85" s="241"/>
      <c r="O85" s="241"/>
      <c r="P85" s="241"/>
      <c r="Q85" s="241"/>
      <c r="R85" s="241">
        <f t="shared" si="21"/>
        <v>125000</v>
      </c>
      <c r="S85" s="241">
        <f>R85</f>
        <v>125000</v>
      </c>
      <c r="T85" s="241"/>
      <c r="U85" s="237"/>
    </row>
    <row r="86" spans="1:21" s="238" customFormat="1">
      <c r="A86" s="239" t="s">
        <v>549</v>
      </c>
      <c r="B86" s="240">
        <f t="shared" si="20"/>
        <v>680430</v>
      </c>
      <c r="C86" s="241">
        <v>680430</v>
      </c>
      <c r="D86" s="241"/>
      <c r="E86" s="241">
        <f>C86-F86</f>
        <v>680430</v>
      </c>
      <c r="F86" s="241"/>
      <c r="G86" s="241"/>
      <c r="H86" s="241"/>
      <c r="I86" s="241"/>
      <c r="J86" s="241"/>
      <c r="K86" s="241"/>
      <c r="L86" s="241"/>
      <c r="M86" s="241"/>
      <c r="N86" s="241"/>
      <c r="O86" s="241"/>
      <c r="P86" s="241"/>
      <c r="Q86" s="241"/>
      <c r="R86" s="241">
        <f t="shared" si="21"/>
        <v>680430</v>
      </c>
      <c r="S86" s="241">
        <f>R86</f>
        <v>680430</v>
      </c>
      <c r="T86" s="241"/>
      <c r="U86" s="237"/>
    </row>
    <row r="87" spans="1:21" s="238" customFormat="1">
      <c r="A87" s="239" t="s">
        <v>550</v>
      </c>
      <c r="B87" s="240">
        <f t="shared" si="20"/>
        <v>0</v>
      </c>
      <c r="C87" s="241"/>
      <c r="D87" s="241"/>
      <c r="E87" s="241"/>
      <c r="F87" s="241"/>
      <c r="G87" s="241"/>
      <c r="H87" s="241"/>
      <c r="I87" s="241"/>
      <c r="J87" s="241"/>
      <c r="K87" s="241"/>
      <c r="L87" s="241"/>
      <c r="M87" s="241"/>
      <c r="N87" s="241"/>
      <c r="O87" s="241"/>
      <c r="P87" s="241"/>
      <c r="Q87" s="241"/>
      <c r="R87" s="241">
        <f t="shared" si="21"/>
        <v>0</v>
      </c>
      <c r="S87" s="242"/>
      <c r="T87" s="242"/>
      <c r="U87" s="237"/>
    </row>
    <row r="88" spans="1:21" s="238" customFormat="1">
      <c r="A88" s="239" t="s">
        <v>551</v>
      </c>
      <c r="B88" s="240">
        <f t="shared" si="20"/>
        <v>100000</v>
      </c>
      <c r="C88" s="241">
        <v>100000</v>
      </c>
      <c r="D88" s="241"/>
      <c r="E88" s="241">
        <f>C88-F88</f>
        <v>100000</v>
      </c>
      <c r="F88" s="241"/>
      <c r="G88" s="241"/>
      <c r="H88" s="241"/>
      <c r="I88" s="241"/>
      <c r="J88" s="241"/>
      <c r="K88" s="241"/>
      <c r="L88" s="241"/>
      <c r="M88" s="241"/>
      <c r="N88" s="241"/>
      <c r="O88" s="241"/>
      <c r="P88" s="241"/>
      <c r="Q88" s="241"/>
      <c r="R88" s="241">
        <f t="shared" si="21"/>
        <v>100000</v>
      </c>
      <c r="S88" s="241">
        <f>R88</f>
        <v>100000</v>
      </c>
      <c r="T88" s="241"/>
      <c r="U88" s="237"/>
    </row>
    <row r="89" spans="1:21" s="238" customFormat="1">
      <c r="A89" s="239" t="s">
        <v>552</v>
      </c>
      <c r="B89" s="240">
        <f t="shared" si="20"/>
        <v>8000</v>
      </c>
      <c r="C89" s="241">
        <v>8000</v>
      </c>
      <c r="D89" s="241"/>
      <c r="E89" s="241">
        <f>C89-F89</f>
        <v>8000</v>
      </c>
      <c r="F89" s="241"/>
      <c r="G89" s="241"/>
      <c r="H89" s="241"/>
      <c r="I89" s="241"/>
      <c r="J89" s="241"/>
      <c r="K89" s="241"/>
      <c r="L89" s="241"/>
      <c r="M89" s="241"/>
      <c r="N89" s="241"/>
      <c r="O89" s="241"/>
      <c r="P89" s="241"/>
      <c r="Q89" s="241"/>
      <c r="R89" s="241">
        <f t="shared" si="21"/>
        <v>8000</v>
      </c>
      <c r="S89" s="241"/>
      <c r="T89" s="241"/>
      <c r="U89" s="237"/>
    </row>
    <row r="90" spans="1:21" s="238" customFormat="1">
      <c r="A90" s="250" t="s">
        <v>1366</v>
      </c>
      <c r="B90" s="240">
        <f t="shared" si="20"/>
        <v>0</v>
      </c>
      <c r="C90" s="241"/>
      <c r="D90" s="241"/>
      <c r="E90" s="241"/>
      <c r="F90" s="241"/>
      <c r="G90" s="241"/>
      <c r="H90" s="241"/>
      <c r="I90" s="241"/>
      <c r="J90" s="241"/>
      <c r="K90" s="241"/>
      <c r="L90" s="241"/>
      <c r="M90" s="241"/>
      <c r="N90" s="241"/>
      <c r="O90" s="241"/>
      <c r="P90" s="241"/>
      <c r="Q90" s="241"/>
      <c r="R90" s="241">
        <f t="shared" si="21"/>
        <v>0</v>
      </c>
      <c r="S90" s="241"/>
      <c r="T90" s="241"/>
      <c r="U90" s="237"/>
    </row>
    <row r="91" spans="1:21" s="238" customFormat="1">
      <c r="A91" s="250" t="s">
        <v>1811</v>
      </c>
      <c r="B91" s="240">
        <f t="shared" si="20"/>
        <v>12000</v>
      </c>
      <c r="C91" s="241">
        <v>12000</v>
      </c>
      <c r="D91" s="241"/>
      <c r="E91" s="241">
        <f>C91-F91</f>
        <v>12000</v>
      </c>
      <c r="F91" s="241"/>
      <c r="G91" s="241"/>
      <c r="H91" s="241"/>
      <c r="I91" s="241"/>
      <c r="J91" s="241"/>
      <c r="K91" s="241"/>
      <c r="L91" s="241"/>
      <c r="M91" s="241"/>
      <c r="N91" s="241"/>
      <c r="O91" s="241"/>
      <c r="P91" s="241"/>
      <c r="Q91" s="241"/>
      <c r="R91" s="241">
        <f t="shared" si="21"/>
        <v>12000</v>
      </c>
      <c r="S91" s="241">
        <f>R91</f>
        <v>12000</v>
      </c>
      <c r="T91" s="241"/>
      <c r="U91" s="237"/>
    </row>
    <row r="92" spans="1:21" s="238" customFormat="1">
      <c r="A92" s="246" t="s">
        <v>2468</v>
      </c>
      <c r="B92" s="240">
        <f t="shared" si="20"/>
        <v>25000</v>
      </c>
      <c r="C92" s="241">
        <v>25000</v>
      </c>
      <c r="D92" s="241"/>
      <c r="E92" s="241">
        <f>C92-F92</f>
        <v>25000</v>
      </c>
      <c r="F92" s="241"/>
      <c r="G92" s="241"/>
      <c r="H92" s="241"/>
      <c r="I92" s="241"/>
      <c r="J92" s="241"/>
      <c r="K92" s="241"/>
      <c r="L92" s="241"/>
      <c r="M92" s="241"/>
      <c r="N92" s="241"/>
      <c r="O92" s="241"/>
      <c r="P92" s="241"/>
      <c r="Q92" s="241"/>
      <c r="R92" s="241">
        <f t="shared" si="21"/>
        <v>25000</v>
      </c>
      <c r="S92" s="241"/>
      <c r="T92" s="241"/>
      <c r="U92" s="237"/>
    </row>
    <row r="93" spans="1:21" s="238" customFormat="1">
      <c r="A93" s="246" t="s">
        <v>2461</v>
      </c>
      <c r="B93" s="240">
        <f t="shared" si="20"/>
        <v>41666</v>
      </c>
      <c r="C93" s="241">
        <v>41666</v>
      </c>
      <c r="D93" s="241"/>
      <c r="E93" s="241">
        <f>C93-F93</f>
        <v>41666</v>
      </c>
      <c r="F93" s="241"/>
      <c r="G93" s="241"/>
      <c r="H93" s="241"/>
      <c r="I93" s="241"/>
      <c r="J93" s="241"/>
      <c r="K93" s="241"/>
      <c r="L93" s="241"/>
      <c r="M93" s="241"/>
      <c r="N93" s="241"/>
      <c r="O93" s="241"/>
      <c r="P93" s="241"/>
      <c r="Q93" s="241"/>
      <c r="R93" s="241">
        <f t="shared" si="21"/>
        <v>41666</v>
      </c>
      <c r="S93" s="241"/>
      <c r="T93" s="241"/>
      <c r="U93" s="237"/>
    </row>
    <row r="94" spans="1:21" s="238" customFormat="1">
      <c r="A94" s="246" t="s">
        <v>563</v>
      </c>
      <c r="B94" s="240">
        <f>SUM(C94+D94)</f>
        <v>0</v>
      </c>
      <c r="C94" s="241"/>
      <c r="D94" s="241"/>
      <c r="E94" s="241"/>
      <c r="F94" s="241"/>
      <c r="G94" s="241"/>
      <c r="H94" s="241"/>
      <c r="I94" s="241"/>
      <c r="J94" s="241"/>
      <c r="K94" s="241"/>
      <c r="L94" s="241"/>
      <c r="M94" s="241"/>
      <c r="N94" s="241"/>
      <c r="O94" s="241"/>
      <c r="P94" s="241"/>
      <c r="Q94" s="241"/>
      <c r="R94" s="241">
        <f>SUM(E94:Q94)</f>
        <v>0</v>
      </c>
      <c r="S94" s="241"/>
      <c r="T94" s="241"/>
      <c r="U94" s="237"/>
    </row>
    <row r="95" spans="1:21" s="238" customFormat="1">
      <c r="A95" s="243" t="s">
        <v>553</v>
      </c>
      <c r="B95" s="240">
        <f>SUM(C95:D95)</f>
        <v>1572514</v>
      </c>
      <c r="C95" s="240">
        <f t="shared" ref="C95:R95" si="22">SUM(C82:C94)</f>
        <v>1572514</v>
      </c>
      <c r="D95" s="240">
        <f t="shared" si="22"/>
        <v>0</v>
      </c>
      <c r="E95" s="240">
        <f t="shared" si="22"/>
        <v>1572514</v>
      </c>
      <c r="F95" s="240">
        <f t="shared" si="22"/>
        <v>0</v>
      </c>
      <c r="G95" s="240">
        <f t="shared" si="22"/>
        <v>0</v>
      </c>
      <c r="H95" s="240">
        <f t="shared" si="22"/>
        <v>0</v>
      </c>
      <c r="I95" s="240">
        <f t="shared" si="22"/>
        <v>0</v>
      </c>
      <c r="J95" s="240">
        <f t="shared" si="22"/>
        <v>0</v>
      </c>
      <c r="K95" s="240">
        <f t="shared" si="22"/>
        <v>0</v>
      </c>
      <c r="L95" s="240">
        <f t="shared" si="22"/>
        <v>0</v>
      </c>
      <c r="M95" s="240">
        <f t="shared" si="22"/>
        <v>0</v>
      </c>
      <c r="N95" s="240">
        <f t="shared" si="22"/>
        <v>0</v>
      </c>
      <c r="O95" s="240">
        <f t="shared" si="22"/>
        <v>0</v>
      </c>
      <c r="P95" s="240">
        <f t="shared" si="22"/>
        <v>0</v>
      </c>
      <c r="Q95" s="240">
        <f t="shared" si="22"/>
        <v>0</v>
      </c>
      <c r="R95" s="240">
        <f t="shared" si="22"/>
        <v>1572514</v>
      </c>
      <c r="S95" s="244">
        <f>SUM(S83:S86,S88:S94)</f>
        <v>1388537</v>
      </c>
      <c r="T95" s="240">
        <f>SUM(T83:T86,T88:T94)</f>
        <v>0</v>
      </c>
      <c r="U95" s="237"/>
    </row>
    <row r="96" spans="1:21" s="238" customFormat="1">
      <c r="A96" s="243" t="s">
        <v>554</v>
      </c>
      <c r="B96" s="240">
        <f>SUM(C96:D96)</f>
        <v>26701208</v>
      </c>
      <c r="C96" s="240">
        <f t="shared" ref="C96:R96" si="23">SUM(C62+C69+C76+C80+C95)</f>
        <v>26701208</v>
      </c>
      <c r="D96" s="240">
        <f t="shared" si="23"/>
        <v>0</v>
      </c>
      <c r="E96" s="240">
        <f t="shared" si="23"/>
        <v>22942084</v>
      </c>
      <c r="F96" s="240">
        <f t="shared" si="23"/>
        <v>3759124</v>
      </c>
      <c r="G96" s="240">
        <f t="shared" si="23"/>
        <v>0</v>
      </c>
      <c r="H96" s="240">
        <f t="shared" si="23"/>
        <v>0</v>
      </c>
      <c r="I96" s="240">
        <f t="shared" si="23"/>
        <v>0</v>
      </c>
      <c r="J96" s="240">
        <f t="shared" si="23"/>
        <v>0</v>
      </c>
      <c r="K96" s="240">
        <f t="shared" si="23"/>
        <v>0</v>
      </c>
      <c r="L96" s="240">
        <f t="shared" si="23"/>
        <v>0</v>
      </c>
      <c r="M96" s="240">
        <f t="shared" si="23"/>
        <v>0</v>
      </c>
      <c r="N96" s="240">
        <f t="shared" si="23"/>
        <v>0</v>
      </c>
      <c r="O96" s="240">
        <f t="shared" si="23"/>
        <v>0</v>
      </c>
      <c r="P96" s="240">
        <f t="shared" si="23"/>
        <v>0</v>
      </c>
      <c r="Q96" s="240">
        <f t="shared" si="23"/>
        <v>0</v>
      </c>
      <c r="R96" s="240">
        <f t="shared" si="23"/>
        <v>26701208</v>
      </c>
      <c r="S96" s="244">
        <f>SUM(+S62+S69+S80+S95)</f>
        <v>21126938</v>
      </c>
      <c r="T96" s="244">
        <f>SUM(T62+T69+T80+T95)</f>
        <v>0</v>
      </c>
      <c r="U96" s="237"/>
    </row>
    <row r="97" spans="1:21" s="238" customFormat="1">
      <c r="A97" s="235" t="s">
        <v>555</v>
      </c>
      <c r="B97" s="245"/>
      <c r="C97" s="245"/>
      <c r="D97" s="245"/>
      <c r="E97" s="245"/>
      <c r="F97" s="245"/>
      <c r="G97" s="245"/>
      <c r="H97" s="245"/>
      <c r="I97" s="245"/>
      <c r="J97" s="245"/>
      <c r="K97" s="245"/>
      <c r="L97" s="245"/>
      <c r="M97" s="245"/>
      <c r="N97" s="245"/>
      <c r="O97" s="245"/>
      <c r="P97" s="245"/>
      <c r="Q97" s="245"/>
      <c r="R97" s="245"/>
      <c r="S97" s="245"/>
      <c r="T97" s="245"/>
      <c r="U97" s="237"/>
    </row>
    <row r="98" spans="1:21" s="238" customFormat="1">
      <c r="A98" s="239" t="s">
        <v>556</v>
      </c>
      <c r="B98" s="240">
        <f>SUM(C98+D98)</f>
        <v>2200000</v>
      </c>
      <c r="C98" s="241">
        <v>2200000</v>
      </c>
      <c r="D98" s="241"/>
      <c r="E98" s="241">
        <f>C98</f>
        <v>2200000</v>
      </c>
      <c r="F98" s="241"/>
      <c r="G98" s="241"/>
      <c r="H98" s="241"/>
      <c r="I98" s="241"/>
      <c r="J98" s="241"/>
      <c r="K98" s="241"/>
      <c r="L98" s="241"/>
      <c r="M98" s="241"/>
      <c r="N98" s="241"/>
      <c r="O98" s="241"/>
      <c r="P98" s="241"/>
      <c r="Q98" s="241"/>
      <c r="R98" s="241">
        <f>SUM(E98:Q98)</f>
        <v>2200000</v>
      </c>
      <c r="S98" s="241">
        <f>R98</f>
        <v>2200000</v>
      </c>
      <c r="T98" s="241"/>
      <c r="U98" s="237"/>
    </row>
    <row r="99" spans="1:21" s="238" customFormat="1">
      <c r="A99" s="239" t="s">
        <v>2052</v>
      </c>
      <c r="B99" s="240">
        <f>SUM(C99+D99)</f>
        <v>0</v>
      </c>
      <c r="C99" s="241"/>
      <c r="D99" s="241"/>
      <c r="E99" s="241"/>
      <c r="F99" s="241"/>
      <c r="G99" s="241"/>
      <c r="H99" s="241"/>
      <c r="I99" s="241"/>
      <c r="J99" s="241"/>
      <c r="K99" s="241"/>
      <c r="L99" s="241"/>
      <c r="M99" s="241"/>
      <c r="N99" s="241"/>
      <c r="O99" s="241"/>
      <c r="P99" s="241"/>
      <c r="Q99" s="241"/>
      <c r="R99" s="241">
        <f>SUM(E99:Q99)</f>
        <v>0</v>
      </c>
      <c r="S99" s="241"/>
      <c r="T99" s="241"/>
      <c r="U99" s="237"/>
    </row>
    <row r="100" spans="1:21" s="238" customFormat="1" ht="12" customHeight="1">
      <c r="A100" s="239" t="s">
        <v>557</v>
      </c>
      <c r="B100" s="240">
        <f>SUM(C100+D100)</f>
        <v>0</v>
      </c>
      <c r="C100" s="241"/>
      <c r="D100" s="241"/>
      <c r="E100" s="241"/>
      <c r="F100" s="241"/>
      <c r="G100" s="241"/>
      <c r="H100" s="241"/>
      <c r="I100" s="241"/>
      <c r="J100" s="241"/>
      <c r="K100" s="241"/>
      <c r="L100" s="241"/>
      <c r="M100" s="241"/>
      <c r="N100" s="241"/>
      <c r="O100" s="241"/>
      <c r="P100" s="241"/>
      <c r="Q100" s="241"/>
      <c r="R100" s="241">
        <f>SUM(E100:Q100)</f>
        <v>0</v>
      </c>
      <c r="S100" s="241"/>
      <c r="T100" s="241"/>
      <c r="U100" s="237"/>
    </row>
    <row r="101" spans="1:21" s="238" customFormat="1">
      <c r="A101" s="239" t="s">
        <v>1291</v>
      </c>
      <c r="B101" s="240">
        <f>SUM(C101+D101)</f>
        <v>0</v>
      </c>
      <c r="C101" s="241"/>
      <c r="D101" s="241"/>
      <c r="E101" s="241"/>
      <c r="F101" s="241"/>
      <c r="G101" s="241"/>
      <c r="H101" s="241"/>
      <c r="I101" s="241"/>
      <c r="J101" s="241"/>
      <c r="K101" s="241"/>
      <c r="L101" s="241"/>
      <c r="M101" s="241"/>
      <c r="N101" s="241"/>
      <c r="O101" s="241"/>
      <c r="P101" s="241"/>
      <c r="Q101" s="241"/>
      <c r="R101" s="241">
        <f>SUM(E101:Q101)</f>
        <v>0</v>
      </c>
      <c r="S101" s="241"/>
      <c r="T101" s="241"/>
      <c r="U101" s="237"/>
    </row>
    <row r="102" spans="1:21" s="238" customFormat="1">
      <c r="A102" s="246" t="s">
        <v>563</v>
      </c>
      <c r="B102" s="240">
        <f>SUM(C102+D102)</f>
        <v>0</v>
      </c>
      <c r="C102" s="241"/>
      <c r="D102" s="241"/>
      <c r="E102" s="241"/>
      <c r="F102" s="241"/>
      <c r="G102" s="241"/>
      <c r="H102" s="241"/>
      <c r="I102" s="241"/>
      <c r="J102" s="241"/>
      <c r="K102" s="241"/>
      <c r="L102" s="241"/>
      <c r="M102" s="241"/>
      <c r="N102" s="241"/>
      <c r="O102" s="241"/>
      <c r="P102" s="241"/>
      <c r="Q102" s="241"/>
      <c r="R102" s="241">
        <f>SUM(E102:Q102)</f>
        <v>0</v>
      </c>
      <c r="S102" s="241"/>
      <c r="T102" s="241"/>
      <c r="U102" s="237"/>
    </row>
    <row r="103" spans="1:21" s="238" customFormat="1">
      <c r="A103" s="243" t="s">
        <v>558</v>
      </c>
      <c r="B103" s="240">
        <f>SUM(C103:D103)</f>
        <v>2200000</v>
      </c>
      <c r="C103" s="240">
        <f t="shared" ref="C103:T103" si="24">SUM(C98:C102)</f>
        <v>2200000</v>
      </c>
      <c r="D103" s="240">
        <f t="shared" si="24"/>
        <v>0</v>
      </c>
      <c r="E103" s="240">
        <f t="shared" si="24"/>
        <v>2200000</v>
      </c>
      <c r="F103" s="240">
        <f t="shared" si="24"/>
        <v>0</v>
      </c>
      <c r="G103" s="240">
        <f t="shared" si="24"/>
        <v>0</v>
      </c>
      <c r="H103" s="240">
        <f t="shared" si="24"/>
        <v>0</v>
      </c>
      <c r="I103" s="240">
        <f t="shared" si="24"/>
        <v>0</v>
      </c>
      <c r="J103" s="240">
        <f t="shared" si="24"/>
        <v>0</v>
      </c>
      <c r="K103" s="240">
        <f t="shared" si="24"/>
        <v>0</v>
      </c>
      <c r="L103" s="240">
        <f t="shared" si="24"/>
        <v>0</v>
      </c>
      <c r="M103" s="240">
        <f t="shared" si="24"/>
        <v>0</v>
      </c>
      <c r="N103" s="240">
        <f t="shared" si="24"/>
        <v>0</v>
      </c>
      <c r="O103" s="240">
        <f t="shared" si="24"/>
        <v>0</v>
      </c>
      <c r="P103" s="240">
        <f t="shared" si="24"/>
        <v>0</v>
      </c>
      <c r="Q103" s="240">
        <f t="shared" si="24"/>
        <v>0</v>
      </c>
      <c r="R103" s="240">
        <f t="shared" si="24"/>
        <v>2200000</v>
      </c>
      <c r="S103" s="244">
        <f t="shared" si="24"/>
        <v>2200000</v>
      </c>
      <c r="T103" s="244">
        <f t="shared" si="24"/>
        <v>0</v>
      </c>
      <c r="U103" s="237"/>
    </row>
    <row r="104" spans="1:21" s="238" customFormat="1">
      <c r="A104" s="243" t="s">
        <v>1203</v>
      </c>
      <c r="B104" s="244">
        <f>SUM(C104:D104)</f>
        <v>28901208</v>
      </c>
      <c r="C104" s="244">
        <f t="shared" ref="C104:R104" si="25">SUM(C96+C103)</f>
        <v>28901208</v>
      </c>
      <c r="D104" s="244">
        <f t="shared" si="25"/>
        <v>0</v>
      </c>
      <c r="E104" s="244">
        <f t="shared" si="25"/>
        <v>25142084</v>
      </c>
      <c r="F104" s="244">
        <f t="shared" si="25"/>
        <v>3759124</v>
      </c>
      <c r="G104" s="244">
        <f t="shared" si="25"/>
        <v>0</v>
      </c>
      <c r="H104" s="244">
        <f t="shared" si="25"/>
        <v>0</v>
      </c>
      <c r="I104" s="244">
        <f t="shared" si="25"/>
        <v>0</v>
      </c>
      <c r="J104" s="244">
        <f t="shared" si="25"/>
        <v>0</v>
      </c>
      <c r="K104" s="244">
        <f t="shared" si="25"/>
        <v>0</v>
      </c>
      <c r="L104" s="244">
        <f t="shared" si="25"/>
        <v>0</v>
      </c>
      <c r="M104" s="244">
        <f t="shared" si="25"/>
        <v>0</v>
      </c>
      <c r="N104" s="244">
        <f t="shared" si="25"/>
        <v>0</v>
      </c>
      <c r="O104" s="244">
        <f t="shared" si="25"/>
        <v>0</v>
      </c>
      <c r="P104" s="244">
        <f t="shared" si="25"/>
        <v>0</v>
      </c>
      <c r="Q104" s="244">
        <f t="shared" si="25"/>
        <v>0</v>
      </c>
      <c r="R104" s="240">
        <f t="shared" si="25"/>
        <v>28901208</v>
      </c>
      <c r="S104" s="244">
        <f>S96+S103</f>
        <v>23326938</v>
      </c>
      <c r="T104" s="244">
        <f>T96+T103</f>
        <v>0</v>
      </c>
      <c r="U104" s="237"/>
    </row>
    <row r="105" spans="1:21" s="253" customFormat="1">
      <c r="A105" s="787" t="s">
        <v>1362</v>
      </c>
      <c r="B105" s="252"/>
      <c r="C105" s="252"/>
      <c r="D105" s="252"/>
      <c r="H105" s="254" t="s">
        <v>472</v>
      </c>
      <c r="I105" s="254"/>
      <c r="J105" s="254"/>
      <c r="R105" s="255" t="s">
        <v>473</v>
      </c>
      <c r="S105" s="241"/>
      <c r="T105" s="241"/>
      <c r="U105" s="256"/>
    </row>
    <row r="106" spans="1:21" s="253" customFormat="1">
      <c r="A106" s="254" t="s">
        <v>326</v>
      </c>
      <c r="C106" s="252"/>
      <c r="D106" s="252"/>
      <c r="I106" s="257" t="s">
        <v>566</v>
      </c>
      <c r="J106" s="257"/>
      <c r="R106" s="255" t="s">
        <v>474</v>
      </c>
      <c r="S106" s="244">
        <f>S104+S105</f>
        <v>23326938</v>
      </c>
      <c r="T106" s="244">
        <f>T104+T105</f>
        <v>0</v>
      </c>
      <c r="U106" s="256"/>
    </row>
    <row r="107" spans="1:21" s="258" customFormat="1">
      <c r="A107" s="257" t="s">
        <v>1153</v>
      </c>
      <c r="B107" s="252"/>
      <c r="C107" s="252"/>
      <c r="D107" s="252"/>
      <c r="E107" s="240">
        <f>Application!AO631</f>
        <v>25142084</v>
      </c>
      <c r="F107" s="240">
        <f>Application!AO618</f>
        <v>3759124</v>
      </c>
      <c r="G107" s="240">
        <f>Application!AO619</f>
        <v>0</v>
      </c>
      <c r="H107" s="240">
        <f>Application!AO620</f>
        <v>0</v>
      </c>
      <c r="I107" s="240">
        <f>Application!AO621</f>
        <v>0</v>
      </c>
      <c r="J107" s="240">
        <f>Application!AO622</f>
        <v>0</v>
      </c>
      <c r="K107" s="240">
        <f>Application!AO623</f>
        <v>0</v>
      </c>
      <c r="L107" s="240">
        <f>Application!AO624</f>
        <v>0</v>
      </c>
      <c r="M107" s="240">
        <f>Application!AO625</f>
        <v>0</v>
      </c>
      <c r="N107" s="240">
        <f>Application!AO626</f>
        <v>0</v>
      </c>
      <c r="O107" s="240">
        <f>Application!AO627</f>
        <v>0</v>
      </c>
      <c r="P107" s="240">
        <f>Application!AO628</f>
        <v>0</v>
      </c>
      <c r="Q107" s="240">
        <f>Application!AO629</f>
        <v>0</v>
      </c>
      <c r="R107" s="417"/>
      <c r="S107" s="253"/>
      <c r="T107" s="253"/>
      <c r="U107" s="294"/>
    </row>
    <row r="108" spans="1:21" s="258" customFormat="1">
      <c r="A108" s="257"/>
      <c r="B108" s="252"/>
      <c r="C108" s="252"/>
      <c r="D108" s="252"/>
      <c r="E108" s="417"/>
      <c r="F108" s="417"/>
      <c r="G108" s="417"/>
      <c r="H108" s="417"/>
      <c r="I108" s="417"/>
      <c r="J108" s="417"/>
      <c r="K108" s="417"/>
      <c r="L108" s="417"/>
      <c r="M108" s="417"/>
      <c r="N108" s="417"/>
      <c r="O108" s="417"/>
      <c r="P108" s="417"/>
      <c r="Q108" s="417"/>
      <c r="R108" s="417"/>
      <c r="S108" s="253"/>
      <c r="T108" s="253"/>
      <c r="U108" s="294"/>
    </row>
    <row r="109" spans="1:21" s="258" customFormat="1" ht="12.75">
      <c r="A109" s="104" t="s">
        <v>1265</v>
      </c>
      <c r="B109" s="252"/>
      <c r="C109" s="252"/>
      <c r="D109" s="252"/>
      <c r="E109" s="417"/>
      <c r="F109" s="417"/>
      <c r="G109" s="417"/>
      <c r="H109" s="417"/>
      <c r="I109" s="417"/>
      <c r="J109" s="417"/>
      <c r="K109" s="417"/>
      <c r="L109" s="417"/>
      <c r="M109" s="417"/>
      <c r="N109" s="417"/>
      <c r="O109" s="417"/>
      <c r="P109" s="417"/>
      <c r="Q109" s="417"/>
      <c r="R109" s="417"/>
      <c r="S109" s="253"/>
      <c r="T109" s="253"/>
      <c r="U109" s="294"/>
    </row>
    <row r="110" spans="1:21" s="258" customFormat="1" ht="12.75">
      <c r="A110" s="128" t="s">
        <v>1266</v>
      </c>
      <c r="B110" s="252"/>
      <c r="C110" s="252"/>
      <c r="D110" s="252"/>
      <c r="E110" s="253"/>
      <c r="F110" s="253"/>
      <c r="G110" s="253"/>
      <c r="H110" s="253"/>
      <c r="I110" s="253"/>
      <c r="J110" s="253"/>
      <c r="K110" s="253"/>
      <c r="L110" s="253"/>
      <c r="M110" s="253"/>
      <c r="N110" s="253"/>
      <c r="O110" s="253"/>
      <c r="P110" s="253"/>
      <c r="Q110" s="253"/>
      <c r="R110" s="253"/>
      <c r="S110" s="253"/>
      <c r="T110" s="253"/>
      <c r="U110" s="294"/>
    </row>
    <row r="111" spans="1:21" s="258" customFormat="1" ht="12.75">
      <c r="A111" s="128"/>
      <c r="B111" s="252"/>
      <c r="C111" s="252"/>
      <c r="D111" s="252"/>
      <c r="E111" s="253"/>
      <c r="F111" s="253"/>
      <c r="G111" s="253"/>
      <c r="H111" s="253"/>
      <c r="I111" s="253"/>
      <c r="J111" s="253"/>
      <c r="K111" s="253"/>
      <c r="L111" s="253"/>
      <c r="M111" s="253"/>
      <c r="N111" s="253"/>
      <c r="O111" s="253"/>
      <c r="P111" s="253"/>
      <c r="Q111" s="253"/>
      <c r="R111" s="253"/>
      <c r="S111" s="253"/>
      <c r="T111" s="253"/>
      <c r="U111" s="294"/>
    </row>
    <row r="112" spans="1:21" s="258" customFormat="1" ht="14.25">
      <c r="A112" s="297" t="s">
        <v>1361</v>
      </c>
      <c r="B112" s="252"/>
      <c r="C112" s="252"/>
      <c r="D112" s="252"/>
      <c r="E112" s="253"/>
      <c r="F112" s="253"/>
      <c r="G112" s="253"/>
      <c r="H112" s="253"/>
      <c r="I112" s="253"/>
      <c r="J112" s="253"/>
      <c r="K112" s="253"/>
      <c r="L112" s="253"/>
      <c r="M112" s="253"/>
      <c r="N112" s="253"/>
      <c r="O112" s="253"/>
      <c r="P112" s="253"/>
      <c r="Q112" s="253"/>
      <c r="R112" s="253"/>
      <c r="S112" s="253"/>
      <c r="T112" s="253"/>
      <c r="U112" s="294"/>
    </row>
    <row r="113" spans="1:21" s="238" customFormat="1" ht="12.75">
      <c r="A113" s="128" t="s">
        <v>2231</v>
      </c>
      <c r="B113" s="253"/>
      <c r="C113" s="253"/>
      <c r="D113" s="253"/>
      <c r="E113" s="253"/>
      <c r="F113" s="253"/>
      <c r="G113" s="253"/>
      <c r="H113" s="253"/>
      <c r="I113" s="253"/>
      <c r="J113" s="253"/>
      <c r="K113" s="253"/>
      <c r="L113" s="253"/>
      <c r="M113" s="253"/>
      <c r="N113" s="253"/>
      <c r="O113" s="253"/>
      <c r="P113" s="253"/>
      <c r="Q113" s="253"/>
      <c r="R113" s="253"/>
      <c r="S113" s="253"/>
      <c r="T113" s="253"/>
      <c r="U113" s="295"/>
    </row>
    <row r="114" spans="1:21" s="485" customFormat="1" ht="14.25">
      <c r="A114" s="297" t="s">
        <v>75</v>
      </c>
      <c r="B114" s="253"/>
      <c r="C114" s="253"/>
      <c r="D114" s="253"/>
      <c r="E114" s="253"/>
      <c r="F114" s="253"/>
      <c r="G114" s="253"/>
      <c r="H114" s="253"/>
      <c r="I114" s="253"/>
      <c r="J114" s="253"/>
      <c r="K114" s="253"/>
      <c r="L114" s="253"/>
      <c r="M114" s="253"/>
      <c r="N114" s="253"/>
      <c r="O114" s="253"/>
      <c r="P114" s="253"/>
      <c r="Q114" s="253"/>
      <c r="R114" s="253"/>
      <c r="S114" s="253"/>
      <c r="T114" s="253"/>
      <c r="U114" s="484"/>
    </row>
    <row r="115" spans="1:21" s="253" customFormat="1" ht="14.25">
      <c r="A115" s="297"/>
      <c r="U115" s="256"/>
    </row>
    <row r="116" spans="1:21" s="258" customFormat="1">
      <c r="A116" s="568" t="s">
        <v>1364</v>
      </c>
      <c r="B116" s="252"/>
      <c r="C116" s="252"/>
      <c r="D116" s="252"/>
      <c r="E116" s="253"/>
      <c r="F116" s="253"/>
      <c r="G116" s="253"/>
      <c r="H116" s="253"/>
      <c r="I116" s="253"/>
      <c r="J116" s="253"/>
      <c r="K116" s="253"/>
      <c r="L116" s="253"/>
      <c r="M116" s="253"/>
      <c r="N116" s="253"/>
      <c r="O116" s="253"/>
      <c r="P116" s="253"/>
      <c r="Q116" s="253"/>
      <c r="R116" s="253"/>
      <c r="S116" s="253"/>
      <c r="T116" s="253"/>
      <c r="U116" s="294"/>
    </row>
    <row r="117" spans="1:21" s="238" customFormat="1">
      <c r="A117" s="568" t="s">
        <v>1869</v>
      </c>
      <c r="B117" s="253"/>
      <c r="C117" s="253"/>
      <c r="D117" s="253"/>
      <c r="E117" s="253"/>
      <c r="F117" s="253"/>
      <c r="G117" s="253"/>
      <c r="H117" s="253"/>
      <c r="I117" s="253"/>
      <c r="J117" s="253"/>
      <c r="K117" s="253"/>
      <c r="L117" s="253"/>
      <c r="M117" s="253"/>
      <c r="N117" s="253"/>
      <c r="O117" s="253"/>
      <c r="P117" s="253"/>
      <c r="Q117" s="253"/>
      <c r="R117" s="253"/>
      <c r="S117" s="253"/>
      <c r="T117" s="253"/>
      <c r="U117" s="295"/>
    </row>
    <row r="118" spans="1:21" s="485" customFormat="1">
      <c r="A118" s="568" t="s">
        <v>1363</v>
      </c>
      <c r="B118" s="253"/>
      <c r="C118" s="253"/>
      <c r="D118" s="253"/>
      <c r="E118" s="253"/>
      <c r="F118" s="253"/>
      <c r="G118" s="253"/>
      <c r="H118" s="253"/>
      <c r="I118" s="253"/>
      <c r="J118" s="253"/>
      <c r="K118" s="253"/>
      <c r="L118" s="253"/>
      <c r="M118" s="253"/>
      <c r="N118" s="253"/>
      <c r="O118" s="253"/>
      <c r="P118" s="253"/>
      <c r="Q118" s="253"/>
      <c r="R118" s="253"/>
      <c r="S118" s="253"/>
      <c r="T118" s="253"/>
      <c r="U118" s="484"/>
    </row>
    <row r="119" spans="1:21" s="485" customFormat="1">
      <c r="A119" s="568" t="s">
        <v>1365</v>
      </c>
      <c r="B119" s="253"/>
      <c r="C119" s="253"/>
      <c r="D119" s="253"/>
      <c r="E119" s="253"/>
      <c r="F119" s="253"/>
      <c r="G119" s="253"/>
      <c r="H119" s="253"/>
      <c r="I119" s="253"/>
      <c r="J119" s="253"/>
      <c r="K119" s="253"/>
      <c r="L119" s="253"/>
      <c r="M119" s="253"/>
      <c r="N119" s="253"/>
      <c r="O119" s="253"/>
      <c r="P119" s="253"/>
      <c r="Q119" s="253"/>
      <c r="R119" s="253"/>
      <c r="S119" s="253"/>
      <c r="T119" s="253"/>
      <c r="U119" s="484"/>
    </row>
    <row r="120" spans="1:21" s="253" customFormat="1" ht="14.25">
      <c r="A120" s="297"/>
      <c r="U120" s="256"/>
    </row>
    <row r="121" spans="1:21" s="559" customFormat="1" ht="15.75">
      <c r="A121" s="558" t="s">
        <v>1356</v>
      </c>
      <c r="U121" s="560"/>
    </row>
    <row r="122" spans="1:21" s="253" customFormat="1">
      <c r="A122" s="254" t="s">
        <v>1341</v>
      </c>
      <c r="D122" s="1568" t="s">
        <v>1342</v>
      </c>
      <c r="E122" s="1568"/>
      <c r="F122" s="1568"/>
      <c r="U122" s="256"/>
    </row>
    <row r="123" spans="1:21" s="253" customFormat="1">
      <c r="A123" s="253" t="s">
        <v>1343</v>
      </c>
      <c r="B123" s="553"/>
      <c r="D123" s="1570" t="s">
        <v>1367</v>
      </c>
      <c r="E123" s="1571"/>
      <c r="F123" s="1571"/>
      <c r="G123" s="1571"/>
      <c r="H123" s="1571"/>
      <c r="I123" s="1571"/>
      <c r="J123" s="1571"/>
      <c r="K123" s="1571"/>
      <c r="L123" s="1571"/>
      <c r="M123" s="1571"/>
      <c r="N123" s="1571"/>
      <c r="O123" s="1571"/>
      <c r="P123" s="1571"/>
      <c r="Q123" s="1571"/>
      <c r="R123" s="1571"/>
      <c r="S123" s="1571"/>
      <c r="U123" s="256"/>
    </row>
    <row r="124" spans="1:21" s="253" customFormat="1" ht="12.75">
      <c r="A124" s="209" t="s">
        <v>1344</v>
      </c>
      <c r="B124" s="553"/>
      <c r="C124" s="209"/>
      <c r="D124" s="1571"/>
      <c r="E124" s="1571"/>
      <c r="F124" s="1571"/>
      <c r="G124" s="1571"/>
      <c r="H124" s="1571"/>
      <c r="I124" s="1571"/>
      <c r="J124" s="1571"/>
      <c r="K124" s="1571"/>
      <c r="L124" s="1571"/>
      <c r="M124" s="1571"/>
      <c r="N124" s="1571"/>
      <c r="O124" s="1571"/>
      <c r="P124" s="1571"/>
      <c r="Q124" s="1571"/>
      <c r="R124" s="1571"/>
      <c r="S124" s="1571"/>
      <c r="U124" s="256"/>
    </row>
    <row r="125" spans="1:21" s="253" customFormat="1" ht="12.75">
      <c r="A125" s="209" t="s">
        <v>1345</v>
      </c>
      <c r="B125" s="553"/>
      <c r="C125" s="209"/>
      <c r="D125" s="1571"/>
      <c r="E125" s="1571"/>
      <c r="F125" s="1571"/>
      <c r="G125" s="1571"/>
      <c r="H125" s="1571"/>
      <c r="I125" s="1571"/>
      <c r="J125" s="1571"/>
      <c r="K125" s="1571"/>
      <c r="L125" s="1571"/>
      <c r="M125" s="1571"/>
      <c r="N125" s="1571"/>
      <c r="O125" s="1571"/>
      <c r="P125" s="1571"/>
      <c r="Q125" s="1571"/>
      <c r="R125" s="1571"/>
      <c r="S125" s="1571"/>
      <c r="U125" s="256"/>
    </row>
    <row r="126" spans="1:21" s="253" customFormat="1" ht="12.75">
      <c r="A126" s="209" t="s">
        <v>1346</v>
      </c>
      <c r="B126" s="553"/>
      <c r="C126" s="209"/>
      <c r="D126" s="208"/>
      <c r="E126" s="208"/>
      <c r="F126" s="208"/>
      <c r="G126" s="208"/>
      <c r="H126" s="208"/>
      <c r="I126" s="208"/>
      <c r="J126" s="208"/>
      <c r="K126" s="208"/>
      <c r="L126" s="208"/>
      <c r="M126" s="208"/>
      <c r="N126" s="208"/>
      <c r="O126" s="209"/>
      <c r="P126" s="209"/>
      <c r="Q126" s="209"/>
      <c r="R126" s="209"/>
      <c r="S126" s="209"/>
      <c r="U126" s="256"/>
    </row>
    <row r="127" spans="1:21" s="253" customFormat="1" ht="12.75">
      <c r="A127" s="209" t="s">
        <v>1347</v>
      </c>
      <c r="B127" s="553"/>
      <c r="C127" s="209"/>
      <c r="D127" s="208"/>
      <c r="E127" s="208"/>
      <c r="F127" s="208"/>
      <c r="G127" s="208"/>
      <c r="H127" s="208"/>
      <c r="I127" s="208"/>
      <c r="J127" s="208"/>
      <c r="K127" s="208"/>
      <c r="L127" s="208"/>
      <c r="M127" s="208"/>
      <c r="N127" s="208"/>
      <c r="O127" s="209"/>
      <c r="P127" s="209"/>
      <c r="Q127" s="209"/>
      <c r="R127" s="209"/>
      <c r="S127" s="209"/>
      <c r="U127" s="256"/>
    </row>
    <row r="128" spans="1:21" s="253" customFormat="1" ht="12.75">
      <c r="A128" s="209" t="s">
        <v>1348</v>
      </c>
      <c r="B128" s="553"/>
      <c r="C128" s="209"/>
      <c r="D128" s="1565"/>
      <c r="E128" s="1565"/>
      <c r="F128" s="1565"/>
      <c r="G128" s="1565"/>
      <c r="H128" s="1565"/>
      <c r="I128" s="209"/>
      <c r="J128" s="1566"/>
      <c r="K128" s="1566"/>
      <c r="L128" s="209"/>
      <c r="M128" s="209"/>
      <c r="N128" s="209"/>
      <c r="O128" s="209"/>
      <c r="P128" s="209"/>
      <c r="Q128" s="209"/>
      <c r="R128" s="209"/>
      <c r="S128" s="209"/>
      <c r="U128" s="256"/>
    </row>
    <row r="129" spans="1:21" s="253" customFormat="1" ht="12.75">
      <c r="A129" s="209" t="s">
        <v>527</v>
      </c>
      <c r="B129" s="553"/>
      <c r="C129" s="209"/>
      <c r="D129" s="1567" t="s">
        <v>1349</v>
      </c>
      <c r="E129" s="1567"/>
      <c r="F129" s="1567"/>
      <c r="G129" s="1567"/>
      <c r="H129" s="1567"/>
      <c r="I129" s="209"/>
      <c r="J129" s="209" t="s">
        <v>1350</v>
      </c>
      <c r="K129" s="209"/>
      <c r="L129" s="209"/>
      <c r="M129" s="209"/>
      <c r="N129" s="209"/>
      <c r="O129" s="209"/>
      <c r="P129" s="209"/>
      <c r="Q129" s="209"/>
      <c r="R129" s="209"/>
      <c r="S129" s="209"/>
      <c r="U129" s="256"/>
    </row>
    <row r="130" spans="1:21" s="253" customFormat="1" ht="12.75">
      <c r="A130" s="209"/>
      <c r="B130" s="551"/>
      <c r="C130" s="209"/>
      <c r="D130" s="209"/>
      <c r="E130" s="209"/>
      <c r="F130" s="209"/>
      <c r="G130" s="209"/>
      <c r="H130" s="209"/>
      <c r="I130" s="209"/>
      <c r="J130" s="209"/>
      <c r="K130" s="209"/>
      <c r="L130" s="209"/>
      <c r="M130" s="209"/>
      <c r="N130" s="209"/>
      <c r="O130" s="209"/>
      <c r="P130" s="209"/>
      <c r="Q130" s="209"/>
      <c r="R130" s="209"/>
      <c r="S130" s="209"/>
      <c r="U130" s="256"/>
    </row>
    <row r="131" spans="1:21" s="253" customFormat="1" ht="12.75">
      <c r="A131" s="106" t="s">
        <v>1351</v>
      </c>
      <c r="B131" s="554">
        <f>SUM(B123:B129)</f>
        <v>0</v>
      </c>
      <c r="C131" s="209"/>
      <c r="D131" s="1306"/>
      <c r="E131" s="1306"/>
      <c r="F131" s="1306"/>
      <c r="G131" s="1306"/>
      <c r="H131" s="1306"/>
      <c r="I131" s="209"/>
      <c r="J131" s="1306"/>
      <c r="K131" s="1306"/>
      <c r="L131" s="1306"/>
      <c r="M131" s="1306"/>
      <c r="N131" s="209"/>
      <c r="O131" s="209"/>
      <c r="P131" s="209"/>
      <c r="Q131" s="209"/>
      <c r="R131" s="209"/>
      <c r="S131" s="209"/>
      <c r="U131" s="256"/>
    </row>
    <row r="132" spans="1:21" s="253" customFormat="1" ht="12.75">
      <c r="A132" s="555"/>
      <c r="B132" s="209"/>
      <c r="C132" s="209"/>
      <c r="D132" s="1572" t="s">
        <v>1352</v>
      </c>
      <c r="E132" s="1572"/>
      <c r="F132" s="1572"/>
      <c r="G132" s="1572"/>
      <c r="H132" s="1572"/>
      <c r="I132" s="209"/>
      <c r="J132" s="1572" t="s">
        <v>1353</v>
      </c>
      <c r="K132" s="1572"/>
      <c r="L132" s="1572"/>
      <c r="M132" s="1572"/>
      <c r="N132" s="209"/>
      <c r="O132" s="209"/>
      <c r="P132" s="209"/>
      <c r="Q132" s="209"/>
      <c r="R132" s="209"/>
      <c r="S132" s="209"/>
      <c r="U132" s="256"/>
    </row>
    <row r="133" spans="1:21" s="253" customFormat="1" ht="12.75">
      <c r="A133" s="555"/>
      <c r="B133" s="209"/>
      <c r="C133" s="209"/>
      <c r="D133" s="209"/>
      <c r="E133" s="209"/>
      <c r="F133" s="209"/>
      <c r="G133" s="209"/>
      <c r="H133" s="209"/>
      <c r="I133" s="209"/>
      <c r="J133" s="209"/>
      <c r="K133" s="209"/>
      <c r="L133" s="209"/>
      <c r="M133" s="209"/>
      <c r="N133" s="209"/>
      <c r="O133" s="209"/>
      <c r="P133" s="209"/>
      <c r="Q133" s="209"/>
      <c r="R133" s="209"/>
      <c r="S133" s="209"/>
      <c r="U133" s="256"/>
    </row>
    <row r="134" spans="1:21" s="253" customFormat="1" ht="12.75">
      <c r="A134" s="102" t="s">
        <v>1354</v>
      </c>
      <c r="B134" s="209"/>
      <c r="C134" s="209"/>
      <c r="D134" s="209"/>
      <c r="E134" s="209"/>
      <c r="F134" s="209"/>
      <c r="G134" s="209"/>
      <c r="H134" s="209"/>
      <c r="I134" s="209"/>
      <c r="J134" s="209"/>
      <c r="K134" s="209"/>
      <c r="L134" s="209"/>
      <c r="M134" s="209"/>
      <c r="N134" s="209"/>
      <c r="O134" s="209"/>
      <c r="P134" s="209"/>
      <c r="Q134" s="209"/>
      <c r="R134" s="209"/>
      <c r="S134" s="209"/>
      <c r="U134" s="256"/>
    </row>
    <row r="135" spans="1:21" s="253" customFormat="1" ht="12.75">
      <c r="A135" s="128" t="s">
        <v>2248</v>
      </c>
      <c r="B135" s="209"/>
      <c r="C135" s="209"/>
      <c r="D135" s="209"/>
      <c r="E135" s="209"/>
      <c r="F135" s="209"/>
      <c r="G135" s="209"/>
      <c r="H135" s="209"/>
      <c r="I135" s="209"/>
      <c r="J135" s="209"/>
      <c r="K135" s="209"/>
      <c r="L135" s="209"/>
      <c r="M135" s="209"/>
      <c r="N135" s="957"/>
      <c r="O135" s="209"/>
      <c r="P135" s="209"/>
      <c r="Q135" s="209"/>
      <c r="R135" s="209"/>
      <c r="S135" s="209"/>
      <c r="U135" s="256"/>
    </row>
    <row r="136" spans="1:21" ht="12.75">
      <c r="A136" s="555"/>
      <c r="B136" s="209"/>
      <c r="C136" s="209"/>
      <c r="D136" s="209"/>
      <c r="E136" s="209"/>
      <c r="F136" s="209"/>
      <c r="G136" s="209"/>
      <c r="H136" s="209"/>
      <c r="I136" s="209"/>
      <c r="J136" s="209"/>
      <c r="K136" s="209"/>
      <c r="L136" s="209"/>
      <c r="M136" s="209"/>
      <c r="N136" s="209"/>
      <c r="O136" s="209"/>
      <c r="P136" s="209"/>
      <c r="Q136" s="209"/>
      <c r="R136" s="209"/>
      <c r="S136" s="209"/>
    </row>
    <row r="137" spans="1:21" ht="12" customHeight="1">
      <c r="A137" s="555"/>
      <c r="B137" s="209"/>
      <c r="C137" s="209"/>
      <c r="D137" s="209"/>
      <c r="E137" s="209"/>
      <c r="F137" s="209"/>
      <c r="G137" s="209"/>
      <c r="H137" s="209"/>
      <c r="I137" s="209"/>
      <c r="J137" s="209"/>
      <c r="K137" s="209"/>
      <c r="L137" s="209"/>
      <c r="M137" s="209"/>
      <c r="N137" s="209"/>
      <c r="O137" s="209"/>
      <c r="P137" s="209"/>
      <c r="Q137" s="209"/>
      <c r="R137" s="209"/>
      <c r="S137" s="209"/>
    </row>
    <row r="138" spans="1:21" ht="12" customHeight="1">
      <c r="A138" s="1573"/>
      <c r="B138" s="1565"/>
      <c r="C138" s="1565"/>
      <c r="D138" s="356"/>
      <c r="E138" s="1566"/>
      <c r="F138" s="1566"/>
      <c r="G138" s="209"/>
      <c r="H138" s="209"/>
      <c r="I138" s="209"/>
      <c r="J138" s="209"/>
      <c r="K138" s="209"/>
      <c r="L138" s="209"/>
      <c r="M138" s="209"/>
      <c r="N138" s="209"/>
      <c r="O138" s="209"/>
      <c r="P138" s="209"/>
      <c r="Q138" s="209"/>
      <c r="R138" s="209"/>
      <c r="S138" s="209"/>
    </row>
    <row r="139" spans="1:21" ht="12" customHeight="1">
      <c r="A139" s="1569" t="s">
        <v>1355</v>
      </c>
      <c r="B139" s="1569"/>
      <c r="C139" s="1569"/>
      <c r="D139" s="356"/>
      <c r="E139" s="209" t="s">
        <v>1350</v>
      </c>
      <c r="F139" s="209"/>
      <c r="G139" s="209"/>
      <c r="H139" s="209"/>
      <c r="I139" s="209"/>
      <c r="J139" s="209"/>
      <c r="K139" s="209"/>
      <c r="L139" s="209"/>
      <c r="M139" s="209"/>
      <c r="N139" s="209"/>
      <c r="O139" s="209"/>
      <c r="P139" s="209"/>
      <c r="Q139" s="209"/>
      <c r="R139" s="209"/>
      <c r="S139" s="209"/>
    </row>
    <row r="140" spans="1:21" s="296" customFormat="1" ht="12" customHeight="1">
      <c r="A140" s="552"/>
      <c r="B140" s="209"/>
      <c r="C140" s="209"/>
      <c r="D140" s="356"/>
      <c r="E140" s="209"/>
      <c r="F140" s="209"/>
      <c r="G140" s="209"/>
      <c r="H140" s="209"/>
      <c r="I140" s="209"/>
      <c r="J140" s="209"/>
      <c r="K140" s="209"/>
      <c r="L140" s="209"/>
      <c r="M140" s="209"/>
      <c r="N140" s="209"/>
      <c r="O140" s="209"/>
      <c r="P140" s="209"/>
      <c r="Q140" s="209"/>
      <c r="R140" s="209"/>
      <c r="S140" s="209"/>
      <c r="T140" s="582"/>
      <c r="U140" s="486"/>
    </row>
    <row r="141" spans="1:21" s="556" customFormat="1" ht="12" customHeight="1">
      <c r="B141" s="356"/>
      <c r="C141" s="356"/>
      <c r="D141" s="356"/>
      <c r="E141" s="356"/>
      <c r="F141" s="356"/>
      <c r="G141" s="209"/>
      <c r="H141" s="209"/>
      <c r="I141" s="209"/>
      <c r="J141" s="209"/>
      <c r="K141" s="209"/>
      <c r="L141" s="209"/>
      <c r="M141" s="209"/>
      <c r="N141" s="209"/>
      <c r="O141" s="209"/>
      <c r="P141" s="209"/>
      <c r="Q141" s="209"/>
      <c r="R141" s="209"/>
      <c r="S141" s="209"/>
      <c r="T141" s="582"/>
      <c r="U141" s="557"/>
    </row>
    <row r="142" spans="1:21"/>
    <row r="143" spans="1:21"/>
    <row r="144" spans="1:21"/>
    <row r="145"/>
    <row r="146"/>
    <row r="147"/>
  </sheetData>
  <sheetProtection algorithmName="SHA-512" hashValue="6E6qzGoEe8HtydWhygu7+wS9b2eNhV3ENjNmU42fwIQ+522OR+z+MwX9Re53OELVr4oUVUWYkRwkj6Ff4xkx/w==" saltValue="oRFN1aywYYzkStxNd1Gj9g=="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25" right="0.5" top="0.75" bottom="0.5" header="0.5" footer="0.25"/>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1" priority="8">
      <formula>AND(B25&gt;0,OR(A25="",A25="Other: (Specify)"))</formula>
    </cfRule>
  </conditionalFormatting>
  <conditionalFormatting sqref="A37">
    <cfRule type="expression" dxfId="60" priority="7">
      <formula>AND(B37&gt;0,OR(A37="",A37="Other: (Specify)"))</formula>
    </cfRule>
  </conditionalFormatting>
  <conditionalFormatting sqref="A52">
    <cfRule type="expression" dxfId="59" priority="6">
      <formula>AND(B52&gt;0,OR(A52="",A52="Other: (Specify)"))</formula>
    </cfRule>
  </conditionalFormatting>
  <conditionalFormatting sqref="A60">
    <cfRule type="expression" dxfId="58" priority="5">
      <formula>AND(B60&gt;0,OR(A60="",A60="Other: (Specify)"))</formula>
    </cfRule>
  </conditionalFormatting>
  <conditionalFormatting sqref="A68">
    <cfRule type="expression" dxfId="57" priority="4">
      <formula>AND(B68&gt;0,OR(A68="",A68="Other: (Specify)"))</formula>
    </cfRule>
  </conditionalFormatting>
  <conditionalFormatting sqref="A75">
    <cfRule type="expression" dxfId="56" priority="3">
      <formula>AND(B75&gt;0,OR(A75="",A75="Other: (Specify)"))</formula>
    </cfRule>
  </conditionalFormatting>
  <conditionalFormatting sqref="A92:A94">
    <cfRule type="expression" dxfId="55" priority="2">
      <formula>AND(B92&gt;0,OR(A92="",A92="Other: (Specify)"))</formula>
    </cfRule>
  </conditionalFormatting>
  <conditionalFormatting sqref="A102">
    <cfRule type="expression" dxfId="54" priority="1">
      <formula>AND(B102&gt;0,OR(A102="",A102="Other: (Specify)"))</formula>
    </cfRule>
  </conditionalFormatting>
  <conditionalFormatting sqref="E104:Q104">
    <cfRule type="cellIs" dxfId="53" priority="185" stopIfTrue="1" operator="notEqual">
      <formula>E$107</formula>
    </cfRule>
  </conditionalFormatting>
  <conditionalFormatting sqref="R4:R15">
    <cfRule type="cellIs" dxfId="52"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1"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0"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49"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48"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47"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46"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45"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4" priority="192" stopIfTrue="1" operator="notEqual">
      <formula>$B78</formula>
    </cfRule>
  </conditionalFormatting>
  <conditionalFormatting sqref="R82:R96">
    <cfRule type="cellIs" dxfId="43"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2"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1" priority="121" stopIfTrue="1">
      <formula>(S10+T10)&gt;C10</formula>
    </cfRule>
  </conditionalFormatting>
  <conditionalFormatting sqref="S13:S14">
    <cfRule type="expression" dxfId="40" priority="109" stopIfTrue="1">
      <formula>(S13+T13)&gt;C13</formula>
    </cfRule>
  </conditionalFormatting>
  <conditionalFormatting sqref="S17:S25">
    <cfRule type="expression" dxfId="39" priority="101" stopIfTrue="1">
      <formula>(S17+T17)&gt;C17</formula>
    </cfRule>
  </conditionalFormatting>
  <conditionalFormatting sqref="S27">
    <cfRule type="expression" dxfId="38" priority="100" stopIfTrue="1">
      <formula>(S27+T27)&gt;C27</formula>
    </cfRule>
  </conditionalFormatting>
  <conditionalFormatting sqref="S29:S37">
    <cfRule type="expression" dxfId="37" priority="91" stopIfTrue="1">
      <formula>(S29+T29)&gt;C29</formula>
    </cfRule>
  </conditionalFormatting>
  <conditionalFormatting sqref="S40:S41">
    <cfRule type="expression" dxfId="36" priority="79" stopIfTrue="1">
      <formula>(S40+T40)&gt;C40</formula>
    </cfRule>
  </conditionalFormatting>
  <conditionalFormatting sqref="S43">
    <cfRule type="expression" dxfId="35" priority="78" stopIfTrue="1">
      <formula>(S43+T43)&gt;C43</formula>
    </cfRule>
  </conditionalFormatting>
  <conditionalFormatting sqref="S45:S52">
    <cfRule type="expression" dxfId="34" priority="68" stopIfTrue="1">
      <formula>(S45+T45)&gt;C45</formula>
    </cfRule>
  </conditionalFormatting>
  <conditionalFormatting sqref="S64:S68">
    <cfRule type="expression" dxfId="33" priority="55" stopIfTrue="1">
      <formula>(S64+T64)&gt;C64</formula>
    </cfRule>
  </conditionalFormatting>
  <conditionalFormatting sqref="S78:S79">
    <cfRule type="expression" dxfId="32" priority="51" stopIfTrue="1">
      <formula>(S78+T78)&gt;C78</formula>
    </cfRule>
  </conditionalFormatting>
  <conditionalFormatting sqref="S83:S86">
    <cfRule type="expression" dxfId="31" priority="47" stopIfTrue="1">
      <formula>(S83+T83)&gt;C83</formula>
    </cfRule>
  </conditionalFormatting>
  <conditionalFormatting sqref="S88:S94">
    <cfRule type="expression" dxfId="30" priority="34" stopIfTrue="1">
      <formula>(S88+T88)&gt;C88</formula>
    </cfRule>
  </conditionalFormatting>
  <conditionalFormatting sqref="S98:S102">
    <cfRule type="expression" dxfId="29" priority="15" stopIfTrue="1">
      <formula>(S98+T98)&gt;C98</formula>
    </cfRule>
  </conditionalFormatting>
  <conditionalFormatting sqref="T9">
    <cfRule type="expression" dxfId="28" priority="241" stopIfTrue="1">
      <formula>T9&gt;C9</formula>
    </cfRule>
  </conditionalFormatting>
  <conditionalFormatting sqref="T10">
    <cfRule type="expression" dxfId="27" priority="240" stopIfTrue="1">
      <formula>(T10+S10)&gt;C10</formula>
    </cfRule>
  </conditionalFormatting>
  <conditionalFormatting sqref="T13:T14">
    <cfRule type="expression" dxfId="26" priority="119" stopIfTrue="1">
      <formula>(T13+S13)&gt;C13</formula>
    </cfRule>
  </conditionalFormatting>
  <conditionalFormatting sqref="T17:T25">
    <cfRule type="expression" dxfId="25" priority="111" stopIfTrue="1">
      <formula>(T17+S17)&gt;C17</formula>
    </cfRule>
  </conditionalFormatting>
  <conditionalFormatting sqref="T27">
    <cfRule type="expression" dxfId="24" priority="99" stopIfTrue="1">
      <formula>(T27+S27)&gt;C27</formula>
    </cfRule>
  </conditionalFormatting>
  <conditionalFormatting sqref="T29:T37">
    <cfRule type="expression" dxfId="23" priority="83" stopIfTrue="1">
      <formula>(T29+S29)&gt;C29</formula>
    </cfRule>
  </conditionalFormatting>
  <conditionalFormatting sqref="T40:T41">
    <cfRule type="expression" dxfId="22" priority="81" stopIfTrue="1">
      <formula>(T40+S40)&gt;C40</formula>
    </cfRule>
  </conditionalFormatting>
  <conditionalFormatting sqref="T43">
    <cfRule type="expression" dxfId="21" priority="77" stopIfTrue="1">
      <formula>(T43+S43)&gt;C43</formula>
    </cfRule>
  </conditionalFormatting>
  <conditionalFormatting sqref="T45:T52">
    <cfRule type="expression" dxfId="20" priority="59" stopIfTrue="1">
      <formula>(T45+S45)&gt;C45</formula>
    </cfRule>
  </conditionalFormatting>
  <conditionalFormatting sqref="T64:T68">
    <cfRule type="expression" dxfId="19" priority="57" stopIfTrue="1">
      <formula>(T64+S64)&gt;C64</formula>
    </cfRule>
  </conditionalFormatting>
  <conditionalFormatting sqref="T78:T79">
    <cfRule type="expression" dxfId="18" priority="53" stopIfTrue="1">
      <formula>(T78+S78)&gt;C78</formula>
    </cfRule>
  </conditionalFormatting>
  <conditionalFormatting sqref="T83:T86">
    <cfRule type="expression" dxfId="17" priority="43" stopIfTrue="1">
      <formula>(T83+S83)&gt;C83</formula>
    </cfRule>
  </conditionalFormatting>
  <conditionalFormatting sqref="T88:T94">
    <cfRule type="expression" dxfId="16" priority="25" stopIfTrue="1">
      <formula>(T88+S88)&gt;C88</formula>
    </cfRule>
  </conditionalFormatting>
  <conditionalFormatting sqref="T98:T102">
    <cfRule type="expression" dxfId="15" priority="9" stopIfTrue="1">
      <formula>(T98+S98)&gt;C98</formula>
    </cfRule>
  </conditionalFormatting>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dimension ref="A1:AR81"/>
  <sheetViews>
    <sheetView showGridLines="0" topLeftCell="A30" workbookViewId="0">
      <selection activeCell="AB71" sqref="AB71"/>
    </sheetView>
  </sheetViews>
  <sheetFormatPr defaultColWidth="0" defaultRowHeight="12.95" customHeight="1"/>
  <cols>
    <col min="1" max="1" width="1.42578125" customWidth="1"/>
    <col min="2" max="2" width="0.85546875" customWidth="1"/>
    <col min="3" max="18" width="2.42578125" customWidth="1"/>
    <col min="19" max="19" width="4" customWidth="1"/>
    <col min="20" max="24" width="2.7109375" customWidth="1"/>
    <col min="25" max="28" width="2.42578125" customWidth="1"/>
    <col min="29" max="29" width="3.42578125" customWidth="1"/>
    <col min="30" max="34" width="2.7109375" customWidth="1"/>
    <col min="35" max="39" width="2.42578125" customWidth="1"/>
    <col min="40" max="40" width="1.42578125" customWidth="1"/>
    <col min="41" max="43" width="2.42578125" customWidth="1"/>
    <col min="44" max="44" width="12.28515625" hidden="1" customWidth="1"/>
    <col min="45" max="16384" width="2.42578125" hidden="1"/>
  </cols>
  <sheetData>
    <row r="1" spans="1:40" ht="12.95" customHeight="1">
      <c r="A1" s="1597" t="s">
        <v>1817</v>
      </c>
      <c r="B1" s="1284"/>
      <c r="C1" s="1284"/>
      <c r="D1" s="1284"/>
      <c r="E1" s="1284"/>
      <c r="F1" s="1284"/>
      <c r="G1" s="1284"/>
      <c r="H1" s="1284"/>
      <c r="I1" s="1284"/>
      <c r="J1" s="1284"/>
      <c r="K1" s="1284"/>
      <c r="L1" s="1284"/>
      <c r="M1" s="1284"/>
      <c r="N1" s="1284"/>
      <c r="O1" s="1284"/>
      <c r="P1" s="1284"/>
      <c r="Q1" s="1284"/>
      <c r="R1" s="1284"/>
      <c r="S1" s="1284"/>
      <c r="T1" s="1284"/>
      <c r="U1" s="1284"/>
      <c r="V1" s="1284"/>
      <c r="W1" s="1284"/>
      <c r="X1" s="1284"/>
      <c r="Y1" s="1284"/>
      <c r="Z1" s="1284"/>
      <c r="AA1" s="1284"/>
      <c r="AB1" s="1284"/>
      <c r="AC1" s="1284"/>
      <c r="AD1" s="1284"/>
      <c r="AE1" s="1284"/>
      <c r="AF1" s="1284"/>
      <c r="AG1" s="1284"/>
      <c r="AH1" s="1284"/>
      <c r="AI1" s="1284"/>
      <c r="AJ1" s="1284"/>
      <c r="AK1" s="1284"/>
      <c r="AL1" s="1284"/>
      <c r="AM1" s="1284"/>
      <c r="AN1" s="1284"/>
    </row>
    <row r="2" spans="1:40" ht="12.95" customHeight="1" thickBot="1">
      <c r="A2" s="1285"/>
      <c r="B2" s="1285"/>
      <c r="C2" s="1285"/>
      <c r="D2" s="1285"/>
      <c r="E2" s="1285"/>
      <c r="F2" s="1285"/>
      <c r="G2" s="1285"/>
      <c r="H2" s="1285"/>
      <c r="I2" s="1285"/>
      <c r="J2" s="1285"/>
      <c r="K2" s="1285"/>
      <c r="L2" s="1285"/>
      <c r="M2" s="1285"/>
      <c r="N2" s="1285"/>
      <c r="O2" s="1285"/>
      <c r="P2" s="1285"/>
      <c r="Q2" s="1285"/>
      <c r="R2" s="1285"/>
      <c r="S2" s="1285"/>
      <c r="T2" s="1285"/>
      <c r="U2" s="1285"/>
      <c r="V2" s="1285"/>
      <c r="W2" s="1285"/>
      <c r="X2" s="1285"/>
      <c r="Y2" s="1285"/>
      <c r="Z2" s="1285"/>
      <c r="AA2" s="1285"/>
      <c r="AB2" s="1285"/>
      <c r="AC2" s="1285"/>
      <c r="AD2" s="1285"/>
      <c r="AE2" s="1285"/>
      <c r="AF2" s="1285"/>
      <c r="AG2" s="1285"/>
      <c r="AH2" s="1285"/>
      <c r="AI2" s="1285"/>
      <c r="AJ2" s="1285"/>
      <c r="AK2" s="1285"/>
      <c r="AL2" s="1285"/>
      <c r="AM2" s="1285"/>
      <c r="AN2" s="1285"/>
    </row>
    <row r="3" spans="1:40" ht="12.95"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2.95" customHeight="1">
      <c r="A5" s="3" t="s">
        <v>688</v>
      </c>
      <c r="C5" s="3" t="s">
        <v>220</v>
      </c>
      <c r="F5" s="3"/>
    </row>
    <row r="6" spans="1:40" ht="12.95" customHeight="1">
      <c r="B6" s="90" t="s">
        <v>1904</v>
      </c>
    </row>
    <row r="7" spans="1:40" ht="12.95" customHeight="1">
      <c r="B7" s="6"/>
      <c r="C7" s="7"/>
      <c r="D7" s="7"/>
      <c r="E7" s="7"/>
      <c r="F7" s="7"/>
      <c r="G7" s="7"/>
      <c r="H7" s="7"/>
      <c r="I7" s="7"/>
      <c r="J7" s="7"/>
      <c r="K7" s="7"/>
      <c r="L7" s="7"/>
      <c r="M7" s="7"/>
      <c r="N7" s="7"/>
      <c r="O7" s="7"/>
      <c r="P7" s="7"/>
      <c r="Q7" s="7"/>
      <c r="R7" s="7"/>
      <c r="S7" s="7"/>
      <c r="T7" s="1582" t="str">
        <f>IF(T25=100%,'Sources and Basis Breakdown'!G2,'Sources and Basis Breakdown'!F2)</f>
        <v>70% PVC for New Const/
Rehabilitation
DDA/QCT
Building(s)</v>
      </c>
      <c r="U7" s="1582"/>
      <c r="V7" s="1582"/>
      <c r="W7" s="1582"/>
      <c r="X7" s="1582"/>
      <c r="Y7" s="1582" t="str">
        <f>IF(T25=100%," ",'Sources and Basis Breakdown'!G2)</f>
        <v>70% PVC for New Const/
Rehabilitation
NON-DDA/
NON-QCT Building(s)</v>
      </c>
      <c r="Z7" s="1582"/>
      <c r="AA7" s="1582"/>
      <c r="AB7" s="1582"/>
      <c r="AC7" s="1582"/>
      <c r="AD7" s="1582" t="str">
        <f>IF(T25=100%,'Sources and Basis Breakdown'!J2,'Sources and Basis Breakdown'!I2)</f>
        <v>30% PVC for Acquisition
DDA/QCT Building(s)</v>
      </c>
      <c r="AE7" s="1582"/>
      <c r="AF7" s="1582"/>
      <c r="AG7" s="1582"/>
      <c r="AH7" s="1582"/>
      <c r="AI7" s="1582" t="str">
        <f>IF(T25=100%," ",'Sources and Basis Breakdown'!J2)</f>
        <v>30% PVC for Acquisition
NON-DDA/
NON-QCT Building(s)</v>
      </c>
      <c r="AJ7" s="1582"/>
      <c r="AK7" s="1582"/>
      <c r="AL7" s="1582"/>
      <c r="AM7" s="1582"/>
    </row>
    <row r="8" spans="1:40" ht="12.95" customHeight="1">
      <c r="B8" s="204"/>
      <c r="T8" s="1582"/>
      <c r="U8" s="1582"/>
      <c r="V8" s="1582"/>
      <c r="W8" s="1582"/>
      <c r="X8" s="1582"/>
      <c r="Y8" s="1582"/>
      <c r="Z8" s="1582"/>
      <c r="AA8" s="1582"/>
      <c r="AB8" s="1582"/>
      <c r="AC8" s="1582"/>
      <c r="AD8" s="1582"/>
      <c r="AE8" s="1582"/>
      <c r="AF8" s="1582"/>
      <c r="AG8" s="1582"/>
      <c r="AH8" s="1582"/>
      <c r="AI8" s="1582"/>
      <c r="AJ8" s="1582"/>
      <c r="AK8" s="1582"/>
      <c r="AL8" s="1582"/>
      <c r="AM8" s="1582"/>
    </row>
    <row r="9" spans="1:40" ht="12.95" customHeight="1">
      <c r="B9" s="204"/>
      <c r="T9" s="1582"/>
      <c r="U9" s="1582"/>
      <c r="V9" s="1582"/>
      <c r="W9" s="1582"/>
      <c r="X9" s="1582"/>
      <c r="Y9" s="1582"/>
      <c r="Z9" s="1582"/>
      <c r="AA9" s="1582"/>
      <c r="AB9" s="1582"/>
      <c r="AC9" s="1582"/>
      <c r="AD9" s="1582"/>
      <c r="AE9" s="1582"/>
      <c r="AF9" s="1582"/>
      <c r="AG9" s="1582"/>
      <c r="AH9" s="1582"/>
      <c r="AI9" s="1582"/>
      <c r="AJ9" s="1582"/>
      <c r="AK9" s="1582"/>
      <c r="AL9" s="1582"/>
      <c r="AM9" s="1582"/>
    </row>
    <row r="10" spans="1:40" ht="12.95" customHeight="1">
      <c r="B10" s="53"/>
      <c r="C10" s="54"/>
      <c r="D10" s="54"/>
      <c r="E10" s="54"/>
      <c r="F10" s="54"/>
      <c r="G10" s="54"/>
      <c r="H10" s="54"/>
      <c r="I10" s="54"/>
      <c r="J10" s="54"/>
      <c r="K10" s="54"/>
      <c r="L10" s="54"/>
      <c r="M10" s="54"/>
      <c r="N10" s="54"/>
      <c r="O10" s="54"/>
      <c r="P10" s="54"/>
      <c r="Q10" s="54"/>
      <c r="R10" s="54"/>
      <c r="S10" s="54"/>
      <c r="T10" s="1582"/>
      <c r="U10" s="1582"/>
      <c r="V10" s="1582"/>
      <c r="W10" s="1582"/>
      <c r="X10" s="1582"/>
      <c r="Y10" s="1582"/>
      <c r="Z10" s="1582"/>
      <c r="AA10" s="1582"/>
      <c r="AB10" s="1582"/>
      <c r="AC10" s="1582"/>
      <c r="AD10" s="1582"/>
      <c r="AE10" s="1582"/>
      <c r="AF10" s="1582"/>
      <c r="AG10" s="1582"/>
      <c r="AH10" s="1582"/>
      <c r="AI10" s="1582"/>
      <c r="AJ10" s="1582"/>
      <c r="AK10" s="1582"/>
      <c r="AL10" s="1582"/>
      <c r="AM10" s="1582"/>
    </row>
    <row r="11" spans="1:40" ht="12.95" customHeight="1">
      <c r="B11" s="1091" t="s">
        <v>538</v>
      </c>
      <c r="C11" s="1092"/>
      <c r="D11" s="1092"/>
      <c r="E11" s="1092"/>
      <c r="F11" s="1092"/>
      <c r="G11" s="1092"/>
      <c r="H11" s="1092"/>
      <c r="I11" s="1092"/>
      <c r="J11" s="1092"/>
      <c r="K11" s="1092"/>
      <c r="L11" s="1092"/>
      <c r="M11" s="1092"/>
      <c r="N11" s="1092"/>
      <c r="O11" s="1092"/>
      <c r="P11" s="1092"/>
      <c r="Q11" s="1092"/>
      <c r="R11" s="1092"/>
      <c r="S11" s="1094"/>
      <c r="T11" s="1613">
        <f>IF('Sources and Basis Breakdown'!F105=0,'Sources and Basis Breakdown'!E105,'Sources and Basis Breakdown'!F105)</f>
        <v>23326938</v>
      </c>
      <c r="U11" s="1600"/>
      <c r="V11" s="1600"/>
      <c r="W11" s="1600"/>
      <c r="X11" s="1600"/>
      <c r="Y11" s="1599">
        <f>IF(Y7=" ",0,IF('Sources and Basis Breakdown'!G105+'Sources and Basis Breakdown'!F105='Sources and Basis Breakdown'!E105,'Sources and Basis Breakdown'!G105,0))</f>
        <v>0</v>
      </c>
      <c r="Z11" s="1600"/>
      <c r="AA11" s="1600"/>
      <c r="AB11" s="1600"/>
      <c r="AC11" s="1600"/>
      <c r="AD11" s="1600">
        <f>IF('Sources and Basis Breakdown'!I105=0,'Sources and Basis Breakdown'!H105,'Sources and Basis Breakdown'!I105)</f>
        <v>0</v>
      </c>
      <c r="AE11" s="1600"/>
      <c r="AF11" s="1600"/>
      <c r="AG11" s="1600"/>
      <c r="AH11" s="1600"/>
      <c r="AI11" s="1600">
        <f>IF(AI7=" ",0,IF('Sources and Basis Breakdown'!I105+'Sources and Basis Breakdown'!J105='Sources and Basis Breakdown'!H105,'Sources and Basis Breakdown'!J105,0))</f>
        <v>0</v>
      </c>
      <c r="AJ11" s="1600"/>
      <c r="AK11" s="1600"/>
      <c r="AL11" s="1600"/>
      <c r="AM11" s="1600"/>
    </row>
    <row r="12" spans="1:40" ht="12.95" customHeight="1">
      <c r="B12" s="1607" t="s">
        <v>475</v>
      </c>
      <c r="C12" s="1001"/>
      <c r="D12" s="1001"/>
      <c r="E12" s="1001"/>
      <c r="F12" s="1001"/>
      <c r="G12" s="1001"/>
      <c r="H12" s="1001"/>
      <c r="I12" s="1001"/>
      <c r="J12" s="1001"/>
      <c r="K12" s="1001"/>
      <c r="L12" s="1001"/>
      <c r="M12" s="1001"/>
      <c r="N12" s="1001"/>
      <c r="O12" s="1001"/>
      <c r="P12" s="1001"/>
      <c r="Q12" s="1001"/>
      <c r="R12" s="1001"/>
      <c r="S12" s="1608"/>
      <c r="T12" s="1602"/>
      <c r="U12" s="1603"/>
      <c r="V12" s="1603"/>
      <c r="W12" s="1603"/>
      <c r="X12" s="1604"/>
      <c r="Y12" s="1602"/>
      <c r="Z12" s="1603"/>
      <c r="AA12" s="1603"/>
      <c r="AB12" s="1603"/>
      <c r="AC12" s="1604"/>
      <c r="AD12" s="1602"/>
      <c r="AE12" s="1603"/>
      <c r="AF12" s="1603"/>
      <c r="AG12" s="1603"/>
      <c r="AH12" s="1604"/>
      <c r="AI12" s="1602"/>
      <c r="AJ12" s="1603"/>
      <c r="AK12" s="1603"/>
      <c r="AL12" s="1603"/>
      <c r="AM12" s="1604"/>
    </row>
    <row r="13" spans="1:40" ht="12.95" customHeight="1">
      <c r="B13" s="8"/>
      <c r="C13" s="1609" t="s">
        <v>1783</v>
      </c>
      <c r="D13" s="1610"/>
      <c r="E13" s="1610"/>
      <c r="F13" s="1610"/>
      <c r="G13" s="1610"/>
      <c r="H13" s="1610"/>
      <c r="I13" s="1610"/>
      <c r="J13" s="1610"/>
      <c r="K13" s="1610"/>
      <c r="L13" s="1610"/>
      <c r="M13" s="1610"/>
      <c r="N13" s="1610"/>
      <c r="O13" s="1610"/>
      <c r="P13" s="1610"/>
      <c r="Q13" s="1610"/>
      <c r="R13" s="1610"/>
      <c r="S13" s="1611"/>
      <c r="T13" s="1601"/>
      <c r="U13" s="1598"/>
      <c r="V13" s="1598"/>
      <c r="W13" s="1598"/>
      <c r="X13" s="1598"/>
      <c r="Y13" s="1601"/>
      <c r="Z13" s="1598"/>
      <c r="AA13" s="1598"/>
      <c r="AB13" s="1598"/>
      <c r="AC13" s="1598"/>
      <c r="AD13" s="1598"/>
      <c r="AE13" s="1598"/>
      <c r="AF13" s="1598"/>
      <c r="AG13" s="1598"/>
      <c r="AH13" s="1598"/>
      <c r="AI13" s="1598"/>
      <c r="AJ13" s="1598"/>
      <c r="AK13" s="1598"/>
      <c r="AL13" s="1598"/>
      <c r="AM13" s="1598"/>
    </row>
    <row r="14" spans="1:40" ht="12.95" customHeight="1">
      <c r="B14" s="8"/>
      <c r="C14" s="1610" t="s">
        <v>804</v>
      </c>
      <c r="D14" s="1610"/>
      <c r="E14" s="1610"/>
      <c r="F14" s="1610"/>
      <c r="G14" s="1610"/>
      <c r="H14" s="1610"/>
      <c r="I14" s="1610"/>
      <c r="J14" s="1610"/>
      <c r="K14" s="1610"/>
      <c r="L14" s="1610"/>
      <c r="M14" s="1610"/>
      <c r="N14" s="1610"/>
      <c r="O14" s="1610"/>
      <c r="P14" s="1610"/>
      <c r="Q14" s="1610"/>
      <c r="R14" s="1610"/>
      <c r="S14" s="1611"/>
      <c r="T14" s="1061"/>
      <c r="U14" s="1239"/>
      <c r="V14" s="1239"/>
      <c r="W14" s="1239"/>
      <c r="X14" s="1239"/>
      <c r="Y14" s="1061"/>
      <c r="Z14" s="1239"/>
      <c r="AA14" s="1239"/>
      <c r="AB14" s="1239"/>
      <c r="AC14" s="1239"/>
      <c r="AD14" s="1239"/>
      <c r="AE14" s="1239"/>
      <c r="AF14" s="1239"/>
      <c r="AG14" s="1239"/>
      <c r="AH14" s="1239"/>
      <c r="AI14" s="1239"/>
      <c r="AJ14" s="1239"/>
      <c r="AK14" s="1239"/>
      <c r="AL14" s="1239"/>
      <c r="AM14" s="1239"/>
    </row>
    <row r="15" spans="1:40" ht="12.95" customHeight="1">
      <c r="B15" s="8"/>
      <c r="C15" s="1610" t="s">
        <v>805</v>
      </c>
      <c r="D15" s="1610"/>
      <c r="E15" s="1610"/>
      <c r="F15" s="1610"/>
      <c r="G15" s="1610"/>
      <c r="H15" s="1610"/>
      <c r="I15" s="1610"/>
      <c r="J15" s="1610"/>
      <c r="K15" s="1610"/>
      <c r="L15" s="1610"/>
      <c r="M15" s="1610"/>
      <c r="N15" s="1610"/>
      <c r="O15" s="1610"/>
      <c r="P15" s="1610"/>
      <c r="Q15" s="1610"/>
      <c r="R15" s="1610"/>
      <c r="S15" s="1611"/>
      <c r="T15" s="1061"/>
      <c r="U15" s="1239"/>
      <c r="V15" s="1239"/>
      <c r="W15" s="1239"/>
      <c r="X15" s="1239"/>
      <c r="Y15" s="1061"/>
      <c r="Z15" s="1239"/>
      <c r="AA15" s="1239"/>
      <c r="AB15" s="1239"/>
      <c r="AC15" s="1239"/>
      <c r="AD15" s="1239"/>
      <c r="AE15" s="1239"/>
      <c r="AF15" s="1239"/>
      <c r="AG15" s="1239"/>
      <c r="AH15" s="1239"/>
      <c r="AI15" s="1239"/>
      <c r="AJ15" s="1239"/>
      <c r="AK15" s="1239"/>
      <c r="AL15" s="1239"/>
      <c r="AM15" s="1239"/>
    </row>
    <row r="16" spans="1:40" ht="12.95" customHeight="1">
      <c r="B16" s="8"/>
      <c r="C16" s="1609" t="s">
        <v>1056</v>
      </c>
      <c r="D16" s="1609"/>
      <c r="E16" s="1609"/>
      <c r="F16" s="1609"/>
      <c r="G16" s="1609"/>
      <c r="H16" s="1609"/>
      <c r="I16" s="1609"/>
      <c r="J16" s="1609"/>
      <c r="K16" s="1609"/>
      <c r="L16" s="1609"/>
      <c r="M16" s="1609"/>
      <c r="N16" s="1609"/>
      <c r="O16" s="1609"/>
      <c r="P16" s="1609"/>
      <c r="Q16" s="1609"/>
      <c r="R16" s="1609"/>
      <c r="S16" s="1612"/>
      <c r="T16" s="1061"/>
      <c r="U16" s="1239"/>
      <c r="V16" s="1239"/>
      <c r="W16" s="1239"/>
      <c r="X16" s="1239"/>
      <c r="Y16" s="1061"/>
      <c r="Z16" s="1239"/>
      <c r="AA16" s="1239"/>
      <c r="AB16" s="1239"/>
      <c r="AC16" s="1239"/>
      <c r="AD16" s="1239"/>
      <c r="AE16" s="1239"/>
      <c r="AF16" s="1239"/>
      <c r="AG16" s="1239"/>
      <c r="AH16" s="1239"/>
      <c r="AI16" s="1239"/>
      <c r="AJ16" s="1239"/>
      <c r="AK16" s="1239"/>
      <c r="AL16" s="1239"/>
      <c r="AM16" s="1239"/>
    </row>
    <row r="17" spans="1:39" ht="12.95" customHeight="1">
      <c r="B17" s="8"/>
      <c r="C17" s="1610" t="s">
        <v>806</v>
      </c>
      <c r="D17" s="1610"/>
      <c r="E17" s="1610"/>
      <c r="F17" s="1610"/>
      <c r="G17" s="1610"/>
      <c r="H17" s="1610"/>
      <c r="I17" s="1610"/>
      <c r="J17" s="1610"/>
      <c r="K17" s="1610"/>
      <c r="L17" s="1610"/>
      <c r="M17" s="1610"/>
      <c r="N17" s="1610"/>
      <c r="O17" s="1610"/>
      <c r="P17" s="1610"/>
      <c r="Q17" s="1610"/>
      <c r="R17" s="1610"/>
      <c r="S17" s="1611"/>
      <c r="T17" s="1061"/>
      <c r="U17" s="1239"/>
      <c r="V17" s="1239"/>
      <c r="W17" s="1239"/>
      <c r="X17" s="1239"/>
      <c r="Y17" s="1061"/>
      <c r="Z17" s="1239"/>
      <c r="AA17" s="1239"/>
      <c r="AB17" s="1239"/>
      <c r="AC17" s="1239"/>
      <c r="AD17" s="1239"/>
      <c r="AE17" s="1239"/>
      <c r="AF17" s="1239"/>
      <c r="AG17" s="1239"/>
      <c r="AH17" s="1239"/>
      <c r="AI17" s="1239"/>
      <c r="AJ17" s="1239"/>
      <c r="AK17" s="1239"/>
      <c r="AL17" s="1239"/>
      <c r="AM17" s="1239"/>
    </row>
    <row r="18" spans="1:39" ht="12.95" customHeight="1">
      <c r="B18" s="948"/>
      <c r="C18" s="1605" t="s">
        <v>1267</v>
      </c>
      <c r="D18" s="1605"/>
      <c r="E18" s="1605"/>
      <c r="F18" s="1605"/>
      <c r="G18" s="1605"/>
      <c r="H18" s="1605"/>
      <c r="I18" s="1605"/>
      <c r="J18" s="1605"/>
      <c r="K18" s="1605"/>
      <c r="L18" s="1605"/>
      <c r="M18" s="1605"/>
      <c r="N18" s="1605"/>
      <c r="O18" s="1605"/>
      <c r="P18" s="1605"/>
      <c r="Q18" s="1605"/>
      <c r="R18" s="1605"/>
      <c r="S18" s="1606"/>
      <c r="T18" s="1059"/>
      <c r="U18" s="1060"/>
      <c r="V18" s="1060"/>
      <c r="W18" s="1060"/>
      <c r="X18" s="1061"/>
      <c r="Y18" s="1061"/>
      <c r="Z18" s="1239"/>
      <c r="AA18" s="1239"/>
      <c r="AB18" s="1239"/>
      <c r="AC18" s="1239"/>
      <c r="AD18" s="1239"/>
      <c r="AE18" s="1239"/>
      <c r="AF18" s="1239"/>
      <c r="AG18" s="1239"/>
      <c r="AH18" s="1239"/>
      <c r="AI18" s="1239"/>
      <c r="AJ18" s="1239"/>
      <c r="AK18" s="1239"/>
      <c r="AL18" s="1239"/>
      <c r="AM18" s="1239"/>
    </row>
    <row r="19" spans="1:39" ht="12.95" customHeight="1">
      <c r="B19" s="490"/>
      <c r="C19" s="1605" t="s">
        <v>1267</v>
      </c>
      <c r="D19" s="1605"/>
      <c r="E19" s="1605"/>
      <c r="F19" s="1605"/>
      <c r="G19" s="1605"/>
      <c r="H19" s="1605"/>
      <c r="I19" s="1605"/>
      <c r="J19" s="1605"/>
      <c r="K19" s="1605"/>
      <c r="L19" s="1605"/>
      <c r="M19" s="1605"/>
      <c r="N19" s="1605"/>
      <c r="O19" s="1605"/>
      <c r="P19" s="1605"/>
      <c r="Q19" s="1605"/>
      <c r="R19" s="1605"/>
      <c r="S19" s="1606"/>
      <c r="T19" s="1061"/>
      <c r="U19" s="1239"/>
      <c r="V19" s="1239"/>
      <c r="W19" s="1239"/>
      <c r="X19" s="1239"/>
      <c r="Y19" s="1061"/>
      <c r="Z19" s="1239"/>
      <c r="AA19" s="1239"/>
      <c r="AB19" s="1239"/>
      <c r="AC19" s="1239"/>
      <c r="AD19" s="1239"/>
      <c r="AE19" s="1239"/>
      <c r="AF19" s="1239"/>
      <c r="AG19" s="1239"/>
      <c r="AH19" s="1239"/>
      <c r="AI19" s="1239"/>
      <c r="AJ19" s="1239"/>
      <c r="AK19" s="1239"/>
      <c r="AL19" s="1239"/>
      <c r="AM19" s="1239"/>
    </row>
    <row r="20" spans="1:39" ht="12.95" customHeight="1">
      <c r="B20" s="1091" t="s">
        <v>807</v>
      </c>
      <c r="C20" s="1092"/>
      <c r="D20" s="1092"/>
      <c r="E20" s="1092"/>
      <c r="F20" s="1092"/>
      <c r="G20" s="1092"/>
      <c r="H20" s="1092"/>
      <c r="I20" s="1092"/>
      <c r="J20" s="1092"/>
      <c r="K20" s="1092"/>
      <c r="L20" s="1092"/>
      <c r="M20" s="1092"/>
      <c r="N20" s="1092"/>
      <c r="O20" s="1092"/>
      <c r="P20" s="1092"/>
      <c r="Q20" s="1092"/>
      <c r="R20" s="1092"/>
      <c r="S20" s="1094"/>
      <c r="T20" s="1579">
        <f>SUM(T13:X19)</f>
        <v>0</v>
      </c>
      <c r="U20" s="1308"/>
      <c r="V20" s="1308"/>
      <c r="W20" s="1308"/>
      <c r="X20" s="1308"/>
      <c r="Y20" s="1579">
        <f>SUM(Y13:AC19)</f>
        <v>0</v>
      </c>
      <c r="Z20" s="1308"/>
      <c r="AA20" s="1308"/>
      <c r="AB20" s="1308"/>
      <c r="AC20" s="1308"/>
      <c r="AD20" s="1308">
        <f>SUM(AD13:AH19)</f>
        <v>0</v>
      </c>
      <c r="AE20" s="1308"/>
      <c r="AF20" s="1308"/>
      <c r="AG20" s="1308"/>
      <c r="AH20" s="1308"/>
      <c r="AI20" s="1308">
        <f>SUM(AI13:AM19)</f>
        <v>0</v>
      </c>
      <c r="AJ20" s="1308"/>
      <c r="AK20" s="1308"/>
      <c r="AL20" s="1308"/>
      <c r="AM20" s="1308"/>
    </row>
    <row r="21" spans="1:39" ht="12.95" customHeight="1">
      <c r="B21" s="1091" t="s">
        <v>1782</v>
      </c>
      <c r="C21" s="1092"/>
      <c r="D21" s="1092"/>
      <c r="E21" s="1092"/>
      <c r="F21" s="1092"/>
      <c r="G21" s="1092"/>
      <c r="H21" s="1092"/>
      <c r="I21" s="1092"/>
      <c r="J21" s="1092"/>
      <c r="K21" s="1092"/>
      <c r="L21" s="1092"/>
      <c r="M21" s="1092"/>
      <c r="N21" s="1092"/>
      <c r="O21" s="1092"/>
      <c r="P21" s="1092"/>
      <c r="Q21" s="1092"/>
      <c r="R21" s="1092"/>
      <c r="S21" s="1094"/>
      <c r="T21" s="1061">
        <f>T11-19512949</f>
        <v>3813989</v>
      </c>
      <c r="U21" s="1239"/>
      <c r="V21" s="1239"/>
      <c r="W21" s="1239"/>
      <c r="X21" s="1239"/>
      <c r="Y21" s="1061"/>
      <c r="Z21" s="1239"/>
      <c r="AA21" s="1239"/>
      <c r="AB21" s="1239"/>
      <c r="AC21" s="1239"/>
      <c r="AD21" s="1061"/>
      <c r="AE21" s="1239"/>
      <c r="AF21" s="1239"/>
      <c r="AG21" s="1239"/>
      <c r="AH21" s="1239"/>
      <c r="AI21" s="1061"/>
      <c r="AJ21" s="1239"/>
      <c r="AK21" s="1239"/>
      <c r="AL21" s="1239"/>
      <c r="AM21" s="1239"/>
    </row>
    <row r="22" spans="1:39" ht="12.95" customHeight="1">
      <c r="B22" s="1091" t="s">
        <v>808</v>
      </c>
      <c r="C22" s="1092"/>
      <c r="D22" s="1092"/>
      <c r="E22" s="1092"/>
      <c r="F22" s="1092"/>
      <c r="G22" s="1092"/>
      <c r="H22" s="1092"/>
      <c r="I22" s="1092"/>
      <c r="J22" s="1092"/>
      <c r="K22" s="1092"/>
      <c r="L22" s="1092"/>
      <c r="M22" s="1092"/>
      <c r="N22" s="1092"/>
      <c r="O22" s="1092"/>
      <c r="P22" s="1092"/>
      <c r="Q22" s="1092"/>
      <c r="R22" s="1092"/>
      <c r="S22" s="1094"/>
      <c r="T22" s="1614">
        <f>(ABS(T20)+ABS(T21))*-1</f>
        <v>-3813989</v>
      </c>
      <c r="U22" s="1615"/>
      <c r="V22" s="1615"/>
      <c r="W22" s="1615"/>
      <c r="X22" s="1615"/>
      <c r="Y22" s="1614">
        <f>(ABS(Y20)+ABS(Y21))*-1</f>
        <v>0</v>
      </c>
      <c r="Z22" s="1615"/>
      <c r="AA22" s="1615"/>
      <c r="AB22" s="1615"/>
      <c r="AC22" s="1615"/>
      <c r="AD22" s="1614">
        <f>(ABS(AD20)+ABS(AD21))*-1</f>
        <v>0</v>
      </c>
      <c r="AE22" s="1615"/>
      <c r="AF22" s="1615"/>
      <c r="AG22" s="1615"/>
      <c r="AH22" s="1615"/>
      <c r="AI22" s="1614">
        <f>(ABS(AI20)+ABS(AI21))*-1</f>
        <v>0</v>
      </c>
      <c r="AJ22" s="1615"/>
      <c r="AK22" s="1615"/>
      <c r="AL22" s="1615"/>
      <c r="AM22" s="1615"/>
    </row>
    <row r="23" spans="1:39" ht="12.95" customHeight="1">
      <c r="B23" s="1091" t="s">
        <v>1995</v>
      </c>
      <c r="C23" s="1092"/>
      <c r="D23" s="1092"/>
      <c r="E23" s="1092"/>
      <c r="F23" s="1092"/>
      <c r="G23" s="1092"/>
      <c r="H23" s="1092"/>
      <c r="I23" s="1092"/>
      <c r="J23" s="1092"/>
      <c r="K23" s="1092"/>
      <c r="L23" s="1092"/>
      <c r="M23" s="1092"/>
      <c r="N23" s="1092"/>
      <c r="O23" s="1092"/>
      <c r="P23" s="1092"/>
      <c r="Q23" s="1092"/>
      <c r="R23" s="1092"/>
      <c r="S23" s="1094"/>
      <c r="T23" s="1579">
        <f>T11+T22</f>
        <v>19512949</v>
      </c>
      <c r="U23" s="1308"/>
      <c r="V23" s="1308"/>
      <c r="W23" s="1308"/>
      <c r="X23" s="1308"/>
      <c r="Y23" s="1579">
        <f>Y11+Y22</f>
        <v>0</v>
      </c>
      <c r="Z23" s="1308"/>
      <c r="AA23" s="1308"/>
      <c r="AB23" s="1308"/>
      <c r="AC23" s="1308"/>
      <c r="AD23" s="1579">
        <f>IF(AD11=AD21,0,AD11)</f>
        <v>0</v>
      </c>
      <c r="AE23" s="1308"/>
      <c r="AF23" s="1308"/>
      <c r="AG23" s="1308"/>
      <c r="AH23" s="1308"/>
      <c r="AI23" s="1579">
        <f>IF(AI11=AI21,0,AI11)</f>
        <v>0</v>
      </c>
      <c r="AJ23" s="1308"/>
      <c r="AK23" s="1308"/>
      <c r="AL23" s="1308"/>
      <c r="AM23" s="1308"/>
    </row>
    <row r="24" spans="1:39" ht="12.95" customHeight="1">
      <c r="B24" s="1091" t="s">
        <v>1268</v>
      </c>
      <c r="C24" s="1092"/>
      <c r="D24" s="1092"/>
      <c r="E24" s="1092"/>
      <c r="F24" s="1092"/>
      <c r="G24" s="1092"/>
      <c r="H24" s="1092"/>
      <c r="I24" s="1092"/>
      <c r="J24" s="1092"/>
      <c r="K24" s="1092"/>
      <c r="L24" s="1092"/>
      <c r="M24" s="1092"/>
      <c r="N24" s="1092"/>
      <c r="O24" s="1092"/>
      <c r="P24" s="1092"/>
      <c r="Q24" s="1092"/>
      <c r="R24" s="1092"/>
      <c r="S24" s="1094"/>
      <c r="T24" s="1580">
        <f>Application!AJ988</f>
        <v>19512949</v>
      </c>
      <c r="U24" s="1581"/>
      <c r="V24" s="1581"/>
      <c r="W24" s="1581"/>
      <c r="X24" s="1581"/>
      <c r="Y24" s="1581"/>
      <c r="Z24" s="1581"/>
      <c r="AA24" s="1581"/>
      <c r="AB24" s="1581"/>
      <c r="AC24" s="1581"/>
      <c r="AD24" s="1581"/>
      <c r="AE24" s="1581"/>
      <c r="AF24" s="1581"/>
      <c r="AG24" s="1581"/>
      <c r="AH24" s="1581"/>
      <c r="AI24" s="1581"/>
      <c r="AJ24" s="1581"/>
      <c r="AK24" s="1581"/>
      <c r="AL24" s="1581"/>
      <c r="AM24" s="1579"/>
    </row>
    <row r="25" spans="1:39" ht="12.95" customHeight="1">
      <c r="B25" s="1621" t="s">
        <v>1997</v>
      </c>
      <c r="C25" s="1622"/>
      <c r="D25" s="1622"/>
      <c r="E25" s="1622"/>
      <c r="F25" s="1622"/>
      <c r="G25" s="1622"/>
      <c r="H25" s="1622"/>
      <c r="I25" s="1622"/>
      <c r="J25" s="1622"/>
      <c r="K25" s="1622"/>
      <c r="L25" s="1622"/>
      <c r="M25" s="1622"/>
      <c r="N25" s="1622"/>
      <c r="O25" s="1622"/>
      <c r="P25" s="1622"/>
      <c r="Q25" s="1622"/>
      <c r="R25" s="1622"/>
      <c r="S25" s="1623"/>
      <c r="T25" s="1616">
        <f>IF(OR(AND(Application!T193="no",Application!T194="no",Application!T196="no",Application!Y211="no"),Application!T195="yes"),1,1.3)</f>
        <v>1.3</v>
      </c>
      <c r="U25" s="1617"/>
      <c r="V25" s="1617"/>
      <c r="W25" s="1617"/>
      <c r="X25" s="1617"/>
      <c r="Y25" s="1616">
        <v>1</v>
      </c>
      <c r="Z25" s="1617"/>
      <c r="AA25" s="1617"/>
      <c r="AB25" s="1617"/>
      <c r="AC25" s="1620"/>
      <c r="AD25" s="1616">
        <v>1</v>
      </c>
      <c r="AE25" s="1617"/>
      <c r="AF25" s="1617"/>
      <c r="AG25" s="1617"/>
      <c r="AH25" s="1620"/>
      <c r="AI25" s="1616">
        <v>1</v>
      </c>
      <c r="AJ25" s="1617"/>
      <c r="AK25" s="1617"/>
      <c r="AL25" s="1617"/>
      <c r="AM25" s="1620"/>
    </row>
    <row r="26" spans="1:39" ht="12.95" customHeight="1">
      <c r="B26" s="1091" t="s">
        <v>810</v>
      </c>
      <c r="C26" s="1092"/>
      <c r="D26" s="1092"/>
      <c r="E26" s="1092"/>
      <c r="F26" s="1092"/>
      <c r="G26" s="1092"/>
      <c r="H26" s="1092"/>
      <c r="I26" s="1092"/>
      <c r="J26" s="1092"/>
      <c r="K26" s="1092"/>
      <c r="L26" s="1092"/>
      <c r="M26" s="1092"/>
      <c r="N26" s="1092"/>
      <c r="O26" s="1092"/>
      <c r="P26" s="1092"/>
      <c r="Q26" s="1092"/>
      <c r="R26" s="1092"/>
      <c r="S26" s="1094"/>
      <c r="T26" s="1235">
        <f>T23*T25</f>
        <v>25366833.699999999</v>
      </c>
      <c r="U26" s="1591"/>
      <c r="V26" s="1591"/>
      <c r="W26" s="1591"/>
      <c r="X26" s="1591"/>
      <c r="Y26" s="1235">
        <f>Y23*Y25</f>
        <v>0</v>
      </c>
      <c r="Z26" s="1591"/>
      <c r="AA26" s="1591"/>
      <c r="AB26" s="1591"/>
      <c r="AC26" s="1591"/>
      <c r="AD26" s="1235">
        <f>AD23*AD25</f>
        <v>0</v>
      </c>
      <c r="AE26" s="1591"/>
      <c r="AF26" s="1591"/>
      <c r="AG26" s="1591"/>
      <c r="AH26" s="1591"/>
      <c r="AI26" s="1235">
        <f>AI23*AI25</f>
        <v>0</v>
      </c>
      <c r="AJ26" s="1591"/>
      <c r="AK26" s="1591"/>
      <c r="AL26" s="1591"/>
      <c r="AM26" s="1591"/>
    </row>
    <row r="27" spans="1:39" ht="12.95" customHeight="1">
      <c r="A27" s="4"/>
      <c r="B27" s="1624" t="s">
        <v>919</v>
      </c>
      <c r="C27" s="1625"/>
      <c r="D27" s="1625"/>
      <c r="E27" s="1625"/>
      <c r="F27" s="1625"/>
      <c r="G27" s="1625"/>
      <c r="H27" s="1625"/>
      <c r="I27" s="1625"/>
      <c r="J27" s="1625"/>
      <c r="K27" s="1625"/>
      <c r="L27" s="1625"/>
      <c r="M27" s="1625"/>
      <c r="N27" s="1625"/>
      <c r="O27" s="1625"/>
      <c r="P27" s="1625"/>
      <c r="Q27" s="1625"/>
      <c r="R27" s="1625"/>
      <c r="S27" s="1626"/>
      <c r="T27" s="1618">
        <f>Application!AG438</f>
        <v>1</v>
      </c>
      <c r="U27" s="1619"/>
      <c r="V27" s="1619"/>
      <c r="W27" s="1619"/>
      <c r="X27" s="1619"/>
      <c r="Y27" s="1618">
        <f>Application!AG438</f>
        <v>1</v>
      </c>
      <c r="Z27" s="1619"/>
      <c r="AA27" s="1619"/>
      <c r="AB27" s="1619"/>
      <c r="AC27" s="1619"/>
      <c r="AD27" s="1618">
        <f>Application!AG438</f>
        <v>1</v>
      </c>
      <c r="AE27" s="1619"/>
      <c r="AF27" s="1619"/>
      <c r="AG27" s="1619"/>
      <c r="AH27" s="1619"/>
      <c r="AI27" s="1618">
        <f>Application!AG438</f>
        <v>1</v>
      </c>
      <c r="AJ27" s="1619"/>
      <c r="AK27" s="1619"/>
      <c r="AL27" s="1619"/>
      <c r="AM27" s="1619"/>
    </row>
    <row r="28" spans="1:39" ht="12.95" customHeight="1">
      <c r="A28" s="3"/>
      <c r="B28" s="1091" t="s">
        <v>883</v>
      </c>
      <c r="C28" s="1092"/>
      <c r="D28" s="1092"/>
      <c r="E28" s="1092"/>
      <c r="F28" s="1092"/>
      <c r="G28" s="1092"/>
      <c r="H28" s="1092"/>
      <c r="I28" s="1092"/>
      <c r="J28" s="1092"/>
      <c r="K28" s="1092"/>
      <c r="L28" s="1092"/>
      <c r="M28" s="1092"/>
      <c r="N28" s="1092"/>
      <c r="O28" s="1092"/>
      <c r="P28" s="1092"/>
      <c r="Q28" s="1092"/>
      <c r="R28" s="1092"/>
      <c r="S28" s="1094"/>
      <c r="T28" s="1235">
        <f>IF(ISERROR((T26*T27)),0,(T26*T27))</f>
        <v>25366833.699999999</v>
      </c>
      <c r="U28" s="1591"/>
      <c r="V28" s="1591"/>
      <c r="W28" s="1591"/>
      <c r="X28" s="1591"/>
      <c r="Y28" s="1235">
        <f>IF(ISERROR((Y26*Y27)),0,(Y26*Y27))</f>
        <v>0</v>
      </c>
      <c r="Z28" s="1591"/>
      <c r="AA28" s="1591"/>
      <c r="AB28" s="1591"/>
      <c r="AC28" s="1591"/>
      <c r="AD28" s="1235">
        <f>IF(ISERROR((AD26*AD27)),0,(AD26*AD27))</f>
        <v>0</v>
      </c>
      <c r="AE28" s="1591"/>
      <c r="AF28" s="1591"/>
      <c r="AG28" s="1591"/>
      <c r="AH28" s="1591"/>
      <c r="AI28" s="1235">
        <f>IF(ISERROR((AI26*AI27)),0,(AI26*AI27))</f>
        <v>0</v>
      </c>
      <c r="AJ28" s="1591"/>
      <c r="AK28" s="1591"/>
      <c r="AL28" s="1591"/>
      <c r="AM28" s="1591"/>
    </row>
    <row r="29" spans="1:39" ht="12.95" customHeight="1">
      <c r="B29" s="1091" t="s">
        <v>658</v>
      </c>
      <c r="C29" s="1092"/>
      <c r="D29" s="1092"/>
      <c r="E29" s="1092"/>
      <c r="F29" s="1092"/>
      <c r="G29" s="1092"/>
      <c r="H29" s="1092"/>
      <c r="I29" s="1092"/>
      <c r="J29" s="1092"/>
      <c r="K29" s="1092"/>
      <c r="L29" s="1092"/>
      <c r="M29" s="1092"/>
      <c r="N29" s="1092"/>
      <c r="O29" s="1092"/>
      <c r="P29" s="1092"/>
      <c r="Q29" s="1092"/>
      <c r="R29" s="1092"/>
      <c r="S29" s="1094"/>
      <c r="T29" s="1580">
        <f>T28+Y28+AD28+AI28</f>
        <v>25366833.699999999</v>
      </c>
      <c r="U29" s="1581"/>
      <c r="V29" s="1581"/>
      <c r="W29" s="1581"/>
      <c r="X29" s="1581"/>
      <c r="Y29" s="1581"/>
      <c r="Z29" s="1581"/>
      <c r="AA29" s="1581"/>
      <c r="AB29" s="1581"/>
      <c r="AC29" s="1581"/>
      <c r="AD29" s="1581"/>
      <c r="AE29" s="1581"/>
      <c r="AF29" s="1581"/>
      <c r="AG29" s="1581"/>
      <c r="AH29" s="1581"/>
      <c r="AI29" s="1581"/>
      <c r="AJ29" s="1581"/>
      <c r="AK29" s="1581"/>
      <c r="AL29" s="1581"/>
      <c r="AM29" s="1579"/>
    </row>
    <row r="30" spans="1:39" ht="12.95" customHeight="1">
      <c r="B30" s="1596" t="s">
        <v>1996</v>
      </c>
      <c r="C30" s="1596"/>
      <c r="D30" s="1596"/>
      <c r="E30" s="1596"/>
      <c r="F30" s="1596"/>
      <c r="G30" s="1596"/>
      <c r="H30" s="1596"/>
      <c r="I30" s="1596"/>
      <c r="J30" s="1596"/>
      <c r="K30" s="1596"/>
      <c r="L30" s="1596"/>
      <c r="M30" s="1596"/>
      <c r="N30" s="1596"/>
      <c r="O30" s="1596"/>
      <c r="P30" s="1596"/>
      <c r="Q30" s="1596"/>
      <c r="R30" s="1596"/>
      <c r="S30" s="1596"/>
      <c r="T30" s="1596"/>
      <c r="U30" s="1596"/>
      <c r="V30" s="1596"/>
      <c r="W30" s="1596"/>
      <c r="X30" s="1596"/>
      <c r="Y30" s="1596"/>
      <c r="Z30" s="1596"/>
      <c r="AA30" s="1596"/>
      <c r="AB30" s="1596"/>
      <c r="AC30" s="1596"/>
      <c r="AD30" s="1596"/>
      <c r="AE30" s="1596"/>
      <c r="AF30" s="1596"/>
      <c r="AG30" s="1596"/>
      <c r="AH30" s="1596"/>
      <c r="AI30" s="1596"/>
      <c r="AJ30" s="1596"/>
      <c r="AK30" s="1596"/>
      <c r="AL30" s="1596"/>
      <c r="AM30" s="1596"/>
    </row>
    <row r="31" spans="1:39" ht="12.95" customHeight="1">
      <c r="B31" s="1574" t="s">
        <v>1998</v>
      </c>
      <c r="C31" s="1574"/>
      <c r="D31" s="1574"/>
      <c r="E31" s="1574"/>
      <c r="F31" s="1574"/>
      <c r="G31" s="1574"/>
      <c r="H31" s="1574"/>
      <c r="I31" s="1574"/>
      <c r="J31" s="1574"/>
      <c r="K31" s="1574"/>
      <c r="L31" s="1574"/>
      <c r="M31" s="1574"/>
      <c r="N31" s="1574"/>
      <c r="O31" s="1574"/>
      <c r="P31" s="1574"/>
      <c r="Q31" s="1574"/>
      <c r="R31" s="1574"/>
      <c r="S31" s="1574"/>
      <c r="T31" s="1574"/>
      <c r="U31" s="1574"/>
      <c r="V31" s="1574"/>
      <c r="W31" s="1574"/>
      <c r="X31" s="1574"/>
      <c r="Y31" s="1574"/>
      <c r="Z31" s="1574"/>
      <c r="AA31" s="1574"/>
      <c r="AB31" s="1574"/>
      <c r="AC31" s="1574"/>
      <c r="AD31" s="1574"/>
      <c r="AE31" s="1574"/>
      <c r="AF31" s="1574"/>
      <c r="AG31" s="1574"/>
      <c r="AH31" s="1574"/>
      <c r="AI31" s="1574"/>
      <c r="AJ31" s="1574"/>
      <c r="AK31" s="1574"/>
      <c r="AL31" s="1574"/>
      <c r="AM31" s="1574"/>
    </row>
    <row r="33" spans="1:44" ht="12.95" customHeight="1">
      <c r="C33" s="4"/>
      <c r="X33" s="62"/>
      <c r="Y33" s="181"/>
      <c r="Z33" s="181"/>
      <c r="AA33" s="181"/>
      <c r="AB33" s="181"/>
      <c r="AC33" s="181"/>
      <c r="AD33" s="181"/>
      <c r="AE33" s="181"/>
      <c r="AF33" s="181"/>
      <c r="AG33" s="181"/>
      <c r="AH33" s="181"/>
    </row>
    <row r="34" spans="1:44" ht="12.95" customHeight="1">
      <c r="A34" s="3" t="s">
        <v>8</v>
      </c>
      <c r="C34" s="3" t="s">
        <v>221</v>
      </c>
    </row>
    <row r="35" spans="1:44" ht="12.95" customHeight="1">
      <c r="B35" s="6"/>
      <c r="C35" s="7"/>
      <c r="D35" s="7"/>
      <c r="E35" s="7"/>
      <c r="F35" s="7"/>
      <c r="G35" s="7"/>
      <c r="H35" s="7"/>
      <c r="I35" s="7"/>
      <c r="J35" s="7"/>
      <c r="K35" s="7"/>
      <c r="L35" s="7"/>
      <c r="M35" s="7"/>
      <c r="N35" s="7"/>
      <c r="O35" s="7"/>
      <c r="P35" s="7"/>
      <c r="Q35" s="7"/>
      <c r="R35" s="7"/>
      <c r="S35" s="7"/>
      <c r="T35" s="7"/>
      <c r="U35" s="7"/>
      <c r="V35" s="7"/>
      <c r="W35" s="7"/>
      <c r="X35" s="64"/>
      <c r="Y35" s="1582" t="s">
        <v>1674</v>
      </c>
      <c r="Z35" s="1582"/>
      <c r="AA35" s="1582"/>
      <c r="AB35" s="1582"/>
      <c r="AC35" s="1582"/>
      <c r="AD35" s="1225" t="s">
        <v>45</v>
      </c>
      <c r="AE35" s="1225"/>
      <c r="AF35" s="1225"/>
      <c r="AG35" s="1225"/>
      <c r="AH35" s="1225"/>
    </row>
    <row r="36" spans="1:44" ht="12.95" customHeight="1">
      <c r="B36" s="204"/>
      <c r="X36" s="71"/>
      <c r="Y36" s="1582"/>
      <c r="Z36" s="1582"/>
      <c r="AA36" s="1582"/>
      <c r="AB36" s="1582"/>
      <c r="AC36" s="1582"/>
      <c r="AD36" s="1225"/>
      <c r="AE36" s="1225"/>
      <c r="AF36" s="1225"/>
      <c r="AG36" s="1225"/>
      <c r="AH36" s="1225"/>
    </row>
    <row r="37" spans="1:44"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582"/>
      <c r="Z37" s="1582"/>
      <c r="AA37" s="1582"/>
      <c r="AB37" s="1582"/>
      <c r="AC37" s="1582"/>
      <c r="AD37" s="1225"/>
      <c r="AE37" s="1225"/>
      <c r="AF37" s="1225"/>
      <c r="AG37" s="1225"/>
      <c r="AH37" s="1225"/>
    </row>
    <row r="38" spans="1:44" ht="12.95" customHeight="1">
      <c r="A38" s="3"/>
      <c r="B38" s="1091" t="s">
        <v>883</v>
      </c>
      <c r="C38" s="1092"/>
      <c r="D38" s="1092"/>
      <c r="E38" s="1092"/>
      <c r="F38" s="1092"/>
      <c r="G38" s="1092"/>
      <c r="H38" s="1092"/>
      <c r="I38" s="1092"/>
      <c r="J38" s="1092"/>
      <c r="K38" s="1092"/>
      <c r="L38" s="1092"/>
      <c r="M38" s="1092"/>
      <c r="N38" s="1092"/>
      <c r="O38" s="1092"/>
      <c r="P38" s="1092"/>
      <c r="Q38" s="1092"/>
      <c r="R38" s="1092"/>
      <c r="S38" s="1092"/>
      <c r="T38" s="1092"/>
      <c r="U38" s="1092"/>
      <c r="V38" s="1092"/>
      <c r="W38" s="1092"/>
      <c r="X38" s="1094"/>
      <c r="Y38" s="1308">
        <f>IF(T24&gt;=(T23+Y23+AD23+AI23),T28+Y28,0)</f>
        <v>25366833.699999999</v>
      </c>
      <c r="Z38" s="1308"/>
      <c r="AA38" s="1308"/>
      <c r="AB38" s="1308"/>
      <c r="AC38" s="1308"/>
      <c r="AD38" s="1308">
        <f>IF(T24&gt;=(T23+Y23+AD23+AI23),AD28+AI28,0)</f>
        <v>0</v>
      </c>
      <c r="AE38" s="1308"/>
      <c r="AF38" s="1308"/>
      <c r="AG38" s="1308"/>
      <c r="AH38" s="1308"/>
    </row>
    <row r="39" spans="1:44" ht="12.95" customHeight="1">
      <c r="B39" s="1091" t="s">
        <v>1889</v>
      </c>
      <c r="C39" s="1092"/>
      <c r="D39" s="1092"/>
      <c r="E39" s="1092"/>
      <c r="F39" s="1092"/>
      <c r="G39" s="1092"/>
      <c r="H39" s="1092"/>
      <c r="I39" s="1092"/>
      <c r="J39" s="1092"/>
      <c r="K39" s="1092"/>
      <c r="L39" s="1092"/>
      <c r="M39" s="1092"/>
      <c r="N39" s="1092"/>
      <c r="O39" s="1092"/>
      <c r="P39" s="1092"/>
      <c r="Q39" s="1092"/>
      <c r="R39" s="1092"/>
      <c r="S39" s="1092"/>
      <c r="T39" s="1092"/>
      <c r="U39" s="1092"/>
      <c r="V39" s="1092"/>
      <c r="W39" s="1092"/>
      <c r="X39" s="1094"/>
      <c r="Y39" s="1578">
        <v>0.09</v>
      </c>
      <c r="Z39" s="1578"/>
      <c r="AA39" s="1578"/>
      <c r="AB39" s="1578"/>
      <c r="AC39" s="1578"/>
      <c r="AD39" s="1578">
        <v>0.04</v>
      </c>
      <c r="AE39" s="1578"/>
      <c r="AF39" s="1578"/>
      <c r="AG39" s="1578"/>
      <c r="AH39" s="1578"/>
    </row>
    <row r="40" spans="1:44" ht="12.95" customHeight="1">
      <c r="A40" s="3"/>
      <c r="B40" s="1091" t="s">
        <v>25</v>
      </c>
      <c r="C40" s="1092"/>
      <c r="D40" s="1092"/>
      <c r="E40" s="1092"/>
      <c r="F40" s="1092"/>
      <c r="G40" s="1092"/>
      <c r="H40" s="1092"/>
      <c r="I40" s="1092"/>
      <c r="J40" s="1092"/>
      <c r="K40" s="1092"/>
      <c r="L40" s="1092"/>
      <c r="M40" s="1092"/>
      <c r="N40" s="1092"/>
      <c r="O40" s="1092"/>
      <c r="P40" s="1092"/>
      <c r="Q40" s="1092"/>
      <c r="R40" s="1092"/>
      <c r="S40" s="1092"/>
      <c r="T40" s="1092"/>
      <c r="U40" s="1092"/>
      <c r="V40" s="1092"/>
      <c r="W40" s="1092"/>
      <c r="X40" s="1094"/>
      <c r="Y40" s="1308">
        <f>ROUND(Y38*Y39,0)</f>
        <v>2283015</v>
      </c>
      <c r="Z40" s="1308"/>
      <c r="AA40" s="1308"/>
      <c r="AB40" s="1308"/>
      <c r="AC40" s="1308"/>
      <c r="AD40" s="1579">
        <f>ROUND(AD38*AD39,0)</f>
        <v>0</v>
      </c>
      <c r="AE40" s="1308"/>
      <c r="AF40" s="1308"/>
      <c r="AG40" s="1308"/>
      <c r="AH40" s="1308"/>
    </row>
    <row r="41" spans="1:44" ht="12.95" customHeight="1">
      <c r="B41" s="1091" t="s">
        <v>652</v>
      </c>
      <c r="C41" s="1092"/>
      <c r="D41" s="1092"/>
      <c r="E41" s="1092"/>
      <c r="F41" s="1092"/>
      <c r="G41" s="1092"/>
      <c r="H41" s="1092"/>
      <c r="I41" s="1092"/>
      <c r="J41" s="1092"/>
      <c r="K41" s="1092"/>
      <c r="L41" s="1092"/>
      <c r="M41" s="1092"/>
      <c r="N41" s="1092"/>
      <c r="O41" s="1092"/>
      <c r="P41" s="1092"/>
      <c r="Q41" s="1092"/>
      <c r="R41" s="1092"/>
      <c r="S41" s="1092"/>
      <c r="T41" s="1092"/>
      <c r="U41" s="1092"/>
      <c r="V41" s="1092"/>
      <c r="W41" s="1092"/>
      <c r="X41" s="1094"/>
      <c r="Y41" s="1580">
        <f>IF(Application!Y211="No",'Basis &amp; Credits'!AR42,AR43)</f>
        <v>2283015</v>
      </c>
      <c r="Z41" s="1581"/>
      <c r="AA41" s="1581"/>
      <c r="AB41" s="1581"/>
      <c r="AC41" s="1581"/>
      <c r="AD41" s="1581"/>
      <c r="AE41" s="1581"/>
      <c r="AF41" s="1581"/>
      <c r="AG41" s="1581"/>
      <c r="AH41" s="1579"/>
    </row>
    <row r="42" spans="1:44" ht="12.95" customHeight="1">
      <c r="A42" s="3"/>
      <c r="B42" s="1590" t="s">
        <v>1890</v>
      </c>
      <c r="C42" s="1590"/>
      <c r="D42" s="1590"/>
      <c r="E42" s="1590"/>
      <c r="F42" s="1590"/>
      <c r="G42" s="1590"/>
      <c r="H42" s="1590"/>
      <c r="I42" s="1590"/>
      <c r="J42" s="1590"/>
      <c r="K42" s="1590"/>
      <c r="L42" s="1590"/>
      <c r="M42" s="1590"/>
      <c r="N42" s="1590"/>
      <c r="O42" s="1590"/>
      <c r="P42" s="1590"/>
      <c r="Q42" s="1590"/>
      <c r="R42" s="1590"/>
      <c r="S42" s="1590"/>
      <c r="T42" s="1590"/>
      <c r="U42" s="1590"/>
      <c r="V42" s="1590"/>
      <c r="W42" s="1590"/>
      <c r="X42" s="1590"/>
      <c r="Y42" s="1590"/>
      <c r="Z42" s="1590"/>
      <c r="AA42" s="1590"/>
      <c r="AB42" s="1590"/>
      <c r="AC42" s="1590"/>
      <c r="AD42" s="1590"/>
      <c r="AE42" s="1590"/>
      <c r="AF42" s="1590"/>
      <c r="AG42" s="1590"/>
      <c r="AH42" s="1590"/>
      <c r="AI42" s="26"/>
      <c r="AJ42" s="26"/>
      <c r="AK42" s="26"/>
      <c r="AL42" s="26"/>
      <c r="AM42" s="26"/>
      <c r="AN42" s="26"/>
      <c r="AR42">
        <f>IF((Y40+AD40)&gt;2500000,2500000,Y40+AD40)</f>
        <v>2283015</v>
      </c>
    </row>
    <row r="43" spans="1:44" ht="12.95" customHeight="1">
      <c r="B43" s="604"/>
      <c r="C43" s="604"/>
      <c r="D43" s="604"/>
      <c r="E43" s="604"/>
      <c r="F43" s="604"/>
      <c r="G43" s="604"/>
      <c r="H43" s="604"/>
      <c r="I43" s="604"/>
      <c r="J43" s="604"/>
      <c r="K43" s="604"/>
      <c r="L43" s="604"/>
      <c r="M43" s="604"/>
      <c r="N43" s="604"/>
      <c r="O43" s="604"/>
      <c r="P43" s="604"/>
      <c r="Q43" s="604"/>
      <c r="R43" s="604"/>
      <c r="S43" s="604"/>
      <c r="T43" s="604"/>
      <c r="U43" s="604"/>
      <c r="V43" s="604"/>
      <c r="W43" s="604"/>
      <c r="X43" s="604"/>
      <c r="Y43" s="604"/>
      <c r="Z43" s="604"/>
      <c r="AA43" s="604"/>
      <c r="AB43" s="604"/>
      <c r="AC43" s="604"/>
      <c r="AD43" s="604"/>
      <c r="AE43" s="604"/>
      <c r="AF43" s="604"/>
      <c r="AG43" s="604"/>
      <c r="AH43" s="604"/>
      <c r="AR43">
        <f>IF((Y40+AD40)&gt;4000000,4000000,Y40+AD40)</f>
        <v>2283015</v>
      </c>
    </row>
    <row r="44" spans="1:44" ht="12.95" customHeight="1">
      <c r="A44" s="3"/>
      <c r="B44" s="604"/>
      <c r="C44" s="604"/>
      <c r="D44" s="604"/>
      <c r="E44" s="604"/>
      <c r="F44" s="604"/>
      <c r="G44" s="604"/>
      <c r="H44" s="604"/>
      <c r="I44" s="604"/>
      <c r="J44" s="604"/>
      <c r="K44" s="604"/>
      <c r="L44" s="604"/>
      <c r="M44" s="604"/>
      <c r="N44" s="604"/>
      <c r="O44" s="604"/>
      <c r="P44" s="604"/>
      <c r="Q44" s="604"/>
      <c r="R44" s="604"/>
      <c r="S44" s="604"/>
      <c r="T44" s="604"/>
      <c r="U44" s="604"/>
      <c r="V44" s="604"/>
      <c r="W44" s="604"/>
      <c r="X44" s="604"/>
      <c r="Y44" s="604"/>
      <c r="Z44" s="604"/>
      <c r="AA44" s="604"/>
      <c r="AB44" s="604"/>
      <c r="AC44" s="604"/>
      <c r="AD44" s="604"/>
      <c r="AE44" s="604"/>
      <c r="AF44" s="604"/>
      <c r="AG44" s="604"/>
      <c r="AH44" s="604"/>
    </row>
    <row r="45" spans="1:44" ht="12.95" customHeight="1">
      <c r="A45" s="3" t="s">
        <v>127</v>
      </c>
      <c r="C45" s="3" t="s">
        <v>267</v>
      </c>
    </row>
    <row r="46" spans="1:44" ht="12.95" customHeight="1">
      <c r="D46" s="3" t="s">
        <v>268</v>
      </c>
      <c r="AB46" s="1150">
        <f>'Sources and Uses Budget'!B104-(MAX(IF('Sources and Uses Budget'!B15="",0,'Sources and Uses Budget'!B15),IF(Application!AG387="",0,Application!AG387)))</f>
        <v>28901208</v>
      </c>
      <c r="AC46" s="1151"/>
      <c r="AD46" s="1151"/>
      <c r="AE46" s="1151"/>
      <c r="AF46" s="1152"/>
    </row>
    <row r="47" spans="1:44" ht="12.95" customHeight="1">
      <c r="D47" s="3" t="s">
        <v>877</v>
      </c>
      <c r="AB47" s="1150">
        <f>Application!AO630-MAX(IF('Sources and Uses Budget'!B15="",0,'Sources and Uses Budget'!B15),IF(Application!AG387="",0,Application!AG387))</f>
        <v>3759124</v>
      </c>
      <c r="AC47" s="1151"/>
      <c r="AD47" s="1151"/>
      <c r="AE47" s="1151"/>
      <c r="AF47" s="1152"/>
    </row>
    <row r="48" spans="1:44" ht="12.95" customHeight="1">
      <c r="D48" s="3" t="s">
        <v>402</v>
      </c>
      <c r="AB48" s="1150">
        <f>AB46-AB47</f>
        <v>25142084</v>
      </c>
      <c r="AC48" s="1151"/>
      <c r="AD48" s="1151"/>
      <c r="AE48" s="1151"/>
      <c r="AF48" s="1152"/>
    </row>
    <row r="49" spans="1:40" ht="12.95" customHeight="1">
      <c r="D49" s="3" t="s">
        <v>912</v>
      </c>
      <c r="AA49" s="34"/>
      <c r="AB49" s="1585">
        <v>0.90228299999999995</v>
      </c>
      <c r="AC49" s="1586"/>
      <c r="AD49" s="1586"/>
      <c r="AE49" s="1586"/>
      <c r="AF49" s="1587"/>
    </row>
    <row r="50" spans="1:40" s="324" customFormat="1" ht="12.95" customHeight="1">
      <c r="A50"/>
      <c r="B50"/>
      <c r="C50"/>
      <c r="D50"/>
      <c r="E50" s="1595" t="s">
        <v>2045</v>
      </c>
      <c r="F50" s="1595"/>
      <c r="G50" s="1595"/>
      <c r="H50" s="1595"/>
      <c r="I50" s="1595"/>
      <c r="J50" s="1595"/>
      <c r="K50" s="1595"/>
      <c r="L50" s="1595"/>
      <c r="M50" s="1595"/>
      <c r="N50" s="1595"/>
      <c r="O50" s="1595"/>
      <c r="P50" s="1595"/>
      <c r="Q50" s="1595"/>
      <c r="R50" s="1595"/>
      <c r="S50" s="1595"/>
      <c r="T50" s="1595"/>
      <c r="U50" s="1595"/>
      <c r="V50" s="1595"/>
      <c r="W50" s="1595"/>
      <c r="X50" s="1595"/>
      <c r="Y50" s="1595"/>
      <c r="Z50" s="1595"/>
      <c r="AA50" s="358"/>
      <c r="AB50" s="358"/>
      <c r="AC50" s="358"/>
      <c r="AD50" s="358"/>
      <c r="AE50" s="358"/>
      <c r="AF50" s="358"/>
      <c r="AG50"/>
      <c r="AH50"/>
      <c r="AI50"/>
      <c r="AJ50"/>
      <c r="AK50"/>
      <c r="AL50"/>
      <c r="AM50"/>
      <c r="AN50"/>
    </row>
    <row r="51" spans="1:40" s="324" customFormat="1" ht="12.95" customHeight="1">
      <c r="A51"/>
      <c r="B51"/>
      <c r="C51"/>
      <c r="D51"/>
      <c r="E51" s="1595"/>
      <c r="F51" s="1595"/>
      <c r="G51" s="1595"/>
      <c r="H51" s="1595"/>
      <c r="I51" s="1595"/>
      <c r="J51" s="1595"/>
      <c r="K51" s="1595"/>
      <c r="L51" s="1595"/>
      <c r="M51" s="1595"/>
      <c r="N51" s="1595"/>
      <c r="O51" s="1595"/>
      <c r="P51" s="1595"/>
      <c r="Q51" s="1595"/>
      <c r="R51" s="1595"/>
      <c r="S51" s="1595"/>
      <c r="T51" s="1595"/>
      <c r="U51" s="1595"/>
      <c r="V51" s="1595"/>
      <c r="W51" s="1595"/>
      <c r="X51" s="1595"/>
      <c r="Y51" s="1595"/>
      <c r="Z51" s="1595"/>
      <c r="AA51" s="496"/>
      <c r="AB51" s="496"/>
      <c r="AC51" s="496"/>
      <c r="AD51" s="496"/>
      <c r="AE51" s="496"/>
      <c r="AF51" s="496"/>
      <c r="AG51" s="105"/>
      <c r="AH51"/>
      <c r="AI51"/>
      <c r="AJ51"/>
      <c r="AK51"/>
      <c r="AL51"/>
      <c r="AM51"/>
      <c r="AN51"/>
    </row>
    <row r="52" spans="1:40" ht="12.95"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5" customHeight="1">
      <c r="D53" s="3" t="s">
        <v>26</v>
      </c>
      <c r="AB53" s="1150">
        <f>ROUND(IF(ISERROR((AB48/AB49)),0,(AB48/AB49)),0)</f>
        <v>27864965</v>
      </c>
      <c r="AC53" s="1151"/>
      <c r="AD53" s="1151"/>
      <c r="AE53" s="1151"/>
      <c r="AF53" s="1152"/>
    </row>
    <row r="54" spans="1:40" ht="12.95" customHeight="1">
      <c r="D54" s="3" t="s">
        <v>591</v>
      </c>
      <c r="AB54" s="1150">
        <f>(AB53/10)</f>
        <v>2786496.5</v>
      </c>
      <c r="AC54" s="1151"/>
      <c r="AD54" s="1151"/>
      <c r="AE54" s="1151"/>
      <c r="AF54" s="1152"/>
    </row>
    <row r="55" spans="1:40" ht="12.95" customHeight="1">
      <c r="D55" s="3" t="s">
        <v>361</v>
      </c>
      <c r="AB55" s="1592">
        <f>(IF((Y41&lt;AB54),Y41,AB54))</f>
        <v>2283015</v>
      </c>
      <c r="AC55" s="1593"/>
      <c r="AD55" s="1593"/>
      <c r="AE55" s="1593"/>
      <c r="AF55" s="1594"/>
    </row>
    <row r="56" spans="1:40" ht="12.95" customHeight="1">
      <c r="D56" s="3" t="s">
        <v>115</v>
      </c>
      <c r="AB56" s="1150">
        <f>ROUND((10*AB55*AB49),0)</f>
        <v>20599256</v>
      </c>
      <c r="AC56" s="1151"/>
      <c r="AD56" s="1151"/>
      <c r="AE56" s="1151"/>
      <c r="AF56" s="1152"/>
    </row>
    <row r="57" spans="1:40" ht="12.95" customHeight="1">
      <c r="D57" s="3"/>
      <c r="AB57" s="276"/>
      <c r="AC57" s="276"/>
      <c r="AD57" s="276"/>
      <c r="AE57" s="276"/>
      <c r="AF57" s="276"/>
    </row>
    <row r="58" spans="1:40" ht="12.95" customHeight="1">
      <c r="D58" s="3" t="s">
        <v>114</v>
      </c>
      <c r="AB58" s="1156">
        <f>AB48-AB56</f>
        <v>4542828</v>
      </c>
      <c r="AC58" s="1156"/>
      <c r="AD58" s="1156"/>
      <c r="AE58" s="1156"/>
      <c r="AF58" s="1156"/>
    </row>
    <row r="59" spans="1:40" ht="12.95"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2.95" customHeight="1" thickBot="1">
      <c r="A60" s="1575" t="s">
        <v>1821</v>
      </c>
      <c r="B60" s="1575"/>
      <c r="C60" s="1575"/>
      <c r="D60" s="1575"/>
      <c r="E60" s="1575"/>
      <c r="F60" s="1575"/>
      <c r="G60" s="1575"/>
      <c r="H60" s="1575"/>
      <c r="I60" s="1575"/>
      <c r="J60" s="1575"/>
      <c r="K60" s="1575"/>
      <c r="L60" s="1575"/>
      <c r="M60" s="1575"/>
      <c r="N60" s="1575"/>
      <c r="O60" s="1575"/>
      <c r="P60" s="1575"/>
      <c r="Q60" s="1575"/>
      <c r="R60" s="1575"/>
      <c r="S60" s="1575"/>
      <c r="T60" s="1575"/>
      <c r="U60" s="1575"/>
      <c r="V60" s="1575"/>
      <c r="W60" s="1575"/>
      <c r="X60" s="1575"/>
      <c r="Y60" s="1575"/>
      <c r="Z60" s="1575"/>
      <c r="AA60" s="1575"/>
      <c r="AB60" s="1575"/>
      <c r="AC60" s="1575"/>
      <c r="AD60" s="1575"/>
      <c r="AE60" s="1575"/>
      <c r="AF60" s="1575"/>
      <c r="AG60" s="1575"/>
      <c r="AH60" s="1575"/>
      <c r="AI60" s="1575"/>
      <c r="AJ60" s="1575"/>
      <c r="AK60" s="1575"/>
      <c r="AL60" s="1575"/>
      <c r="AM60" s="1575"/>
      <c r="AN60" s="1575"/>
    </row>
    <row r="61" spans="1:40" ht="12.95" customHeight="1" thickTop="1">
      <c r="A61" s="1175"/>
      <c r="B61" s="1175"/>
      <c r="C61" s="1175"/>
      <c r="D61" s="1175"/>
      <c r="E61" s="1175"/>
      <c r="F61" s="1175"/>
      <c r="G61" s="1175"/>
      <c r="H61" s="1175"/>
      <c r="I61" s="1175"/>
      <c r="J61" s="1175"/>
      <c r="K61" s="1175"/>
      <c r="L61" s="1175"/>
      <c r="M61" s="1175"/>
      <c r="N61" s="1175"/>
      <c r="O61" s="1175"/>
      <c r="P61" s="1175"/>
      <c r="Q61" s="1175"/>
      <c r="R61" s="1175"/>
      <c r="S61" s="1175"/>
      <c r="T61" s="1175"/>
      <c r="U61" s="1175"/>
      <c r="V61" s="1175"/>
      <c r="W61" s="1175"/>
      <c r="X61" s="1175"/>
      <c r="Y61" s="1175"/>
      <c r="Z61" s="1175"/>
      <c r="AA61" s="1175"/>
      <c r="AB61" s="1175"/>
      <c r="AC61" s="1175"/>
      <c r="AD61" s="1175"/>
      <c r="AE61" s="1175"/>
      <c r="AF61" s="1175"/>
      <c r="AG61" s="1175"/>
      <c r="AH61" s="1175"/>
      <c r="AI61" s="1175"/>
      <c r="AJ61" s="1175"/>
      <c r="AK61" s="1175"/>
      <c r="AL61" s="1175"/>
      <c r="AM61" s="1175"/>
      <c r="AN61" s="1175"/>
    </row>
    <row r="62" spans="1:40" ht="12.95" customHeight="1">
      <c r="A62" s="3" t="s">
        <v>130</v>
      </c>
      <c r="C62" s="3" t="s">
        <v>539</v>
      </c>
      <c r="Y62" s="1577" t="s">
        <v>315</v>
      </c>
      <c r="Z62" s="1577"/>
      <c r="AA62" s="1577"/>
      <c r="AB62" s="1577"/>
      <c r="AC62" s="1577"/>
      <c r="AD62" s="1577" t="s">
        <v>45</v>
      </c>
      <c r="AE62" s="1577"/>
      <c r="AF62" s="1577"/>
      <c r="AG62" s="1577"/>
      <c r="AH62" s="1577"/>
    </row>
    <row r="63" spans="1:40" ht="12.95" customHeight="1">
      <c r="C63" s="3"/>
      <c r="D63" s="128" t="s">
        <v>1292</v>
      </c>
      <c r="E63" s="15"/>
      <c r="F63" s="15"/>
      <c r="G63" s="15"/>
      <c r="H63" s="15"/>
      <c r="I63" s="15"/>
      <c r="J63" s="15"/>
      <c r="K63" s="15"/>
      <c r="L63" s="15"/>
      <c r="M63" s="15"/>
      <c r="N63" s="15"/>
      <c r="O63" s="15"/>
      <c r="P63" s="15"/>
      <c r="Q63" s="15"/>
      <c r="R63" s="15"/>
      <c r="S63" s="15"/>
      <c r="T63" s="15"/>
      <c r="U63" s="15"/>
      <c r="V63" s="15"/>
      <c r="W63" s="15"/>
      <c r="X63" s="15"/>
      <c r="Y63" s="1591">
        <f>IF(AND(Application!T193="No",Application!T194="No"),T28,IF(OR(AND(T25=1.3,Application!T196="Yes",Application!D214="Special Needs"),T25=1),(T23*T27)+Y28,Y28))</f>
        <v>19512949</v>
      </c>
      <c r="Z63" s="1588"/>
      <c r="AA63" s="1588"/>
      <c r="AB63" s="1588"/>
      <c r="AC63" s="1588"/>
      <c r="AD63" s="1308">
        <f>IF(AND(T25=1.3,Application!D214="At-Risk"),AI28,IF(Application!D214&lt;&gt;"At-Risk",0,AD28))</f>
        <v>0</v>
      </c>
      <c r="AE63" s="1588"/>
      <c r="AF63" s="1588"/>
      <c r="AG63" s="1588"/>
      <c r="AH63" s="1588"/>
    </row>
    <row r="64" spans="1:40" ht="12.95" customHeight="1">
      <c r="C64" s="3"/>
      <c r="E64" s="1576" t="s">
        <v>1340</v>
      </c>
      <c r="F64" s="1576"/>
      <c r="G64" s="1576"/>
      <c r="H64" s="1576"/>
      <c r="I64" s="1576"/>
      <c r="J64" s="1576"/>
      <c r="K64" s="1576"/>
      <c r="L64" s="1576"/>
      <c r="M64" s="1576"/>
      <c r="N64" s="1576"/>
      <c r="O64" s="1576"/>
      <c r="P64" s="1576"/>
      <c r="Q64" s="1576"/>
      <c r="R64" s="1576"/>
      <c r="S64" s="1576"/>
      <c r="T64" s="1576"/>
      <c r="U64" s="1576"/>
      <c r="V64" s="1576"/>
      <c r="W64" s="1576"/>
      <c r="X64" s="1576"/>
      <c r="Y64" s="1576"/>
      <c r="Z64" s="1576"/>
      <c r="AA64" s="1576"/>
      <c r="AB64" s="1576"/>
      <c r="AC64" s="1576"/>
      <c r="AD64" s="1576"/>
      <c r="AE64" s="1576"/>
      <c r="AF64" s="1576"/>
      <c r="AG64" s="1576"/>
      <c r="AH64" s="1576"/>
    </row>
    <row r="65" spans="1:34" ht="21.75" customHeight="1">
      <c r="C65" s="3"/>
      <c r="E65" s="1576"/>
      <c r="F65" s="1576"/>
      <c r="G65" s="1576"/>
      <c r="H65" s="1576"/>
      <c r="I65" s="1576"/>
      <c r="J65" s="1576"/>
      <c r="K65" s="1576"/>
      <c r="L65" s="1576"/>
      <c r="M65" s="1576"/>
      <c r="N65" s="1576"/>
      <c r="O65" s="1576"/>
      <c r="P65" s="1576"/>
      <c r="Q65" s="1576"/>
      <c r="R65" s="1576"/>
      <c r="S65" s="1576"/>
      <c r="T65" s="1576"/>
      <c r="U65" s="1576"/>
      <c r="V65" s="1576"/>
      <c r="W65" s="1576"/>
      <c r="X65" s="1576"/>
      <c r="Y65" s="1576"/>
      <c r="Z65" s="1576"/>
      <c r="AA65" s="1576"/>
      <c r="AB65" s="1576"/>
      <c r="AC65" s="1576"/>
      <c r="AD65" s="1576"/>
      <c r="AE65" s="1576"/>
      <c r="AF65" s="1576"/>
      <c r="AG65" s="1576"/>
      <c r="AH65" s="1576"/>
    </row>
    <row r="66" spans="1:34" ht="12.95" customHeight="1">
      <c r="C66" s="3"/>
      <c r="D66" s="3" t="s">
        <v>210</v>
      </c>
      <c r="E66" s="103"/>
      <c r="F66" s="103"/>
      <c r="G66" s="103"/>
      <c r="H66" s="103"/>
      <c r="I66" s="103"/>
      <c r="J66" s="103"/>
      <c r="K66" s="103"/>
      <c r="L66" s="103"/>
      <c r="M66" s="103"/>
      <c r="N66" s="103"/>
      <c r="O66" s="103"/>
      <c r="P66" s="103"/>
      <c r="Q66" s="103"/>
      <c r="R66" s="103"/>
      <c r="S66" s="103"/>
      <c r="T66" s="103"/>
      <c r="U66" s="103"/>
      <c r="V66" s="103"/>
      <c r="W66" s="103"/>
      <c r="X66" s="103"/>
      <c r="Y66" s="1584">
        <f>IF(Application!W198="Yes",95%, 30%)</f>
        <v>0.3</v>
      </c>
      <c r="Z66" s="1584"/>
      <c r="AA66" s="1584"/>
      <c r="AB66" s="1584"/>
      <c r="AC66" s="1584"/>
      <c r="AD66" s="1584">
        <f>IF(Application!W198="Yes",95%, 13%)</f>
        <v>0.13</v>
      </c>
      <c r="AE66" s="1584"/>
      <c r="AF66" s="1584"/>
      <c r="AG66" s="1584"/>
      <c r="AH66" s="1584"/>
    </row>
    <row r="67" spans="1:34" ht="12.95" customHeight="1">
      <c r="C67" s="3"/>
      <c r="D67" s="3" t="s">
        <v>984</v>
      </c>
      <c r="Y67" s="1308">
        <f>ROUND(Y63*Y66,0)</f>
        <v>5853885</v>
      </c>
      <c r="Z67" s="1588"/>
      <c r="AA67" s="1588"/>
      <c r="AB67" s="1588"/>
      <c r="AC67" s="1588"/>
      <c r="AD67" s="1308" t="str">
        <f>IF(OR(Application!D211="At-Risk",Application!D211="At-Risk/Located in Rural Census Tract",Application!D214="At-Risk"),ROUND(AD63*AD66,0),"$0")</f>
        <v>$0</v>
      </c>
      <c r="AE67" s="1308"/>
      <c r="AF67" s="1308"/>
      <c r="AG67" s="1308"/>
      <c r="AH67" s="1308"/>
    </row>
    <row r="68" spans="1:34" ht="12.95" customHeight="1">
      <c r="C68" s="3"/>
      <c r="E68" s="803" t="s">
        <v>1999</v>
      </c>
      <c r="F68" s="344"/>
      <c r="G68" s="802"/>
      <c r="H68" s="802"/>
      <c r="I68" s="802"/>
      <c r="J68" s="802"/>
      <c r="K68" s="802"/>
      <c r="L68" s="802"/>
      <c r="M68" s="802"/>
      <c r="N68" s="802"/>
      <c r="O68" s="802"/>
      <c r="P68" s="802"/>
      <c r="Q68" s="802"/>
      <c r="R68" s="802"/>
      <c r="S68" s="802"/>
      <c r="T68" s="802"/>
      <c r="U68" s="802"/>
      <c r="V68" s="802"/>
      <c r="W68" s="802"/>
      <c r="X68" s="802"/>
      <c r="Y68" s="802"/>
      <c r="Z68" s="802"/>
      <c r="AA68" s="802"/>
      <c r="AB68" s="802"/>
      <c r="AC68" s="802"/>
      <c r="AD68" s="802"/>
      <c r="AE68" s="802"/>
      <c r="AF68" s="802"/>
      <c r="AG68" s="802"/>
      <c r="AH68" s="802"/>
    </row>
    <row r="69" spans="1:34" ht="12.95" customHeight="1">
      <c r="A69" s="3" t="s">
        <v>131</v>
      </c>
      <c r="C69" s="3" t="s">
        <v>269</v>
      </c>
      <c r="E69" s="802"/>
      <c r="F69" s="802"/>
      <c r="G69" s="802"/>
      <c r="H69" s="802"/>
      <c r="I69" s="802"/>
      <c r="J69" s="802"/>
      <c r="K69" s="802"/>
      <c r="L69" s="802"/>
      <c r="M69" s="802"/>
      <c r="N69" s="802"/>
      <c r="O69" s="802"/>
      <c r="P69" s="802"/>
      <c r="Q69" s="802"/>
      <c r="R69" s="802"/>
      <c r="S69" s="802"/>
      <c r="T69" s="802"/>
      <c r="U69" s="802"/>
      <c r="V69" s="802"/>
      <c r="W69" s="802"/>
      <c r="X69" s="802"/>
      <c r="Y69" s="802"/>
      <c r="Z69" s="802"/>
      <c r="AA69" s="802"/>
      <c r="AB69" s="802"/>
      <c r="AC69" s="802"/>
      <c r="AD69" s="802"/>
      <c r="AE69" s="802"/>
      <c r="AF69" s="802"/>
      <c r="AG69" s="802"/>
      <c r="AH69" s="802"/>
    </row>
    <row r="70" spans="1:34" ht="12.95" customHeight="1">
      <c r="A70" s="3"/>
      <c r="C70" s="3"/>
      <c r="D70" s="3" t="s">
        <v>913</v>
      </c>
      <c r="AB70" s="1585">
        <f>4542828/5387233</f>
        <v>0.8432581252750716</v>
      </c>
      <c r="AC70" s="1586"/>
      <c r="AD70" s="1586"/>
      <c r="AE70" s="1586"/>
      <c r="AF70" s="1587"/>
    </row>
    <row r="71" spans="1:34" ht="12.95" customHeight="1">
      <c r="A71" s="3"/>
      <c r="C71" s="3"/>
      <c r="D71" s="3"/>
      <c r="E71" s="1589" t="s">
        <v>1816</v>
      </c>
      <c r="F71" s="1589"/>
      <c r="G71" s="1589"/>
      <c r="H71" s="1589"/>
      <c r="I71" s="1589"/>
      <c r="J71" s="1589"/>
      <c r="K71" s="1589"/>
      <c r="L71" s="1589"/>
      <c r="M71" s="1589"/>
      <c r="N71" s="1589"/>
      <c r="O71" s="1589"/>
      <c r="P71" s="1589"/>
      <c r="Q71" s="1589"/>
      <c r="R71" s="1589"/>
      <c r="S71" s="1589"/>
      <c r="T71" s="1589"/>
      <c r="U71" s="1589"/>
      <c r="V71" s="1589"/>
      <c r="W71" s="1589"/>
      <c r="X71" s="1589"/>
      <c r="Y71" s="1589"/>
      <c r="Z71" s="1589"/>
      <c r="AA71" s="253"/>
      <c r="AB71" s="253"/>
      <c r="AC71" s="253"/>
    </row>
    <row r="72" spans="1:34" ht="12.95" customHeight="1">
      <c r="A72" s="3"/>
      <c r="C72" s="3"/>
      <c r="D72" s="3"/>
      <c r="E72" s="1589"/>
      <c r="F72" s="1589"/>
      <c r="G72" s="1589"/>
      <c r="H72" s="1589"/>
      <c r="I72" s="1589"/>
      <c r="J72" s="1589"/>
      <c r="K72" s="1589"/>
      <c r="L72" s="1589"/>
      <c r="M72" s="1589"/>
      <c r="N72" s="1589"/>
      <c r="O72" s="1589"/>
      <c r="P72" s="1589"/>
      <c r="Q72" s="1589"/>
      <c r="R72" s="1589"/>
      <c r="S72" s="1589"/>
      <c r="T72" s="1589"/>
      <c r="U72" s="1589"/>
      <c r="V72" s="1589"/>
      <c r="W72" s="1589"/>
      <c r="X72" s="1589"/>
      <c r="Y72" s="1589"/>
      <c r="Z72" s="1589"/>
      <c r="AA72" s="253"/>
      <c r="AB72" s="253"/>
      <c r="AC72" s="253"/>
    </row>
    <row r="73" spans="1:34" ht="12.95" customHeight="1">
      <c r="A73" s="3"/>
      <c r="C73" s="3"/>
      <c r="D73" s="3"/>
      <c r="E73" s="1589"/>
      <c r="F73" s="1589"/>
      <c r="G73" s="1589"/>
      <c r="H73" s="1589"/>
      <c r="I73" s="1589"/>
      <c r="J73" s="1589"/>
      <c r="K73" s="1589"/>
      <c r="L73" s="1589"/>
      <c r="M73" s="1589"/>
      <c r="N73" s="1589"/>
      <c r="O73" s="1589"/>
      <c r="P73" s="1589"/>
      <c r="Q73" s="1589"/>
      <c r="R73" s="1589"/>
      <c r="S73" s="1589"/>
      <c r="T73" s="1589"/>
      <c r="U73" s="1589"/>
      <c r="V73" s="1589"/>
      <c r="W73" s="1589"/>
      <c r="X73" s="1589"/>
      <c r="Y73" s="1589"/>
      <c r="Z73" s="1589"/>
      <c r="AA73" s="253"/>
      <c r="AB73" s="253"/>
      <c r="AC73" s="253"/>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112</v>
      </c>
      <c r="AB75" s="1217">
        <f>ROUND(IF(ISERROR((AB58/AB70)),0,(AB58/AB70)),0)</f>
        <v>5387233</v>
      </c>
      <c r="AC75" s="1217"/>
      <c r="AD75" s="1217"/>
      <c r="AE75" s="1217"/>
      <c r="AF75" s="1217"/>
    </row>
    <row r="76" spans="1:34" ht="12.95" customHeight="1">
      <c r="C76" s="3"/>
      <c r="D76" s="3" t="s">
        <v>113</v>
      </c>
      <c r="AB76" s="1212">
        <f>IF((Y67+AD67&lt;AB75),Y67+AD67,AB75)</f>
        <v>5387233</v>
      </c>
      <c r="AC76" s="1213"/>
      <c r="AD76" s="1213"/>
      <c r="AE76" s="1213"/>
      <c r="AF76" s="1214"/>
    </row>
    <row r="77" spans="1:34" ht="12.95" customHeight="1">
      <c r="C77" s="3"/>
      <c r="D77" s="3" t="s">
        <v>985</v>
      </c>
      <c r="AB77" s="1583">
        <f>AB76*AB70</f>
        <v>4542828</v>
      </c>
      <c r="AC77" s="1583"/>
      <c r="AD77" s="1583"/>
      <c r="AE77" s="1583"/>
      <c r="AF77" s="1583"/>
    </row>
    <row r="78" spans="1:34" ht="12.95" customHeight="1">
      <c r="C78" s="3"/>
      <c r="D78" s="3"/>
      <c r="AB78" s="605"/>
      <c r="AC78" s="605"/>
      <c r="AD78" s="605"/>
      <c r="AE78" s="605"/>
      <c r="AF78" s="605"/>
    </row>
    <row r="79" spans="1:34" ht="12.95" customHeight="1">
      <c r="D79" s="3" t="s">
        <v>114</v>
      </c>
      <c r="AB79" s="1156">
        <f>AB48-(AB56+AB77)</f>
        <v>0</v>
      </c>
      <c r="AC79" s="1156"/>
      <c r="AD79" s="1156"/>
      <c r="AE79" s="1156"/>
      <c r="AF79" s="1156"/>
    </row>
    <row r="80" spans="1:34" ht="12.95" customHeight="1">
      <c r="F80" s="16"/>
      <c r="J80" s="16" t="str">
        <f>IF(AB79&gt;0,"FUNDING GAP MUST NOT EXCEED ZERO","")</f>
        <v/>
      </c>
    </row>
    <row r="81" spans="4:4" ht="12.95" customHeight="1">
      <c r="D81" s="129"/>
    </row>
  </sheetData>
  <sheetProtection algorithmName="SHA-512" hashValue="81e2cuolyD31nV+mCZ0Odu3z6J8j4Iw05ozZOVmWxEMHwIFr9uyIzJApu301rl+lo0Y0HrtIJ9lDoiPQiAFN9g==" saltValue="rOHwwQLa4pm8/sOVbp6rIA=="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5" right="0.5" top="1" bottom="1" header="0.5" footer="0.5"/>
      <pageSetup scale="98" firstPageNumber="24" orientation="portrait" useFirstPageNumber="1" r:id="rId1"/>
      <headerFooter alignWithMargins="0">
        <oddFooter>&amp;L&amp;8April 18, 2016 Version&amp;C&amp;P&amp;R&amp;8&amp;A &amp;D</oddFooter>
      </headerFooter>
    </customSheetView>
  </customSheetViews>
  <mergeCells count="137">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s>
  <phoneticPr fontId="23" type="noConversion"/>
  <conditionalFormatting sqref="B18">
    <cfRule type="expression" dxfId="14" priority="4">
      <formula>AND($T$18&gt;0,OR($C$18="",$C$18="Subtract (specify other ineligible amounts):"))</formula>
    </cfRule>
  </conditionalFormatting>
  <conditionalFormatting sqref="B19">
    <cfRule type="expression" dxfId="13" priority="3">
      <formula>AND($T$19&gt;0,OR($C$19="",$C$19="Subtract (specify other ineligible amounts):"))</formula>
    </cfRule>
  </conditionalFormatting>
  <conditionalFormatting sqref="C18:S19">
    <cfRule type="expression" dxfId="12" priority="1">
      <formula>AND(T18&gt;0,OR(C18="",C18="Subtract (specify other ineligible amounts):"))</formula>
    </cfRule>
  </conditionalFormatting>
  <conditionalFormatting sqref="AB58:AF59 AB79:AF79">
    <cfRule type="cellIs" dxfId="11"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formula1>0.7</formula1>
      <formula2>1.25</formula2>
    </dataValidation>
    <dataValidation type="decimal" allowBlank="1" showInputMessage="1" showErrorMessage="1" errorTitle="Federal Tax Credit Factor" error="Federal Tax Credit Factor must be within stated range." sqref="AB49:AF49">
      <formula1>0.8</formula1>
      <formula2>1.35</formula2>
    </dataValidation>
    <dataValidation type="whole" operator="greaterThanOrEqual" allowBlank="1" showInputMessage="1" showErrorMessage="1" sqref="T13:AM19">
      <formula1>0</formula1>
    </dataValidation>
    <dataValidation type="whole" operator="greaterThanOrEqual" allowBlank="1" showInputMessage="1" showErrorMessage="1" error="Must be a whole number greater than or equal to 0. No negative numbers." sqref="T21:AM21">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5520"/>
  <sheetViews>
    <sheetView workbookViewId="0">
      <selection activeCell="C4" sqref="C4"/>
    </sheetView>
  </sheetViews>
  <sheetFormatPr defaultColWidth="8.85546875" defaultRowHeight="12" zeroHeight="1"/>
  <cols>
    <col min="1" max="1" width="32.42578125" style="489" customWidth="1"/>
    <col min="2" max="3" width="12.140625" style="487" customWidth="1"/>
    <col min="4" max="4" width="12.85546875" style="487" customWidth="1"/>
    <col min="5" max="6" width="12.7109375" style="487" customWidth="1"/>
    <col min="7" max="7" width="13.42578125" style="487" customWidth="1"/>
    <col min="8" max="9" width="12.140625" style="487" customWidth="1"/>
    <col min="10" max="10" width="12.140625" style="582" customWidth="1"/>
    <col min="11" max="11" width="7" style="588" customWidth="1"/>
    <col min="12" max="16384" width="8.85546875" style="487"/>
  </cols>
  <sheetData>
    <row r="1" spans="1:11" s="356" customFormat="1" ht="12.75">
      <c r="A1" s="1627" t="s">
        <v>1897</v>
      </c>
      <c r="B1" s="1628"/>
      <c r="C1" s="1628"/>
      <c r="D1" s="1628"/>
      <c r="E1" s="1628"/>
      <c r="F1" s="1628"/>
      <c r="G1" s="1628"/>
      <c r="H1" s="1628"/>
      <c r="I1" s="1628"/>
      <c r="J1" s="1629"/>
      <c r="K1" s="585"/>
    </row>
    <row r="2" spans="1:11" s="603" customFormat="1" ht="72">
      <c r="A2" s="601"/>
      <c r="B2" s="232" t="s">
        <v>1416</v>
      </c>
      <c r="C2" s="232" t="s">
        <v>1898</v>
      </c>
      <c r="D2" s="232" t="s">
        <v>1899</v>
      </c>
      <c r="E2" s="232" t="s">
        <v>1420</v>
      </c>
      <c r="F2" s="232" t="s">
        <v>1900</v>
      </c>
      <c r="G2" s="232" t="s">
        <v>1901</v>
      </c>
      <c r="H2" s="232" t="s">
        <v>1419</v>
      </c>
      <c r="I2" s="232" t="s">
        <v>1902</v>
      </c>
      <c r="J2" s="671" t="s">
        <v>1903</v>
      </c>
      <c r="K2" s="602"/>
    </row>
    <row r="3" spans="1:11" s="253" customFormat="1">
      <c r="A3" s="235" t="s">
        <v>363</v>
      </c>
      <c r="B3" s="590"/>
      <c r="C3" s="590"/>
      <c r="D3" s="590"/>
      <c r="E3" s="590"/>
      <c r="F3" s="590"/>
      <c r="G3" s="590"/>
      <c r="H3" s="590"/>
      <c r="I3" s="590"/>
      <c r="J3" s="590"/>
      <c r="K3" s="586"/>
    </row>
    <row r="4" spans="1:11" s="253" customFormat="1" ht="13.5">
      <c r="A4" s="300" t="s">
        <v>72</v>
      </c>
      <c r="B4" s="591">
        <f>'Sources and Uses Budget'!C4</f>
        <v>592000</v>
      </c>
      <c r="C4" s="592"/>
      <c r="D4" s="592"/>
      <c r="E4" s="593"/>
      <c r="F4" s="593"/>
      <c r="G4" s="593"/>
      <c r="H4" s="593"/>
      <c r="I4" s="593"/>
      <c r="J4" s="593"/>
      <c r="K4" s="586"/>
    </row>
    <row r="5" spans="1:11" s="253" customFormat="1" ht="13.5">
      <c r="A5" s="300" t="s">
        <v>73</v>
      </c>
      <c r="B5" s="591">
        <f>'Sources and Uses Budget'!C5</f>
        <v>300000</v>
      </c>
      <c r="C5" s="592"/>
      <c r="D5" s="592"/>
      <c r="E5" s="593"/>
      <c r="F5" s="593"/>
      <c r="G5" s="593"/>
      <c r="H5" s="593"/>
      <c r="I5" s="593"/>
      <c r="J5" s="593"/>
      <c r="K5" s="586"/>
    </row>
    <row r="6" spans="1:11" s="253" customFormat="1">
      <c r="A6" s="239" t="s">
        <v>364</v>
      </c>
      <c r="B6" s="591">
        <f>'Sources and Uses Budget'!C6</f>
        <v>0</v>
      </c>
      <c r="C6" s="592"/>
      <c r="D6" s="592"/>
      <c r="E6" s="593"/>
      <c r="F6" s="593"/>
      <c r="G6" s="593"/>
      <c r="H6" s="593"/>
      <c r="I6" s="593"/>
      <c r="J6" s="593"/>
      <c r="K6" s="586"/>
    </row>
    <row r="7" spans="1:11" s="253" customFormat="1">
      <c r="A7" s="239" t="s">
        <v>296</v>
      </c>
      <c r="B7" s="591">
        <f>'Sources and Uses Budget'!C7</f>
        <v>0</v>
      </c>
      <c r="C7" s="592"/>
      <c r="D7" s="592"/>
      <c r="E7" s="593"/>
      <c r="F7" s="593"/>
      <c r="G7" s="593"/>
      <c r="H7" s="593"/>
      <c r="I7" s="593"/>
      <c r="J7" s="593"/>
      <c r="K7" s="586"/>
    </row>
    <row r="8" spans="1:11" s="253" customFormat="1" ht="13.5">
      <c r="A8" s="301" t="s">
        <v>739</v>
      </c>
      <c r="B8" s="591">
        <f>'Sources and Uses Budget'!C8</f>
        <v>892000</v>
      </c>
      <c r="C8" s="591">
        <f>SUM(C4:C7)</f>
        <v>0</v>
      </c>
      <c r="D8" s="591">
        <f>SUM(D4:D7)</f>
        <v>0</v>
      </c>
      <c r="E8" s="593"/>
      <c r="F8" s="593"/>
      <c r="G8" s="593"/>
      <c r="H8" s="593"/>
      <c r="I8" s="593"/>
      <c r="J8" s="593"/>
      <c r="K8" s="586"/>
    </row>
    <row r="9" spans="1:11" s="253" customFormat="1">
      <c r="A9" s="239" t="s">
        <v>1791</v>
      </c>
      <c r="B9" s="591">
        <f>'Sources and Uses Budget'!C9</f>
        <v>2408000</v>
      </c>
      <c r="C9" s="592"/>
      <c r="D9" s="592"/>
      <c r="E9" s="593"/>
      <c r="F9" s="593"/>
      <c r="G9" s="593"/>
      <c r="H9" s="591">
        <f>'Sources and Uses Budget'!T9</f>
        <v>0</v>
      </c>
      <c r="I9" s="592"/>
      <c r="J9" s="592"/>
      <c r="K9" s="586"/>
    </row>
    <row r="10" spans="1:11" s="253" customFormat="1" ht="13.5">
      <c r="A10" s="300" t="s">
        <v>74</v>
      </c>
      <c r="B10" s="591">
        <f>'Sources and Uses Budget'!C10</f>
        <v>0</v>
      </c>
      <c r="C10" s="592"/>
      <c r="D10" s="592"/>
      <c r="E10" s="591">
        <f>'Sources and Uses Budget'!S10</f>
        <v>0</v>
      </c>
      <c r="F10" s="592"/>
      <c r="G10" s="592"/>
      <c r="H10" s="591">
        <f>'Sources and Uses Budget'!T10</f>
        <v>0</v>
      </c>
      <c r="I10" s="592"/>
      <c r="J10" s="592"/>
      <c r="K10" s="586"/>
    </row>
    <row r="11" spans="1:11" s="253" customFormat="1">
      <c r="A11" s="243" t="s">
        <v>616</v>
      </c>
      <c r="B11" s="591">
        <f>'Sources and Uses Budget'!C11</f>
        <v>2408000</v>
      </c>
      <c r="C11" s="591">
        <f>SUM(C9:C10)</f>
        <v>0</v>
      </c>
      <c r="D11" s="591">
        <f>SUM(D9:D10)</f>
        <v>0</v>
      </c>
      <c r="E11" s="593"/>
      <c r="F11" s="593"/>
      <c r="G11" s="593"/>
      <c r="H11" s="591">
        <f>'Sources and Uses Budget'!T11</f>
        <v>0</v>
      </c>
      <c r="I11" s="591">
        <f>SUM(I9:I10)</f>
        <v>0</v>
      </c>
      <c r="J11" s="591">
        <f>SUM(J9:J10)</f>
        <v>0</v>
      </c>
      <c r="K11" s="586"/>
    </row>
    <row r="12" spans="1:11" s="253" customFormat="1">
      <c r="A12" s="243" t="s">
        <v>746</v>
      </c>
      <c r="B12" s="591">
        <f>'Sources and Uses Budget'!C12</f>
        <v>3300000</v>
      </c>
      <c r="C12" s="591">
        <f>SUM(C8+C11)</f>
        <v>0</v>
      </c>
      <c r="D12" s="591">
        <f>SUM(D8+D11)</f>
        <v>0</v>
      </c>
      <c r="E12" s="593"/>
      <c r="F12" s="593"/>
      <c r="G12" s="593"/>
      <c r="H12" s="593"/>
      <c r="I12" s="593"/>
      <c r="J12" s="593"/>
      <c r="K12" s="586"/>
    </row>
    <row r="13" spans="1:11" s="253" customFormat="1">
      <c r="A13" s="461" t="s">
        <v>1156</v>
      </c>
      <c r="B13" s="591">
        <f>'Sources and Uses Budget'!C13</f>
        <v>759124</v>
      </c>
      <c r="C13" s="592"/>
      <c r="D13" s="592"/>
      <c r="E13" s="591">
        <f>'Sources and Uses Budget'!S13</f>
        <v>0</v>
      </c>
      <c r="F13" s="592"/>
      <c r="G13" s="592"/>
      <c r="H13" s="591">
        <f>'Sources and Uses Budget'!T13</f>
        <v>0</v>
      </c>
      <c r="I13" s="592"/>
      <c r="J13" s="592"/>
      <c r="K13" s="586"/>
    </row>
    <row r="14" spans="1:11" s="253" customFormat="1" ht="24">
      <c r="A14" s="239" t="s">
        <v>1188</v>
      </c>
      <c r="B14" s="591">
        <f>'Sources and Uses Budget'!C14</f>
        <v>0</v>
      </c>
      <c r="C14" s="592"/>
      <c r="D14" s="592"/>
      <c r="E14" s="591">
        <f>'Sources and Uses Budget'!S14</f>
        <v>0</v>
      </c>
      <c r="F14" s="592"/>
      <c r="G14" s="592"/>
      <c r="H14" s="591">
        <f>'Sources and Uses Budget'!T14</f>
        <v>0</v>
      </c>
      <c r="I14" s="592"/>
      <c r="J14" s="592"/>
      <c r="K14" s="586"/>
    </row>
    <row r="15" spans="1:11" s="253" customFormat="1">
      <c r="A15" s="239" t="s">
        <v>1751</v>
      </c>
      <c r="B15" s="591">
        <f>'Sources and Uses Budget'!C15</f>
        <v>0</v>
      </c>
      <c r="C15" s="592"/>
      <c r="D15" s="592"/>
      <c r="E15" s="593">
        <f>'Sources and Uses Budget'!S15</f>
        <v>0</v>
      </c>
      <c r="F15" s="593"/>
      <c r="G15" s="593"/>
      <c r="H15" s="593">
        <f>'Sources and Uses Budget'!T15</f>
        <v>0</v>
      </c>
      <c r="I15" s="593"/>
      <c r="J15" s="593"/>
      <c r="K15" s="586"/>
    </row>
    <row r="16" spans="1:11" s="253" customFormat="1">
      <c r="A16" s="235" t="s">
        <v>952</v>
      </c>
      <c r="B16" s="590"/>
      <c r="C16" s="590"/>
      <c r="D16" s="590"/>
      <c r="E16" s="590"/>
      <c r="F16" s="590"/>
      <c r="G16" s="590"/>
      <c r="H16" s="590"/>
      <c r="I16" s="590"/>
      <c r="J16" s="590"/>
      <c r="K16" s="586"/>
    </row>
    <row r="17" spans="1:11" s="253" customFormat="1">
      <c r="A17" s="239" t="s">
        <v>953</v>
      </c>
      <c r="B17" s="591">
        <f>'Sources and Uses Budget'!C17</f>
        <v>0</v>
      </c>
      <c r="C17" s="592"/>
      <c r="D17" s="592"/>
      <c r="E17" s="591">
        <f>'Sources and Uses Budget'!S17</f>
        <v>0</v>
      </c>
      <c r="F17" s="592"/>
      <c r="G17" s="592"/>
      <c r="H17" s="591">
        <f>'Sources and Uses Budget'!T17</f>
        <v>0</v>
      </c>
      <c r="I17" s="592"/>
      <c r="J17" s="592"/>
      <c r="K17" s="586"/>
    </row>
    <row r="18" spans="1:11" s="253" customFormat="1">
      <c r="A18" s="239" t="s">
        <v>954</v>
      </c>
      <c r="B18" s="591">
        <f>'Sources and Uses Budget'!C18</f>
        <v>0</v>
      </c>
      <c r="C18" s="592"/>
      <c r="D18" s="592"/>
      <c r="E18" s="591">
        <f>'Sources and Uses Budget'!S18</f>
        <v>0</v>
      </c>
      <c r="F18" s="592"/>
      <c r="G18" s="592"/>
      <c r="H18" s="591">
        <f>'Sources and Uses Budget'!T18</f>
        <v>0</v>
      </c>
      <c r="I18" s="592"/>
      <c r="J18" s="592"/>
      <c r="K18" s="586"/>
    </row>
    <row r="19" spans="1:11" s="253" customFormat="1">
      <c r="A19" s="239" t="s">
        <v>955</v>
      </c>
      <c r="B19" s="591">
        <f>'Sources and Uses Budget'!C19</f>
        <v>0</v>
      </c>
      <c r="C19" s="592"/>
      <c r="D19" s="592"/>
      <c r="E19" s="591">
        <f>'Sources and Uses Budget'!S19</f>
        <v>0</v>
      </c>
      <c r="F19" s="592"/>
      <c r="G19" s="592"/>
      <c r="H19" s="591">
        <f>'Sources and Uses Budget'!T19</f>
        <v>0</v>
      </c>
      <c r="I19" s="592"/>
      <c r="J19" s="592"/>
      <c r="K19" s="586"/>
    </row>
    <row r="20" spans="1:11" s="253" customFormat="1">
      <c r="A20" s="239" t="s">
        <v>956</v>
      </c>
      <c r="B20" s="591">
        <f>'Sources and Uses Budget'!C20</f>
        <v>0</v>
      </c>
      <c r="C20" s="592"/>
      <c r="D20" s="592"/>
      <c r="E20" s="591">
        <f>'Sources and Uses Budget'!S20</f>
        <v>0</v>
      </c>
      <c r="F20" s="592"/>
      <c r="G20" s="592"/>
      <c r="H20" s="591">
        <f>'Sources and Uses Budget'!T20</f>
        <v>0</v>
      </c>
      <c r="I20" s="592"/>
      <c r="J20" s="592"/>
      <c r="K20" s="586"/>
    </row>
    <row r="21" spans="1:11" s="253" customFormat="1">
      <c r="A21" s="239" t="s">
        <v>957</v>
      </c>
      <c r="B21" s="591">
        <f>'Sources and Uses Budget'!C21</f>
        <v>0</v>
      </c>
      <c r="C21" s="592"/>
      <c r="D21" s="592"/>
      <c r="E21" s="591">
        <f>'Sources and Uses Budget'!S21</f>
        <v>0</v>
      </c>
      <c r="F21" s="592"/>
      <c r="G21" s="592"/>
      <c r="H21" s="591">
        <f>'Sources and Uses Budget'!T21</f>
        <v>0</v>
      </c>
      <c r="I21" s="592"/>
      <c r="J21" s="592"/>
      <c r="K21" s="586"/>
    </row>
    <row r="22" spans="1:11" s="253" customFormat="1">
      <c r="A22" s="239" t="s">
        <v>958</v>
      </c>
      <c r="B22" s="591">
        <f>'Sources and Uses Budget'!C22</f>
        <v>0</v>
      </c>
      <c r="C22" s="592"/>
      <c r="D22" s="592"/>
      <c r="E22" s="591">
        <f>'Sources and Uses Budget'!S22</f>
        <v>0</v>
      </c>
      <c r="F22" s="592"/>
      <c r="G22" s="592"/>
      <c r="H22" s="591">
        <f>'Sources and Uses Budget'!T22</f>
        <v>0</v>
      </c>
      <c r="I22" s="592"/>
      <c r="J22" s="592"/>
      <c r="K22" s="586"/>
    </row>
    <row r="23" spans="1:11" s="253" customFormat="1">
      <c r="A23" s="239" t="s">
        <v>959</v>
      </c>
      <c r="B23" s="591">
        <f>'Sources and Uses Budget'!C23</f>
        <v>0</v>
      </c>
      <c r="C23" s="592"/>
      <c r="D23" s="592"/>
      <c r="E23" s="591">
        <f>'Sources and Uses Budget'!S23</f>
        <v>0</v>
      </c>
      <c r="F23" s="592"/>
      <c r="G23" s="592"/>
      <c r="H23" s="591">
        <f>'Sources and Uses Budget'!T23</f>
        <v>0</v>
      </c>
      <c r="I23" s="592"/>
      <c r="J23" s="592"/>
      <c r="K23" s="586"/>
    </row>
    <row r="24" spans="1:11" s="253" customFormat="1">
      <c r="A24" s="239" t="str">
        <f>'Sources and Uses Budget'!$A25</f>
        <v>Other: (Specify)</v>
      </c>
      <c r="B24" s="591">
        <f>'Sources and Uses Budget'!C25</f>
        <v>0</v>
      </c>
      <c r="C24" s="592"/>
      <c r="D24" s="592"/>
      <c r="E24" s="591">
        <f>'Sources and Uses Budget'!S25</f>
        <v>0</v>
      </c>
      <c r="F24" s="592"/>
      <c r="G24" s="592"/>
      <c r="H24" s="591">
        <f>'Sources and Uses Budget'!T25</f>
        <v>0</v>
      </c>
      <c r="I24" s="592"/>
      <c r="J24" s="592"/>
      <c r="K24" s="586"/>
    </row>
    <row r="25" spans="1:11" s="253" customFormat="1">
      <c r="A25" s="243" t="s">
        <v>236</v>
      </c>
      <c r="B25" s="591">
        <f>'Sources and Uses Budget'!C26</f>
        <v>0</v>
      </c>
      <c r="C25" s="591">
        <f>SUM(C17:C24)</f>
        <v>0</v>
      </c>
      <c r="D25" s="591">
        <f>SUM(D17:D24)</f>
        <v>0</v>
      </c>
      <c r="E25" s="591">
        <f>'Sources and Uses Budget'!S26</f>
        <v>0</v>
      </c>
      <c r="F25" s="594">
        <f>SUM(F17:F24)</f>
        <v>0</v>
      </c>
      <c r="G25" s="594">
        <f>SUM(G17:G24)</f>
        <v>0</v>
      </c>
      <c r="H25" s="591">
        <f>'Sources and Uses Budget'!T26</f>
        <v>0</v>
      </c>
      <c r="I25" s="594">
        <f>SUM(I17:I24)</f>
        <v>0</v>
      </c>
      <c r="J25" s="594">
        <f>SUM(J17:J24)</f>
        <v>0</v>
      </c>
      <c r="K25" s="586"/>
    </row>
    <row r="26" spans="1:11" s="253" customFormat="1">
      <c r="A26" s="243" t="s">
        <v>960</v>
      </c>
      <c r="B26" s="591">
        <f>'Sources and Uses Budget'!C27</f>
        <v>250000</v>
      </c>
      <c r="C26" s="592"/>
      <c r="D26" s="592"/>
      <c r="E26" s="591">
        <f>'Sources and Uses Budget'!S27</f>
        <v>0</v>
      </c>
      <c r="F26" s="592"/>
      <c r="G26" s="592"/>
      <c r="H26" s="591">
        <f>'Sources and Uses Budget'!T27</f>
        <v>0</v>
      </c>
      <c r="I26" s="592"/>
      <c r="J26" s="592"/>
      <c r="K26" s="586"/>
    </row>
    <row r="27" spans="1:11" s="253" customFormat="1">
      <c r="A27" s="235" t="s">
        <v>961</v>
      </c>
      <c r="B27" s="590"/>
      <c r="C27" s="590"/>
      <c r="D27" s="590"/>
      <c r="E27" s="590"/>
      <c r="F27" s="590"/>
      <c r="G27" s="590"/>
      <c r="H27" s="590"/>
      <c r="I27" s="590"/>
      <c r="J27" s="590"/>
      <c r="K27" s="586"/>
    </row>
    <row r="28" spans="1:11" s="253" customFormat="1">
      <c r="A28" s="239" t="s">
        <v>953</v>
      </c>
      <c r="B28" s="591">
        <f>'Sources and Uses Budget'!C29</f>
        <v>700000</v>
      </c>
      <c r="C28" s="592"/>
      <c r="D28" s="592"/>
      <c r="E28" s="591">
        <f>'Sources and Uses Budget'!S29</f>
        <v>700000</v>
      </c>
      <c r="F28" s="592"/>
      <c r="G28" s="592"/>
      <c r="H28" s="591">
        <f>'Sources and Uses Budget'!T29</f>
        <v>0</v>
      </c>
      <c r="I28" s="592"/>
      <c r="J28" s="592"/>
      <c r="K28" s="586"/>
    </row>
    <row r="29" spans="1:11" s="253" customFormat="1">
      <c r="A29" s="239" t="s">
        <v>954</v>
      </c>
      <c r="B29" s="591">
        <f>'Sources and Uses Budget'!C30</f>
        <v>13065000</v>
      </c>
      <c r="C29" s="592"/>
      <c r="D29" s="592"/>
      <c r="E29" s="591">
        <f>'Sources and Uses Budget'!S30</f>
        <v>13065000</v>
      </c>
      <c r="F29" s="592"/>
      <c r="G29" s="592"/>
      <c r="H29" s="591">
        <f>'Sources and Uses Budget'!T30</f>
        <v>0</v>
      </c>
      <c r="I29" s="592"/>
      <c r="J29" s="592"/>
      <c r="K29" s="586"/>
    </row>
    <row r="30" spans="1:11" s="253" customFormat="1">
      <c r="A30" s="239" t="s">
        <v>955</v>
      </c>
      <c r="B30" s="591">
        <f>'Sources and Uses Budget'!C31</f>
        <v>783900</v>
      </c>
      <c r="C30" s="592"/>
      <c r="D30" s="592"/>
      <c r="E30" s="591">
        <f>'Sources and Uses Budget'!S31</f>
        <v>783900</v>
      </c>
      <c r="F30" s="592"/>
      <c r="G30" s="592"/>
      <c r="H30" s="591">
        <f>'Sources and Uses Budget'!T31</f>
        <v>0</v>
      </c>
      <c r="I30" s="592"/>
      <c r="J30" s="592"/>
      <c r="K30" s="586"/>
    </row>
    <row r="31" spans="1:11" s="253" customFormat="1">
      <c r="A31" s="239" t="s">
        <v>956</v>
      </c>
      <c r="B31" s="591">
        <f>'Sources and Uses Budget'!C32</f>
        <v>1045200</v>
      </c>
      <c r="C31" s="592"/>
      <c r="D31" s="592"/>
      <c r="E31" s="591">
        <f>'Sources and Uses Budget'!S32</f>
        <v>1045200</v>
      </c>
      <c r="F31" s="592"/>
      <c r="G31" s="592"/>
      <c r="H31" s="591">
        <f>'Sources and Uses Budget'!T32</f>
        <v>0</v>
      </c>
      <c r="I31" s="592"/>
      <c r="J31" s="592"/>
      <c r="K31" s="586"/>
    </row>
    <row r="32" spans="1:11" s="253" customFormat="1">
      <c r="A32" s="239" t="s">
        <v>957</v>
      </c>
      <c r="B32" s="591">
        <f>'Sources and Uses Budget'!C33</f>
        <v>0</v>
      </c>
      <c r="C32" s="592"/>
      <c r="D32" s="592"/>
      <c r="E32" s="591">
        <f>'Sources and Uses Budget'!S33</f>
        <v>0</v>
      </c>
      <c r="F32" s="592"/>
      <c r="G32" s="592"/>
      <c r="H32" s="591">
        <f>'Sources and Uses Budget'!T33</f>
        <v>0</v>
      </c>
      <c r="I32" s="592"/>
      <c r="J32" s="592"/>
      <c r="K32" s="586"/>
    </row>
    <row r="33" spans="1:11" s="253" customFormat="1">
      <c r="A33" s="239" t="s">
        <v>958</v>
      </c>
      <c r="B33" s="591">
        <f>'Sources and Uses Budget'!C34</f>
        <v>0</v>
      </c>
      <c r="C33" s="592"/>
      <c r="D33" s="592"/>
      <c r="E33" s="591">
        <f>'Sources and Uses Budget'!S34</f>
        <v>0</v>
      </c>
      <c r="F33" s="592"/>
      <c r="G33" s="592"/>
      <c r="H33" s="591">
        <f>'Sources and Uses Budget'!T34</f>
        <v>0</v>
      </c>
      <c r="I33" s="592"/>
      <c r="J33" s="592"/>
      <c r="K33" s="586"/>
    </row>
    <row r="34" spans="1:11" s="253" customFormat="1">
      <c r="A34" s="239" t="s">
        <v>959</v>
      </c>
      <c r="B34" s="591">
        <f>'Sources and Uses Budget'!C35</f>
        <v>0</v>
      </c>
      <c r="C34" s="592"/>
      <c r="D34" s="592"/>
      <c r="E34" s="591">
        <f>'Sources and Uses Budget'!S35</f>
        <v>0</v>
      </c>
      <c r="F34" s="592"/>
      <c r="G34" s="592"/>
      <c r="H34" s="591">
        <f>'Sources and Uses Budget'!T35</f>
        <v>0</v>
      </c>
      <c r="I34" s="592"/>
      <c r="J34" s="592"/>
      <c r="K34" s="586"/>
    </row>
    <row r="35" spans="1:11" s="253" customFormat="1">
      <c r="A35" s="239" t="str">
        <f>'Sources and Uses Budget'!$A36</f>
        <v>Third-party Construction Management</v>
      </c>
      <c r="B35" s="591">
        <f>'Sources and Uses Budget'!C36</f>
        <v>0</v>
      </c>
      <c r="C35" s="592"/>
      <c r="D35" s="592"/>
      <c r="E35" s="591">
        <f>'Sources and Uses Budget'!S36</f>
        <v>0</v>
      </c>
      <c r="F35" s="592"/>
      <c r="G35" s="592"/>
      <c r="H35" s="591">
        <f>'Sources and Uses Budget'!T36</f>
        <v>0</v>
      </c>
      <c r="I35" s="592"/>
      <c r="J35" s="592"/>
      <c r="K35" s="586"/>
    </row>
    <row r="36" spans="1:11" s="253" customFormat="1">
      <c r="A36" s="239" t="str">
        <f>'Sources and Uses Budget'!$A37</f>
        <v>Resident Internet Infrastructure</v>
      </c>
      <c r="B36" s="591">
        <f>'Sources and Uses Budget'!C37</f>
        <v>100000</v>
      </c>
      <c r="C36" s="592"/>
      <c r="D36" s="592"/>
      <c r="E36" s="591">
        <f>'Sources and Uses Budget'!S37</f>
        <v>100000</v>
      </c>
      <c r="F36" s="592"/>
      <c r="G36" s="592"/>
      <c r="H36" s="591">
        <f>'Sources and Uses Budget'!T37</f>
        <v>0</v>
      </c>
      <c r="I36" s="592"/>
      <c r="J36" s="592"/>
      <c r="K36" s="586"/>
    </row>
    <row r="37" spans="1:11" s="253" customFormat="1">
      <c r="A37" s="243" t="s">
        <v>962</v>
      </c>
      <c r="B37" s="591">
        <f>'Sources and Uses Budget'!C38</f>
        <v>15694100</v>
      </c>
      <c r="C37" s="591">
        <f>SUM(C28:C36)</f>
        <v>0</v>
      </c>
      <c r="D37" s="591">
        <f>SUM(D28:D36)</f>
        <v>0</v>
      </c>
      <c r="E37" s="591">
        <f>'Sources and Uses Budget'!S38</f>
        <v>15694100</v>
      </c>
      <c r="F37" s="594">
        <f>SUM(F28:F36)</f>
        <v>0</v>
      </c>
      <c r="G37" s="594">
        <f>SUM(G28:G36)</f>
        <v>0</v>
      </c>
      <c r="H37" s="591">
        <f>'Sources and Uses Budget'!T38</f>
        <v>0</v>
      </c>
      <c r="I37" s="594">
        <f>SUM(I28:I36)</f>
        <v>0</v>
      </c>
      <c r="J37" s="594">
        <f>SUM(J28:J36)</f>
        <v>0</v>
      </c>
      <c r="K37" s="586"/>
    </row>
    <row r="38" spans="1:11" s="253" customFormat="1">
      <c r="A38" s="235" t="s">
        <v>963</v>
      </c>
      <c r="B38" s="590"/>
      <c r="C38" s="590"/>
      <c r="D38" s="590"/>
      <c r="E38" s="590"/>
      <c r="F38" s="590"/>
      <c r="G38" s="590"/>
      <c r="H38" s="590"/>
      <c r="I38" s="590"/>
      <c r="J38" s="590"/>
      <c r="K38" s="586"/>
    </row>
    <row r="39" spans="1:11" s="253" customFormat="1">
      <c r="A39" s="239" t="s">
        <v>964</v>
      </c>
      <c r="B39" s="591">
        <f>'Sources and Uses Budget'!C40</f>
        <v>535000</v>
      </c>
      <c r="C39" s="592"/>
      <c r="D39" s="592"/>
      <c r="E39" s="591">
        <f>'Sources and Uses Budget'!S40</f>
        <v>535000</v>
      </c>
      <c r="F39" s="592"/>
      <c r="G39" s="592"/>
      <c r="H39" s="591">
        <f>'Sources and Uses Budget'!T40</f>
        <v>0</v>
      </c>
      <c r="I39" s="592"/>
      <c r="J39" s="592"/>
      <c r="K39" s="586"/>
    </row>
    <row r="40" spans="1:11" s="253" customFormat="1">
      <c r="A40" s="239" t="s">
        <v>965</v>
      </c>
      <c r="B40" s="591">
        <f>'Sources and Uses Budget'!C41</f>
        <v>0</v>
      </c>
      <c r="C40" s="592"/>
      <c r="D40" s="592"/>
      <c r="E40" s="591">
        <f>'Sources and Uses Budget'!S41</f>
        <v>0</v>
      </c>
      <c r="F40" s="592"/>
      <c r="G40" s="592"/>
      <c r="H40" s="591">
        <f>'Sources and Uses Budget'!T41</f>
        <v>0</v>
      </c>
      <c r="I40" s="592"/>
      <c r="J40" s="592"/>
      <c r="K40" s="586"/>
    </row>
    <row r="41" spans="1:11" s="253" customFormat="1">
      <c r="A41" s="243" t="s">
        <v>966</v>
      </c>
      <c r="B41" s="591">
        <f>'Sources and Uses Budget'!C42</f>
        <v>535000</v>
      </c>
      <c r="C41" s="591">
        <f>SUM(C38:C40)</f>
        <v>0</v>
      </c>
      <c r="D41" s="591">
        <f>SUM(D38:D40)</f>
        <v>0</v>
      </c>
      <c r="E41" s="591">
        <f>'Sources and Uses Budget'!S42</f>
        <v>535000</v>
      </c>
      <c r="F41" s="594">
        <f>SUM(F39:F40)</f>
        <v>0</v>
      </c>
      <c r="G41" s="594">
        <f>SUM(G39:G40)</f>
        <v>0</v>
      </c>
      <c r="H41" s="591">
        <f>'Sources and Uses Budget'!T42</f>
        <v>0</v>
      </c>
      <c r="I41" s="594">
        <f>SUM(I39:I40)</f>
        <v>0</v>
      </c>
      <c r="J41" s="594">
        <f>SUM(J39:J40)</f>
        <v>0</v>
      </c>
      <c r="K41" s="586"/>
    </row>
    <row r="42" spans="1:11" s="253" customFormat="1">
      <c r="A42" s="243" t="s">
        <v>967</v>
      </c>
      <c r="B42" s="591">
        <f>'Sources and Uses Budget'!C43</f>
        <v>100000</v>
      </c>
      <c r="C42" s="592"/>
      <c r="D42" s="592"/>
      <c r="E42" s="591">
        <f>'Sources and Uses Budget'!S43</f>
        <v>100000</v>
      </c>
      <c r="F42" s="592"/>
      <c r="G42" s="592"/>
      <c r="H42" s="591">
        <f>'Sources and Uses Budget'!T43</f>
        <v>0</v>
      </c>
      <c r="I42" s="592"/>
      <c r="J42" s="592"/>
      <c r="K42" s="586"/>
    </row>
    <row r="43" spans="1:11" s="253" customFormat="1">
      <c r="A43" s="235" t="s">
        <v>968</v>
      </c>
      <c r="B43" s="590"/>
      <c r="C43" s="590"/>
      <c r="D43" s="590"/>
      <c r="E43" s="590"/>
      <c r="F43" s="590"/>
      <c r="G43" s="590"/>
      <c r="H43" s="590"/>
      <c r="I43" s="590"/>
      <c r="J43" s="590"/>
      <c r="K43" s="586"/>
    </row>
    <row r="44" spans="1:11" s="253" customFormat="1">
      <c r="A44" s="239" t="s">
        <v>969</v>
      </c>
      <c r="B44" s="591">
        <f>'Sources and Uses Budget'!C45</f>
        <v>1842757</v>
      </c>
      <c r="C44" s="592"/>
      <c r="D44" s="592"/>
      <c r="E44" s="591">
        <f>'Sources and Uses Budget'!S45</f>
        <v>1110294</v>
      </c>
      <c r="F44" s="592"/>
      <c r="G44" s="592"/>
      <c r="H44" s="591">
        <f>'Sources and Uses Budget'!T45</f>
        <v>0</v>
      </c>
      <c r="I44" s="592"/>
      <c r="J44" s="592"/>
      <c r="K44" s="586"/>
    </row>
    <row r="45" spans="1:11" s="253" customFormat="1">
      <c r="A45" s="239" t="s">
        <v>970</v>
      </c>
      <c r="B45" s="591">
        <f>'Sources and Uses Budget'!C46</f>
        <v>192754</v>
      </c>
      <c r="C45" s="592"/>
      <c r="D45" s="592"/>
      <c r="E45" s="591">
        <f>'Sources and Uses Budget'!S46</f>
        <v>116137</v>
      </c>
      <c r="F45" s="592"/>
      <c r="G45" s="592"/>
      <c r="H45" s="591">
        <f>'Sources and Uses Budget'!T46</f>
        <v>0</v>
      </c>
      <c r="I45" s="592"/>
      <c r="J45" s="592"/>
      <c r="K45" s="586"/>
    </row>
    <row r="46" spans="1:11" s="253" customFormat="1" ht="12" customHeight="1">
      <c r="A46" s="239" t="s">
        <v>971</v>
      </c>
      <c r="B46" s="591">
        <f>'Sources and Uses Budget'!C47</f>
        <v>0</v>
      </c>
      <c r="C46" s="592"/>
      <c r="D46" s="592"/>
      <c r="E46" s="591">
        <f>'Sources and Uses Budget'!S47</f>
        <v>0</v>
      </c>
      <c r="F46" s="592"/>
      <c r="G46" s="592"/>
      <c r="H46" s="591">
        <f>'Sources and Uses Budget'!T47</f>
        <v>0</v>
      </c>
      <c r="I46" s="592"/>
      <c r="J46" s="592"/>
      <c r="K46" s="586"/>
    </row>
    <row r="47" spans="1:11" s="253" customFormat="1">
      <c r="A47" s="239" t="s">
        <v>972</v>
      </c>
      <c r="B47" s="591">
        <f>'Sources and Uses Budget'!C48</f>
        <v>0</v>
      </c>
      <c r="C47" s="592"/>
      <c r="D47" s="592"/>
      <c r="E47" s="591">
        <f>'Sources and Uses Budget'!S48</f>
        <v>0</v>
      </c>
      <c r="F47" s="592"/>
      <c r="G47" s="592"/>
      <c r="H47" s="591">
        <f>'Sources and Uses Budget'!T48</f>
        <v>0</v>
      </c>
      <c r="I47" s="592"/>
      <c r="J47" s="592"/>
      <c r="K47" s="586"/>
    </row>
    <row r="48" spans="1:11" s="253" customFormat="1">
      <c r="A48" s="239" t="s">
        <v>975</v>
      </c>
      <c r="B48" s="591">
        <f>'Sources and Uses Budget'!C49</f>
        <v>110000</v>
      </c>
      <c r="C48" s="592"/>
      <c r="D48" s="592"/>
      <c r="E48" s="591">
        <f>'Sources and Uses Budget'!S49</f>
        <v>110000</v>
      </c>
      <c r="F48" s="592"/>
      <c r="G48" s="592"/>
      <c r="H48" s="591">
        <f>'Sources and Uses Budget'!T49</f>
        <v>0</v>
      </c>
      <c r="I48" s="592"/>
      <c r="J48" s="592"/>
      <c r="K48" s="586"/>
    </row>
    <row r="49" spans="1:11" s="253" customFormat="1">
      <c r="A49" s="239" t="s">
        <v>973</v>
      </c>
      <c r="B49" s="591">
        <f>'Sources and Uses Budget'!C50</f>
        <v>5000</v>
      </c>
      <c r="C49" s="592"/>
      <c r="D49" s="592"/>
      <c r="E49" s="591">
        <f>'Sources and Uses Budget'!S50</f>
        <v>5000</v>
      </c>
      <c r="F49" s="592"/>
      <c r="G49" s="592"/>
      <c r="H49" s="591">
        <f>'Sources and Uses Budget'!T50</f>
        <v>0</v>
      </c>
      <c r="I49" s="592"/>
      <c r="J49" s="592"/>
      <c r="K49" s="586"/>
    </row>
    <row r="50" spans="1:11" s="253" customFormat="1">
      <c r="A50" s="239" t="s">
        <v>974</v>
      </c>
      <c r="B50" s="591">
        <f>'Sources and Uses Budget'!C51</f>
        <v>40000</v>
      </c>
      <c r="C50" s="592"/>
      <c r="D50" s="592"/>
      <c r="E50" s="591">
        <f>'Sources and Uses Budget'!S51</f>
        <v>40000</v>
      </c>
      <c r="F50" s="592"/>
      <c r="G50" s="592"/>
      <c r="H50" s="591">
        <f>'Sources and Uses Budget'!T51</f>
        <v>0</v>
      </c>
      <c r="I50" s="592"/>
      <c r="J50" s="592"/>
      <c r="K50" s="586"/>
    </row>
    <row r="51" spans="1:11" s="253" customFormat="1">
      <c r="A51" s="239" t="str">
        <f>'Sources and Uses Budget'!$A52</f>
        <v>Lender Expenses</v>
      </c>
      <c r="B51" s="591">
        <f>'Sources and Uses Budget'!C52</f>
        <v>50000</v>
      </c>
      <c r="C51" s="592"/>
      <c r="D51" s="592"/>
      <c r="E51" s="591">
        <f>'Sources and Uses Budget'!S52</f>
        <v>30126</v>
      </c>
      <c r="F51" s="592"/>
      <c r="G51" s="592"/>
      <c r="H51" s="591">
        <f>'Sources and Uses Budget'!T52</f>
        <v>0</v>
      </c>
      <c r="I51" s="592"/>
      <c r="J51" s="592"/>
      <c r="K51" s="586"/>
    </row>
    <row r="52" spans="1:11" s="584" customFormat="1">
      <c r="A52" s="243" t="s">
        <v>976</v>
      </c>
      <c r="B52" s="591">
        <f>'Sources and Uses Budget'!C53</f>
        <v>2240511</v>
      </c>
      <c r="C52" s="594">
        <f>SUM(C44:C51)</f>
        <v>0</v>
      </c>
      <c r="D52" s="594">
        <f>SUM(D44:D51)</f>
        <v>0</v>
      </c>
      <c r="E52" s="591">
        <f>'Sources and Uses Budget'!S53</f>
        <v>1411557</v>
      </c>
      <c r="F52" s="594">
        <f>SUM(F44:F51)</f>
        <v>0</v>
      </c>
      <c r="G52" s="594">
        <f>SUM(G44:G51)</f>
        <v>0</v>
      </c>
      <c r="H52" s="591">
        <f>'Sources and Uses Budget'!T53</f>
        <v>0</v>
      </c>
      <c r="I52" s="594">
        <f>SUM(I44:I51)</f>
        <v>0</v>
      </c>
      <c r="J52" s="594">
        <f>SUM(J44:J51)</f>
        <v>0</v>
      </c>
      <c r="K52" s="587"/>
    </row>
    <row r="53" spans="1:11" s="253" customFormat="1">
      <c r="A53" s="235" t="s">
        <v>718</v>
      </c>
      <c r="B53" s="590"/>
      <c r="C53" s="590"/>
      <c r="D53" s="590"/>
      <c r="E53" s="590"/>
      <c r="F53" s="590"/>
      <c r="G53" s="590"/>
      <c r="H53" s="590"/>
      <c r="I53" s="590"/>
      <c r="J53" s="590"/>
      <c r="K53" s="586"/>
    </row>
    <row r="54" spans="1:11" s="253" customFormat="1">
      <c r="A54" s="239" t="s">
        <v>977</v>
      </c>
      <c r="B54" s="591">
        <f>'Sources and Uses Budget'!C55</f>
        <v>0</v>
      </c>
      <c r="C54" s="592"/>
      <c r="D54" s="592"/>
      <c r="E54" s="593"/>
      <c r="F54" s="593"/>
      <c r="G54" s="593"/>
      <c r="H54" s="593"/>
      <c r="I54" s="593"/>
      <c r="J54" s="593"/>
      <c r="K54" s="586"/>
    </row>
    <row r="55" spans="1:11" s="253" customFormat="1" ht="12" customHeight="1">
      <c r="A55" s="239" t="s">
        <v>971</v>
      </c>
      <c r="B55" s="591">
        <f>'Sources and Uses Budget'!C56</f>
        <v>0</v>
      </c>
      <c r="C55" s="592"/>
      <c r="D55" s="592"/>
      <c r="E55" s="593"/>
      <c r="F55" s="593"/>
      <c r="G55" s="593"/>
      <c r="H55" s="593"/>
      <c r="I55" s="593"/>
      <c r="J55" s="593"/>
      <c r="K55" s="586"/>
    </row>
    <row r="56" spans="1:11" s="253" customFormat="1">
      <c r="A56" s="239" t="s">
        <v>975</v>
      </c>
      <c r="B56" s="591">
        <f>'Sources and Uses Budget'!C57</f>
        <v>15000</v>
      </c>
      <c r="C56" s="592"/>
      <c r="D56" s="592"/>
      <c r="E56" s="593"/>
      <c r="F56" s="593"/>
      <c r="G56" s="593"/>
      <c r="H56" s="593"/>
      <c r="I56" s="593"/>
      <c r="J56" s="593"/>
      <c r="K56" s="586"/>
    </row>
    <row r="57" spans="1:11" s="253" customFormat="1">
      <c r="A57" s="239" t="s">
        <v>973</v>
      </c>
      <c r="B57" s="591">
        <f>'Sources and Uses Budget'!C58</f>
        <v>0</v>
      </c>
      <c r="C57" s="592"/>
      <c r="D57" s="592"/>
      <c r="E57" s="593"/>
      <c r="F57" s="593"/>
      <c r="G57" s="593"/>
      <c r="H57" s="593"/>
      <c r="I57" s="593"/>
      <c r="J57" s="593"/>
      <c r="K57" s="586"/>
    </row>
    <row r="58" spans="1:11" s="253" customFormat="1">
      <c r="A58" s="239" t="s">
        <v>974</v>
      </c>
      <c r="B58" s="591">
        <f>'Sources and Uses Budget'!C59</f>
        <v>0</v>
      </c>
      <c r="C58" s="592"/>
      <c r="D58" s="592"/>
      <c r="E58" s="593"/>
      <c r="F58" s="593"/>
      <c r="G58" s="593"/>
      <c r="H58" s="593"/>
      <c r="I58" s="593"/>
      <c r="J58" s="593"/>
      <c r="K58" s="586"/>
    </row>
    <row r="59" spans="1:11" s="253" customFormat="1">
      <c r="A59" s="239" t="str">
        <f>'Sources and Uses Budget'!$A60</f>
        <v>Other: (Specify)</v>
      </c>
      <c r="B59" s="591">
        <f>'Sources and Uses Budget'!C60</f>
        <v>0</v>
      </c>
      <c r="C59" s="592"/>
      <c r="D59" s="592"/>
      <c r="E59" s="593"/>
      <c r="F59" s="593"/>
      <c r="G59" s="593"/>
      <c r="H59" s="593"/>
      <c r="I59" s="593"/>
      <c r="J59" s="593"/>
      <c r="K59" s="586"/>
    </row>
    <row r="60" spans="1:11" s="253" customFormat="1" ht="14.1" customHeight="1">
      <c r="A60" s="243" t="s">
        <v>528</v>
      </c>
      <c r="B60" s="591">
        <f>'Sources and Uses Budget'!C61</f>
        <v>15000</v>
      </c>
      <c r="C60" s="591">
        <f>SUM(C54:C59)</f>
        <v>0</v>
      </c>
      <c r="D60" s="591">
        <f>SUM(D54:D59)</f>
        <v>0</v>
      </c>
      <c r="E60" s="593"/>
      <c r="F60" s="593"/>
      <c r="G60" s="593"/>
      <c r="H60" s="593"/>
      <c r="I60" s="593"/>
      <c r="J60" s="593"/>
      <c r="K60" s="586"/>
    </row>
    <row r="61" spans="1:11" s="253" customFormat="1">
      <c r="A61" s="249" t="s">
        <v>529</v>
      </c>
      <c r="B61" s="591">
        <f>'Sources and Uses Budget'!C62</f>
        <v>22893735</v>
      </c>
      <c r="C61" s="591">
        <f>SUM(C8+C11+C13+C14+C15+C25+C26+C37+C41+C42+C52+C60)</f>
        <v>0</v>
      </c>
      <c r="D61" s="591">
        <f>SUM(D8+D11+D13+D14+D15+D25+D26+D37+D41+D42+D52+D60)</f>
        <v>0</v>
      </c>
      <c r="E61" s="591">
        <f>'Sources and Uses Budget'!S62</f>
        <v>17740657</v>
      </c>
      <c r="F61" s="591">
        <f>SUM(F10+F13+F14+F15+F25+F26+F37+F41+F42+F52)</f>
        <v>0</v>
      </c>
      <c r="G61" s="591">
        <f>SUM(G10+G13+G14+G15+G25+G26+G37+G41+G42+G52)</f>
        <v>0</v>
      </c>
      <c r="H61" s="591">
        <f>'Sources and Uses Budget'!T62</f>
        <v>0</v>
      </c>
      <c r="I61" s="591">
        <f>SUM(I11+I13+I14+I15+I25+I26+I37+I41+I42+I52)</f>
        <v>0</v>
      </c>
      <c r="J61" s="591">
        <f>SUM(J11+J13+J14+J15+J25+J26+J37+J41+J42+J52)</f>
        <v>0</v>
      </c>
      <c r="K61" s="586"/>
    </row>
    <row r="62" spans="1:11" s="253" customFormat="1" ht="24">
      <c r="A62" s="235" t="s">
        <v>2047</v>
      </c>
      <c r="B62" s="590"/>
      <c r="C62" s="590"/>
      <c r="D62" s="590"/>
      <c r="E62" s="590"/>
      <c r="F62" s="590"/>
      <c r="G62" s="590"/>
      <c r="H62" s="590"/>
      <c r="I62" s="590"/>
      <c r="J62" s="590"/>
      <c r="K62" s="586"/>
    </row>
    <row r="63" spans="1:11" s="253" customFormat="1">
      <c r="A63" s="239" t="s">
        <v>298</v>
      </c>
      <c r="B63" s="591">
        <f>'Sources and Uses Budget'!C64</f>
        <v>60000</v>
      </c>
      <c r="C63" s="592"/>
      <c r="D63" s="592"/>
      <c r="E63" s="591">
        <f>'Sources and Uses Budget'!S64</f>
        <v>36151</v>
      </c>
      <c r="F63" s="592"/>
      <c r="G63" s="592"/>
      <c r="H63" s="591">
        <f>'Sources and Uses Budget'!T64</f>
        <v>0</v>
      </c>
      <c r="I63" s="592"/>
      <c r="J63" s="592"/>
      <c r="K63" s="586"/>
    </row>
    <row r="64" spans="1:11" s="253" customFormat="1" ht="24">
      <c r="A64" s="239" t="s">
        <v>2048</v>
      </c>
      <c r="B64" s="591">
        <f>'Sources and Uses Budget'!C65</f>
        <v>0</v>
      </c>
      <c r="C64" s="592"/>
      <c r="D64" s="592"/>
      <c r="E64" s="591">
        <f>'Sources and Uses Budget'!S65</f>
        <v>0</v>
      </c>
      <c r="F64" s="592"/>
      <c r="G64" s="592"/>
      <c r="H64" s="591">
        <f>'Sources and Uses Budget'!T65</f>
        <v>0</v>
      </c>
      <c r="I64" s="592"/>
      <c r="J64" s="592"/>
      <c r="K64" s="586"/>
    </row>
    <row r="65" spans="1:11" s="253" customFormat="1" ht="24">
      <c r="A65" s="239" t="s">
        <v>2049</v>
      </c>
      <c r="B65" s="591">
        <f>'Sources and Uses Budget'!C66</f>
        <v>0</v>
      </c>
      <c r="C65" s="592"/>
      <c r="D65" s="592"/>
      <c r="E65" s="591">
        <f>'Sources and Uses Budget'!S66</f>
        <v>0</v>
      </c>
      <c r="F65" s="592"/>
      <c r="G65" s="592"/>
      <c r="H65" s="591">
        <f>'Sources and Uses Budget'!T66</f>
        <v>0</v>
      </c>
      <c r="I65" s="592"/>
      <c r="J65" s="592"/>
      <c r="K65" s="586"/>
    </row>
    <row r="66" spans="1:11" s="253" customFormat="1">
      <c r="A66" s="239" t="s">
        <v>2050</v>
      </c>
      <c r="B66" s="591">
        <f>'Sources and Uses Budget'!C67</f>
        <v>0</v>
      </c>
      <c r="C66" s="592"/>
      <c r="D66" s="592"/>
      <c r="E66" s="591">
        <f>'Sources and Uses Budget'!S67</f>
        <v>0</v>
      </c>
      <c r="F66" s="592"/>
      <c r="G66" s="592"/>
      <c r="H66" s="591">
        <f>'Sources and Uses Budget'!T67</f>
        <v>0</v>
      </c>
      <c r="I66" s="592"/>
      <c r="J66" s="592"/>
      <c r="K66" s="586"/>
    </row>
    <row r="67" spans="1:11" s="253" customFormat="1">
      <c r="A67" s="239" t="str">
        <f>'Sources and Uses Budget'!$A68</f>
        <v>Owner Legal</v>
      </c>
      <c r="B67" s="591">
        <f>'Sources and Uses Budget'!C68</f>
        <v>140000</v>
      </c>
      <c r="C67" s="592"/>
      <c r="D67" s="592"/>
      <c r="E67" s="591">
        <f>'Sources and Uses Budget'!S68</f>
        <v>140000</v>
      </c>
      <c r="F67" s="592"/>
      <c r="G67" s="592"/>
      <c r="H67" s="591">
        <f>'Sources and Uses Budget'!T68</f>
        <v>0</v>
      </c>
      <c r="I67" s="592"/>
      <c r="J67" s="592"/>
      <c r="K67" s="586"/>
    </row>
    <row r="68" spans="1:11" s="253" customFormat="1">
      <c r="A68" s="243" t="s">
        <v>2051</v>
      </c>
      <c r="B68" s="591">
        <f>'Sources and Uses Budget'!C69</f>
        <v>200000</v>
      </c>
      <c r="C68" s="591">
        <f>SUM(C62:C67)</f>
        <v>0</v>
      </c>
      <c r="D68" s="591">
        <f>SUM(D62:D67)</f>
        <v>0</v>
      </c>
      <c r="E68" s="591">
        <f>'Sources and Uses Budget'!S69</f>
        <v>176151</v>
      </c>
      <c r="F68" s="594">
        <f>SUM(F63:F67)</f>
        <v>0</v>
      </c>
      <c r="G68" s="594">
        <f>SUM(G63:G67)</f>
        <v>0</v>
      </c>
      <c r="H68" s="591">
        <f>'Sources and Uses Budget'!T69</f>
        <v>0</v>
      </c>
      <c r="I68" s="594">
        <f>SUM(I63:I67)</f>
        <v>0</v>
      </c>
      <c r="J68" s="594">
        <f>SUM(J63:J67)</f>
        <v>0</v>
      </c>
      <c r="K68" s="586"/>
    </row>
    <row r="69" spans="1:11" s="253" customFormat="1">
      <c r="A69" s="235" t="s">
        <v>299</v>
      </c>
      <c r="B69" s="590"/>
      <c r="C69" s="590"/>
      <c r="D69" s="590"/>
      <c r="E69" s="590"/>
      <c r="F69" s="590"/>
      <c r="G69" s="590"/>
      <c r="H69" s="590"/>
      <c r="I69" s="590"/>
      <c r="J69" s="590"/>
      <c r="K69" s="586"/>
    </row>
    <row r="70" spans="1:11" s="253" customFormat="1">
      <c r="A70" s="239" t="s">
        <v>300</v>
      </c>
      <c r="B70" s="591">
        <f>'Sources and Uses Budget'!C71</f>
        <v>0</v>
      </c>
      <c r="C70" s="592"/>
      <c r="D70" s="592"/>
      <c r="E70" s="593"/>
      <c r="F70" s="593"/>
      <c r="G70" s="593"/>
      <c r="H70" s="593"/>
      <c r="I70" s="593"/>
      <c r="J70" s="593"/>
      <c r="K70" s="586"/>
    </row>
    <row r="71" spans="1:11" s="253" customFormat="1">
      <c r="A71" s="239" t="s">
        <v>301</v>
      </c>
      <c r="B71" s="591">
        <f>'Sources and Uses Budget'!C72</f>
        <v>0</v>
      </c>
      <c r="C71" s="592"/>
      <c r="D71" s="592"/>
      <c r="E71" s="593"/>
      <c r="F71" s="593"/>
      <c r="G71" s="593"/>
      <c r="H71" s="593"/>
      <c r="I71" s="593"/>
      <c r="J71" s="593"/>
      <c r="K71" s="586"/>
    </row>
    <row r="72" spans="1:11" s="253" customFormat="1">
      <c r="A72" s="461" t="s">
        <v>1290</v>
      </c>
      <c r="B72" s="591">
        <f>'Sources and Uses Budget'!C73</f>
        <v>0</v>
      </c>
      <c r="C72" s="592"/>
      <c r="D72" s="592"/>
      <c r="E72" s="593"/>
      <c r="F72" s="593"/>
      <c r="G72" s="593"/>
      <c r="H72" s="593"/>
      <c r="I72" s="593"/>
      <c r="J72" s="593"/>
      <c r="K72" s="586"/>
    </row>
    <row r="73" spans="1:11" s="253" customFormat="1">
      <c r="A73" s="239" t="s">
        <v>302</v>
      </c>
      <c r="B73" s="591">
        <f>'Sources and Uses Budget'!C74</f>
        <v>106682.75</v>
      </c>
      <c r="C73" s="592"/>
      <c r="D73" s="592"/>
      <c r="E73" s="593"/>
      <c r="F73" s="593"/>
      <c r="G73" s="593"/>
      <c r="H73" s="593"/>
      <c r="I73" s="593"/>
      <c r="J73" s="593"/>
      <c r="K73" s="586"/>
    </row>
    <row r="74" spans="1:11" s="253" customFormat="1" ht="24">
      <c r="A74" s="239" t="str">
        <f>'Sources and Uses Budget'!$A75</f>
        <v>Additional Investor-Required Operating Rsv.</v>
      </c>
      <c r="B74" s="591">
        <f>'Sources and Uses Budget'!C75</f>
        <v>106683.25</v>
      </c>
      <c r="C74" s="592"/>
      <c r="D74" s="592"/>
      <c r="E74" s="593"/>
      <c r="F74" s="593"/>
      <c r="G74" s="593"/>
      <c r="H74" s="593"/>
      <c r="I74" s="593"/>
      <c r="J74" s="593"/>
      <c r="K74" s="586"/>
    </row>
    <row r="75" spans="1:11" s="253" customFormat="1">
      <c r="A75" s="243" t="s">
        <v>303</v>
      </c>
      <c r="B75" s="591">
        <f>'Sources and Uses Budget'!C76</f>
        <v>213366</v>
      </c>
      <c r="C75" s="591">
        <f>SUM(C70:C74)</f>
        <v>0</v>
      </c>
      <c r="D75" s="591">
        <f>SUM(D70:D74)</f>
        <v>0</v>
      </c>
      <c r="E75" s="593"/>
      <c r="F75" s="593"/>
      <c r="G75" s="593"/>
      <c r="H75" s="593"/>
      <c r="I75" s="593"/>
      <c r="J75" s="593"/>
      <c r="K75" s="586"/>
    </row>
    <row r="76" spans="1:11" s="253" customFormat="1">
      <c r="A76" s="235" t="s">
        <v>1814</v>
      </c>
      <c r="B76" s="590"/>
      <c r="C76" s="590"/>
      <c r="D76" s="590"/>
      <c r="E76" s="590"/>
      <c r="F76" s="590"/>
      <c r="G76" s="590"/>
      <c r="H76" s="590"/>
      <c r="I76" s="590"/>
      <c r="J76" s="590"/>
      <c r="K76" s="586"/>
    </row>
    <row r="77" spans="1:11" s="253" customFormat="1">
      <c r="A77" s="239" t="s">
        <v>1815</v>
      </c>
      <c r="B77" s="591">
        <f>'Sources and Uses Budget'!C78</f>
        <v>1599410</v>
      </c>
      <c r="C77" s="592"/>
      <c r="D77" s="592"/>
      <c r="E77" s="591">
        <f>'Sources and Uses Budget'!S78</f>
        <v>1599410</v>
      </c>
      <c r="F77" s="592"/>
      <c r="G77" s="592"/>
      <c r="H77" s="591">
        <f>'Sources and Uses Budget'!T78</f>
        <v>0</v>
      </c>
      <c r="I77" s="592"/>
      <c r="J77" s="592"/>
      <c r="K77" s="586"/>
    </row>
    <row r="78" spans="1:11" s="253" customFormat="1">
      <c r="A78" s="239" t="s">
        <v>568</v>
      </c>
      <c r="B78" s="591">
        <f>'Sources and Uses Budget'!C79</f>
        <v>222183</v>
      </c>
      <c r="C78" s="592"/>
      <c r="D78" s="592"/>
      <c r="E78" s="591">
        <f>'Sources and Uses Budget'!S79</f>
        <v>222183</v>
      </c>
      <c r="F78" s="592"/>
      <c r="G78" s="592"/>
      <c r="H78" s="591">
        <f>'Sources and Uses Budget'!T79</f>
        <v>0</v>
      </c>
      <c r="I78" s="592"/>
      <c r="J78" s="592"/>
      <c r="K78" s="586"/>
    </row>
    <row r="79" spans="1:11" s="253" customFormat="1">
      <c r="A79" s="243" t="s">
        <v>1813</v>
      </c>
      <c r="B79" s="591">
        <f>'Sources and Uses Budget'!C80</f>
        <v>1821593</v>
      </c>
      <c r="C79" s="674">
        <f>SUM(C77:C78)</f>
        <v>0</v>
      </c>
      <c r="D79" s="674">
        <f>SUM(D77:D78)</f>
        <v>0</v>
      </c>
      <c r="E79" s="591">
        <f>'Sources and Uses Budget'!S80</f>
        <v>1821593</v>
      </c>
      <c r="F79" s="674">
        <f>SUM(F77:F78)</f>
        <v>0</v>
      </c>
      <c r="G79" s="674">
        <f>SUM(G77:G78)</f>
        <v>0</v>
      </c>
      <c r="H79" s="591">
        <f>'Sources and Uses Budget'!T80</f>
        <v>0</v>
      </c>
      <c r="I79" s="674">
        <f>SUM(I77:I78)</f>
        <v>0</v>
      </c>
      <c r="J79" s="674">
        <f>SUM(J77:J78)</f>
        <v>0</v>
      </c>
      <c r="K79" s="586"/>
    </row>
    <row r="80" spans="1:11" s="253" customFormat="1">
      <c r="A80" s="235" t="s">
        <v>545</v>
      </c>
      <c r="B80" s="590"/>
      <c r="C80" s="590"/>
      <c r="D80" s="590"/>
      <c r="E80" s="590"/>
      <c r="F80" s="590"/>
      <c r="G80" s="590"/>
      <c r="H80" s="590"/>
      <c r="I80" s="590"/>
      <c r="J80" s="590"/>
      <c r="K80" s="586"/>
    </row>
    <row r="81" spans="1:11" s="253" customFormat="1" ht="14.1" customHeight="1">
      <c r="A81" s="239" t="s">
        <v>2230</v>
      </c>
      <c r="B81" s="591">
        <f>'Sources and Uses Budget'!C82</f>
        <v>109311</v>
      </c>
      <c r="C81" s="592"/>
      <c r="D81" s="592"/>
      <c r="E81" s="593"/>
      <c r="F81" s="593"/>
      <c r="G81" s="593"/>
      <c r="H81" s="593"/>
      <c r="I81" s="593"/>
      <c r="J81" s="593"/>
      <c r="K81" s="586"/>
    </row>
    <row r="82" spans="1:11" s="253" customFormat="1">
      <c r="A82" s="239" t="s">
        <v>546</v>
      </c>
      <c r="B82" s="591">
        <f>'Sources and Uses Budget'!C83</f>
        <v>80000</v>
      </c>
      <c r="C82" s="592"/>
      <c r="D82" s="592"/>
      <c r="E82" s="591">
        <f>'Sources and Uses Budget'!S83</f>
        <v>80000</v>
      </c>
      <c r="F82" s="592"/>
      <c r="G82" s="592"/>
      <c r="H82" s="591">
        <f>'Sources and Uses Budget'!T83</f>
        <v>0</v>
      </c>
      <c r="I82" s="592"/>
      <c r="J82" s="592"/>
      <c r="K82" s="586"/>
    </row>
    <row r="83" spans="1:11" s="253" customFormat="1">
      <c r="A83" s="239" t="s">
        <v>547</v>
      </c>
      <c r="B83" s="591">
        <f>'Sources and Uses Budget'!C84</f>
        <v>391107</v>
      </c>
      <c r="C83" s="592"/>
      <c r="D83" s="592"/>
      <c r="E83" s="591">
        <f>'Sources and Uses Budget'!S84</f>
        <v>391107</v>
      </c>
      <c r="F83" s="592"/>
      <c r="G83" s="592"/>
      <c r="H83" s="591">
        <f>'Sources and Uses Budget'!T84</f>
        <v>0</v>
      </c>
      <c r="I83" s="592"/>
      <c r="J83" s="592"/>
      <c r="K83" s="586"/>
    </row>
    <row r="84" spans="1:11" s="253" customFormat="1">
      <c r="A84" s="239" t="s">
        <v>548</v>
      </c>
      <c r="B84" s="591">
        <f>'Sources and Uses Budget'!C85</f>
        <v>125000</v>
      </c>
      <c r="C84" s="592"/>
      <c r="D84" s="592"/>
      <c r="E84" s="591">
        <f>'Sources and Uses Budget'!S85</f>
        <v>125000</v>
      </c>
      <c r="F84" s="592"/>
      <c r="G84" s="592"/>
      <c r="H84" s="591">
        <f>'Sources and Uses Budget'!T85</f>
        <v>0</v>
      </c>
      <c r="I84" s="592"/>
      <c r="J84" s="592"/>
      <c r="K84" s="586"/>
    </row>
    <row r="85" spans="1:11" s="253" customFormat="1">
      <c r="A85" s="239" t="s">
        <v>549</v>
      </c>
      <c r="B85" s="591">
        <f>'Sources and Uses Budget'!C86</f>
        <v>680430</v>
      </c>
      <c r="C85" s="592"/>
      <c r="D85" s="592"/>
      <c r="E85" s="591">
        <f>'Sources and Uses Budget'!S86</f>
        <v>680430</v>
      </c>
      <c r="F85" s="592"/>
      <c r="G85" s="592"/>
      <c r="H85" s="591">
        <f>'Sources and Uses Budget'!T86</f>
        <v>0</v>
      </c>
      <c r="I85" s="592"/>
      <c r="J85" s="592"/>
      <c r="K85" s="586"/>
    </row>
    <row r="86" spans="1:11" s="253" customFormat="1">
      <c r="A86" s="239" t="s">
        <v>550</v>
      </c>
      <c r="B86" s="591">
        <f>'Sources and Uses Budget'!C87</f>
        <v>0</v>
      </c>
      <c r="C86" s="592"/>
      <c r="D86" s="592"/>
      <c r="E86" s="593"/>
      <c r="F86" s="593"/>
      <c r="G86" s="593"/>
      <c r="H86" s="593"/>
      <c r="I86" s="593"/>
      <c r="J86" s="593"/>
      <c r="K86" s="586"/>
    </row>
    <row r="87" spans="1:11" s="253" customFormat="1">
      <c r="A87" s="239" t="s">
        <v>551</v>
      </c>
      <c r="B87" s="591">
        <f>'Sources and Uses Budget'!C88</f>
        <v>100000</v>
      </c>
      <c r="C87" s="592"/>
      <c r="D87" s="592"/>
      <c r="E87" s="591">
        <f>'Sources and Uses Budget'!S88</f>
        <v>100000</v>
      </c>
      <c r="F87" s="592"/>
      <c r="G87" s="592"/>
      <c r="H87" s="591">
        <f>'Sources and Uses Budget'!T88</f>
        <v>0</v>
      </c>
      <c r="I87" s="592"/>
      <c r="J87" s="592"/>
      <c r="K87" s="586"/>
    </row>
    <row r="88" spans="1:11" s="253" customFormat="1">
      <c r="A88" s="239" t="s">
        <v>552</v>
      </c>
      <c r="B88" s="591">
        <f>'Sources and Uses Budget'!C89</f>
        <v>8000</v>
      </c>
      <c r="C88" s="592"/>
      <c r="D88" s="592"/>
      <c r="E88" s="591">
        <f>'Sources and Uses Budget'!S89</f>
        <v>0</v>
      </c>
      <c r="F88" s="592"/>
      <c r="G88" s="592"/>
      <c r="H88" s="591">
        <f>'Sources and Uses Budget'!T89</f>
        <v>0</v>
      </c>
      <c r="I88" s="592"/>
      <c r="J88" s="592"/>
      <c r="K88" s="586"/>
    </row>
    <row r="89" spans="1:11" s="253" customFormat="1">
      <c r="A89" s="239" t="s">
        <v>1366</v>
      </c>
      <c r="B89" s="591">
        <f>'Sources and Uses Budget'!C90</f>
        <v>0</v>
      </c>
      <c r="C89" s="592"/>
      <c r="D89" s="592"/>
      <c r="E89" s="591">
        <f>'Sources and Uses Budget'!S90</f>
        <v>0</v>
      </c>
      <c r="F89" s="592"/>
      <c r="G89" s="592"/>
      <c r="H89" s="591">
        <f>'Sources and Uses Budget'!T90</f>
        <v>0</v>
      </c>
      <c r="I89" s="592"/>
      <c r="J89" s="592"/>
      <c r="K89" s="586"/>
    </row>
    <row r="90" spans="1:11" s="253" customFormat="1">
      <c r="A90" s="239" t="s">
        <v>1811</v>
      </c>
      <c r="B90" s="591">
        <f>'Sources and Uses Budget'!C91</f>
        <v>12000</v>
      </c>
      <c r="C90" s="592"/>
      <c r="D90" s="592"/>
      <c r="E90" s="591">
        <f>'Sources and Uses Budget'!S91</f>
        <v>12000</v>
      </c>
      <c r="F90" s="592"/>
      <c r="G90" s="592"/>
      <c r="H90" s="591">
        <f>'Sources and Uses Budget'!T91</f>
        <v>0</v>
      </c>
      <c r="I90" s="592"/>
      <c r="J90" s="592"/>
      <c r="K90" s="586"/>
    </row>
    <row r="91" spans="1:11" s="253" customFormat="1">
      <c r="A91" s="239" t="str">
        <f>'Sources and Uses Budget'!$A92</f>
        <v>Start-Up Costs</v>
      </c>
      <c r="B91" s="591">
        <f>'Sources and Uses Budget'!C92</f>
        <v>25000</v>
      </c>
      <c r="C91" s="592"/>
      <c r="D91" s="592"/>
      <c r="E91" s="591">
        <f>'Sources and Uses Budget'!S92</f>
        <v>0</v>
      </c>
      <c r="F91" s="592"/>
      <c r="G91" s="592"/>
      <c r="H91" s="591">
        <f>'Sources and Uses Budget'!T92</f>
        <v>0</v>
      </c>
      <c r="I91" s="592"/>
      <c r="J91" s="592"/>
      <c r="K91" s="586"/>
    </row>
    <row r="92" spans="1:11" s="253" customFormat="1">
      <c r="A92" s="239" t="str">
        <f>'Sources and Uses Budget'!$A93</f>
        <v>HCD Pooled Reserve Fee</v>
      </c>
      <c r="B92" s="591">
        <f>'Sources and Uses Budget'!C93</f>
        <v>41666</v>
      </c>
      <c r="C92" s="592"/>
      <c r="D92" s="592"/>
      <c r="E92" s="591">
        <f>'Sources and Uses Budget'!S93</f>
        <v>0</v>
      </c>
      <c r="F92" s="592"/>
      <c r="G92" s="592"/>
      <c r="H92" s="591">
        <f>'Sources and Uses Budget'!T93</f>
        <v>0</v>
      </c>
      <c r="I92" s="592"/>
      <c r="J92" s="592"/>
      <c r="K92" s="586"/>
    </row>
    <row r="93" spans="1:11" s="253" customFormat="1">
      <c r="A93" s="239" t="str">
        <f>'Sources and Uses Budget'!$A94</f>
        <v>Other: (Specify)</v>
      </c>
      <c r="B93" s="591">
        <f>'Sources and Uses Budget'!C94</f>
        <v>0</v>
      </c>
      <c r="C93" s="592"/>
      <c r="D93" s="592"/>
      <c r="E93" s="591">
        <f>'Sources and Uses Budget'!S94</f>
        <v>0</v>
      </c>
      <c r="F93" s="592"/>
      <c r="G93" s="592"/>
      <c r="H93" s="591">
        <f>'Sources and Uses Budget'!T94</f>
        <v>0</v>
      </c>
      <c r="I93" s="592"/>
      <c r="J93" s="592"/>
      <c r="K93" s="586"/>
    </row>
    <row r="94" spans="1:11" s="253" customFormat="1">
      <c r="A94" s="243" t="s">
        <v>553</v>
      </c>
      <c r="B94" s="591">
        <f>'Sources and Uses Budget'!C95</f>
        <v>1572514</v>
      </c>
      <c r="C94" s="591">
        <f>SUM(C81:C93)</f>
        <v>0</v>
      </c>
      <c r="D94" s="591">
        <f>SUM(D81:D93)</f>
        <v>0</v>
      </c>
      <c r="E94" s="591">
        <f>'Sources and Uses Budget'!S95</f>
        <v>1388537</v>
      </c>
      <c r="F94" s="594">
        <f>SUM(F82:F85,F87:F93)</f>
        <v>0</v>
      </c>
      <c r="G94" s="594">
        <f>SUM(G82:G85,G87:G93)</f>
        <v>0</v>
      </c>
      <c r="H94" s="591">
        <f>'Sources and Uses Budget'!T95</f>
        <v>0</v>
      </c>
      <c r="I94" s="591">
        <f>SUM(I82:I85,I87:I93)</f>
        <v>0</v>
      </c>
      <c r="J94" s="591">
        <f>SUM(J82:J85,J87:J93)</f>
        <v>0</v>
      </c>
      <c r="K94" s="586"/>
    </row>
    <row r="95" spans="1:11" s="253" customFormat="1">
      <c r="A95" s="243" t="s">
        <v>1417</v>
      </c>
      <c r="B95" s="591">
        <f>'Sources and Uses Budget'!C96</f>
        <v>26701208</v>
      </c>
      <c r="C95" s="591">
        <f>SUM(C61+C68+C75+C79+C94)</f>
        <v>0</v>
      </c>
      <c r="D95" s="591">
        <f>SUM(D61+D68+D75+D79+D94)</f>
        <v>0</v>
      </c>
      <c r="E95" s="591">
        <f>'Sources and Uses Budget'!S96</f>
        <v>21126938</v>
      </c>
      <c r="F95" s="594">
        <f>SUM(+F61+F68+F79+F94)</f>
        <v>0</v>
      </c>
      <c r="G95" s="594">
        <f>SUM(+G61+G68+G79+G94)</f>
        <v>0</v>
      </c>
      <c r="H95" s="591">
        <f>'Sources and Uses Budget'!T96</f>
        <v>0</v>
      </c>
      <c r="I95" s="594">
        <f>SUM(I61+I68+I79+I94)</f>
        <v>0</v>
      </c>
      <c r="J95" s="594">
        <f>SUM(J61+J68+J79+J94)</f>
        <v>0</v>
      </c>
      <c r="K95" s="586"/>
    </row>
    <row r="96" spans="1:11" s="253" customFormat="1">
      <c r="A96" s="235" t="s">
        <v>555</v>
      </c>
      <c r="B96" s="590"/>
      <c r="C96" s="590"/>
      <c r="D96" s="590"/>
      <c r="E96" s="590"/>
      <c r="F96" s="590"/>
      <c r="G96" s="590"/>
      <c r="H96" s="590"/>
      <c r="I96" s="590"/>
      <c r="J96" s="590"/>
      <c r="K96" s="586"/>
    </row>
    <row r="97" spans="1:11" s="253" customFormat="1">
      <c r="A97" s="239" t="s">
        <v>556</v>
      </c>
      <c r="B97" s="591">
        <f>'Sources and Uses Budget'!C98</f>
        <v>2200000</v>
      </c>
      <c r="C97" s="592"/>
      <c r="D97" s="592"/>
      <c r="E97" s="591">
        <f>'Sources and Uses Budget'!S98</f>
        <v>2200000</v>
      </c>
      <c r="F97" s="592"/>
      <c r="G97" s="592"/>
      <c r="H97" s="591">
        <f>'Sources and Uses Budget'!T98</f>
        <v>0</v>
      </c>
      <c r="I97" s="592"/>
      <c r="J97" s="592"/>
      <c r="K97" s="586"/>
    </row>
    <row r="98" spans="1:11" s="253" customFormat="1">
      <c r="A98" s="239" t="s">
        <v>2052</v>
      </c>
      <c r="B98" s="591">
        <f>'Sources and Uses Budget'!C99</f>
        <v>0</v>
      </c>
      <c r="C98" s="592"/>
      <c r="D98" s="592"/>
      <c r="E98" s="591">
        <f>'Sources and Uses Budget'!S99</f>
        <v>0</v>
      </c>
      <c r="F98" s="592"/>
      <c r="G98" s="592"/>
      <c r="H98" s="591">
        <f>'Sources and Uses Budget'!T99</f>
        <v>0</v>
      </c>
      <c r="I98" s="592"/>
      <c r="J98" s="592"/>
      <c r="K98" s="586"/>
    </row>
    <row r="99" spans="1:11" s="253" customFormat="1" ht="12" customHeight="1">
      <c r="A99" s="239" t="s">
        <v>557</v>
      </c>
      <c r="B99" s="591">
        <f>'Sources and Uses Budget'!C100</f>
        <v>0</v>
      </c>
      <c r="C99" s="592"/>
      <c r="D99" s="592"/>
      <c r="E99" s="591">
        <f>'Sources and Uses Budget'!S100</f>
        <v>0</v>
      </c>
      <c r="F99" s="592"/>
      <c r="G99" s="592"/>
      <c r="H99" s="591">
        <f>'Sources and Uses Budget'!T100</f>
        <v>0</v>
      </c>
      <c r="I99" s="592"/>
      <c r="J99" s="592"/>
      <c r="K99" s="586"/>
    </row>
    <row r="100" spans="1:11" s="253" customFormat="1">
      <c r="A100" s="239" t="s">
        <v>1291</v>
      </c>
      <c r="B100" s="591">
        <f>'Sources and Uses Budget'!C101</f>
        <v>0</v>
      </c>
      <c r="C100" s="592"/>
      <c r="D100" s="592"/>
      <c r="E100" s="591">
        <f>'Sources and Uses Budget'!S101</f>
        <v>0</v>
      </c>
      <c r="F100" s="592"/>
      <c r="G100" s="592"/>
      <c r="H100" s="591">
        <f>'Sources and Uses Budget'!T101</f>
        <v>0</v>
      </c>
      <c r="I100" s="592"/>
      <c r="J100" s="592"/>
      <c r="K100" s="586"/>
    </row>
    <row r="101" spans="1:11" s="253" customFormat="1">
      <c r="A101" s="239" t="str">
        <f>'Sources and Uses Budget'!$A102</f>
        <v>Other: (Specify)</v>
      </c>
      <c r="B101" s="591">
        <f>'Sources and Uses Budget'!C102</f>
        <v>0</v>
      </c>
      <c r="C101" s="592"/>
      <c r="D101" s="592"/>
      <c r="E101" s="591">
        <f>'Sources and Uses Budget'!S102</f>
        <v>0</v>
      </c>
      <c r="F101" s="592"/>
      <c r="G101" s="592"/>
      <c r="H101" s="591">
        <f>'Sources and Uses Budget'!T102</f>
        <v>0</v>
      </c>
      <c r="I101" s="592"/>
      <c r="J101" s="592"/>
      <c r="K101" s="586"/>
    </row>
    <row r="102" spans="1:11" s="253" customFormat="1">
      <c r="A102" s="243" t="s">
        <v>558</v>
      </c>
      <c r="B102" s="591">
        <f>'Sources and Uses Budget'!C103</f>
        <v>2200000</v>
      </c>
      <c r="C102" s="591">
        <f>SUM(C97:C101)</f>
        <v>0</v>
      </c>
      <c r="D102" s="591">
        <f>SUM(D97:D101)</f>
        <v>0</v>
      </c>
      <c r="E102" s="591">
        <f>'Sources and Uses Budget'!S103</f>
        <v>2200000</v>
      </c>
      <c r="F102" s="594">
        <f>SUM(F97:F101)</f>
        <v>0</v>
      </c>
      <c r="G102" s="594">
        <f>SUM(G97:G101)</f>
        <v>0</v>
      </c>
      <c r="H102" s="591">
        <f>'Sources and Uses Budget'!T103</f>
        <v>0</v>
      </c>
      <c r="I102" s="594">
        <f>SUM(I97:I101)</f>
        <v>0</v>
      </c>
      <c r="J102" s="594">
        <f>SUM(J97:J101)</f>
        <v>0</v>
      </c>
      <c r="K102" s="586"/>
    </row>
    <row r="103" spans="1:11" s="253" customFormat="1">
      <c r="A103" s="243" t="s">
        <v>1418</v>
      </c>
      <c r="B103" s="591">
        <f>'Sources and Uses Budget'!C104</f>
        <v>28901208</v>
      </c>
      <c r="C103" s="594">
        <f>SUM(C95+C102)</f>
        <v>0</v>
      </c>
      <c r="D103" s="594">
        <f>SUM(D95+D102)</f>
        <v>0</v>
      </c>
      <c r="E103" s="591">
        <f>'Sources and Uses Budget'!S104</f>
        <v>23326938</v>
      </c>
      <c r="F103" s="594">
        <f>F95+F102</f>
        <v>0</v>
      </c>
      <c r="G103" s="594">
        <f>G95+G102</f>
        <v>0</v>
      </c>
      <c r="H103" s="591">
        <f>'Sources and Uses Budget'!T104</f>
        <v>0</v>
      </c>
      <c r="I103" s="594">
        <f>I95+I102</f>
        <v>0</v>
      </c>
      <c r="J103" s="594">
        <f>J95+J102</f>
        <v>0</v>
      </c>
      <c r="K103" s="586"/>
    </row>
    <row r="104" spans="1:11" s="253" customFormat="1">
      <c r="A104" s="251"/>
      <c r="B104" s="595"/>
      <c r="C104" s="595"/>
      <c r="D104" s="595"/>
      <c r="E104" s="591">
        <f>'Sources and Uses Budget'!S105</f>
        <v>0</v>
      </c>
      <c r="F104" s="592"/>
      <c r="G104" s="592"/>
      <c r="H104" s="591">
        <f>'Sources and Uses Budget'!T105</f>
        <v>0</v>
      </c>
      <c r="I104" s="592"/>
      <c r="J104" s="592"/>
      <c r="K104" s="586"/>
    </row>
    <row r="105" spans="1:11" s="253" customFormat="1">
      <c r="A105" s="568"/>
      <c r="B105" s="596"/>
      <c r="C105" s="595"/>
      <c r="D105" s="595"/>
      <c r="E105" s="591">
        <f>'Sources and Uses Budget'!S106</f>
        <v>23326938</v>
      </c>
      <c r="F105" s="594">
        <f>F103+F104</f>
        <v>0</v>
      </c>
      <c r="G105" s="594">
        <f>G103+G104</f>
        <v>0</v>
      </c>
      <c r="H105" s="591">
        <f>'Sources and Uses Budget'!T106</f>
        <v>0</v>
      </c>
      <c r="I105" s="594">
        <f>I103+I104</f>
        <v>0</v>
      </c>
      <c r="J105" s="594">
        <f>J103+J104</f>
        <v>0</v>
      </c>
      <c r="K105" s="586"/>
    </row>
    <row r="106" spans="1:11" s="253" customFormat="1" hidden="1">
      <c r="A106" s="568"/>
      <c r="B106" s="252"/>
      <c r="C106" s="252"/>
      <c r="D106" s="252"/>
      <c r="J106" s="589"/>
      <c r="K106" s="586"/>
    </row>
    <row r="65516"/>
    <row r="65517"/>
    <row r="65518"/>
    <row r="65519"/>
    <row r="65520"/>
  </sheetData>
  <sheetProtection algorithmName="SHA-512" hashValue="ll1rtkwaGgzcMwXak92ywQ1OPYWTdhuMm8G7LNzpTahYiyJKwUUe9JiQWSWVUTmEnWOixIOGmUkB6SIDYtRnEg==" saltValue="X/s3vAIVGauuD7+ZFIdd3w==" spinCount="100000" sheet="1" objects="1" scenarios="1"/>
  <mergeCells count="1">
    <mergeCell ref="A1:J1"/>
  </mergeCells>
  <conditionalFormatting sqref="B3:B103">
    <cfRule type="cellIs" dxfId="10" priority="6" stopIfTrue="1" operator="notEqual">
      <formula>$C3+$D3</formula>
    </cfRule>
  </conditionalFormatting>
  <conditionalFormatting sqref="E3:E105">
    <cfRule type="cellIs" dxfId="9" priority="3" stopIfTrue="1" operator="notEqual">
      <formula>$F3+$G3</formula>
    </cfRule>
  </conditionalFormatting>
  <conditionalFormatting sqref="H3:H105">
    <cfRule type="cellIs" dxfId="8"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8"/>
  <dimension ref="A1:EW715"/>
  <sheetViews>
    <sheetView showGridLines="0" topLeftCell="A686" zoomScale="110" zoomScaleNormal="110" workbookViewId="0">
      <selection activeCell="B20" sqref="B20:AK30"/>
    </sheetView>
  </sheetViews>
  <sheetFormatPr defaultColWidth="0" defaultRowHeight="12.75" zeroHeight="1"/>
  <cols>
    <col min="1" max="3" width="2.42578125" style="21" customWidth="1"/>
    <col min="4" max="4" width="3.140625" style="21" customWidth="1"/>
    <col min="5" max="5" width="3.42578125" style="21" customWidth="1"/>
    <col min="6" max="6" width="2.85546875" style="21" customWidth="1"/>
    <col min="7" max="16" width="2.42578125" style="21" customWidth="1"/>
    <col min="17" max="17" width="3.140625" style="21" customWidth="1"/>
    <col min="18" max="18" width="4.42578125" style="21" customWidth="1"/>
    <col min="19" max="32" width="2.42578125" style="21" customWidth="1"/>
    <col min="33" max="33" width="3.42578125" style="21" customWidth="1"/>
    <col min="34" max="36" width="2.42578125" style="21" customWidth="1"/>
    <col min="37" max="37" width="5.42578125" style="21" customWidth="1"/>
    <col min="38" max="38" width="2.42578125" style="21" customWidth="1"/>
    <col min="39" max="39" width="3.42578125" style="21" customWidth="1"/>
    <col min="40" max="40" width="5.42578125" style="676" customWidth="1"/>
    <col min="41" max="41" width="5.42578125" style="38" hidden="1" customWidth="1"/>
    <col min="42" max="55" width="5.42578125" style="21" hidden="1" customWidth="1"/>
    <col min="56" max="60" width="5.42578125" style="40" hidden="1" customWidth="1"/>
    <col min="61" max="109" width="5.42578125" style="21" hidden="1" customWidth="1"/>
    <col min="110" max="16384" width="9.140625" style="21" hidden="1"/>
  </cols>
  <sheetData>
    <row r="1" spans="1:42" ht="15.75" customHeight="1">
      <c r="A1" s="1284" t="s">
        <v>886</v>
      </c>
      <c r="B1" s="1284"/>
      <c r="C1" s="1284"/>
      <c r="D1" s="1284"/>
      <c r="E1" s="1284"/>
      <c r="F1" s="1284"/>
      <c r="G1" s="1284"/>
      <c r="H1" s="1284"/>
      <c r="I1" s="1284"/>
      <c r="J1" s="1284"/>
      <c r="K1" s="1284"/>
      <c r="L1" s="1284"/>
      <c r="M1" s="1284"/>
      <c r="N1" s="1284"/>
      <c r="O1" s="1284"/>
      <c r="P1" s="1284"/>
      <c r="Q1" s="1284"/>
      <c r="R1" s="1284"/>
      <c r="S1" s="1284"/>
      <c r="T1" s="1284"/>
      <c r="U1" s="1284"/>
      <c r="V1" s="1284"/>
      <c r="W1" s="1284"/>
      <c r="X1" s="1284"/>
      <c r="Y1" s="1284"/>
      <c r="Z1" s="1284"/>
      <c r="AA1" s="1284"/>
      <c r="AB1" s="1284"/>
      <c r="AC1" s="1284"/>
      <c r="AD1" s="1284"/>
      <c r="AE1" s="1284"/>
      <c r="AF1" s="1284"/>
      <c r="AG1" s="1284"/>
      <c r="AH1" s="1284"/>
      <c r="AI1" s="1284"/>
      <c r="AJ1" s="1284"/>
      <c r="AK1" s="1284"/>
      <c r="AL1" s="1284"/>
      <c r="AM1" s="1284"/>
    </row>
    <row r="2" spans="1:42" s="5" customFormat="1" ht="12.75" customHeight="1" thickBot="1">
      <c r="A2" s="1285"/>
      <c r="B2" s="1285"/>
      <c r="C2" s="1285"/>
      <c r="D2" s="1285"/>
      <c r="E2" s="1285"/>
      <c r="F2" s="1285"/>
      <c r="G2" s="1285"/>
      <c r="H2" s="1285"/>
      <c r="I2" s="1285"/>
      <c r="J2" s="1285"/>
      <c r="K2" s="1285"/>
      <c r="L2" s="1285"/>
      <c r="M2" s="1285"/>
      <c r="N2" s="1285"/>
      <c r="O2" s="1285"/>
      <c r="P2" s="1285"/>
      <c r="Q2" s="1285"/>
      <c r="R2" s="1285"/>
      <c r="S2" s="1285"/>
      <c r="T2" s="1285"/>
      <c r="U2" s="1285"/>
      <c r="V2" s="1285"/>
      <c r="W2" s="1285"/>
      <c r="X2" s="1285"/>
      <c r="Y2" s="1285"/>
      <c r="Z2" s="1285"/>
      <c r="AA2" s="1285"/>
      <c r="AB2" s="1285"/>
      <c r="AC2" s="1285"/>
      <c r="AD2" s="1285"/>
      <c r="AE2" s="1285"/>
      <c r="AF2" s="1285"/>
      <c r="AG2" s="1285"/>
      <c r="AH2" s="1285"/>
      <c r="AI2" s="1285"/>
      <c r="AJ2" s="1285"/>
      <c r="AK2" s="1285"/>
      <c r="AL2" s="1285"/>
      <c r="AM2" s="1285"/>
      <c r="AN2" s="677"/>
    </row>
    <row r="3" spans="1:42" s="3" customFormat="1" ht="12.75" customHeight="1" thickTop="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78"/>
    </row>
    <row r="4" spans="1:42" s="3" customFormat="1" ht="12.75" customHeight="1">
      <c r="A4" s="63" t="s">
        <v>1523</v>
      </c>
      <c r="AE4" s="1673" t="s">
        <v>388</v>
      </c>
      <c r="AF4" s="1673"/>
      <c r="AG4" s="1673"/>
      <c r="AH4" s="1673"/>
      <c r="AI4" s="1673"/>
      <c r="AJ4" s="1673"/>
      <c r="AK4" s="1673"/>
      <c r="AL4" s="18"/>
      <c r="AN4" s="678"/>
    </row>
    <row r="5" spans="1:42" s="3" customFormat="1" ht="12.95" customHeight="1">
      <c r="A5" s="63"/>
      <c r="AE5" s="18"/>
      <c r="AF5" s="18"/>
      <c r="AG5" s="18"/>
      <c r="AH5" s="18"/>
      <c r="AI5" s="18"/>
      <c r="AJ5" s="18"/>
      <c r="AK5" s="18"/>
      <c r="AL5" s="18"/>
      <c r="AN5" s="678"/>
    </row>
    <row r="6" spans="1:42" s="5" customFormat="1" ht="12.75" customHeight="1">
      <c r="A6" s="63"/>
      <c r="B6" s="63" t="s">
        <v>1524</v>
      </c>
      <c r="C6" s="3"/>
      <c r="D6" s="3"/>
      <c r="E6" s="3"/>
      <c r="F6" s="3"/>
      <c r="G6" s="3"/>
      <c r="H6" s="3"/>
      <c r="I6" s="3"/>
      <c r="J6" s="3"/>
      <c r="K6" s="3"/>
      <c r="L6" s="3"/>
      <c r="M6" s="3"/>
      <c r="N6" s="3"/>
      <c r="O6" s="3"/>
      <c r="P6" s="3"/>
      <c r="Q6" s="3"/>
      <c r="R6" s="3"/>
      <c r="S6" s="3"/>
      <c r="T6" s="3"/>
      <c r="U6" s="3"/>
      <c r="V6" s="3"/>
      <c r="W6" s="3"/>
      <c r="X6" s="3"/>
      <c r="Y6" s="3"/>
      <c r="Z6" s="3"/>
      <c r="AA6" s="3"/>
      <c r="AB6" s="3"/>
      <c r="AC6" s="3"/>
      <c r="AD6" s="3"/>
      <c r="AF6" s="1675" t="s">
        <v>894</v>
      </c>
      <c r="AG6" s="1675"/>
      <c r="AH6" s="1675"/>
      <c r="AI6" s="1675"/>
      <c r="AJ6" s="1675"/>
      <c r="AK6" s="1675"/>
      <c r="AL6" s="1675"/>
      <c r="AM6" s="3"/>
      <c r="AN6" s="677"/>
    </row>
    <row r="7" spans="1:42" s="5" customFormat="1" ht="12.75" customHeight="1">
      <c r="A7" s="63"/>
      <c r="B7" s="63" t="s">
        <v>667</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3"/>
      <c r="AL7" s="108"/>
      <c r="AM7" s="3"/>
      <c r="AN7" s="677"/>
    </row>
    <row r="8" spans="1:42" s="5" customFormat="1" ht="15" customHeight="1">
      <c r="A8" s="63"/>
      <c r="B8" s="1699" t="s">
        <v>2449</v>
      </c>
      <c r="C8" s="1699"/>
      <c r="D8" s="1699"/>
      <c r="E8" s="1699"/>
      <c r="F8" s="1699"/>
      <c r="G8" s="1699"/>
      <c r="H8" s="1699"/>
      <c r="I8" s="1699"/>
      <c r="J8" s="1699"/>
      <c r="K8" s="1699"/>
      <c r="L8" s="1699"/>
      <c r="M8" s="1699"/>
      <c r="N8" s="1699"/>
      <c r="O8" s="1699"/>
      <c r="P8" s="1699"/>
      <c r="Q8" s="1699"/>
      <c r="R8" s="1699"/>
      <c r="S8" s="1699"/>
      <c r="T8" s="1699"/>
      <c r="U8" s="1699"/>
      <c r="V8" s="1699"/>
      <c r="W8" s="1699"/>
      <c r="X8" s="1699"/>
      <c r="Y8" s="1699"/>
      <c r="Z8" s="1699"/>
      <c r="AA8" s="1699"/>
      <c r="AB8" s="1699"/>
      <c r="AC8" s="1699"/>
      <c r="AD8" s="3"/>
      <c r="AE8" s="108"/>
      <c r="AF8" s="108"/>
      <c r="AG8" s="108"/>
      <c r="AH8" s="108"/>
      <c r="AI8" s="108"/>
      <c r="AJ8" s="108"/>
      <c r="AK8" s="108"/>
      <c r="AL8" s="108"/>
      <c r="AM8" s="3"/>
      <c r="AN8" s="677"/>
      <c r="AP8" s="10"/>
    </row>
    <row r="9" spans="1:42" s="5" customFormat="1" ht="12.75" customHeight="1">
      <c r="A9" s="63"/>
      <c r="B9" s="63"/>
      <c r="C9" s="3"/>
      <c r="D9" s="3"/>
      <c r="E9" s="3"/>
      <c r="F9" s="3"/>
      <c r="G9" s="3"/>
      <c r="H9" s="3"/>
      <c r="I9" s="3"/>
      <c r="J9" s="3"/>
      <c r="K9" s="3"/>
      <c r="L9" s="3"/>
      <c r="M9" s="3"/>
      <c r="N9" s="3"/>
      <c r="O9" s="3"/>
      <c r="P9" s="3"/>
      <c r="Q9" s="3"/>
      <c r="R9" s="3"/>
      <c r="S9" s="3"/>
      <c r="T9" s="3"/>
      <c r="U9" s="3"/>
      <c r="V9" s="3"/>
      <c r="W9" s="3"/>
      <c r="X9" s="3"/>
      <c r="Y9" s="3"/>
      <c r="Z9" s="3"/>
      <c r="AA9" s="3"/>
      <c r="AB9" s="3"/>
      <c r="AC9" s="3"/>
      <c r="AD9" s="3"/>
      <c r="AE9" s="108"/>
      <c r="AF9" s="108"/>
      <c r="AG9" s="108"/>
      <c r="AH9" s="108"/>
      <c r="AI9" s="108"/>
      <c r="AJ9" s="108"/>
      <c r="AK9" s="108"/>
      <c r="AL9" s="108"/>
      <c r="AM9" s="3"/>
      <c r="AN9" s="677"/>
      <c r="AO9" s="424" t="s">
        <v>84</v>
      </c>
      <c r="AP9" s="475"/>
    </row>
    <row r="10" spans="1:42" s="5" customFormat="1" ht="12.75" customHeight="1">
      <c r="A10" s="63"/>
      <c r="B10" s="20" t="s">
        <v>1166</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677"/>
      <c r="AO10" s="365" t="s">
        <v>1293</v>
      </c>
      <c r="AP10" s="374">
        <v>5</v>
      </c>
    </row>
    <row r="11" spans="1:42" s="5" customFormat="1" ht="12.75" customHeight="1">
      <c r="A11" s="63"/>
      <c r="B11" s="1699" t="s">
        <v>1294</v>
      </c>
      <c r="C11" s="1699"/>
      <c r="D11" s="1699"/>
      <c r="E11" s="1699"/>
      <c r="F11" s="1699"/>
      <c r="G11" s="1699"/>
      <c r="H11" s="1699"/>
      <c r="I11" s="1699"/>
      <c r="J11" s="1699"/>
      <c r="K11" s="1699"/>
      <c r="L11" s="1699"/>
      <c r="M11" s="1699"/>
      <c r="N11" s="1699"/>
      <c r="O11" s="1699"/>
      <c r="P11" s="1699"/>
      <c r="Q11" s="1699"/>
      <c r="R11" s="1699"/>
      <c r="S11" s="1699"/>
      <c r="T11" s="1699"/>
      <c r="U11" s="1699"/>
      <c r="V11" s="1699"/>
      <c r="W11" s="1699"/>
      <c r="X11" s="1699"/>
      <c r="Y11" s="1699"/>
      <c r="Z11" s="1699"/>
      <c r="AA11" s="1699"/>
      <c r="AB11" s="1699"/>
      <c r="AC11" s="1699"/>
      <c r="AD11" s="1699"/>
      <c r="AE11" s="1699"/>
      <c r="AF11" s="1699"/>
      <c r="AG11" s="1699"/>
      <c r="AH11" s="1699"/>
      <c r="AI11" s="1699"/>
      <c r="AM11" s="3"/>
      <c r="AN11" s="677"/>
      <c r="AO11" s="365" t="s">
        <v>1294</v>
      </c>
      <c r="AP11" s="374">
        <v>7</v>
      </c>
    </row>
    <row r="12" spans="1:42" s="5" customFormat="1" ht="12.75" customHeight="1">
      <c r="A12" s="6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18"/>
      <c r="AM12" s="3"/>
      <c r="AN12" s="677"/>
      <c r="AO12" s="365"/>
      <c r="AP12" s="374"/>
    </row>
    <row r="13" spans="1:42" s="5" customFormat="1" ht="12.75" customHeight="1">
      <c r="A13" s="63"/>
      <c r="B13" s="20" t="s">
        <v>1295</v>
      </c>
      <c r="AB13" s="1784" t="s">
        <v>132</v>
      </c>
      <c r="AC13" s="1784"/>
      <c r="AD13" s="18"/>
      <c r="AM13" s="3"/>
      <c r="AN13" s="677"/>
      <c r="AO13" s="365"/>
      <c r="AP13" s="365"/>
    </row>
    <row r="14" spans="1:42" s="5" customFormat="1" ht="12.75" customHeight="1">
      <c r="A14" s="6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18"/>
      <c r="AM14" s="3"/>
      <c r="AN14" s="677"/>
      <c r="AO14" s="424" t="s">
        <v>1165</v>
      </c>
      <c r="AP14" s="374"/>
    </row>
    <row r="15" spans="1:42" s="5" customFormat="1" ht="12.75" customHeight="1">
      <c r="A15" s="63"/>
      <c r="B15" s="61" t="s">
        <v>1065</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18"/>
      <c r="AM15" s="3"/>
      <c r="AN15" s="677"/>
      <c r="AO15" s="365" t="s">
        <v>1296</v>
      </c>
      <c r="AP15" s="374">
        <v>5</v>
      </c>
    </row>
    <row r="16" spans="1:42" s="5" customFormat="1" ht="12.75" customHeight="1">
      <c r="A16" s="63"/>
      <c r="B16" s="1699" t="s">
        <v>1165</v>
      </c>
      <c r="C16" s="1699"/>
      <c r="D16" s="1699"/>
      <c r="E16" s="1699"/>
      <c r="F16" s="1699"/>
      <c r="G16" s="1699"/>
      <c r="H16" s="1699"/>
      <c r="I16" s="1699"/>
      <c r="J16" s="1699"/>
      <c r="K16" s="1699"/>
      <c r="L16" s="1699"/>
      <c r="M16" s="1699"/>
      <c r="N16" s="1699"/>
      <c r="O16" s="1699"/>
      <c r="P16" s="1699"/>
      <c r="Q16" s="1699"/>
      <c r="R16" s="1699"/>
      <c r="S16" s="1699"/>
      <c r="T16" s="1699"/>
      <c r="U16" s="1699"/>
      <c r="V16" s="1699"/>
      <c r="W16" s="1699"/>
      <c r="X16" s="1699"/>
      <c r="Y16" s="1699"/>
      <c r="Z16" s="1699"/>
      <c r="AA16" s="1699"/>
      <c r="AB16" s="1699"/>
      <c r="AC16" s="1699"/>
      <c r="AD16" s="1699"/>
      <c r="AE16" s="1699"/>
      <c r="AF16" s="1699"/>
      <c r="AG16" s="1699"/>
      <c r="AH16" s="1699"/>
      <c r="AI16" s="1699"/>
      <c r="AJ16" s="1699"/>
      <c r="AK16" s="497"/>
      <c r="AL16" s="497"/>
      <c r="AM16" s="497"/>
      <c r="AN16" s="677"/>
      <c r="AO16" s="365" t="s">
        <v>1297</v>
      </c>
      <c r="AP16" s="374">
        <v>7</v>
      </c>
    </row>
    <row r="17" spans="1:42" s="5" customFormat="1" ht="12.75" customHeight="1">
      <c r="B17" s="61" t="s">
        <v>1910</v>
      </c>
      <c r="C17" s="29"/>
      <c r="D17" s="29"/>
      <c r="E17" s="29"/>
      <c r="F17" s="29"/>
      <c r="G17" s="29"/>
      <c r="H17" s="29"/>
      <c r="I17" s="29"/>
      <c r="J17" s="29"/>
      <c r="K17" s="29"/>
      <c r="L17" s="29"/>
      <c r="M17" s="29"/>
      <c r="N17" s="29"/>
      <c r="O17" s="29"/>
      <c r="P17" s="29"/>
      <c r="Q17" s="29"/>
      <c r="R17" s="29"/>
      <c r="S17" s="29"/>
      <c r="T17" s="29"/>
      <c r="U17" s="29"/>
      <c r="AM17" s="3"/>
      <c r="AN17" s="677"/>
      <c r="AO17" s="365"/>
      <c r="AP17" s="374"/>
    </row>
    <row r="18" spans="1:42" s="5" customFormat="1" ht="12.75" customHeight="1">
      <c r="B18" s="20" t="s">
        <v>1909</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M18" s="3"/>
      <c r="AN18" s="677"/>
      <c r="AP18" s="10"/>
    </row>
    <row r="19" spans="1:42" s="5" customFormat="1" ht="12.7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M19" s="3"/>
      <c r="AN19" s="677"/>
    </row>
    <row r="20" spans="1:42" s="5" customFormat="1" ht="12.75" customHeight="1">
      <c r="B20" s="1664" t="s">
        <v>2328</v>
      </c>
      <c r="C20" s="1664"/>
      <c r="D20" s="1664"/>
      <c r="E20" s="1664"/>
      <c r="F20" s="1664"/>
      <c r="G20" s="1664"/>
      <c r="H20" s="1664"/>
      <c r="I20" s="1664"/>
      <c r="J20" s="1664"/>
      <c r="K20" s="1664"/>
      <c r="L20" s="1664"/>
      <c r="M20" s="1664"/>
      <c r="N20" s="1664"/>
      <c r="O20" s="1664"/>
      <c r="P20" s="1664"/>
      <c r="Q20" s="1664"/>
      <c r="R20" s="1664"/>
      <c r="S20" s="1664"/>
      <c r="T20" s="1664"/>
      <c r="U20" s="1664"/>
      <c r="V20" s="1664"/>
      <c r="W20" s="1664"/>
      <c r="X20" s="1664"/>
      <c r="Y20" s="1664"/>
      <c r="Z20" s="1664"/>
      <c r="AA20" s="1664"/>
      <c r="AB20" s="1664"/>
      <c r="AC20" s="1664"/>
      <c r="AD20" s="1664"/>
      <c r="AE20" s="1664"/>
      <c r="AF20" s="1664"/>
      <c r="AG20" s="1664"/>
      <c r="AH20" s="1664"/>
      <c r="AI20" s="1664"/>
      <c r="AJ20" s="1664"/>
      <c r="AK20" s="1664"/>
      <c r="AL20" s="103"/>
      <c r="AM20" s="27"/>
      <c r="AN20" s="677"/>
    </row>
    <row r="21" spans="1:42" s="5" customFormat="1" ht="12.75" customHeight="1">
      <c r="A21" s="27"/>
      <c r="B21" s="1664"/>
      <c r="C21" s="1664"/>
      <c r="D21" s="1664"/>
      <c r="E21" s="1664"/>
      <c r="F21" s="1664"/>
      <c r="G21" s="1664"/>
      <c r="H21" s="1664"/>
      <c r="I21" s="1664"/>
      <c r="J21" s="1664"/>
      <c r="K21" s="1664"/>
      <c r="L21" s="1664"/>
      <c r="M21" s="1664"/>
      <c r="N21" s="1664"/>
      <c r="O21" s="1664"/>
      <c r="P21" s="1664"/>
      <c r="Q21" s="1664"/>
      <c r="R21" s="1664"/>
      <c r="S21" s="1664"/>
      <c r="T21" s="1664"/>
      <c r="U21" s="1664"/>
      <c r="V21" s="1664"/>
      <c r="W21" s="1664"/>
      <c r="X21" s="1664"/>
      <c r="Y21" s="1664"/>
      <c r="Z21" s="1664"/>
      <c r="AA21" s="1664"/>
      <c r="AB21" s="1664"/>
      <c r="AC21" s="1664"/>
      <c r="AD21" s="1664"/>
      <c r="AE21" s="1664"/>
      <c r="AF21" s="1664"/>
      <c r="AG21" s="1664"/>
      <c r="AH21" s="1664"/>
      <c r="AI21" s="1664"/>
      <c r="AJ21" s="1664"/>
      <c r="AK21" s="1664"/>
      <c r="AL21" s="103"/>
      <c r="AM21" s="27"/>
      <c r="AN21" s="677"/>
      <c r="AP21" s="341"/>
    </row>
    <row r="22" spans="1:42" s="5" customFormat="1" ht="12.75" customHeight="1">
      <c r="A22" s="27"/>
      <c r="B22" s="1664"/>
      <c r="C22" s="1664"/>
      <c r="D22" s="1664"/>
      <c r="E22" s="1664"/>
      <c r="F22" s="1664"/>
      <c r="G22" s="1664"/>
      <c r="H22" s="1664"/>
      <c r="I22" s="1664"/>
      <c r="J22" s="1664"/>
      <c r="K22" s="1664"/>
      <c r="L22" s="1664"/>
      <c r="M22" s="1664"/>
      <c r="N22" s="1664"/>
      <c r="O22" s="1664"/>
      <c r="P22" s="1664"/>
      <c r="Q22" s="1664"/>
      <c r="R22" s="1664"/>
      <c r="S22" s="1664"/>
      <c r="T22" s="1664"/>
      <c r="U22" s="1664"/>
      <c r="V22" s="1664"/>
      <c r="W22" s="1664"/>
      <c r="X22" s="1664"/>
      <c r="Y22" s="1664"/>
      <c r="Z22" s="1664"/>
      <c r="AA22" s="1664"/>
      <c r="AB22" s="1664"/>
      <c r="AC22" s="1664"/>
      <c r="AD22" s="1664"/>
      <c r="AE22" s="1664"/>
      <c r="AF22" s="1664"/>
      <c r="AG22" s="1664"/>
      <c r="AH22" s="1664"/>
      <c r="AI22" s="1664"/>
      <c r="AJ22" s="1664"/>
      <c r="AK22" s="1664"/>
      <c r="AL22" s="103"/>
      <c r="AM22" s="27"/>
      <c r="AN22" s="677"/>
    </row>
    <row r="23" spans="1:42" s="4" customFormat="1" ht="12.75" customHeight="1">
      <c r="A23" s="27"/>
      <c r="B23" s="1664"/>
      <c r="C23" s="1664"/>
      <c r="D23" s="1664"/>
      <c r="E23" s="1664"/>
      <c r="F23" s="1664"/>
      <c r="G23" s="1664"/>
      <c r="H23" s="1664"/>
      <c r="I23" s="1664"/>
      <c r="J23" s="1664"/>
      <c r="K23" s="1664"/>
      <c r="L23" s="1664"/>
      <c r="M23" s="1664"/>
      <c r="N23" s="1664"/>
      <c r="O23" s="1664"/>
      <c r="P23" s="1664"/>
      <c r="Q23" s="1664"/>
      <c r="R23" s="1664"/>
      <c r="S23" s="1664"/>
      <c r="T23" s="1664"/>
      <c r="U23" s="1664"/>
      <c r="V23" s="1664"/>
      <c r="W23" s="1664"/>
      <c r="X23" s="1664"/>
      <c r="Y23" s="1664"/>
      <c r="Z23" s="1664"/>
      <c r="AA23" s="1664"/>
      <c r="AB23" s="1664"/>
      <c r="AC23" s="1664"/>
      <c r="AD23" s="1664"/>
      <c r="AE23" s="1664"/>
      <c r="AF23" s="1664"/>
      <c r="AG23" s="1664"/>
      <c r="AH23" s="1664"/>
      <c r="AI23" s="1664"/>
      <c r="AJ23" s="1664"/>
      <c r="AK23" s="1664"/>
      <c r="AL23" s="103"/>
      <c r="AM23" s="27"/>
      <c r="AN23" s="281"/>
    </row>
    <row r="24" spans="1:42" s="4" customFormat="1" ht="12.75" customHeight="1">
      <c r="A24" s="27"/>
      <c r="B24" s="1664"/>
      <c r="C24" s="1664"/>
      <c r="D24" s="1664"/>
      <c r="E24" s="1664"/>
      <c r="F24" s="1664"/>
      <c r="G24" s="1664"/>
      <c r="H24" s="1664"/>
      <c r="I24" s="1664"/>
      <c r="J24" s="1664"/>
      <c r="K24" s="1664"/>
      <c r="L24" s="1664"/>
      <c r="M24" s="1664"/>
      <c r="N24" s="1664"/>
      <c r="O24" s="1664"/>
      <c r="P24" s="1664"/>
      <c r="Q24" s="1664"/>
      <c r="R24" s="1664"/>
      <c r="S24" s="1664"/>
      <c r="T24" s="1664"/>
      <c r="U24" s="1664"/>
      <c r="V24" s="1664"/>
      <c r="W24" s="1664"/>
      <c r="X24" s="1664"/>
      <c r="Y24" s="1664"/>
      <c r="Z24" s="1664"/>
      <c r="AA24" s="1664"/>
      <c r="AB24" s="1664"/>
      <c r="AC24" s="1664"/>
      <c r="AD24" s="1664"/>
      <c r="AE24" s="1664"/>
      <c r="AF24" s="1664"/>
      <c r="AG24" s="1664"/>
      <c r="AH24" s="1664"/>
      <c r="AI24" s="1664"/>
      <c r="AJ24" s="1664"/>
      <c r="AK24" s="1664"/>
      <c r="AL24" s="103"/>
      <c r="AM24" s="27"/>
      <c r="AN24" s="679"/>
      <c r="AO24" s="91"/>
    </row>
    <row r="25" spans="1:42" s="4" customFormat="1" ht="12.75" customHeight="1">
      <c r="A25" s="27"/>
      <c r="B25" s="1664"/>
      <c r="C25" s="1664"/>
      <c r="D25" s="1664"/>
      <c r="E25" s="1664"/>
      <c r="F25" s="1664"/>
      <c r="G25" s="1664"/>
      <c r="H25" s="1664"/>
      <c r="I25" s="1664"/>
      <c r="J25" s="1664"/>
      <c r="K25" s="1664"/>
      <c r="L25" s="1664"/>
      <c r="M25" s="1664"/>
      <c r="N25" s="1664"/>
      <c r="O25" s="1664"/>
      <c r="P25" s="1664"/>
      <c r="Q25" s="1664"/>
      <c r="R25" s="1664"/>
      <c r="S25" s="1664"/>
      <c r="T25" s="1664"/>
      <c r="U25" s="1664"/>
      <c r="V25" s="1664"/>
      <c r="W25" s="1664"/>
      <c r="X25" s="1664"/>
      <c r="Y25" s="1664"/>
      <c r="Z25" s="1664"/>
      <c r="AA25" s="1664"/>
      <c r="AB25" s="1664"/>
      <c r="AC25" s="1664"/>
      <c r="AD25" s="1664"/>
      <c r="AE25" s="1664"/>
      <c r="AF25" s="1664"/>
      <c r="AG25" s="1664"/>
      <c r="AH25" s="1664"/>
      <c r="AI25" s="1664"/>
      <c r="AJ25" s="1664"/>
      <c r="AK25" s="1664"/>
      <c r="AL25" s="103"/>
      <c r="AM25" s="27"/>
      <c r="AN25" s="679"/>
    </row>
    <row r="26" spans="1:42" s="4" customFormat="1" ht="12.75" customHeight="1">
      <c r="A26" s="27"/>
      <c r="B26" s="1664"/>
      <c r="C26" s="1664"/>
      <c r="D26" s="1664"/>
      <c r="E26" s="1664"/>
      <c r="F26" s="1664"/>
      <c r="G26" s="1664"/>
      <c r="H26" s="1664"/>
      <c r="I26" s="1664"/>
      <c r="J26" s="1664"/>
      <c r="K26" s="1664"/>
      <c r="L26" s="1664"/>
      <c r="M26" s="1664"/>
      <c r="N26" s="1664"/>
      <c r="O26" s="1664"/>
      <c r="P26" s="1664"/>
      <c r="Q26" s="1664"/>
      <c r="R26" s="1664"/>
      <c r="S26" s="1664"/>
      <c r="T26" s="1664"/>
      <c r="U26" s="1664"/>
      <c r="V26" s="1664"/>
      <c r="W26" s="1664"/>
      <c r="X26" s="1664"/>
      <c r="Y26" s="1664"/>
      <c r="Z26" s="1664"/>
      <c r="AA26" s="1664"/>
      <c r="AB26" s="1664"/>
      <c r="AC26" s="1664"/>
      <c r="AD26" s="1664"/>
      <c r="AE26" s="1664"/>
      <c r="AF26" s="1664"/>
      <c r="AG26" s="1664"/>
      <c r="AH26" s="1664"/>
      <c r="AI26" s="1664"/>
      <c r="AJ26" s="1664"/>
      <c r="AK26" s="1664"/>
      <c r="AL26" s="103"/>
      <c r="AM26" s="27"/>
      <c r="AN26" s="281"/>
    </row>
    <row r="27" spans="1:42" s="4" customFormat="1" ht="12.75" customHeight="1">
      <c r="A27" s="27"/>
      <c r="B27" s="1664"/>
      <c r="C27" s="1664"/>
      <c r="D27" s="1664"/>
      <c r="E27" s="1664"/>
      <c r="F27" s="1664"/>
      <c r="G27" s="1664"/>
      <c r="H27" s="1664"/>
      <c r="I27" s="1664"/>
      <c r="J27" s="1664"/>
      <c r="K27" s="1664"/>
      <c r="L27" s="1664"/>
      <c r="M27" s="1664"/>
      <c r="N27" s="1664"/>
      <c r="O27" s="1664"/>
      <c r="P27" s="1664"/>
      <c r="Q27" s="1664"/>
      <c r="R27" s="1664"/>
      <c r="S27" s="1664"/>
      <c r="T27" s="1664"/>
      <c r="U27" s="1664"/>
      <c r="V27" s="1664"/>
      <c r="W27" s="1664"/>
      <c r="X27" s="1664"/>
      <c r="Y27" s="1664"/>
      <c r="Z27" s="1664"/>
      <c r="AA27" s="1664"/>
      <c r="AB27" s="1664"/>
      <c r="AC27" s="1664"/>
      <c r="AD27" s="1664"/>
      <c r="AE27" s="1664"/>
      <c r="AF27" s="1664"/>
      <c r="AG27" s="1664"/>
      <c r="AH27" s="1664"/>
      <c r="AI27" s="1664"/>
      <c r="AJ27" s="1664"/>
      <c r="AK27" s="1664"/>
      <c r="AL27" s="103"/>
      <c r="AM27" s="27"/>
      <c r="AN27" s="621"/>
    </row>
    <row r="28" spans="1:42" s="4" customFormat="1" ht="12.75" customHeight="1">
      <c r="A28" s="27"/>
      <c r="B28" s="1664"/>
      <c r="C28" s="1664"/>
      <c r="D28" s="1664"/>
      <c r="E28" s="1664"/>
      <c r="F28" s="1664"/>
      <c r="G28" s="1664"/>
      <c r="H28" s="1664"/>
      <c r="I28" s="1664"/>
      <c r="J28" s="1664"/>
      <c r="K28" s="1664"/>
      <c r="L28" s="1664"/>
      <c r="M28" s="1664"/>
      <c r="N28" s="1664"/>
      <c r="O28" s="1664"/>
      <c r="P28" s="1664"/>
      <c r="Q28" s="1664"/>
      <c r="R28" s="1664"/>
      <c r="S28" s="1664"/>
      <c r="T28" s="1664"/>
      <c r="U28" s="1664"/>
      <c r="V28" s="1664"/>
      <c r="W28" s="1664"/>
      <c r="X28" s="1664"/>
      <c r="Y28" s="1664"/>
      <c r="Z28" s="1664"/>
      <c r="AA28" s="1664"/>
      <c r="AB28" s="1664"/>
      <c r="AC28" s="1664"/>
      <c r="AD28" s="1664"/>
      <c r="AE28" s="1664"/>
      <c r="AF28" s="1664"/>
      <c r="AG28" s="1664"/>
      <c r="AH28" s="1664"/>
      <c r="AI28" s="1664"/>
      <c r="AJ28" s="1664"/>
      <c r="AK28" s="1664"/>
      <c r="AL28" s="103"/>
      <c r="AM28" s="27"/>
      <c r="AN28" s="621"/>
    </row>
    <row r="29" spans="1:42" s="4" customFormat="1" ht="31.7" customHeight="1">
      <c r="A29" s="27"/>
      <c r="B29" s="1664"/>
      <c r="C29" s="1664"/>
      <c r="D29" s="1664"/>
      <c r="E29" s="1664"/>
      <c r="F29" s="1664"/>
      <c r="G29" s="1664"/>
      <c r="H29" s="1664"/>
      <c r="I29" s="1664"/>
      <c r="J29" s="1664"/>
      <c r="K29" s="1664"/>
      <c r="L29" s="1664"/>
      <c r="M29" s="1664"/>
      <c r="N29" s="1664"/>
      <c r="O29" s="1664"/>
      <c r="P29" s="1664"/>
      <c r="Q29" s="1664"/>
      <c r="R29" s="1664"/>
      <c r="S29" s="1664"/>
      <c r="T29" s="1664"/>
      <c r="U29" s="1664"/>
      <c r="V29" s="1664"/>
      <c r="W29" s="1664"/>
      <c r="X29" s="1664"/>
      <c r="Y29" s="1664"/>
      <c r="Z29" s="1664"/>
      <c r="AA29" s="1664"/>
      <c r="AB29" s="1664"/>
      <c r="AC29" s="1664"/>
      <c r="AD29" s="1664"/>
      <c r="AE29" s="1664"/>
      <c r="AF29" s="1664"/>
      <c r="AG29" s="1664"/>
      <c r="AH29" s="1664"/>
      <c r="AI29" s="1664"/>
      <c r="AJ29" s="1664"/>
      <c r="AK29" s="1664"/>
      <c r="AL29" s="103"/>
      <c r="AM29" s="27"/>
      <c r="AN29" s="621"/>
      <c r="AO29" s="365" t="s">
        <v>84</v>
      </c>
      <c r="AP29" s="365"/>
    </row>
    <row r="30" spans="1:42" s="4" customFormat="1" ht="12.75" customHeight="1">
      <c r="A30" s="5"/>
      <c r="B30" s="1701"/>
      <c r="C30" s="1701"/>
      <c r="D30" s="1701"/>
      <c r="E30" s="1701"/>
      <c r="F30" s="1701"/>
      <c r="G30" s="1701"/>
      <c r="H30" s="1701"/>
      <c r="I30" s="1701"/>
      <c r="J30" s="1701"/>
      <c r="K30" s="1701"/>
      <c r="L30" s="1701"/>
      <c r="M30" s="1701"/>
      <c r="N30" s="1701"/>
      <c r="O30" s="1701"/>
      <c r="P30" s="1701"/>
      <c r="Q30" s="1701"/>
      <c r="R30" s="1701"/>
      <c r="S30" s="1701"/>
      <c r="T30" s="1701"/>
      <c r="U30" s="1701"/>
      <c r="V30" s="1701"/>
      <c r="W30" s="1701"/>
      <c r="X30" s="1701"/>
      <c r="Y30" s="1701"/>
      <c r="Z30" s="1701"/>
      <c r="AA30" s="1701"/>
      <c r="AB30" s="1701"/>
      <c r="AC30" s="1701"/>
      <c r="AD30" s="1701"/>
      <c r="AE30" s="1701"/>
      <c r="AF30" s="1701"/>
      <c r="AG30" s="1701"/>
      <c r="AH30" s="1701"/>
      <c r="AI30" s="1701"/>
      <c r="AJ30" s="1701"/>
      <c r="AK30" s="1701"/>
      <c r="AL30" s="10"/>
      <c r="AM30" s="5"/>
      <c r="AN30" s="621"/>
      <c r="AO30" s="365" t="s">
        <v>1299</v>
      </c>
      <c r="AP30" s="476">
        <v>2</v>
      </c>
    </row>
    <row r="31" spans="1:42" s="4" customFormat="1" ht="12.75" customHeight="1">
      <c r="A31" s="7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60" t="s">
        <v>678</v>
      </c>
      <c r="AJ31" s="1736">
        <f>IF((AND(AND(OR(Application!D211="Nonprofit (qualified nonprofit organization)",Application!D211="Nonprofit (homeless assistance)",Application!D211="Special Needs",Application!D211="At-Risk and Special Needs"),Application!D214="Special Needs"),$AB$13="Yes")),VLOOKUP($B$16,$AO$14:$AP$16,2,FALSE),VLOOKUP($B$11,$AO$9:$AP$11,2,FALSE))</f>
        <v>7</v>
      </c>
      <c r="AK31" s="1736"/>
      <c r="AL31" s="10"/>
      <c r="AM31" s="5"/>
      <c r="AN31" s="621"/>
      <c r="AO31" s="365" t="s">
        <v>1298</v>
      </c>
      <c r="AP31" s="476">
        <v>3</v>
      </c>
    </row>
    <row r="32" spans="1:42" s="4" customFormat="1" ht="12.75" customHeight="1">
      <c r="A32" s="10"/>
      <c r="B32" s="10"/>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621"/>
      <c r="AO32" s="365"/>
      <c r="AP32" s="365"/>
    </row>
    <row r="33" spans="1:43" s="4" customFormat="1" ht="12.75" customHeight="1">
      <c r="A33" s="5"/>
      <c r="B33" s="63" t="s">
        <v>1525</v>
      </c>
      <c r="C33" s="3"/>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F33" s="1675" t="s">
        <v>65</v>
      </c>
      <c r="AG33" s="1675"/>
      <c r="AH33" s="1675"/>
      <c r="AI33" s="1675"/>
      <c r="AJ33" s="1675"/>
      <c r="AK33" s="1675"/>
      <c r="AL33" s="1675"/>
      <c r="AM33" s="27"/>
      <c r="AN33" s="621"/>
      <c r="AO33" s="455"/>
      <c r="AP33" s="455"/>
    </row>
    <row r="34" spans="1:43" s="4" customFormat="1" ht="12.75" customHeight="1">
      <c r="A34" s="5"/>
      <c r="B34" s="20" t="s">
        <v>1166</v>
      </c>
      <c r="AA34" s="3"/>
      <c r="AB34" s="3"/>
      <c r="AC34" s="3"/>
      <c r="AD34" s="3"/>
      <c r="AM34" s="27"/>
      <c r="AN34" s="621"/>
      <c r="AO34" s="455"/>
      <c r="AP34" s="455"/>
    </row>
    <row r="35" spans="1:43" s="4" customFormat="1" ht="12.75" customHeight="1">
      <c r="A35" s="5"/>
      <c r="C35" s="1699" t="s">
        <v>1298</v>
      </c>
      <c r="D35" s="1699"/>
      <c r="E35" s="1699"/>
      <c r="F35" s="1699"/>
      <c r="G35" s="1699"/>
      <c r="H35" s="1699"/>
      <c r="I35" s="1699"/>
      <c r="J35" s="1699"/>
      <c r="K35" s="1699"/>
      <c r="L35" s="1699"/>
      <c r="M35" s="1699"/>
      <c r="N35" s="1699"/>
      <c r="O35" s="1699"/>
      <c r="P35" s="1699"/>
      <c r="Q35" s="1699"/>
      <c r="R35" s="1699"/>
      <c r="S35" s="1699"/>
      <c r="T35" s="1699"/>
      <c r="U35" s="1699"/>
      <c r="V35" s="1699"/>
      <c r="W35" s="1699"/>
      <c r="X35" s="1699"/>
      <c r="Y35" s="1699"/>
      <c r="Z35" s="1699"/>
      <c r="AA35" s="1699"/>
      <c r="AB35" s="1699"/>
      <c r="AC35" s="1699"/>
      <c r="AD35" s="1699"/>
      <c r="AM35" s="27"/>
      <c r="AN35" s="281"/>
      <c r="AO35" s="365" t="s">
        <v>1165</v>
      </c>
      <c r="AP35" s="365"/>
    </row>
    <row r="36" spans="1:43" s="4" customFormat="1" ht="12.75" customHeight="1">
      <c r="A36" s="5"/>
      <c r="C36" s="29"/>
      <c r="D36" s="29"/>
      <c r="E36" s="29"/>
      <c r="F36" s="29"/>
      <c r="G36" s="29"/>
      <c r="H36" s="29"/>
      <c r="I36" s="29"/>
      <c r="J36" s="29"/>
      <c r="K36" s="29"/>
      <c r="L36" s="29"/>
      <c r="M36" s="29"/>
      <c r="N36" s="29"/>
      <c r="O36" s="29"/>
      <c r="P36" s="29"/>
      <c r="Q36" s="29"/>
      <c r="R36" s="29"/>
      <c r="S36" s="29"/>
      <c r="T36" s="29"/>
      <c r="U36" s="29"/>
      <c r="V36" s="29"/>
      <c r="W36" s="29"/>
      <c r="X36" s="29"/>
      <c r="Y36" s="29"/>
      <c r="Z36" s="29"/>
      <c r="AA36" s="29"/>
      <c r="AB36" s="29"/>
      <c r="AC36" s="29"/>
      <c r="AD36" s="29"/>
      <c r="AM36" s="27"/>
      <c r="AN36" s="281"/>
      <c r="AO36" s="365" t="s">
        <v>1328</v>
      </c>
      <c r="AP36" s="476">
        <v>2</v>
      </c>
    </row>
    <row r="37" spans="1:43" s="4" customFormat="1" ht="12.75" customHeight="1">
      <c r="A37" s="5"/>
      <c r="C37" s="20" t="s">
        <v>1148</v>
      </c>
      <c r="D37" s="5"/>
      <c r="E37" s="5"/>
      <c r="F37" s="5"/>
      <c r="G37" s="5"/>
      <c r="H37" s="5"/>
      <c r="I37" s="5"/>
      <c r="J37" s="5"/>
      <c r="K37" s="5"/>
      <c r="L37" s="5"/>
      <c r="M37" s="5"/>
      <c r="N37" s="5"/>
      <c r="O37" s="5"/>
      <c r="P37" s="5"/>
      <c r="Q37" s="5"/>
      <c r="R37" s="5"/>
      <c r="S37" s="5"/>
      <c r="T37" s="5"/>
      <c r="U37" s="5"/>
      <c r="V37" s="5"/>
      <c r="W37" s="5"/>
      <c r="X37" s="5"/>
      <c r="Y37" s="5"/>
      <c r="Z37" s="5"/>
      <c r="AA37" s="5"/>
      <c r="AB37" s="5"/>
      <c r="AC37" s="1784" t="s">
        <v>116</v>
      </c>
      <c r="AD37" s="1784"/>
      <c r="AM37" s="27"/>
      <c r="AN37" s="281"/>
      <c r="AO37" s="365" t="s">
        <v>1329</v>
      </c>
      <c r="AP37" s="476">
        <v>3</v>
      </c>
    </row>
    <row r="38" spans="1:43" s="4" customFormat="1" ht="12.75" customHeight="1">
      <c r="A38" s="5"/>
      <c r="C38" s="29"/>
      <c r="D38" s="29"/>
      <c r="E38" s="29"/>
      <c r="F38" s="29"/>
      <c r="G38" s="29"/>
      <c r="H38" s="29"/>
      <c r="I38" s="29"/>
      <c r="J38" s="29"/>
      <c r="K38" s="29"/>
      <c r="L38" s="29"/>
      <c r="M38" s="29"/>
      <c r="N38" s="29"/>
      <c r="O38" s="29"/>
      <c r="P38" s="29"/>
      <c r="Q38" s="29"/>
      <c r="R38" s="29"/>
      <c r="S38" s="29"/>
      <c r="T38" s="29"/>
      <c r="U38" s="29"/>
      <c r="V38" s="29"/>
      <c r="W38" s="29"/>
      <c r="X38" s="29"/>
      <c r="Y38" s="29"/>
      <c r="Z38" s="29"/>
      <c r="AA38" s="29"/>
      <c r="AB38" s="29"/>
      <c r="AC38" s="29"/>
      <c r="AD38" s="29"/>
      <c r="AM38" s="27"/>
      <c r="AN38" s="281"/>
      <c r="AO38" s="365"/>
      <c r="AP38" s="477"/>
    </row>
    <row r="39" spans="1:43" s="4" customFormat="1" ht="12.75" customHeight="1">
      <c r="A39" s="5"/>
      <c r="C39" s="61" t="s">
        <v>1065</v>
      </c>
      <c r="D39" s="29"/>
      <c r="E39" s="29"/>
      <c r="F39" s="29"/>
      <c r="G39" s="29"/>
      <c r="H39" s="29"/>
      <c r="I39" s="29"/>
      <c r="J39" s="29"/>
      <c r="K39" s="29"/>
      <c r="L39" s="29"/>
      <c r="M39" s="29"/>
      <c r="N39" s="29"/>
      <c r="O39" s="29"/>
      <c r="P39" s="29"/>
      <c r="Q39" s="29"/>
      <c r="R39" s="29"/>
      <c r="S39" s="29"/>
      <c r="T39" s="29"/>
      <c r="U39" s="29"/>
      <c r="V39" s="29"/>
      <c r="W39" s="29"/>
      <c r="X39" s="29"/>
      <c r="Y39" s="29"/>
      <c r="Z39" s="29"/>
      <c r="AA39" s="29"/>
      <c r="AB39" s="29"/>
      <c r="AC39" s="29"/>
      <c r="AD39" s="29"/>
      <c r="AM39" s="27"/>
      <c r="AN39" s="281"/>
      <c r="AO39" s="5"/>
      <c r="AP39" s="341"/>
    </row>
    <row r="40" spans="1:43" s="4" customFormat="1" ht="12.75" customHeight="1">
      <c r="A40" s="5"/>
      <c r="C40" s="1699" t="s">
        <v>1165</v>
      </c>
      <c r="D40" s="1699"/>
      <c r="E40" s="1699"/>
      <c r="F40" s="1699"/>
      <c r="G40" s="1699"/>
      <c r="H40" s="1699"/>
      <c r="I40" s="1699"/>
      <c r="J40" s="1699"/>
      <c r="K40" s="1699"/>
      <c r="L40" s="1699"/>
      <c r="M40" s="1699"/>
      <c r="N40" s="1699"/>
      <c r="O40" s="1699"/>
      <c r="P40" s="1699"/>
      <c r="Q40" s="1699"/>
      <c r="R40" s="1699"/>
      <c r="S40" s="1699"/>
      <c r="T40" s="1699"/>
      <c r="U40" s="1699"/>
      <c r="V40" s="1699"/>
      <c r="W40" s="1699"/>
      <c r="X40" s="1699"/>
      <c r="Y40" s="1699"/>
      <c r="Z40" s="1699"/>
      <c r="AA40" s="1699"/>
      <c r="AB40" s="1699"/>
      <c r="AC40" s="1699"/>
      <c r="AD40" s="1699"/>
      <c r="AM40" s="27"/>
      <c r="AN40" s="281"/>
    </row>
    <row r="41" spans="1:43" s="4" customFormat="1" ht="12.75" customHeight="1">
      <c r="A41" s="5"/>
      <c r="B41" s="5"/>
      <c r="C41" s="20" t="s">
        <v>1922</v>
      </c>
      <c r="D41" s="20"/>
      <c r="E41" s="20"/>
      <c r="F41" s="20"/>
      <c r="G41" s="20"/>
      <c r="H41" s="20"/>
      <c r="I41" s="20"/>
      <c r="J41" s="20"/>
      <c r="K41" s="20"/>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M41" s="27"/>
      <c r="AN41" s="281"/>
    </row>
    <row r="42" spans="1:43" s="4" customFormat="1" ht="12.75" customHeight="1">
      <c r="A42" s="5"/>
      <c r="B42" s="5"/>
      <c r="C42" s="20" t="s">
        <v>1923</v>
      </c>
      <c r="D42" s="20"/>
      <c r="E42" s="20"/>
      <c r="F42" s="20"/>
      <c r="G42" s="20"/>
      <c r="H42" s="20"/>
      <c r="I42" s="20"/>
      <c r="J42" s="20"/>
      <c r="K42" s="20"/>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M42" s="27"/>
      <c r="AN42" s="281"/>
    </row>
    <row r="43" spans="1:43" s="4" customFormat="1" ht="12.75" customHeight="1">
      <c r="A43" s="5"/>
      <c r="B43" s="5"/>
      <c r="AM43" s="27"/>
      <c r="AN43" s="281"/>
    </row>
    <row r="44" spans="1:43" s="4" customFormat="1" ht="12.75" customHeight="1">
      <c r="A44" s="5"/>
      <c r="C44" s="63" t="s">
        <v>316</v>
      </c>
      <c r="D44" s="29"/>
      <c r="E44" s="29"/>
      <c r="F44" s="29"/>
      <c r="G44" s="29"/>
      <c r="H44" s="29"/>
      <c r="I44" s="29"/>
      <c r="J44" s="29"/>
      <c r="K44" s="29"/>
      <c r="L44" s="29"/>
      <c r="M44" s="29"/>
      <c r="N44" s="29"/>
      <c r="O44" s="29"/>
      <c r="P44" s="29"/>
      <c r="Q44" s="29"/>
      <c r="R44" s="29"/>
      <c r="S44" s="29"/>
      <c r="T44" s="29"/>
      <c r="U44" s="29"/>
      <c r="V44" s="29"/>
      <c r="W44" s="29"/>
      <c r="X44" s="29"/>
      <c r="Y44" s="29"/>
      <c r="Z44" s="29"/>
      <c r="AA44" s="29"/>
      <c r="AB44" s="29"/>
      <c r="AC44" s="29"/>
      <c r="AD44" s="29"/>
      <c r="AM44" s="27"/>
      <c r="AN44" s="281"/>
    </row>
    <row r="45" spans="1:43" s="4" customFormat="1" ht="12.75" customHeight="1">
      <c r="A45" s="5"/>
      <c r="C45" s="1699" t="s">
        <v>2419</v>
      </c>
      <c r="D45" s="1699"/>
      <c r="E45" s="1699"/>
      <c r="F45" s="1699"/>
      <c r="G45" s="1699"/>
      <c r="H45" s="1699"/>
      <c r="I45" s="1699"/>
      <c r="J45" s="1699"/>
      <c r="K45" s="1699"/>
      <c r="L45" s="1699"/>
      <c r="M45" s="1699"/>
      <c r="N45" s="1699"/>
      <c r="O45" s="1699"/>
      <c r="P45" s="1699"/>
      <c r="Q45" s="1699"/>
      <c r="R45" s="1699"/>
      <c r="S45" s="1699"/>
      <c r="T45" s="1699"/>
      <c r="U45" s="1699"/>
      <c r="V45" s="1699"/>
      <c r="W45" s="1699"/>
      <c r="X45" s="1699"/>
      <c r="Y45" s="1699"/>
      <c r="Z45" s="1699"/>
      <c r="AA45" s="1699"/>
      <c r="AB45" s="1699"/>
      <c r="AC45" s="1699"/>
      <c r="AD45" s="1699"/>
      <c r="AM45" s="27"/>
      <c r="AN45" s="281"/>
      <c r="AP45" s="4" t="s">
        <v>701</v>
      </c>
      <c r="AQ45" s="4">
        <v>0</v>
      </c>
    </row>
    <row r="46" spans="1:43" s="4" customFormat="1" ht="12.75" customHeight="1">
      <c r="A46" s="5"/>
      <c r="C46" s="44"/>
      <c r="D46" s="44"/>
      <c r="E46" s="44"/>
      <c r="F46" s="44"/>
      <c r="G46" s="44"/>
      <c r="H46" s="44"/>
      <c r="I46" s="44"/>
      <c r="J46" s="44"/>
      <c r="K46" s="44"/>
      <c r="L46" s="44"/>
      <c r="M46" s="44"/>
      <c r="N46" s="44"/>
      <c r="O46" s="44"/>
      <c r="P46" s="44"/>
      <c r="Q46" s="44"/>
      <c r="R46" s="44"/>
      <c r="S46" s="44"/>
      <c r="T46" s="44"/>
      <c r="U46" s="44"/>
      <c r="V46" s="44"/>
      <c r="W46" s="44"/>
      <c r="X46" s="44"/>
      <c r="Y46" s="44"/>
      <c r="Z46" s="44"/>
      <c r="AA46" s="44"/>
      <c r="AB46" s="44"/>
      <c r="AC46" s="44"/>
      <c r="AD46" s="44"/>
      <c r="AM46" s="27"/>
      <c r="AN46" s="281"/>
      <c r="AP46" s="4" t="s">
        <v>698</v>
      </c>
      <c r="AQ46" s="4">
        <v>10</v>
      </c>
    </row>
    <row r="47" spans="1:43" s="4" customFormat="1" ht="12.75" customHeight="1">
      <c r="A47" s="92"/>
      <c r="B47" s="93"/>
      <c r="C47" s="93"/>
      <c r="D47" s="94"/>
      <c r="E47" s="93"/>
      <c r="F47" s="93"/>
      <c r="G47" s="93"/>
      <c r="H47" s="93"/>
      <c r="I47" s="93"/>
      <c r="J47" s="93"/>
      <c r="K47" s="93"/>
      <c r="L47" s="93"/>
      <c r="M47" s="93"/>
      <c r="N47" s="93"/>
      <c r="O47" s="93"/>
      <c r="P47" s="93"/>
      <c r="Q47" s="89"/>
      <c r="R47" s="95"/>
      <c r="S47" s="93"/>
      <c r="T47" s="93"/>
      <c r="U47" s="93"/>
      <c r="V47" s="93"/>
      <c r="W47" s="93"/>
      <c r="X47" s="93"/>
      <c r="Y47" s="93"/>
      <c r="Z47" s="93"/>
      <c r="AA47" s="93"/>
      <c r="AB47" s="93"/>
      <c r="AC47" s="93"/>
      <c r="AD47" s="93"/>
      <c r="AE47" s="93"/>
      <c r="AF47" s="93"/>
      <c r="AG47" s="93"/>
      <c r="AH47" s="93"/>
      <c r="AI47" s="60" t="s">
        <v>679</v>
      </c>
      <c r="AJ47" s="1712">
        <f>IF((AND(AND(OR(Application!D211="Nonprofit (qualified nonprofit organization)",Application!D211="Nonprofit (homeless assistance)",Application!D211="Special Needs",Application!D211="Special Needs and At-Risk"),Application!D214="Special Needs"),$AC$37="N/A")),VLOOKUP($C$40,$AO$35:$AP$37,2,FALSE),VLOOKUP($C$35,$AO$29:$AP$32,2,FALSE))</f>
        <v>3</v>
      </c>
      <c r="AK47" s="1712"/>
      <c r="AL47" s="320"/>
      <c r="AM47" s="90"/>
      <c r="AN47" s="281"/>
      <c r="AP47" s="4" t="s">
        <v>700</v>
      </c>
      <c r="AQ47" s="4">
        <v>10</v>
      </c>
    </row>
    <row r="48" spans="1:43" s="4" customFormat="1" ht="12.75" customHeight="1">
      <c r="A48" s="5"/>
      <c r="B48" s="42"/>
      <c r="R48" s="5"/>
      <c r="S48" s="42"/>
      <c r="AN48" s="281"/>
      <c r="AP48" s="4" t="s">
        <v>699</v>
      </c>
      <c r="AQ48" s="4">
        <v>10</v>
      </c>
    </row>
    <row r="49" spans="1:43" s="4" customFormat="1" ht="12.75" customHeight="1">
      <c r="B49" s="1664" t="s">
        <v>1535</v>
      </c>
      <c r="C49" s="1664"/>
      <c r="D49" s="1664"/>
      <c r="E49" s="1664"/>
      <c r="F49" s="1664"/>
      <c r="G49" s="1664"/>
      <c r="H49" s="1664"/>
      <c r="I49" s="1664"/>
      <c r="J49" s="1664"/>
      <c r="K49" s="1664"/>
      <c r="L49" s="1664"/>
      <c r="M49" s="1664"/>
      <c r="N49" s="1664"/>
      <c r="O49" s="1664"/>
      <c r="P49" s="1664"/>
      <c r="Q49" s="1664"/>
      <c r="R49" s="1664"/>
      <c r="S49" s="1664"/>
      <c r="T49" s="1664"/>
      <c r="U49" s="1664"/>
      <c r="V49" s="1664"/>
      <c r="W49" s="1664"/>
      <c r="X49" s="1664"/>
      <c r="Y49" s="1664"/>
      <c r="Z49" s="1664"/>
      <c r="AA49" s="1664"/>
      <c r="AB49" s="1664"/>
      <c r="AC49" s="1664"/>
      <c r="AD49" s="1664"/>
      <c r="AE49" s="1664"/>
      <c r="AF49" s="1664"/>
      <c r="AG49" s="1664"/>
      <c r="AH49" s="1664"/>
      <c r="AI49" s="1664"/>
      <c r="AJ49" s="1664"/>
      <c r="AK49" s="1664"/>
      <c r="AL49" s="103"/>
      <c r="AM49" s="27"/>
      <c r="AN49" s="281"/>
      <c r="AP49" s="4" t="s">
        <v>594</v>
      </c>
      <c r="AQ49" s="4">
        <v>10</v>
      </c>
    </row>
    <row r="50" spans="1:43" s="4" customFormat="1" ht="12.75" customHeight="1">
      <c r="A50" s="26"/>
      <c r="B50" s="1664"/>
      <c r="C50" s="1664"/>
      <c r="D50" s="1664"/>
      <c r="E50" s="1664"/>
      <c r="F50" s="1664"/>
      <c r="G50" s="1664"/>
      <c r="H50" s="1664"/>
      <c r="I50" s="1664"/>
      <c r="J50" s="1664"/>
      <c r="K50" s="1664"/>
      <c r="L50" s="1664"/>
      <c r="M50" s="1664"/>
      <c r="N50" s="1664"/>
      <c r="O50" s="1664"/>
      <c r="P50" s="1664"/>
      <c r="Q50" s="1664"/>
      <c r="R50" s="1664"/>
      <c r="S50" s="1664"/>
      <c r="T50" s="1664"/>
      <c r="U50" s="1664"/>
      <c r="V50" s="1664"/>
      <c r="W50" s="1664"/>
      <c r="X50" s="1664"/>
      <c r="Y50" s="1664"/>
      <c r="Z50" s="1664"/>
      <c r="AA50" s="1664"/>
      <c r="AB50" s="1664"/>
      <c r="AC50" s="1664"/>
      <c r="AD50" s="1664"/>
      <c r="AE50" s="1664"/>
      <c r="AF50" s="1664"/>
      <c r="AG50" s="1664"/>
      <c r="AH50" s="1664"/>
      <c r="AI50" s="1664"/>
      <c r="AJ50" s="1664"/>
      <c r="AK50" s="1664"/>
      <c r="AL50" s="103"/>
      <c r="AM50" s="27"/>
      <c r="AN50" s="281"/>
      <c r="AP50" s="4" t="s">
        <v>650</v>
      </c>
      <c r="AQ50" s="4">
        <v>10</v>
      </c>
    </row>
    <row r="51" spans="1:43" s="4" customFormat="1" ht="12.75" customHeight="1">
      <c r="A51" s="26"/>
      <c r="B51" s="1664"/>
      <c r="C51" s="1664"/>
      <c r="D51" s="1664"/>
      <c r="E51" s="1664"/>
      <c r="F51" s="1664"/>
      <c r="G51" s="1664"/>
      <c r="H51" s="1664"/>
      <c r="I51" s="1664"/>
      <c r="J51" s="1664"/>
      <c r="K51" s="1664"/>
      <c r="L51" s="1664"/>
      <c r="M51" s="1664"/>
      <c r="N51" s="1664"/>
      <c r="O51" s="1664"/>
      <c r="P51" s="1664"/>
      <c r="Q51" s="1664"/>
      <c r="R51" s="1664"/>
      <c r="S51" s="1664"/>
      <c r="T51" s="1664"/>
      <c r="U51" s="1664"/>
      <c r="V51" s="1664"/>
      <c r="W51" s="1664"/>
      <c r="X51" s="1664"/>
      <c r="Y51" s="1664"/>
      <c r="Z51" s="1664"/>
      <c r="AA51" s="1664"/>
      <c r="AB51" s="1664"/>
      <c r="AC51" s="1664"/>
      <c r="AD51" s="1664"/>
      <c r="AE51" s="1664"/>
      <c r="AF51" s="1664"/>
      <c r="AG51" s="1664"/>
      <c r="AH51" s="1664"/>
      <c r="AI51" s="1664"/>
      <c r="AJ51" s="1664"/>
      <c r="AK51" s="1664"/>
      <c r="AL51" s="103"/>
      <c r="AM51" s="27"/>
      <c r="AN51" s="281"/>
    </row>
    <row r="52" spans="1:43" s="4" customFormat="1" ht="12.75" customHeight="1">
      <c r="A52" s="26"/>
      <c r="B52" s="1664"/>
      <c r="C52" s="1664"/>
      <c r="D52" s="1664"/>
      <c r="E52" s="1664"/>
      <c r="F52" s="1664"/>
      <c r="G52" s="1664"/>
      <c r="H52" s="1664"/>
      <c r="I52" s="1664"/>
      <c r="J52" s="1664"/>
      <c r="K52" s="1664"/>
      <c r="L52" s="1664"/>
      <c r="M52" s="1664"/>
      <c r="N52" s="1664"/>
      <c r="O52" s="1664"/>
      <c r="P52" s="1664"/>
      <c r="Q52" s="1664"/>
      <c r="R52" s="1664"/>
      <c r="S52" s="1664"/>
      <c r="T52" s="1664"/>
      <c r="U52" s="1664"/>
      <c r="V52" s="1664"/>
      <c r="W52" s="1664"/>
      <c r="X52" s="1664"/>
      <c r="Y52" s="1664"/>
      <c r="Z52" s="1664"/>
      <c r="AA52" s="1664"/>
      <c r="AB52" s="1664"/>
      <c r="AC52" s="1664"/>
      <c r="AD52" s="1664"/>
      <c r="AE52" s="1664"/>
      <c r="AF52" s="1664"/>
      <c r="AG52" s="1664"/>
      <c r="AH52" s="1664"/>
      <c r="AI52" s="1664"/>
      <c r="AJ52" s="1664"/>
      <c r="AK52" s="1664"/>
      <c r="AL52" s="103"/>
      <c r="AM52" s="27"/>
      <c r="AN52" s="281"/>
    </row>
    <row r="53" spans="1:43" s="4" customFormat="1" ht="12.75" customHeight="1">
      <c r="A53" s="26"/>
      <c r="B53" s="1664"/>
      <c r="C53" s="1664"/>
      <c r="D53" s="1664"/>
      <c r="E53" s="1664"/>
      <c r="F53" s="1664"/>
      <c r="G53" s="1664"/>
      <c r="H53" s="1664"/>
      <c r="I53" s="1664"/>
      <c r="J53" s="1664"/>
      <c r="K53" s="1664"/>
      <c r="L53" s="1664"/>
      <c r="M53" s="1664"/>
      <c r="N53" s="1664"/>
      <c r="O53" s="1664"/>
      <c r="P53" s="1664"/>
      <c r="Q53" s="1664"/>
      <c r="R53" s="1664"/>
      <c r="S53" s="1664"/>
      <c r="T53" s="1664"/>
      <c r="U53" s="1664"/>
      <c r="V53" s="1664"/>
      <c r="W53" s="1664"/>
      <c r="X53" s="1664"/>
      <c r="Y53" s="1664"/>
      <c r="Z53" s="1664"/>
      <c r="AA53" s="1664"/>
      <c r="AB53" s="1664"/>
      <c r="AC53" s="1664"/>
      <c r="AD53" s="1664"/>
      <c r="AE53" s="1664"/>
      <c r="AF53" s="1664"/>
      <c r="AG53" s="1664"/>
      <c r="AH53" s="1664"/>
      <c r="AI53" s="1664"/>
      <c r="AJ53" s="1664"/>
      <c r="AK53" s="1664"/>
      <c r="AL53" s="103"/>
      <c r="AM53" s="27"/>
      <c r="AN53" s="281"/>
    </row>
    <row r="54" spans="1:43" s="4" customFormat="1" ht="12.75" customHeight="1">
      <c r="A54" s="26"/>
      <c r="B54" s="1664"/>
      <c r="C54" s="1664"/>
      <c r="D54" s="1664"/>
      <c r="E54" s="1664"/>
      <c r="F54" s="1664"/>
      <c r="G54" s="1664"/>
      <c r="H54" s="1664"/>
      <c r="I54" s="1664"/>
      <c r="J54" s="1664"/>
      <c r="K54" s="1664"/>
      <c r="L54" s="1664"/>
      <c r="M54" s="1664"/>
      <c r="N54" s="1664"/>
      <c r="O54" s="1664"/>
      <c r="P54" s="1664"/>
      <c r="Q54" s="1664"/>
      <c r="R54" s="1664"/>
      <c r="S54" s="1664"/>
      <c r="T54" s="1664"/>
      <c r="U54" s="1664"/>
      <c r="V54" s="1664"/>
      <c r="W54" s="1664"/>
      <c r="X54" s="1664"/>
      <c r="Y54" s="1664"/>
      <c r="Z54" s="1664"/>
      <c r="AA54" s="1664"/>
      <c r="AB54" s="1664"/>
      <c r="AC54" s="1664"/>
      <c r="AD54" s="1664"/>
      <c r="AE54" s="1664"/>
      <c r="AF54" s="1664"/>
      <c r="AG54" s="1664"/>
      <c r="AH54" s="1664"/>
      <c r="AI54" s="1664"/>
      <c r="AJ54" s="1664"/>
      <c r="AK54" s="1664"/>
      <c r="AL54" s="103"/>
      <c r="AM54" s="27"/>
      <c r="AN54" s="281"/>
    </row>
    <row r="55" spans="1:43" s="4" customFormat="1" ht="33.6" customHeight="1">
      <c r="A55" s="26"/>
      <c r="B55" s="1664"/>
      <c r="C55" s="1664"/>
      <c r="D55" s="1664"/>
      <c r="E55" s="1664"/>
      <c r="F55" s="1664"/>
      <c r="G55" s="1664"/>
      <c r="H55" s="1664"/>
      <c r="I55" s="1664"/>
      <c r="J55" s="1664"/>
      <c r="K55" s="1664"/>
      <c r="L55" s="1664"/>
      <c r="M55" s="1664"/>
      <c r="N55" s="1664"/>
      <c r="O55" s="1664"/>
      <c r="P55" s="1664"/>
      <c r="Q55" s="1664"/>
      <c r="R55" s="1664"/>
      <c r="S55" s="1664"/>
      <c r="T55" s="1664"/>
      <c r="U55" s="1664"/>
      <c r="V55" s="1664"/>
      <c r="W55" s="1664"/>
      <c r="X55" s="1664"/>
      <c r="Y55" s="1664"/>
      <c r="Z55" s="1664"/>
      <c r="AA55" s="1664"/>
      <c r="AB55" s="1664"/>
      <c r="AC55" s="1664"/>
      <c r="AD55" s="1664"/>
      <c r="AE55" s="1664"/>
      <c r="AF55" s="1664"/>
      <c r="AG55" s="1664"/>
      <c r="AH55" s="1664"/>
      <c r="AI55" s="1664"/>
      <c r="AJ55" s="1664"/>
      <c r="AK55" s="1664"/>
      <c r="AL55" s="103"/>
      <c r="AM55" s="27"/>
      <c r="AN55" s="281"/>
    </row>
    <row r="56" spans="1:43" s="4" customFormat="1" ht="12.7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81"/>
    </row>
    <row r="57" spans="1:43" s="4" customFormat="1" ht="12.75" customHeight="1">
      <c r="A57" s="430"/>
      <c r="B57" s="1664" t="s">
        <v>2319</v>
      </c>
      <c r="C57" s="1664"/>
      <c r="D57" s="1664"/>
      <c r="E57" s="1664"/>
      <c r="F57" s="1664"/>
      <c r="G57" s="1664"/>
      <c r="H57" s="1664"/>
      <c r="I57" s="1664"/>
      <c r="J57" s="1664"/>
      <c r="K57" s="1664"/>
      <c r="L57" s="1664"/>
      <c r="M57" s="1664"/>
      <c r="N57" s="1664"/>
      <c r="O57" s="1664"/>
      <c r="P57" s="1664"/>
      <c r="Q57" s="1664"/>
      <c r="R57" s="1664"/>
      <c r="S57" s="1664"/>
      <c r="T57" s="1664"/>
      <c r="U57" s="1664"/>
      <c r="V57" s="1664"/>
      <c r="W57" s="1664"/>
      <c r="X57" s="1664"/>
      <c r="Y57" s="1664"/>
      <c r="Z57" s="1664"/>
      <c r="AA57" s="1664"/>
      <c r="AB57" s="1664"/>
      <c r="AC57" s="1664"/>
      <c r="AD57" s="1664"/>
      <c r="AE57" s="1664"/>
      <c r="AF57" s="1664"/>
      <c r="AG57" s="1664"/>
      <c r="AH57" s="1664"/>
      <c r="AI57" s="1664"/>
      <c r="AJ57" s="1664"/>
      <c r="AK57" s="1664"/>
      <c r="AL57" s="103"/>
      <c r="AM57" s="27"/>
      <c r="AN57" s="281"/>
    </row>
    <row r="58" spans="1:43" s="4" customFormat="1" ht="12.75" customHeight="1">
      <c r="B58" s="1664"/>
      <c r="C58" s="1664"/>
      <c r="D58" s="1664"/>
      <c r="E58" s="1664"/>
      <c r="F58" s="1664"/>
      <c r="G58" s="1664"/>
      <c r="H58" s="1664"/>
      <c r="I58" s="1664"/>
      <c r="J58" s="1664"/>
      <c r="K58" s="1664"/>
      <c r="L58" s="1664"/>
      <c r="M58" s="1664"/>
      <c r="N58" s="1664"/>
      <c r="O58" s="1664"/>
      <c r="P58" s="1664"/>
      <c r="Q58" s="1664"/>
      <c r="R58" s="1664"/>
      <c r="S58" s="1664"/>
      <c r="T58" s="1664"/>
      <c r="U58" s="1664"/>
      <c r="V58" s="1664"/>
      <c r="W58" s="1664"/>
      <c r="X58" s="1664"/>
      <c r="Y58" s="1664"/>
      <c r="Z58" s="1664"/>
      <c r="AA58" s="1664"/>
      <c r="AB58" s="1664"/>
      <c r="AC58" s="1664"/>
      <c r="AD58" s="1664"/>
      <c r="AE58" s="1664"/>
      <c r="AF58" s="1664"/>
      <c r="AG58" s="1664"/>
      <c r="AH58" s="1664"/>
      <c r="AI58" s="1664"/>
      <c r="AJ58" s="1664"/>
      <c r="AK58" s="1664"/>
      <c r="AL58" s="103"/>
      <c r="AM58" s="27"/>
      <c r="AN58" s="281"/>
    </row>
    <row r="59" spans="1:43" s="4" customFormat="1" ht="23.1" customHeight="1">
      <c r="A59" s="430"/>
      <c r="B59" s="1664"/>
      <c r="C59" s="1664"/>
      <c r="D59" s="1664"/>
      <c r="E59" s="1664"/>
      <c r="F59" s="1664"/>
      <c r="G59" s="1664"/>
      <c r="H59" s="1664"/>
      <c r="I59" s="1664"/>
      <c r="J59" s="1664"/>
      <c r="K59" s="1664"/>
      <c r="L59" s="1664"/>
      <c r="M59" s="1664"/>
      <c r="N59" s="1664"/>
      <c r="O59" s="1664"/>
      <c r="P59" s="1664"/>
      <c r="Q59" s="1664"/>
      <c r="R59" s="1664"/>
      <c r="S59" s="1664"/>
      <c r="T59" s="1664"/>
      <c r="U59" s="1664"/>
      <c r="V59" s="1664"/>
      <c r="W59" s="1664"/>
      <c r="X59" s="1664"/>
      <c r="Y59" s="1664"/>
      <c r="Z59" s="1664"/>
      <c r="AA59" s="1664"/>
      <c r="AB59" s="1664"/>
      <c r="AC59" s="1664"/>
      <c r="AD59" s="1664"/>
      <c r="AE59" s="1664"/>
      <c r="AF59" s="1664"/>
      <c r="AG59" s="1664"/>
      <c r="AH59" s="1664"/>
      <c r="AI59" s="1664"/>
      <c r="AJ59" s="1664"/>
      <c r="AK59" s="1664"/>
      <c r="AL59" s="103"/>
      <c r="AM59" s="27"/>
      <c r="AN59" s="281"/>
    </row>
    <row r="60" spans="1:43" s="4" customFormat="1" ht="12.7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81"/>
    </row>
    <row r="61" spans="1:43" s="4" customFormat="1" ht="12.75" customHeight="1">
      <c r="A61" s="96"/>
      <c r="B61" s="97"/>
      <c r="C61" s="97"/>
      <c r="D61" s="97"/>
      <c r="E61" s="97"/>
      <c r="F61" s="97"/>
      <c r="G61" s="94"/>
      <c r="H61" s="93"/>
      <c r="I61" s="93"/>
      <c r="J61" s="93"/>
      <c r="K61" s="93"/>
      <c r="L61" s="93"/>
      <c r="M61" s="93"/>
      <c r="N61" s="93"/>
      <c r="O61" s="93"/>
      <c r="P61" s="93"/>
      <c r="Q61" s="93"/>
      <c r="R61" s="93"/>
      <c r="S61" s="93"/>
      <c r="T61" s="93"/>
      <c r="U61" s="93"/>
      <c r="V61" s="93"/>
      <c r="W61" s="93"/>
      <c r="X61" s="93"/>
      <c r="Y61" s="93"/>
      <c r="Z61" s="93"/>
      <c r="AA61" s="93"/>
      <c r="AB61" s="93"/>
      <c r="AC61" s="93"/>
      <c r="AD61" s="93"/>
      <c r="AE61" s="93"/>
      <c r="AF61" s="93"/>
      <c r="AG61" s="93"/>
      <c r="AH61" s="93"/>
      <c r="AI61" s="60"/>
      <c r="AJ61" s="60" t="s">
        <v>1167</v>
      </c>
      <c r="AK61" s="1702">
        <f>$AJ$31+$AJ$47</f>
        <v>10</v>
      </c>
      <c r="AL61" s="1703"/>
      <c r="AM61" s="1704"/>
      <c r="AN61" s="281"/>
    </row>
    <row r="62" spans="1:43" s="100" customFormat="1" ht="12.75" customHeight="1" thickBot="1">
      <c r="A62" s="98"/>
      <c r="B62" s="99"/>
    </row>
    <row r="63" spans="1:43" s="4" customFormat="1" ht="12.75" customHeight="1" thickTop="1">
      <c r="A63"/>
      <c r="B63" s="186"/>
      <c r="C63" s="187"/>
      <c r="D63" s="187"/>
      <c r="E63" s="187"/>
      <c r="F63" s="187"/>
      <c r="G63" s="187"/>
      <c r="H63" s="187"/>
      <c r="I63" s="103"/>
      <c r="J63" s="103"/>
      <c r="K63" s="103"/>
      <c r="L63" s="103"/>
      <c r="M63" s="103"/>
      <c r="N63" s="103"/>
      <c r="O63" s="103"/>
      <c r="P63" s="103"/>
      <c r="Q63" s="103"/>
      <c r="R63"/>
      <c r="S63" s="3"/>
      <c r="T63" s="3"/>
      <c r="U63" s="3"/>
      <c r="V63" s="3"/>
      <c r="W63" s="3"/>
      <c r="X63" s="3"/>
      <c r="Y63" s="3"/>
      <c r="Z63" s="3"/>
      <c r="AA63" s="3"/>
      <c r="AB63" s="3"/>
      <c r="AC63" s="3"/>
      <c r="AD63" s="3"/>
      <c r="AE63" s="3"/>
      <c r="AF63"/>
      <c r="AG63" s="3"/>
      <c r="AH63" s="3"/>
      <c r="AI63" s="3"/>
      <c r="AJ63" s="3"/>
      <c r="AN63" s="281"/>
    </row>
    <row r="64" spans="1:43" s="4" customFormat="1" ht="12.75" customHeight="1">
      <c r="A64" s="63" t="s">
        <v>1526</v>
      </c>
      <c r="B64" s="102"/>
      <c r="C64" s="104"/>
      <c r="D64" s="105"/>
      <c r="E64" s="105"/>
      <c r="F64" s="105"/>
      <c r="G64" s="105"/>
      <c r="H64" s="105"/>
      <c r="I64" s="105"/>
      <c r="J64" s="105"/>
      <c r="Y64" s="106"/>
      <c r="Z64" s="106"/>
      <c r="AA64" s="106"/>
      <c r="AB64" s="106"/>
      <c r="AE64" s="1673" t="s">
        <v>388</v>
      </c>
      <c r="AF64" s="1673"/>
      <c r="AG64" s="1673"/>
      <c r="AH64" s="1673"/>
      <c r="AI64" s="1673"/>
      <c r="AJ64" s="1673"/>
      <c r="AK64" s="1673"/>
      <c r="AL64" s="18"/>
      <c r="AN64" s="281"/>
    </row>
    <row r="65" spans="1:42" s="4" customFormat="1" ht="12.75" customHeight="1">
      <c r="A65" s="63"/>
      <c r="B65" s="102"/>
      <c r="C65" s="107"/>
      <c r="D65" s="105"/>
      <c r="E65" s="105"/>
      <c r="F65" s="105"/>
      <c r="G65" s="105"/>
      <c r="R65" s="106"/>
      <c r="S65" s="106"/>
      <c r="T65" s="106"/>
      <c r="U65" s="106"/>
      <c r="V65" s="106"/>
      <c r="W65" s="106"/>
      <c r="X65" s="106"/>
      <c r="Y65" s="106"/>
      <c r="Z65" s="106"/>
      <c r="AA65" s="106"/>
      <c r="AB65" s="106"/>
      <c r="AC65" s="18"/>
      <c r="AD65" s="18"/>
      <c r="AN65" s="281"/>
    </row>
    <row r="66" spans="1:42" s="4" customFormat="1" ht="12.75" customHeight="1">
      <c r="B66" s="1699" t="s">
        <v>699</v>
      </c>
      <c r="C66" s="1699"/>
      <c r="D66" s="1699"/>
      <c r="E66" s="1699"/>
      <c r="F66" s="1699"/>
      <c r="G66" s="1699"/>
      <c r="H66" s="1699"/>
      <c r="I66" s="1699"/>
      <c r="J66" s="1699"/>
      <c r="K66" s="1699"/>
      <c r="AF66" s="1675" t="s">
        <v>981</v>
      </c>
      <c r="AG66" s="1675"/>
      <c r="AH66" s="1675"/>
      <c r="AI66" s="1675"/>
      <c r="AJ66" s="1675"/>
      <c r="AK66" s="1675"/>
      <c r="AL66" s="1675"/>
      <c r="AN66" s="281"/>
      <c r="AP66" s="4" t="s">
        <v>132</v>
      </c>
    </row>
    <row r="67" spans="1:42" s="4" customFormat="1" ht="12.75" customHeight="1">
      <c r="B67" s="1783" t="s">
        <v>1370</v>
      </c>
      <c r="C67" s="1783"/>
      <c r="D67" s="1783"/>
      <c r="E67" s="1783"/>
      <c r="F67" s="1783"/>
      <c r="G67" s="1783"/>
      <c r="H67" s="1783"/>
      <c r="I67" s="1783"/>
      <c r="J67" s="1783"/>
      <c r="K67" s="1783"/>
      <c r="L67" s="1783"/>
      <c r="M67" s="1783"/>
      <c r="N67" s="1783"/>
      <c r="O67" s="1783"/>
      <c r="P67" s="1783"/>
      <c r="Q67" s="1783"/>
      <c r="R67" s="1783"/>
      <c r="S67" s="1783"/>
      <c r="T67" s="1699" t="s">
        <v>132</v>
      </c>
      <c r="U67" s="1699"/>
      <c r="V67" s="1699"/>
      <c r="W67" s="1699"/>
      <c r="X67" s="1699"/>
      <c r="Y67" s="1699"/>
      <c r="Z67" s="1699"/>
      <c r="AA67" s="1699"/>
      <c r="AB67" s="1699"/>
      <c r="AC67" s="1699"/>
      <c r="AJ67" s="62"/>
      <c r="AK67" s="10"/>
      <c r="AL67" s="10"/>
      <c r="AM67" s="10"/>
      <c r="AN67" s="281"/>
      <c r="AP67" s="4" t="s">
        <v>1368</v>
      </c>
    </row>
    <row r="68" spans="1:42" s="4" customFormat="1" ht="12.75" customHeight="1">
      <c r="A68" s="9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60"/>
      <c r="AJ68" s="60" t="s">
        <v>618</v>
      </c>
      <c r="AK68" s="1240">
        <f>VLOOKUP($B$66,$AP$45:$AR$50,2,FALSE)</f>
        <v>10</v>
      </c>
      <c r="AL68" s="1241"/>
      <c r="AM68" s="1241"/>
      <c r="AN68" s="677"/>
      <c r="AP68" s="4" t="s">
        <v>1369</v>
      </c>
    </row>
    <row r="69" spans="1:42" s="4" customFormat="1" ht="12.75" customHeight="1" thickBot="1">
      <c r="A69" s="109"/>
      <c r="B69" s="109"/>
      <c r="C69" s="110"/>
      <c r="D69" s="101"/>
      <c r="E69" s="101"/>
      <c r="F69" s="101"/>
      <c r="G69" s="101"/>
      <c r="H69" s="101"/>
      <c r="I69" s="101"/>
      <c r="J69" s="101"/>
      <c r="K69" s="101"/>
      <c r="L69" s="101"/>
      <c r="M69" s="101"/>
      <c r="N69" s="101"/>
      <c r="O69" s="101"/>
      <c r="P69" s="101"/>
      <c r="Q69" s="101"/>
      <c r="R69" s="101"/>
      <c r="S69" s="101"/>
      <c r="T69" s="101"/>
      <c r="U69" s="101"/>
      <c r="V69" s="101"/>
      <c r="W69" s="101"/>
      <c r="X69" s="101"/>
      <c r="Y69" s="101"/>
      <c r="Z69" s="101"/>
      <c r="AA69" s="101"/>
      <c r="AB69" s="101"/>
      <c r="AC69" s="101"/>
      <c r="AD69" s="101"/>
      <c r="AE69" s="101"/>
      <c r="AF69" s="101"/>
      <c r="AG69" s="101"/>
      <c r="AH69" s="101"/>
      <c r="AI69" s="101"/>
      <c r="AJ69" s="101"/>
      <c r="AK69" s="101"/>
      <c r="AL69" s="101"/>
      <c r="AM69" s="101"/>
      <c r="AN69" s="281"/>
    </row>
    <row r="70" spans="1:42" s="4" customFormat="1" ht="12.75" customHeight="1" thickTop="1">
      <c r="A70"/>
      <c r="B70" s="186"/>
      <c r="C70" s="187"/>
      <c r="D70" s="187"/>
      <c r="E70" s="187"/>
      <c r="F70" s="187"/>
      <c r="G70" s="187"/>
      <c r="H70" s="187"/>
      <c r="I70" s="103"/>
      <c r="J70" s="103"/>
      <c r="K70" s="103"/>
      <c r="L70" s="103"/>
      <c r="M70" s="103"/>
      <c r="N70" s="103"/>
      <c r="O70" s="103"/>
      <c r="P70" s="103"/>
      <c r="Q70" s="103"/>
      <c r="R70"/>
      <c r="S70" s="3"/>
      <c r="T70" s="3"/>
      <c r="U70" s="3"/>
      <c r="V70" s="3"/>
      <c r="W70" s="3"/>
      <c r="X70" s="3"/>
      <c r="Y70" s="3"/>
      <c r="Z70" s="3"/>
      <c r="AA70" s="3"/>
      <c r="AB70" s="3"/>
      <c r="AC70" s="3"/>
      <c r="AD70" s="3"/>
      <c r="AE70" s="3"/>
      <c r="AF70"/>
      <c r="AG70" s="3"/>
      <c r="AH70" s="3"/>
      <c r="AI70" s="3"/>
      <c r="AJ70" s="3"/>
      <c r="AN70" s="281"/>
    </row>
    <row r="71" spans="1:42" s="4" customFormat="1" ht="12.75" customHeight="1">
      <c r="A71" s="3" t="s">
        <v>1527</v>
      </c>
      <c r="B71" s="5"/>
      <c r="C71" s="3"/>
      <c r="AE71" s="3"/>
      <c r="AF71" s="3"/>
      <c r="AG71" s="3"/>
      <c r="AH71" s="3"/>
      <c r="AI71" s="3"/>
      <c r="AJ71" s="3"/>
      <c r="AK71" s="3"/>
      <c r="AL71" s="3"/>
      <c r="AN71" s="281"/>
    </row>
    <row r="72" spans="1:42" s="4" customFormat="1" ht="12.75" customHeight="1">
      <c r="A72" s="3"/>
      <c r="C72" s="3"/>
      <c r="AC72" s="18"/>
      <c r="AD72" s="18"/>
      <c r="AE72" s="18"/>
      <c r="AN72" s="281"/>
    </row>
    <row r="73" spans="1:42" s="4" customFormat="1" ht="12.75" customHeight="1">
      <c r="A73" s="111"/>
      <c r="B73" s="3" t="s">
        <v>1528</v>
      </c>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1673" t="s">
        <v>1020</v>
      </c>
      <c r="AF73" s="1673"/>
      <c r="AG73" s="1673"/>
      <c r="AH73" s="1673"/>
      <c r="AI73" s="1673"/>
      <c r="AJ73" s="1673"/>
      <c r="AK73" s="1673"/>
      <c r="AL73" s="18"/>
      <c r="AM73" s="27"/>
      <c r="AN73" s="281"/>
    </row>
    <row r="74" spans="1:42" s="4" customFormat="1" ht="12.7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81"/>
    </row>
    <row r="75" spans="1:42" s="4" customFormat="1" ht="12.75" customHeight="1">
      <c r="A75" s="27"/>
      <c r="B75" s="1664" t="s">
        <v>2232</v>
      </c>
      <c r="C75" s="1664"/>
      <c r="D75" s="1664"/>
      <c r="E75" s="1664"/>
      <c r="F75" s="1664"/>
      <c r="G75" s="1664"/>
      <c r="H75" s="1664"/>
      <c r="I75" s="1664"/>
      <c r="J75" s="1664"/>
      <c r="K75" s="1664"/>
      <c r="L75" s="1664"/>
      <c r="M75" s="1664"/>
      <c r="N75" s="1664"/>
      <c r="O75" s="1664"/>
      <c r="P75" s="1664"/>
      <c r="Q75" s="1664"/>
      <c r="R75" s="1664"/>
      <c r="S75" s="1664"/>
      <c r="T75" s="1664"/>
      <c r="U75" s="1664"/>
      <c r="V75" s="1664"/>
      <c r="W75" s="1664"/>
      <c r="X75" s="1664"/>
      <c r="Y75" s="1664"/>
      <c r="Z75" s="1664"/>
      <c r="AA75" s="1664"/>
      <c r="AB75" s="1664"/>
      <c r="AC75" s="1664"/>
      <c r="AD75" s="1664"/>
      <c r="AE75" s="1664"/>
      <c r="AF75" s="1664"/>
      <c r="AG75" s="1664"/>
      <c r="AH75" s="1664"/>
      <c r="AI75" s="1664"/>
      <c r="AJ75" s="1664"/>
      <c r="AK75" s="1664"/>
      <c r="AL75" s="103"/>
      <c r="AM75" s="27"/>
      <c r="AN75" s="281"/>
    </row>
    <row r="76" spans="1:42" s="4" customFormat="1" ht="12.75" customHeight="1">
      <c r="A76" s="27"/>
      <c r="B76" s="1664"/>
      <c r="C76" s="1664"/>
      <c r="D76" s="1664"/>
      <c r="E76" s="1664"/>
      <c r="F76" s="1664"/>
      <c r="G76" s="1664"/>
      <c r="H76" s="1664"/>
      <c r="I76" s="1664"/>
      <c r="J76" s="1664"/>
      <c r="K76" s="1664"/>
      <c r="L76" s="1664"/>
      <c r="M76" s="1664"/>
      <c r="N76" s="1664"/>
      <c r="O76" s="1664"/>
      <c r="P76" s="1664"/>
      <c r="Q76" s="1664"/>
      <c r="R76" s="1664"/>
      <c r="S76" s="1664"/>
      <c r="T76" s="1664"/>
      <c r="U76" s="1664"/>
      <c r="V76" s="1664"/>
      <c r="W76" s="1664"/>
      <c r="X76" s="1664"/>
      <c r="Y76" s="1664"/>
      <c r="Z76" s="1664"/>
      <c r="AA76" s="1664"/>
      <c r="AB76" s="1664"/>
      <c r="AC76" s="1664"/>
      <c r="AD76" s="1664"/>
      <c r="AE76" s="1664"/>
      <c r="AF76" s="1664"/>
      <c r="AG76" s="1664"/>
      <c r="AH76" s="1664"/>
      <c r="AI76" s="1664"/>
      <c r="AJ76" s="1664"/>
      <c r="AK76" s="1664"/>
      <c r="AL76" s="103"/>
      <c r="AM76" s="27"/>
      <c r="AN76" s="281"/>
    </row>
    <row r="77" spans="1:42" s="4" customFormat="1" ht="12.75" customHeight="1">
      <c r="A77" s="27"/>
      <c r="B77" s="1664"/>
      <c r="C77" s="1664"/>
      <c r="D77" s="1664"/>
      <c r="E77" s="1664"/>
      <c r="F77" s="1664"/>
      <c r="G77" s="1664"/>
      <c r="H77" s="1664"/>
      <c r="I77" s="1664"/>
      <c r="J77" s="1664"/>
      <c r="K77" s="1664"/>
      <c r="L77" s="1664"/>
      <c r="M77" s="1664"/>
      <c r="N77" s="1664"/>
      <c r="O77" s="1664"/>
      <c r="P77" s="1664"/>
      <c r="Q77" s="1664"/>
      <c r="R77" s="1664"/>
      <c r="S77" s="1664"/>
      <c r="T77" s="1664"/>
      <c r="U77" s="1664"/>
      <c r="V77" s="1664"/>
      <c r="W77" s="1664"/>
      <c r="X77" s="1664"/>
      <c r="Y77" s="1664"/>
      <c r="Z77" s="1664"/>
      <c r="AA77" s="1664"/>
      <c r="AB77" s="1664"/>
      <c r="AC77" s="1664"/>
      <c r="AD77" s="1664"/>
      <c r="AE77" s="1664"/>
      <c r="AF77" s="1664"/>
      <c r="AG77" s="1664"/>
      <c r="AH77" s="1664"/>
      <c r="AI77" s="1664"/>
      <c r="AJ77" s="1664"/>
      <c r="AK77" s="1664"/>
      <c r="AL77" s="103"/>
      <c r="AM77" s="27"/>
      <c r="AN77" s="281"/>
    </row>
    <row r="78" spans="1:42" s="4" customFormat="1" ht="12.75" customHeight="1">
      <c r="A78" s="27"/>
      <c r="B78" s="1664"/>
      <c r="C78" s="1664"/>
      <c r="D78" s="1664"/>
      <c r="E78" s="1664"/>
      <c r="F78" s="1664"/>
      <c r="G78" s="1664"/>
      <c r="H78" s="1664"/>
      <c r="I78" s="1664"/>
      <c r="J78" s="1664"/>
      <c r="K78" s="1664"/>
      <c r="L78" s="1664"/>
      <c r="M78" s="1664"/>
      <c r="N78" s="1664"/>
      <c r="O78" s="1664"/>
      <c r="P78" s="1664"/>
      <c r="Q78" s="1664"/>
      <c r="R78" s="1664"/>
      <c r="S78" s="1664"/>
      <c r="T78" s="1664"/>
      <c r="U78" s="1664"/>
      <c r="V78" s="1664"/>
      <c r="W78" s="1664"/>
      <c r="X78" s="1664"/>
      <c r="Y78" s="1664"/>
      <c r="Z78" s="1664"/>
      <c r="AA78" s="1664"/>
      <c r="AB78" s="1664"/>
      <c r="AC78" s="1664"/>
      <c r="AD78" s="1664"/>
      <c r="AE78" s="1664"/>
      <c r="AF78" s="1664"/>
      <c r="AG78" s="1664"/>
      <c r="AH78" s="1664"/>
      <c r="AI78" s="1664"/>
      <c r="AJ78" s="1664"/>
      <c r="AK78" s="1664"/>
      <c r="AL78" s="103"/>
      <c r="AM78" s="27"/>
      <c r="AN78" s="281"/>
    </row>
    <row r="79" spans="1:42" s="4" customFormat="1" ht="12.75" customHeight="1">
      <c r="A79" s="27"/>
      <c r="B79" s="1664"/>
      <c r="C79" s="1664"/>
      <c r="D79" s="1664"/>
      <c r="E79" s="1664"/>
      <c r="F79" s="1664"/>
      <c r="G79" s="1664"/>
      <c r="H79" s="1664"/>
      <c r="I79" s="1664"/>
      <c r="J79" s="1664"/>
      <c r="K79" s="1664"/>
      <c r="L79" s="1664"/>
      <c r="M79" s="1664"/>
      <c r="N79" s="1664"/>
      <c r="O79" s="1664"/>
      <c r="P79" s="1664"/>
      <c r="Q79" s="1664"/>
      <c r="R79" s="1664"/>
      <c r="S79" s="1664"/>
      <c r="T79" s="1664"/>
      <c r="U79" s="1664"/>
      <c r="V79" s="1664"/>
      <c r="W79" s="1664"/>
      <c r="X79" s="1664"/>
      <c r="Y79" s="1664"/>
      <c r="Z79" s="1664"/>
      <c r="AA79" s="1664"/>
      <c r="AB79" s="1664"/>
      <c r="AC79" s="1664"/>
      <c r="AD79" s="1664"/>
      <c r="AE79" s="1664"/>
      <c r="AF79" s="1664"/>
      <c r="AG79" s="1664"/>
      <c r="AH79" s="1664"/>
      <c r="AI79" s="1664"/>
      <c r="AJ79" s="1664"/>
      <c r="AK79" s="1664"/>
      <c r="AL79" s="103"/>
      <c r="AM79" s="27"/>
      <c r="AN79" s="281"/>
    </row>
    <row r="80" spans="1:42" s="4" customFormat="1" ht="12.75" customHeight="1">
      <c r="A80" s="27"/>
      <c r="B80" s="1664"/>
      <c r="C80" s="1664"/>
      <c r="D80" s="1664"/>
      <c r="E80" s="1664"/>
      <c r="F80" s="1664"/>
      <c r="G80" s="1664"/>
      <c r="H80" s="1664"/>
      <c r="I80" s="1664"/>
      <c r="J80" s="1664"/>
      <c r="K80" s="1664"/>
      <c r="L80" s="1664"/>
      <c r="M80" s="1664"/>
      <c r="N80" s="1664"/>
      <c r="O80" s="1664"/>
      <c r="P80" s="1664"/>
      <c r="Q80" s="1664"/>
      <c r="R80" s="1664"/>
      <c r="S80" s="1664"/>
      <c r="T80" s="1664"/>
      <c r="U80" s="1664"/>
      <c r="V80" s="1664"/>
      <c r="W80" s="1664"/>
      <c r="X80" s="1664"/>
      <c r="Y80" s="1664"/>
      <c r="Z80" s="1664"/>
      <c r="AA80" s="1664"/>
      <c r="AB80" s="1664"/>
      <c r="AC80" s="1664"/>
      <c r="AD80" s="1664"/>
      <c r="AE80" s="1664"/>
      <c r="AF80" s="1664"/>
      <c r="AG80" s="1664"/>
      <c r="AH80" s="1664"/>
      <c r="AI80" s="1664"/>
      <c r="AJ80" s="1664"/>
      <c r="AK80" s="1664"/>
      <c r="AL80" s="103"/>
      <c r="AM80" s="27"/>
      <c r="AN80" s="281"/>
    </row>
    <row r="81" spans="1:42" ht="12.75" customHeight="1">
      <c r="A81" s="27"/>
      <c r="B81" s="1664"/>
      <c r="C81" s="1664"/>
      <c r="D81" s="1664"/>
      <c r="E81" s="1664"/>
      <c r="F81" s="1664"/>
      <c r="G81" s="1664"/>
      <c r="H81" s="1664"/>
      <c r="I81" s="1664"/>
      <c r="J81" s="1664"/>
      <c r="K81" s="1664"/>
      <c r="L81" s="1664"/>
      <c r="M81" s="1664"/>
      <c r="N81" s="1664"/>
      <c r="O81" s="1664"/>
      <c r="P81" s="1664"/>
      <c r="Q81" s="1664"/>
      <c r="R81" s="1664"/>
      <c r="S81" s="1664"/>
      <c r="T81" s="1664"/>
      <c r="U81" s="1664"/>
      <c r="V81" s="1664"/>
      <c r="W81" s="1664"/>
      <c r="X81" s="1664"/>
      <c r="Y81" s="1664"/>
      <c r="Z81" s="1664"/>
      <c r="AA81" s="1664"/>
      <c r="AB81" s="1664"/>
      <c r="AC81" s="1664"/>
      <c r="AD81" s="1664"/>
      <c r="AE81" s="1664"/>
      <c r="AF81" s="1664"/>
      <c r="AG81" s="1664"/>
      <c r="AH81" s="1664"/>
      <c r="AI81" s="1664"/>
      <c r="AJ81" s="1664"/>
      <c r="AK81" s="1664"/>
      <c r="AL81" s="103"/>
      <c r="AM81" s="27"/>
    </row>
    <row r="82" spans="1:42" s="4" customFormat="1" ht="12.75" customHeight="1">
      <c r="B82" s="1664"/>
      <c r="C82" s="1664"/>
      <c r="D82" s="1664"/>
      <c r="E82" s="1664"/>
      <c r="F82" s="1664"/>
      <c r="G82" s="1664"/>
      <c r="H82" s="1664"/>
      <c r="I82" s="1664"/>
      <c r="J82" s="1664"/>
      <c r="K82" s="1664"/>
      <c r="L82" s="1664"/>
      <c r="M82" s="1664"/>
      <c r="N82" s="1664"/>
      <c r="O82" s="1664"/>
      <c r="P82" s="1664"/>
      <c r="Q82" s="1664"/>
      <c r="R82" s="1664"/>
      <c r="S82" s="1664"/>
      <c r="T82" s="1664"/>
      <c r="U82" s="1664"/>
      <c r="V82" s="1664"/>
      <c r="W82" s="1664"/>
      <c r="X82" s="1664"/>
      <c r="Y82" s="1664"/>
      <c r="Z82" s="1664"/>
      <c r="AA82" s="1664"/>
      <c r="AB82" s="1664"/>
      <c r="AC82" s="1664"/>
      <c r="AD82" s="1664"/>
      <c r="AE82" s="1664"/>
      <c r="AF82" s="1664"/>
      <c r="AG82" s="1664"/>
      <c r="AH82" s="1664"/>
      <c r="AI82" s="1664"/>
      <c r="AJ82" s="1664"/>
      <c r="AK82" s="1664"/>
      <c r="AL82" s="103"/>
      <c r="AN82" s="281"/>
    </row>
    <row r="83" spans="1:42" s="4" customFormat="1" ht="12.75" customHeight="1">
      <c r="B83" s="1664"/>
      <c r="C83" s="1664"/>
      <c r="D83" s="1664"/>
      <c r="E83" s="1664"/>
      <c r="F83" s="1664"/>
      <c r="G83" s="1664"/>
      <c r="H83" s="1664"/>
      <c r="I83" s="1664"/>
      <c r="J83" s="1664"/>
      <c r="K83" s="1664"/>
      <c r="L83" s="1664"/>
      <c r="M83" s="1664"/>
      <c r="N83" s="1664"/>
      <c r="O83" s="1664"/>
      <c r="P83" s="1664"/>
      <c r="Q83" s="1664"/>
      <c r="R83" s="1664"/>
      <c r="S83" s="1664"/>
      <c r="T83" s="1664"/>
      <c r="U83" s="1664"/>
      <c r="V83" s="1664"/>
      <c r="W83" s="1664"/>
      <c r="X83" s="1664"/>
      <c r="Y83" s="1664"/>
      <c r="Z83" s="1664"/>
      <c r="AA83" s="1664"/>
      <c r="AB83" s="1664"/>
      <c r="AC83" s="1664"/>
      <c r="AD83" s="1664"/>
      <c r="AE83" s="1664"/>
      <c r="AF83" s="1664"/>
      <c r="AG83" s="1664"/>
      <c r="AH83" s="1664"/>
      <c r="AI83" s="1664"/>
      <c r="AJ83" s="1664"/>
      <c r="AK83" s="1664"/>
      <c r="AL83" s="103"/>
      <c r="AN83" s="281"/>
    </row>
    <row r="84" spans="1:42" s="4" customFormat="1" ht="14.45" customHeight="1">
      <c r="B84" s="1664"/>
      <c r="C84" s="1664"/>
      <c r="D84" s="1664"/>
      <c r="E84" s="1664"/>
      <c r="F84" s="1664"/>
      <c r="G84" s="1664"/>
      <c r="H84" s="1664"/>
      <c r="I84" s="1664"/>
      <c r="J84" s="1664"/>
      <c r="K84" s="1664"/>
      <c r="L84" s="1664"/>
      <c r="M84" s="1664"/>
      <c r="N84" s="1664"/>
      <c r="O84" s="1664"/>
      <c r="P84" s="1664"/>
      <c r="Q84" s="1664"/>
      <c r="R84" s="1664"/>
      <c r="S84" s="1664"/>
      <c r="T84" s="1664"/>
      <c r="U84" s="1664"/>
      <c r="V84" s="1664"/>
      <c r="W84" s="1664"/>
      <c r="X84" s="1664"/>
      <c r="Y84" s="1664"/>
      <c r="Z84" s="1664"/>
      <c r="AA84" s="1664"/>
      <c r="AB84" s="1664"/>
      <c r="AC84" s="1664"/>
      <c r="AD84" s="1664"/>
      <c r="AE84" s="1664"/>
      <c r="AF84" s="1664"/>
      <c r="AG84" s="1664"/>
      <c r="AH84" s="1664"/>
      <c r="AI84" s="1664"/>
      <c r="AJ84" s="1664"/>
      <c r="AK84" s="1664"/>
      <c r="AL84" s="103"/>
      <c r="AN84" s="281"/>
    </row>
    <row r="85" spans="1:42" s="4" customFormat="1" ht="12.75" customHeight="1">
      <c r="B85" s="1664"/>
      <c r="C85" s="1664"/>
      <c r="D85" s="1664"/>
      <c r="E85" s="1664"/>
      <c r="F85" s="1664"/>
      <c r="G85" s="1664"/>
      <c r="H85" s="1664"/>
      <c r="I85" s="1664"/>
      <c r="J85" s="1664"/>
      <c r="K85" s="1664"/>
      <c r="L85" s="1664"/>
      <c r="M85" s="1664"/>
      <c r="N85" s="1664"/>
      <c r="O85" s="1664"/>
      <c r="P85" s="1664"/>
      <c r="Q85" s="1664"/>
      <c r="R85" s="1664"/>
      <c r="S85" s="1664"/>
      <c r="T85" s="1664"/>
      <c r="U85" s="1664"/>
      <c r="V85" s="1664"/>
      <c r="W85" s="1664"/>
      <c r="X85" s="1664"/>
      <c r="Y85" s="1664"/>
      <c r="Z85" s="1664"/>
      <c r="AA85" s="1664"/>
      <c r="AB85" s="1664"/>
      <c r="AC85" s="1664"/>
      <c r="AD85" s="1664"/>
      <c r="AE85" s="1664"/>
      <c r="AF85" s="1664"/>
      <c r="AG85" s="1664"/>
      <c r="AH85" s="1664"/>
      <c r="AI85" s="1664"/>
      <c r="AJ85" s="1664"/>
      <c r="AK85" s="1664"/>
      <c r="AN85" s="281"/>
    </row>
    <row r="86" spans="1:42" s="4" customFormat="1" ht="12.75" customHeight="1">
      <c r="B86" s="26" t="s">
        <v>1318</v>
      </c>
      <c r="C86" s="112"/>
      <c r="D86" s="103"/>
      <c r="E86" s="103"/>
      <c r="F86" s="103"/>
      <c r="G86" s="103"/>
      <c r="H86" s="103"/>
      <c r="I86" s="103"/>
      <c r="J86" s="103"/>
      <c r="K86" s="103"/>
      <c r="L86" s="103"/>
      <c r="M86" s="103"/>
      <c r="N86" s="103"/>
      <c r="O86" s="103"/>
      <c r="P86" s="103"/>
      <c r="Q86" s="103"/>
      <c r="R86" s="103"/>
      <c r="S86" s="103"/>
      <c r="T86" s="103"/>
      <c r="U86" s="103"/>
      <c r="V86" s="103"/>
      <c r="W86" s="103"/>
      <c r="X86" s="103"/>
      <c r="Y86" s="103"/>
      <c r="Z86" s="103"/>
      <c r="AA86" s="103"/>
      <c r="AB86" s="103"/>
      <c r="AC86" s="103"/>
      <c r="AD86" s="103"/>
      <c r="AE86" s="103"/>
      <c r="AF86" s="103"/>
      <c r="AG86" s="103"/>
      <c r="AH86" s="103"/>
      <c r="AI86" s="103"/>
      <c r="AN86" s="281"/>
      <c r="AP86" s="4" t="s">
        <v>132</v>
      </c>
    </row>
    <row r="87" spans="1:42" s="4" customFormat="1" ht="12.75" customHeight="1">
      <c r="B87" s="5"/>
      <c r="C87" s="112"/>
      <c r="D87" s="103"/>
      <c r="E87" s="103"/>
      <c r="F87" s="103"/>
      <c r="G87" s="103"/>
      <c r="H87" s="103"/>
      <c r="I87" s="103"/>
      <c r="J87" s="103"/>
      <c r="K87" s="103"/>
      <c r="L87" s="103"/>
      <c r="M87" s="103"/>
      <c r="N87" s="103"/>
      <c r="O87" s="103"/>
      <c r="P87" s="103"/>
      <c r="Q87" s="103"/>
      <c r="R87" s="103"/>
      <c r="S87" s="103"/>
      <c r="T87" s="103"/>
      <c r="U87" s="103"/>
      <c r="V87" s="103"/>
      <c r="W87" s="103"/>
      <c r="X87" s="103"/>
      <c r="Y87" s="103"/>
      <c r="Z87" s="103"/>
      <c r="AA87" s="103"/>
      <c r="AB87" s="103"/>
      <c r="AC87" s="103"/>
      <c r="AD87" s="103"/>
      <c r="AE87" s="103"/>
      <c r="AF87" s="103"/>
      <c r="AG87" s="103"/>
      <c r="AH87" s="103"/>
      <c r="AI87" s="103"/>
      <c r="AN87" s="281"/>
      <c r="AP87" s="4" t="s">
        <v>116</v>
      </c>
    </row>
    <row r="88" spans="1:42" s="4" customFormat="1" ht="12.75" customHeight="1">
      <c r="C88" s="3" t="s">
        <v>1331</v>
      </c>
      <c r="D88" s="113"/>
      <c r="E88" s="103"/>
      <c r="F88" s="103"/>
      <c r="G88" s="103"/>
      <c r="H88" s="103"/>
      <c r="I88" s="103"/>
      <c r="J88" s="103"/>
      <c r="K88" s="103"/>
      <c r="L88" s="103"/>
      <c r="M88" s="103"/>
      <c r="N88" s="103"/>
      <c r="O88" s="103"/>
      <c r="P88" s="103"/>
      <c r="Q88" s="103"/>
      <c r="R88" s="103"/>
      <c r="S88" s="103"/>
      <c r="T88" s="103"/>
      <c r="U88" s="103"/>
      <c r="V88" s="103"/>
      <c r="W88" s="103"/>
      <c r="X88" s="103"/>
      <c r="Y88" s="103"/>
      <c r="Z88" s="103"/>
      <c r="AA88" s="103"/>
      <c r="AB88" s="103"/>
      <c r="AC88" s="103"/>
      <c r="AD88" s="103"/>
      <c r="AE88" s="103"/>
      <c r="AF88" s="103"/>
      <c r="AG88" s="103"/>
      <c r="AH88" s="103"/>
      <c r="AI88" s="103"/>
      <c r="AN88" s="281"/>
    </row>
    <row r="89" spans="1:42" s="4" customFormat="1" ht="12.75" customHeight="1">
      <c r="C89" s="5"/>
      <c r="D89" s="113"/>
      <c r="E89" s="103"/>
      <c r="F89" s="103"/>
      <c r="G89" s="103"/>
      <c r="H89" s="103"/>
      <c r="I89" s="103"/>
      <c r="J89" s="103"/>
      <c r="K89" s="103"/>
      <c r="L89" s="103"/>
      <c r="M89" s="103"/>
      <c r="N89" s="103"/>
      <c r="O89" s="103"/>
      <c r="P89" s="103"/>
      <c r="Q89" s="103"/>
      <c r="R89" s="103"/>
      <c r="S89" s="103"/>
      <c r="T89" s="103"/>
      <c r="U89" s="103"/>
      <c r="V89" s="103"/>
      <c r="W89" s="103"/>
      <c r="X89" s="103"/>
      <c r="Y89" s="103"/>
      <c r="Z89" s="103"/>
      <c r="AA89" s="103"/>
      <c r="AB89" s="103"/>
      <c r="AC89" s="103"/>
      <c r="AD89" s="103"/>
      <c r="AE89" s="103"/>
      <c r="AN89" s="281"/>
    </row>
    <row r="90" spans="1:42" s="4" customFormat="1" ht="12.75" customHeight="1">
      <c r="D90" s="26" t="s">
        <v>611</v>
      </c>
      <c r="E90" s="430" t="s">
        <v>1371</v>
      </c>
      <c r="F90" s="27"/>
      <c r="G90" s="27"/>
      <c r="H90" s="27"/>
      <c r="I90" s="27"/>
      <c r="J90" s="27"/>
      <c r="K90" s="27"/>
      <c r="L90" s="27"/>
      <c r="M90" s="27"/>
      <c r="N90" s="27"/>
      <c r="O90" s="27"/>
      <c r="P90" s="27"/>
      <c r="Q90" s="27"/>
      <c r="R90" s="27"/>
      <c r="S90" s="27"/>
      <c r="T90" s="27"/>
      <c r="U90" s="27"/>
      <c r="V90" s="27"/>
      <c r="W90" s="27"/>
      <c r="X90" s="27"/>
      <c r="Y90" s="27"/>
      <c r="Z90" s="27"/>
      <c r="AA90" s="27"/>
      <c r="AB90" s="27"/>
      <c r="AF90" s="1675" t="s">
        <v>894</v>
      </c>
      <c r="AG90" s="1675"/>
      <c r="AH90" s="1675"/>
      <c r="AI90" s="1675"/>
      <c r="AJ90" s="1675"/>
      <c r="AK90" s="1675"/>
      <c r="AL90" s="1675"/>
      <c r="AN90" s="281"/>
    </row>
    <row r="91" spans="1:42" s="4" customFormat="1" ht="12.75" customHeight="1">
      <c r="C91" s="19"/>
      <c r="D91" s="26"/>
      <c r="E91" s="430" t="s">
        <v>1372</v>
      </c>
      <c r="F91" s="27"/>
      <c r="G91" s="27"/>
      <c r="H91" s="27"/>
      <c r="I91" s="27"/>
      <c r="J91" s="27"/>
      <c r="K91" s="27"/>
      <c r="L91" s="27"/>
      <c r="M91" s="27"/>
      <c r="N91" s="27"/>
      <c r="O91" s="27"/>
      <c r="P91" s="27"/>
      <c r="Q91" s="27"/>
      <c r="R91" s="27"/>
      <c r="S91" s="27"/>
      <c r="T91" s="27"/>
      <c r="U91" s="27"/>
      <c r="V91" s="27"/>
      <c r="W91" s="27"/>
      <c r="X91" s="27"/>
      <c r="Y91" s="27"/>
      <c r="Z91" s="27"/>
      <c r="AA91" s="27"/>
      <c r="AB91" s="27"/>
      <c r="AE91" s="19"/>
      <c r="AF91" s="19"/>
      <c r="AG91" s="19"/>
      <c r="AH91" s="19"/>
      <c r="AI91" s="19"/>
      <c r="AJ91" s="19"/>
      <c r="AK91" s="19"/>
      <c r="AL91" s="19"/>
      <c r="AN91" s="281"/>
    </row>
    <row r="92" spans="1:42" s="4" customFormat="1" ht="12.75" customHeight="1">
      <c r="C92" s="19"/>
      <c r="D92" s="26"/>
      <c r="E92" s="430" t="s">
        <v>1373</v>
      </c>
      <c r="F92" s="27"/>
      <c r="G92" s="27"/>
      <c r="H92" s="27"/>
      <c r="I92" s="27"/>
      <c r="J92" s="27"/>
      <c r="K92" s="27"/>
      <c r="L92" s="27"/>
      <c r="M92" s="27"/>
      <c r="N92" s="27"/>
      <c r="O92" s="27"/>
      <c r="P92" s="27"/>
      <c r="Q92" s="27"/>
      <c r="R92" s="27"/>
      <c r="S92" s="27"/>
      <c r="T92" s="27"/>
      <c r="U92" s="27"/>
      <c r="V92" s="27"/>
      <c r="W92" s="27"/>
      <c r="X92" s="27"/>
      <c r="Y92" s="27"/>
      <c r="Z92" s="27"/>
      <c r="AA92" s="27"/>
      <c r="AB92" s="27"/>
      <c r="AE92" s="19"/>
      <c r="AF92" s="19"/>
      <c r="AG92" s="19"/>
      <c r="AH92" s="19"/>
      <c r="AI92" s="19"/>
      <c r="AJ92" s="19"/>
      <c r="AK92" s="19"/>
      <c r="AL92" s="19"/>
      <c r="AN92" s="281"/>
    </row>
    <row r="93" spans="1:42" s="4" customFormat="1" ht="12.75" customHeight="1">
      <c r="C93" s="19"/>
      <c r="D93" s="26"/>
      <c r="E93" s="430" t="s">
        <v>1374</v>
      </c>
      <c r="F93" s="27"/>
      <c r="G93" s="27"/>
      <c r="H93" s="27"/>
      <c r="I93" s="27"/>
      <c r="J93" s="27"/>
      <c r="K93" s="27"/>
      <c r="L93" s="27"/>
      <c r="M93" s="27"/>
      <c r="N93" s="27"/>
      <c r="O93" s="27"/>
      <c r="P93" s="27"/>
      <c r="Q93" s="27"/>
      <c r="R93" s="27"/>
      <c r="S93" s="27"/>
      <c r="T93" s="27"/>
      <c r="U93" s="27"/>
      <c r="V93" s="27"/>
      <c r="W93" s="27"/>
      <c r="X93" s="27"/>
      <c r="Y93" s="27"/>
      <c r="Z93" s="27"/>
      <c r="AA93" s="27"/>
      <c r="AB93" s="27"/>
      <c r="AE93" s="19"/>
      <c r="AF93" s="19"/>
      <c r="AG93" s="19"/>
      <c r="AH93" s="19"/>
      <c r="AI93" s="19"/>
      <c r="AJ93" s="19"/>
      <c r="AK93" s="19"/>
      <c r="AL93" s="19"/>
      <c r="AN93" s="281"/>
    </row>
    <row r="94" spans="1:42" s="4" customFormat="1" ht="12.75" customHeight="1">
      <c r="C94" s="19"/>
      <c r="D94" s="26"/>
      <c r="E94" s="430"/>
      <c r="F94" s="27"/>
      <c r="G94" s="27"/>
      <c r="H94" s="27"/>
      <c r="I94" s="27"/>
      <c r="J94" s="27"/>
      <c r="K94" s="27"/>
      <c r="L94" s="27"/>
      <c r="M94" s="27"/>
      <c r="N94" s="27"/>
      <c r="O94" s="27"/>
      <c r="P94" s="27"/>
      <c r="Q94" s="27"/>
      <c r="R94" s="27"/>
      <c r="S94" s="27"/>
      <c r="T94" s="27"/>
      <c r="U94" s="27"/>
      <c r="V94" s="27"/>
      <c r="W94" s="27"/>
      <c r="X94" s="27"/>
      <c r="Y94" s="27"/>
      <c r="Z94" s="27"/>
      <c r="AA94" s="27"/>
      <c r="AB94" s="27"/>
      <c r="AE94" s="19"/>
      <c r="AN94" s="281"/>
    </row>
    <row r="95" spans="1:42" s="4" customFormat="1" ht="12.75" customHeight="1">
      <c r="A95" s="35"/>
      <c r="B95" s="5"/>
      <c r="C95" s="45"/>
      <c r="D95" s="26" t="s">
        <v>208</v>
      </c>
      <c r="E95" s="430" t="s">
        <v>1300</v>
      </c>
      <c r="F95" s="114"/>
      <c r="G95" s="114"/>
      <c r="H95" s="114"/>
      <c r="I95" s="114"/>
      <c r="J95" s="114"/>
      <c r="K95" s="114"/>
      <c r="L95" s="114"/>
      <c r="M95" s="114"/>
      <c r="N95" s="114"/>
      <c r="O95" s="114"/>
      <c r="P95" s="114"/>
      <c r="Q95" s="114"/>
      <c r="R95" s="114"/>
      <c r="S95" s="114"/>
      <c r="T95" s="114"/>
      <c r="U95" s="114"/>
      <c r="V95" s="114"/>
      <c r="W95" s="114"/>
      <c r="X95" s="114"/>
      <c r="Y95" s="114"/>
      <c r="Z95" s="114"/>
      <c r="AA95" s="114"/>
      <c r="AB95" s="114"/>
      <c r="AF95" s="1675" t="s">
        <v>62</v>
      </c>
      <c r="AG95" s="1675"/>
      <c r="AH95" s="1675"/>
      <c r="AI95" s="1675"/>
      <c r="AJ95" s="1675"/>
      <c r="AK95" s="1675"/>
      <c r="AL95" s="1675"/>
      <c r="AN95" s="281"/>
    </row>
    <row r="96" spans="1:42" s="4" customFormat="1" ht="12.75" customHeight="1">
      <c r="B96" s="5"/>
      <c r="C96" s="115"/>
      <c r="D96" s="26"/>
      <c r="E96" s="430" t="s">
        <v>1375</v>
      </c>
      <c r="F96" s="114"/>
      <c r="G96" s="114"/>
      <c r="H96" s="114"/>
      <c r="I96" s="114"/>
      <c r="J96" s="114"/>
      <c r="K96" s="114"/>
      <c r="L96" s="114"/>
      <c r="M96" s="114"/>
      <c r="N96" s="114"/>
      <c r="O96" s="114"/>
      <c r="P96" s="114"/>
      <c r="Q96" s="114"/>
      <c r="R96" s="114"/>
      <c r="S96" s="114"/>
      <c r="T96" s="114"/>
      <c r="U96" s="114"/>
      <c r="V96" s="114"/>
      <c r="W96" s="114"/>
      <c r="X96" s="114"/>
      <c r="Y96" s="114"/>
      <c r="Z96" s="114"/>
      <c r="AA96" s="114"/>
      <c r="AB96" s="114"/>
      <c r="AF96" s="5"/>
      <c r="AN96" s="281"/>
      <c r="AO96" s="4" t="s">
        <v>132</v>
      </c>
      <c r="AP96" s="478">
        <v>0</v>
      </c>
    </row>
    <row r="97" spans="1:53" s="4" customFormat="1" ht="12.75" customHeight="1">
      <c r="B97" s="42"/>
      <c r="C97" s="45"/>
      <c r="D97" s="26"/>
      <c r="E97" s="430" t="s">
        <v>1376</v>
      </c>
      <c r="F97" s="114"/>
      <c r="G97" s="114"/>
      <c r="H97" s="114"/>
      <c r="I97" s="114"/>
      <c r="J97" s="114"/>
      <c r="K97" s="114"/>
      <c r="L97" s="114"/>
      <c r="M97" s="114"/>
      <c r="N97" s="114"/>
      <c r="O97" s="114"/>
      <c r="P97" s="114"/>
      <c r="Q97" s="114"/>
      <c r="R97" s="114"/>
      <c r="S97" s="114"/>
      <c r="T97" s="114"/>
      <c r="U97" s="114"/>
      <c r="V97" s="114"/>
      <c r="W97" s="114"/>
      <c r="X97" s="114"/>
      <c r="Y97" s="114"/>
      <c r="Z97" s="114"/>
      <c r="AA97" s="114"/>
      <c r="AB97" s="114"/>
      <c r="AF97" s="5"/>
      <c r="AN97" s="281"/>
      <c r="AO97" s="26" t="s">
        <v>611</v>
      </c>
      <c r="AP97" s="4">
        <v>7</v>
      </c>
    </row>
    <row r="98" spans="1:53" s="4" customFormat="1" ht="12.75" customHeight="1">
      <c r="B98" s="42"/>
      <c r="C98" s="45"/>
      <c r="D98" s="26"/>
      <c r="E98" s="430" t="s">
        <v>1377</v>
      </c>
      <c r="F98" s="114"/>
      <c r="G98" s="114"/>
      <c r="H98" s="114"/>
      <c r="I98" s="114"/>
      <c r="J98" s="114"/>
      <c r="K98" s="114"/>
      <c r="L98" s="114"/>
      <c r="M98" s="114"/>
      <c r="N98" s="114"/>
      <c r="O98" s="114"/>
      <c r="P98" s="114"/>
      <c r="Q98" s="114"/>
      <c r="R98" s="114"/>
      <c r="S98" s="114"/>
      <c r="T98" s="114"/>
      <c r="U98" s="114"/>
      <c r="V98" s="114"/>
      <c r="W98" s="114"/>
      <c r="X98" s="114"/>
      <c r="Y98" s="114"/>
      <c r="Z98" s="114"/>
      <c r="AA98" s="114"/>
      <c r="AB98" s="114"/>
      <c r="AF98" s="5"/>
      <c r="AN98" s="281"/>
      <c r="AO98" s="26" t="s">
        <v>208</v>
      </c>
      <c r="AP98" s="4">
        <v>6</v>
      </c>
    </row>
    <row r="99" spans="1:53" s="4" customFormat="1" ht="12.75" customHeight="1">
      <c r="B99" s="42"/>
      <c r="C99" s="45"/>
      <c r="D99" s="26"/>
      <c r="E99" s="431"/>
      <c r="F99" s="2"/>
      <c r="G99" s="2"/>
      <c r="H99" s="2"/>
      <c r="I99" s="19"/>
      <c r="J99" s="19"/>
      <c r="K99" s="19"/>
      <c r="L99" s="19"/>
      <c r="M99" s="19"/>
      <c r="N99" s="19"/>
      <c r="O99" s="19"/>
      <c r="P99" s="19"/>
      <c r="Q99" s="19"/>
      <c r="R99" s="19"/>
      <c r="S99" s="19"/>
      <c r="T99" s="19"/>
      <c r="U99" s="19"/>
      <c r="V99" s="19"/>
      <c r="W99" s="19"/>
      <c r="X99" s="19"/>
      <c r="Y99" s="19"/>
      <c r="Z99" s="19"/>
      <c r="AA99" s="19"/>
      <c r="AB99" s="19"/>
      <c r="AE99" s="19"/>
      <c r="AN99" s="281"/>
      <c r="AO99" s="26" t="s">
        <v>931</v>
      </c>
      <c r="AP99" s="4">
        <v>5</v>
      </c>
    </row>
    <row r="100" spans="1:53" s="4" customFormat="1" ht="12.75" customHeight="1">
      <c r="B100" s="5"/>
      <c r="C100" s="45"/>
      <c r="D100" s="26" t="s">
        <v>931</v>
      </c>
      <c r="E100" s="430" t="s">
        <v>1301</v>
      </c>
      <c r="F100" s="114"/>
      <c r="G100" s="114"/>
      <c r="H100" s="114"/>
      <c r="I100" s="114"/>
      <c r="J100" s="114"/>
      <c r="K100" s="114"/>
      <c r="L100" s="114"/>
      <c r="M100" s="114"/>
      <c r="N100" s="114"/>
      <c r="O100" s="114"/>
      <c r="P100" s="114"/>
      <c r="Q100" s="114"/>
      <c r="R100" s="114"/>
      <c r="S100" s="114"/>
      <c r="T100" s="114"/>
      <c r="U100" s="114"/>
      <c r="V100" s="114"/>
      <c r="W100" s="114"/>
      <c r="X100" s="114"/>
      <c r="Y100" s="114"/>
      <c r="Z100" s="114"/>
      <c r="AA100" s="114"/>
      <c r="AB100" s="114"/>
      <c r="AF100" s="1675" t="s">
        <v>63</v>
      </c>
      <c r="AG100" s="1675"/>
      <c r="AH100" s="1675"/>
      <c r="AI100" s="1675"/>
      <c r="AJ100" s="1675"/>
      <c r="AK100" s="1675"/>
      <c r="AL100" s="1675"/>
      <c r="AN100" s="281"/>
      <c r="AO100" s="26" t="s">
        <v>766</v>
      </c>
      <c r="AP100" s="4">
        <v>4</v>
      </c>
    </row>
    <row r="101" spans="1:53" s="4" customFormat="1" ht="12.75" customHeight="1">
      <c r="B101" s="5"/>
      <c r="C101" s="115"/>
      <c r="D101" s="26"/>
      <c r="E101" s="430" t="s">
        <v>1378</v>
      </c>
      <c r="F101" s="114"/>
      <c r="G101" s="114"/>
      <c r="H101" s="114"/>
      <c r="I101" s="114"/>
      <c r="J101" s="114"/>
      <c r="K101" s="114"/>
      <c r="L101" s="114"/>
      <c r="M101" s="114"/>
      <c r="N101" s="114"/>
      <c r="O101" s="114"/>
      <c r="P101" s="114"/>
      <c r="Q101" s="114"/>
      <c r="R101" s="114"/>
      <c r="S101" s="114"/>
      <c r="T101" s="114"/>
      <c r="U101" s="114"/>
      <c r="V101" s="114"/>
      <c r="W101" s="114"/>
      <c r="X101" s="114"/>
      <c r="Y101" s="114"/>
      <c r="Z101" s="114"/>
      <c r="AA101" s="114"/>
      <c r="AB101" s="114"/>
      <c r="AF101" s="5"/>
      <c r="AN101" s="281"/>
      <c r="AO101" s="26" t="s">
        <v>767</v>
      </c>
      <c r="AP101" s="4">
        <v>3</v>
      </c>
    </row>
    <row r="102" spans="1:53" s="4" customFormat="1" ht="12.75" customHeight="1">
      <c r="B102" s="5"/>
      <c r="C102" s="115"/>
      <c r="D102" s="26"/>
      <c r="E102" s="430" t="s">
        <v>1376</v>
      </c>
      <c r="F102" s="114"/>
      <c r="G102" s="114"/>
      <c r="H102" s="114"/>
      <c r="I102" s="114"/>
      <c r="J102" s="114"/>
      <c r="K102" s="114"/>
      <c r="L102" s="114"/>
      <c r="M102" s="114"/>
      <c r="N102" s="114"/>
      <c r="O102" s="114"/>
      <c r="P102" s="114"/>
      <c r="Q102" s="114"/>
      <c r="R102" s="114"/>
      <c r="S102" s="114"/>
      <c r="T102" s="114"/>
      <c r="U102" s="114"/>
      <c r="V102" s="114"/>
      <c r="W102" s="114"/>
      <c r="X102" s="114"/>
      <c r="Y102" s="114"/>
      <c r="Z102" s="114"/>
      <c r="AA102" s="114"/>
      <c r="AB102" s="114"/>
      <c r="AF102" s="5"/>
      <c r="AN102" s="281"/>
    </row>
    <row r="103" spans="1:53" s="4" customFormat="1" ht="12.75" customHeight="1">
      <c r="B103" s="5"/>
      <c r="C103" s="115"/>
      <c r="D103" s="26"/>
      <c r="E103" s="430" t="s">
        <v>1377</v>
      </c>
      <c r="F103" s="114"/>
      <c r="G103" s="114"/>
      <c r="H103" s="114"/>
      <c r="I103" s="114"/>
      <c r="J103" s="114"/>
      <c r="K103" s="114"/>
      <c r="L103" s="114"/>
      <c r="M103" s="114"/>
      <c r="N103" s="114"/>
      <c r="O103" s="114"/>
      <c r="P103" s="114"/>
      <c r="Q103" s="114"/>
      <c r="R103" s="114"/>
      <c r="S103" s="114"/>
      <c r="T103" s="114"/>
      <c r="U103" s="114"/>
      <c r="V103" s="114"/>
      <c r="W103" s="114"/>
      <c r="X103" s="114"/>
      <c r="Y103" s="114"/>
      <c r="Z103" s="114"/>
      <c r="AA103" s="114"/>
      <c r="AB103" s="114"/>
      <c r="AF103" s="5"/>
      <c r="AN103" s="281"/>
    </row>
    <row r="104" spans="1:53" s="4" customFormat="1" ht="12.75" customHeight="1">
      <c r="A104" s="21"/>
      <c r="B104" s="21"/>
      <c r="C104" s="21"/>
      <c r="D104" s="26"/>
      <c r="E104" s="432"/>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81"/>
    </row>
    <row r="105" spans="1:53" s="4" customFormat="1" ht="12.75" customHeight="1">
      <c r="B105" s="5"/>
      <c r="C105" s="45"/>
      <c r="D105" s="26" t="s">
        <v>766</v>
      </c>
      <c r="E105" s="430" t="s">
        <v>1300</v>
      </c>
      <c r="F105" s="114"/>
      <c r="G105" s="114"/>
      <c r="H105" s="114"/>
      <c r="I105" s="114"/>
      <c r="J105" s="114"/>
      <c r="K105" s="114"/>
      <c r="L105" s="114"/>
      <c r="M105" s="114"/>
      <c r="N105" s="114"/>
      <c r="O105" s="114"/>
      <c r="P105" s="114"/>
      <c r="Q105" s="114"/>
      <c r="R105" s="114"/>
      <c r="S105" s="114"/>
      <c r="T105" s="114"/>
      <c r="U105" s="114"/>
      <c r="V105" s="114"/>
      <c r="W105" s="114"/>
      <c r="X105" s="114"/>
      <c r="Y105" s="114"/>
      <c r="Z105" s="114"/>
      <c r="AA105" s="114"/>
      <c r="AB105" s="114"/>
      <c r="AF105" s="1675" t="s">
        <v>64</v>
      </c>
      <c r="AG105" s="1675"/>
      <c r="AH105" s="1675"/>
      <c r="AI105" s="1675"/>
      <c r="AJ105" s="1675"/>
      <c r="AK105" s="1675"/>
      <c r="AL105" s="1675"/>
      <c r="AN105" s="281"/>
      <c r="AO105" s="4" t="str">
        <f>S133</f>
        <v>Yes</v>
      </c>
    </row>
    <row r="106" spans="1:53" s="4" customFormat="1" ht="12.75" customHeight="1">
      <c r="B106" s="5"/>
      <c r="C106" s="115"/>
      <c r="D106" s="26"/>
      <c r="E106" s="430" t="s">
        <v>1379</v>
      </c>
      <c r="F106" s="114"/>
      <c r="G106" s="114"/>
      <c r="H106" s="114"/>
      <c r="I106" s="114"/>
      <c r="J106" s="114"/>
      <c r="K106" s="114"/>
      <c r="L106" s="114"/>
      <c r="M106" s="114"/>
      <c r="N106" s="114"/>
      <c r="O106" s="114"/>
      <c r="P106" s="114"/>
      <c r="Q106" s="114"/>
      <c r="R106" s="114"/>
      <c r="S106" s="114"/>
      <c r="T106" s="114"/>
      <c r="U106" s="114"/>
      <c r="V106" s="114"/>
      <c r="W106" s="114"/>
      <c r="X106" s="114"/>
      <c r="Y106" s="114"/>
      <c r="Z106" s="114"/>
      <c r="AA106" s="114"/>
      <c r="AB106" s="114"/>
      <c r="AC106" s="21"/>
      <c r="AD106" s="21"/>
      <c r="AF106" s="5"/>
      <c r="AN106" s="281"/>
      <c r="AU106" s="108"/>
      <c r="AV106" s="108"/>
      <c r="AW106" s="108"/>
      <c r="AX106" s="108"/>
      <c r="AY106" s="108"/>
      <c r="AZ106" s="108"/>
      <c r="BA106" s="108"/>
    </row>
    <row r="107" spans="1:53" s="4" customFormat="1" ht="12.75" customHeight="1">
      <c r="B107" s="42"/>
      <c r="C107" s="45"/>
      <c r="D107" s="26"/>
      <c r="E107" s="430" t="s">
        <v>1380</v>
      </c>
      <c r="F107" s="114"/>
      <c r="G107" s="114"/>
      <c r="H107" s="114"/>
      <c r="I107" s="114"/>
      <c r="J107" s="114"/>
      <c r="K107" s="114"/>
      <c r="L107" s="114"/>
      <c r="M107" s="114"/>
      <c r="N107" s="114"/>
      <c r="O107" s="114"/>
      <c r="P107" s="114"/>
      <c r="Q107" s="114"/>
      <c r="R107" s="114"/>
      <c r="S107" s="114"/>
      <c r="T107" s="114"/>
      <c r="U107" s="114"/>
      <c r="V107" s="114"/>
      <c r="W107" s="114"/>
      <c r="X107" s="114"/>
      <c r="Y107" s="114"/>
      <c r="Z107" s="114"/>
      <c r="AA107" s="114"/>
      <c r="AB107" s="114"/>
      <c r="AF107" s="5"/>
      <c r="AN107" s="281"/>
      <c r="AO107" s="4" t="s">
        <v>2349</v>
      </c>
    </row>
    <row r="108" spans="1:53" s="4" customFormat="1" ht="12.75" customHeight="1">
      <c r="B108" s="42"/>
      <c r="C108" s="45"/>
      <c r="D108" s="26"/>
      <c r="E108" s="430"/>
      <c r="F108" s="114"/>
      <c r="G108" s="114"/>
      <c r="H108" s="114"/>
      <c r="I108" s="114"/>
      <c r="J108" s="114"/>
      <c r="K108" s="114"/>
      <c r="L108" s="114"/>
      <c r="M108" s="114"/>
      <c r="N108" s="114"/>
      <c r="O108" s="114"/>
      <c r="P108" s="114"/>
      <c r="Q108" s="114"/>
      <c r="R108" s="114"/>
      <c r="S108" s="114"/>
      <c r="T108" s="114"/>
      <c r="U108" s="114"/>
      <c r="V108" s="114"/>
      <c r="W108" s="114"/>
      <c r="X108" s="114"/>
      <c r="Y108" s="114"/>
      <c r="Z108" s="114"/>
      <c r="AA108" s="114"/>
      <c r="AB108" s="114"/>
      <c r="AF108" s="5"/>
      <c r="AN108" s="281"/>
      <c r="AO108" s="4" t="s">
        <v>2198</v>
      </c>
    </row>
    <row r="109" spans="1:53" s="4" customFormat="1" ht="12.75" customHeight="1">
      <c r="B109" s="5"/>
      <c r="C109" s="45"/>
      <c r="D109" s="26" t="s">
        <v>767</v>
      </c>
      <c r="E109" s="430" t="s">
        <v>1301</v>
      </c>
      <c r="F109" s="114"/>
      <c r="G109" s="114"/>
      <c r="H109" s="114"/>
      <c r="I109" s="114"/>
      <c r="J109" s="114"/>
      <c r="K109" s="114"/>
      <c r="L109" s="114"/>
      <c r="M109" s="114"/>
      <c r="N109" s="114"/>
      <c r="O109" s="114"/>
      <c r="P109" s="114"/>
      <c r="Q109" s="114"/>
      <c r="R109" s="114"/>
      <c r="S109" s="114"/>
      <c r="T109" s="114"/>
      <c r="U109" s="114"/>
      <c r="V109" s="114"/>
      <c r="W109" s="114"/>
      <c r="X109" s="114"/>
      <c r="Y109" s="114"/>
      <c r="Z109" s="114"/>
      <c r="AA109" s="114"/>
      <c r="AB109" s="114"/>
      <c r="AF109" s="1675" t="s">
        <v>65</v>
      </c>
      <c r="AG109" s="1675"/>
      <c r="AH109" s="1675"/>
      <c r="AI109" s="1675"/>
      <c r="AJ109" s="1675"/>
      <c r="AK109" s="1675"/>
      <c r="AL109" s="1675"/>
      <c r="AN109" s="281"/>
      <c r="AO109" s="4" t="s">
        <v>2199</v>
      </c>
    </row>
    <row r="110" spans="1:53" s="4" customFormat="1" ht="12.75" customHeight="1">
      <c r="B110" s="5"/>
      <c r="C110" s="45"/>
      <c r="D110" s="26"/>
      <c r="E110" s="430" t="s">
        <v>1381</v>
      </c>
      <c r="F110" s="114"/>
      <c r="G110" s="114"/>
      <c r="H110" s="114"/>
      <c r="I110" s="114"/>
      <c r="J110" s="114"/>
      <c r="K110" s="114"/>
      <c r="L110" s="114"/>
      <c r="M110" s="114"/>
      <c r="N110" s="114"/>
      <c r="O110" s="114"/>
      <c r="P110" s="114"/>
      <c r="Q110" s="114"/>
      <c r="R110" s="114"/>
      <c r="S110" s="114"/>
      <c r="T110" s="114"/>
      <c r="U110" s="114"/>
      <c r="V110" s="114"/>
      <c r="W110" s="114"/>
      <c r="X110" s="114"/>
      <c r="Y110" s="114"/>
      <c r="Z110" s="114"/>
      <c r="AA110" s="114"/>
      <c r="AB110" s="114"/>
      <c r="AE110" s="108"/>
      <c r="AN110" s="281"/>
    </row>
    <row r="111" spans="1:53" s="4" customFormat="1" ht="12.75" customHeight="1">
      <c r="B111" s="5"/>
      <c r="C111" s="115"/>
      <c r="E111" s="19"/>
      <c r="F111" s="116"/>
      <c r="G111" s="116"/>
      <c r="H111" s="116"/>
      <c r="I111" s="116"/>
      <c r="J111" s="116"/>
      <c r="K111" s="116"/>
      <c r="L111" s="116"/>
      <c r="M111" s="116"/>
      <c r="N111" s="116"/>
      <c r="O111" s="116"/>
      <c r="P111" s="116"/>
      <c r="Q111" s="116"/>
      <c r="R111" s="116"/>
      <c r="S111" s="116"/>
      <c r="T111" s="116"/>
      <c r="U111" s="116"/>
      <c r="V111" s="116"/>
      <c r="W111" s="116"/>
      <c r="X111" s="116"/>
      <c r="Y111" s="116"/>
      <c r="Z111" s="116"/>
      <c r="AA111" s="116"/>
      <c r="AB111" s="116"/>
      <c r="AD111" s="5"/>
      <c r="AN111" s="281"/>
      <c r="AO111" s="4" t="s">
        <v>132</v>
      </c>
      <c r="AP111" s="478">
        <v>0</v>
      </c>
      <c r="AT111" s="4" t="s">
        <v>132</v>
      </c>
      <c r="AU111" s="478">
        <v>0</v>
      </c>
    </row>
    <row r="112" spans="1:53" s="4" customFormat="1" ht="12.75" customHeight="1">
      <c r="B112" s="5"/>
      <c r="C112" s="115"/>
      <c r="D112" s="4" t="s">
        <v>157</v>
      </c>
      <c r="E112" s="116"/>
      <c r="F112" s="116"/>
      <c r="G112" s="116"/>
      <c r="H112" s="1663" t="s">
        <v>208</v>
      </c>
      <c r="I112" s="1663"/>
      <c r="J112" s="116"/>
      <c r="K112" s="116"/>
      <c r="L112" s="116"/>
      <c r="M112" s="116"/>
      <c r="O112" s="944" t="s">
        <v>2197</v>
      </c>
      <c r="T112" s="1787"/>
      <c r="U112" s="1787"/>
      <c r="V112" s="1787"/>
      <c r="W112" s="1787"/>
      <c r="X112" s="1787"/>
      <c r="Y112" s="1787"/>
      <c r="AN112" s="281"/>
      <c r="AO112" s="26" t="s">
        <v>611</v>
      </c>
      <c r="AP112" s="4">
        <v>3</v>
      </c>
      <c r="AT112" s="26" t="s">
        <v>611</v>
      </c>
      <c r="AU112" s="4">
        <v>3</v>
      </c>
    </row>
    <row r="113" spans="1:47" s="4" customFormat="1" ht="12.75" customHeight="1">
      <c r="B113" s="5"/>
      <c r="C113" s="115"/>
      <c r="E113" s="116"/>
      <c r="F113" s="116"/>
      <c r="G113" s="116"/>
      <c r="H113" s="116"/>
      <c r="I113" s="116"/>
      <c r="J113" s="116"/>
      <c r="K113" s="116"/>
      <c r="L113" s="116"/>
      <c r="M113" s="116"/>
      <c r="AN113" s="281"/>
      <c r="AO113" s="26" t="s">
        <v>208</v>
      </c>
      <c r="AP113" s="4">
        <v>2</v>
      </c>
      <c r="AT113" s="26" t="s">
        <v>208</v>
      </c>
      <c r="AU113" s="4">
        <v>2</v>
      </c>
    </row>
    <row r="114" spans="1:47" s="4" customFormat="1" ht="12.75" customHeight="1">
      <c r="B114" s="5"/>
      <c r="C114" s="115"/>
      <c r="D114" s="4" t="s">
        <v>1911</v>
      </c>
      <c r="E114" s="116"/>
      <c r="F114" s="116"/>
      <c r="G114" s="116"/>
      <c r="H114" s="116"/>
      <c r="I114" s="116"/>
      <c r="J114" s="116"/>
      <c r="K114" s="116"/>
      <c r="L114" s="116"/>
      <c r="M114" s="116"/>
      <c r="AN114" s="281"/>
    </row>
    <row r="115" spans="1:47" s="4" customFormat="1" ht="12.75" customHeight="1">
      <c r="B115" s="5"/>
      <c r="C115" s="115"/>
      <c r="D115" s="4" t="s">
        <v>1912</v>
      </c>
      <c r="E115" s="116"/>
      <c r="F115" s="116"/>
      <c r="G115" s="116"/>
      <c r="H115" s="116"/>
      <c r="I115" s="116"/>
      <c r="J115" s="116"/>
      <c r="K115" s="116"/>
      <c r="L115" s="116"/>
      <c r="M115" s="116"/>
      <c r="AN115" s="281"/>
    </row>
    <row r="116" spans="1:47" s="4" customFormat="1" ht="12.75" customHeight="1">
      <c r="B116" s="5"/>
      <c r="C116" s="115"/>
      <c r="D116" s="29" t="s">
        <v>1913</v>
      </c>
      <c r="E116" s="116"/>
      <c r="F116" s="116"/>
      <c r="G116" s="116"/>
      <c r="H116" s="116"/>
      <c r="I116" s="116"/>
      <c r="J116" s="116"/>
      <c r="K116" s="116"/>
      <c r="L116" s="116"/>
      <c r="M116" s="116"/>
      <c r="AN116" s="281"/>
      <c r="AO116" s="4" t="s">
        <v>132</v>
      </c>
      <c r="AP116" s="478">
        <v>0</v>
      </c>
    </row>
    <row r="117" spans="1:47" s="4" customFormat="1" ht="12.75" customHeight="1">
      <c r="B117" s="5"/>
      <c r="C117" s="115"/>
      <c r="D117" s="4" t="s">
        <v>1914</v>
      </c>
      <c r="AN117" s="281"/>
      <c r="AO117" s="4" t="s">
        <v>1536</v>
      </c>
      <c r="AP117" s="4">
        <v>3</v>
      </c>
    </row>
    <row r="118" spans="1:47" s="4" customFormat="1" ht="12.75" customHeight="1">
      <c r="B118" s="5"/>
      <c r="C118" s="115"/>
      <c r="E118" s="4" t="s">
        <v>157</v>
      </c>
      <c r="F118" s="116"/>
      <c r="G118" s="116"/>
      <c r="H118" s="1786" t="s">
        <v>132</v>
      </c>
      <c r="I118" s="1786"/>
      <c r="J118" s="1786"/>
      <c r="K118" s="1786"/>
      <c r="L118" s="1786"/>
      <c r="M118" s="1786"/>
      <c r="N118" s="1786"/>
      <c r="O118" s="1786"/>
      <c r="P118" s="1786"/>
      <c r="Q118" s="1786"/>
      <c r="R118" s="1786"/>
      <c r="S118" s="1786"/>
      <c r="T118" s="1786"/>
      <c r="U118" s="1786"/>
      <c r="V118" s="1786"/>
      <c r="W118" s="1786"/>
      <c r="X118" s="1786"/>
      <c r="Y118" s="1786"/>
      <c r="Z118" s="1786"/>
      <c r="AA118" s="1786"/>
      <c r="AB118" s="1786"/>
      <c r="AC118" s="1786"/>
      <c r="AD118" s="1786"/>
      <c r="AE118" s="1786"/>
      <c r="AN118" s="281"/>
      <c r="AO118" s="4" t="s">
        <v>1537</v>
      </c>
      <c r="AP118" s="4">
        <v>2</v>
      </c>
    </row>
    <row r="119" spans="1:47" s="4" customFormat="1" ht="12.75" customHeight="1">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49"/>
      <c r="AG119" s="49"/>
      <c r="AH119" s="49"/>
      <c r="AI119" s="49"/>
      <c r="AJ119" s="49"/>
      <c r="AK119" s="49"/>
      <c r="AL119" s="49"/>
      <c r="AN119" s="281"/>
    </row>
    <row r="120" spans="1:47" s="4" customFormat="1" ht="12.75" customHeight="1">
      <c r="B120" s="1115" t="s">
        <v>132</v>
      </c>
      <c r="C120" s="1115"/>
      <c r="D120" s="49"/>
      <c r="E120" s="1664" t="s">
        <v>1842</v>
      </c>
      <c r="F120" s="1664"/>
      <c r="G120" s="1664"/>
      <c r="H120" s="1664"/>
      <c r="I120" s="1664"/>
      <c r="J120" s="1664"/>
      <c r="K120" s="1664"/>
      <c r="L120" s="1664"/>
      <c r="M120" s="1664"/>
      <c r="N120" s="1664"/>
      <c r="O120" s="1664"/>
      <c r="P120" s="1664"/>
      <c r="Q120" s="1664"/>
      <c r="R120" s="1664"/>
      <c r="S120" s="1664"/>
      <c r="T120" s="1664"/>
      <c r="U120" s="1664"/>
      <c r="V120" s="1664"/>
      <c r="W120" s="1664"/>
      <c r="X120" s="1664"/>
      <c r="Y120" s="1664"/>
      <c r="Z120" s="1664"/>
      <c r="AA120" s="1664"/>
      <c r="AB120" s="1664"/>
      <c r="AC120" s="1664"/>
      <c r="AD120" s="1664"/>
      <c r="AE120" s="1664"/>
      <c r="AF120" s="1664"/>
      <c r="AG120" s="1664"/>
      <c r="AH120" s="49"/>
      <c r="AI120" s="49"/>
      <c r="AJ120" s="49"/>
      <c r="AK120" s="49"/>
      <c r="AL120" s="49"/>
      <c r="AN120" s="281"/>
    </row>
    <row r="121" spans="1:47" s="4" customFormat="1" ht="12.75" customHeight="1">
      <c r="B121" s="5"/>
      <c r="C121" s="115"/>
      <c r="D121" s="49"/>
      <c r="E121" s="1664"/>
      <c r="F121" s="1664"/>
      <c r="G121" s="1664"/>
      <c r="H121" s="1664"/>
      <c r="I121" s="1664"/>
      <c r="J121" s="1664"/>
      <c r="K121" s="1664"/>
      <c r="L121" s="1664"/>
      <c r="M121" s="1664"/>
      <c r="N121" s="1664"/>
      <c r="O121" s="1664"/>
      <c r="P121" s="1664"/>
      <c r="Q121" s="1664"/>
      <c r="R121" s="1664"/>
      <c r="S121" s="1664"/>
      <c r="T121" s="1664"/>
      <c r="U121" s="1664"/>
      <c r="V121" s="1664"/>
      <c r="W121" s="1664"/>
      <c r="X121" s="1664"/>
      <c r="Y121" s="1664"/>
      <c r="Z121" s="1664"/>
      <c r="AA121" s="1664"/>
      <c r="AB121" s="1664"/>
      <c r="AC121" s="1664"/>
      <c r="AD121" s="1664"/>
      <c r="AE121" s="1664"/>
      <c r="AF121" s="1664"/>
      <c r="AG121" s="1664"/>
      <c r="AH121" s="49"/>
      <c r="AI121" s="49"/>
      <c r="AJ121" s="49"/>
      <c r="AK121" s="49"/>
      <c r="AL121" s="49"/>
      <c r="AN121" s="281"/>
    </row>
    <row r="122" spans="1:47" s="4" customFormat="1" ht="12.75" customHeight="1">
      <c r="B122" s="5"/>
      <c r="C122" s="115"/>
      <c r="D122" s="49"/>
      <c r="E122" s="1664"/>
      <c r="F122" s="1664"/>
      <c r="G122" s="1664"/>
      <c r="H122" s="1664"/>
      <c r="I122" s="1664"/>
      <c r="J122" s="1664"/>
      <c r="K122" s="1664"/>
      <c r="L122" s="1664"/>
      <c r="M122" s="1664"/>
      <c r="N122" s="1664"/>
      <c r="O122" s="1664"/>
      <c r="P122" s="1664"/>
      <c r="Q122" s="1664"/>
      <c r="R122" s="1664"/>
      <c r="S122" s="1664"/>
      <c r="T122" s="1664"/>
      <c r="U122" s="1664"/>
      <c r="V122" s="1664"/>
      <c r="W122" s="1664"/>
      <c r="X122" s="1664"/>
      <c r="Y122" s="1664"/>
      <c r="Z122" s="1664"/>
      <c r="AA122" s="1664"/>
      <c r="AB122" s="1664"/>
      <c r="AC122" s="1664"/>
      <c r="AD122" s="1664"/>
      <c r="AE122" s="1664"/>
      <c r="AF122" s="1664"/>
      <c r="AG122" s="1664"/>
      <c r="AH122" s="49"/>
      <c r="AI122" s="49"/>
      <c r="AJ122" s="49"/>
      <c r="AK122" s="49"/>
      <c r="AL122" s="49"/>
      <c r="AN122" s="281"/>
    </row>
    <row r="123" spans="1:47" s="4" customFormat="1" ht="12.75" customHeight="1">
      <c r="B123" s="5"/>
      <c r="C123" s="115"/>
      <c r="D123" s="299"/>
      <c r="E123" s="1701"/>
      <c r="F123" s="1701"/>
      <c r="G123" s="1701"/>
      <c r="H123" s="1701"/>
      <c r="I123" s="1701"/>
      <c r="J123" s="1701"/>
      <c r="K123" s="1701"/>
      <c r="L123" s="1701"/>
      <c r="M123" s="1701"/>
      <c r="N123" s="1701"/>
      <c r="O123" s="1701"/>
      <c r="P123" s="1701"/>
      <c r="Q123" s="1701"/>
      <c r="R123" s="1701"/>
      <c r="S123" s="1701"/>
      <c r="T123" s="1701"/>
      <c r="U123" s="1701"/>
      <c r="V123" s="1701"/>
      <c r="W123" s="1701"/>
      <c r="X123" s="1701"/>
      <c r="Y123" s="1701"/>
      <c r="Z123" s="1701"/>
      <c r="AA123" s="1701"/>
      <c r="AB123" s="1701"/>
      <c r="AC123" s="1701"/>
      <c r="AD123" s="1701"/>
      <c r="AE123" s="1701"/>
      <c r="AF123" s="1701"/>
      <c r="AG123" s="1701"/>
      <c r="AH123" s="299"/>
      <c r="AI123" s="299"/>
      <c r="AJ123" s="299"/>
      <c r="AK123" s="299"/>
      <c r="AL123" s="49"/>
      <c r="AN123" s="281"/>
    </row>
    <row r="124" spans="1:47" s="4" customFormat="1" ht="12.75" customHeight="1">
      <c r="A124" s="92"/>
      <c r="B124" s="89"/>
      <c r="C124" s="117"/>
      <c r="D124" s="93"/>
      <c r="E124" s="118"/>
      <c r="F124" s="118"/>
      <c r="G124" s="118"/>
      <c r="H124" s="118"/>
      <c r="I124" s="118"/>
      <c r="J124" s="118"/>
      <c r="K124" s="118"/>
      <c r="L124" s="118"/>
      <c r="M124" s="118"/>
      <c r="N124" s="118"/>
      <c r="O124" s="118"/>
      <c r="P124" s="118"/>
      <c r="Q124" s="118"/>
      <c r="R124" s="118"/>
      <c r="S124" s="118"/>
      <c r="T124" s="118"/>
      <c r="U124" s="118"/>
      <c r="V124" s="118"/>
      <c r="W124" s="118"/>
      <c r="X124" s="118"/>
      <c r="Y124" s="118"/>
      <c r="Z124" s="118"/>
      <c r="AA124" s="118"/>
      <c r="AB124" s="93"/>
      <c r="AC124" s="89"/>
      <c r="AD124" s="93"/>
      <c r="AE124" s="93"/>
      <c r="AF124" s="93"/>
      <c r="AG124" s="93"/>
      <c r="AH124" s="93"/>
      <c r="AI124" s="60" t="s">
        <v>1330</v>
      </c>
      <c r="AJ124" s="1240">
        <f>VLOOKUP($H$112,$AO$96:$AP$101,2,FALSE)+IF(T112=AO108,0,VLOOKUP($H$118,$AO$116:$AP$118,2,FALSE))</f>
        <v>6</v>
      </c>
      <c r="AK124" s="1243"/>
      <c r="AL124" s="10"/>
      <c r="AM124" s="116"/>
      <c r="AN124" s="281"/>
    </row>
    <row r="125" spans="1:47" s="4" customFormat="1" ht="12.75" customHeight="1">
      <c r="B125" s="5"/>
      <c r="C125" s="115"/>
      <c r="E125" s="116"/>
      <c r="F125" s="116"/>
      <c r="G125" s="116"/>
      <c r="H125" s="116"/>
      <c r="I125" s="116"/>
      <c r="J125" s="116"/>
      <c r="K125" s="116"/>
      <c r="L125" s="116"/>
      <c r="M125" s="116"/>
      <c r="N125" s="116"/>
      <c r="O125" s="116"/>
      <c r="P125" s="116"/>
      <c r="Q125" s="116"/>
      <c r="R125" s="116"/>
      <c r="S125" s="116"/>
      <c r="T125" s="116"/>
      <c r="U125" s="116"/>
      <c r="V125" s="116"/>
      <c r="W125" s="116"/>
      <c r="X125" s="116"/>
      <c r="Y125" s="116"/>
      <c r="Z125" s="116"/>
      <c r="AA125" s="116"/>
      <c r="AB125" s="116"/>
      <c r="AD125" s="5"/>
      <c r="AE125" s="116"/>
      <c r="AF125" s="116"/>
      <c r="AG125" s="116"/>
      <c r="AH125" s="116"/>
      <c r="AI125" s="116"/>
      <c r="AJ125" s="116"/>
      <c r="AK125" s="116"/>
      <c r="AL125" s="116"/>
      <c r="AM125" s="116"/>
      <c r="AN125" s="281"/>
    </row>
    <row r="126" spans="1:47" s="4" customFormat="1" ht="12.75" customHeight="1">
      <c r="B126" s="5"/>
      <c r="C126" s="3" t="s">
        <v>29</v>
      </c>
      <c r="D126" s="20"/>
      <c r="E126" s="116"/>
      <c r="F126" s="116"/>
      <c r="G126" s="116"/>
      <c r="H126" s="116"/>
      <c r="I126" s="116"/>
      <c r="J126" s="116"/>
      <c r="K126" s="116"/>
      <c r="L126" s="116"/>
      <c r="M126" s="116"/>
      <c r="N126" s="116"/>
      <c r="O126" s="116"/>
      <c r="P126" s="116"/>
      <c r="Q126" s="116"/>
      <c r="R126" s="116"/>
      <c r="S126" s="116"/>
      <c r="T126" s="116"/>
      <c r="U126" s="116"/>
      <c r="V126" s="116"/>
      <c r="W126" s="116"/>
      <c r="X126" s="116"/>
      <c r="Y126" s="116"/>
      <c r="Z126" s="116"/>
      <c r="AA126" s="116"/>
      <c r="AB126" s="116"/>
      <c r="AD126" s="5"/>
      <c r="AN126" s="281"/>
    </row>
    <row r="127" spans="1:47" s="4" customFormat="1" ht="12.75" customHeight="1">
      <c r="B127" s="42"/>
      <c r="D127" s="2"/>
      <c r="E127" s="116"/>
      <c r="F127" s="116"/>
      <c r="G127" s="116"/>
      <c r="H127" s="116"/>
      <c r="I127" s="116"/>
      <c r="J127" s="116"/>
      <c r="K127" s="116"/>
      <c r="L127" s="116"/>
      <c r="M127" s="116"/>
      <c r="N127" s="116"/>
      <c r="O127" s="116"/>
      <c r="P127" s="116"/>
      <c r="Q127" s="116"/>
      <c r="R127" s="116"/>
      <c r="S127" s="116"/>
      <c r="T127" s="116"/>
      <c r="U127" s="116"/>
      <c r="V127" s="116"/>
      <c r="W127" s="116"/>
      <c r="X127" s="116"/>
      <c r="Y127" s="116"/>
      <c r="Z127" s="116"/>
      <c r="AA127" s="116"/>
      <c r="AB127" s="116"/>
      <c r="AD127" s="5"/>
      <c r="AN127" s="281"/>
    </row>
    <row r="128" spans="1:47" s="20" customFormat="1" ht="12.75" customHeight="1">
      <c r="A128" s="4"/>
      <c r="B128" s="4"/>
      <c r="C128" s="4"/>
      <c r="D128" s="26" t="s">
        <v>611</v>
      </c>
      <c r="E128" s="1785" t="s">
        <v>1915</v>
      </c>
      <c r="F128" s="1785"/>
      <c r="G128" s="1785"/>
      <c r="H128" s="1785"/>
      <c r="I128" s="1785"/>
      <c r="J128" s="1785"/>
      <c r="K128" s="1785"/>
      <c r="L128" s="1785"/>
      <c r="M128" s="1785"/>
      <c r="N128" s="1785"/>
      <c r="O128" s="1785"/>
      <c r="P128" s="1785"/>
      <c r="Q128" s="1785"/>
      <c r="R128" s="1785"/>
      <c r="S128" s="1785"/>
      <c r="T128" s="1785"/>
      <c r="U128" s="1785"/>
      <c r="V128" s="1785"/>
      <c r="W128" s="1785"/>
      <c r="X128" s="1785"/>
      <c r="Y128" s="1785"/>
      <c r="Z128" s="1785"/>
      <c r="AA128" s="1785"/>
      <c r="AB128" s="1785"/>
      <c r="AC128" s="1785"/>
      <c r="AD128" s="1785"/>
      <c r="AF128" s="1675" t="s">
        <v>65</v>
      </c>
      <c r="AG128" s="1675"/>
      <c r="AH128" s="1675"/>
      <c r="AI128" s="1675"/>
      <c r="AJ128" s="1675"/>
      <c r="AK128" s="1675"/>
      <c r="AL128" s="1675"/>
      <c r="AM128" s="4"/>
      <c r="AN128" s="298"/>
    </row>
    <row r="129" spans="1:42" s="4" customFormat="1" ht="12.75" customHeight="1">
      <c r="A129" s="120"/>
      <c r="B129" s="5"/>
      <c r="C129" s="115"/>
      <c r="D129" s="26"/>
      <c r="E129" s="1785"/>
      <c r="F129" s="1785"/>
      <c r="G129" s="1785"/>
      <c r="H129" s="1785"/>
      <c r="I129" s="1785"/>
      <c r="J129" s="1785"/>
      <c r="K129" s="1785"/>
      <c r="L129" s="1785"/>
      <c r="M129" s="1785"/>
      <c r="N129" s="1785"/>
      <c r="O129" s="1785"/>
      <c r="P129" s="1785"/>
      <c r="Q129" s="1785"/>
      <c r="R129" s="1785"/>
      <c r="S129" s="1785"/>
      <c r="T129" s="1785"/>
      <c r="U129" s="1785"/>
      <c r="V129" s="1785"/>
      <c r="W129" s="1785"/>
      <c r="X129" s="1785"/>
      <c r="Y129" s="1785"/>
      <c r="Z129" s="1785"/>
      <c r="AA129" s="1785"/>
      <c r="AB129" s="1785"/>
      <c r="AC129" s="1785"/>
      <c r="AD129" s="1785"/>
      <c r="AF129" s="5"/>
      <c r="AN129" s="281"/>
    </row>
    <row r="130" spans="1:42" s="4" customFormat="1" ht="12.75" customHeight="1">
      <c r="B130" s="5"/>
      <c r="C130" s="45"/>
      <c r="D130" s="26"/>
      <c r="E130" s="1785"/>
      <c r="F130" s="1785"/>
      <c r="G130" s="1785"/>
      <c r="H130" s="1785"/>
      <c r="I130" s="1785"/>
      <c r="J130" s="1785"/>
      <c r="K130" s="1785"/>
      <c r="L130" s="1785"/>
      <c r="M130" s="1785"/>
      <c r="N130" s="1785"/>
      <c r="O130" s="1785"/>
      <c r="P130" s="1785"/>
      <c r="Q130" s="1785"/>
      <c r="R130" s="1785"/>
      <c r="S130" s="1785"/>
      <c r="T130" s="1785"/>
      <c r="U130" s="1785"/>
      <c r="V130" s="1785"/>
      <c r="W130" s="1785"/>
      <c r="X130" s="1785"/>
      <c r="Y130" s="1785"/>
      <c r="Z130" s="1785"/>
      <c r="AA130" s="1785"/>
      <c r="AB130" s="1785"/>
      <c r="AC130" s="1785"/>
      <c r="AD130" s="1785"/>
      <c r="AF130" s="5"/>
      <c r="AN130" s="281"/>
    </row>
    <row r="131" spans="1:42" s="4" customFormat="1" ht="12.75" customHeight="1">
      <c r="A131" s="35"/>
      <c r="B131" s="102"/>
      <c r="C131" s="121"/>
      <c r="D131" s="26"/>
      <c r="E131" s="1785"/>
      <c r="F131" s="1785"/>
      <c r="G131" s="1785"/>
      <c r="H131" s="1785"/>
      <c r="I131" s="1785"/>
      <c r="J131" s="1785"/>
      <c r="K131" s="1785"/>
      <c r="L131" s="1785"/>
      <c r="M131" s="1785"/>
      <c r="N131" s="1785"/>
      <c r="O131" s="1785"/>
      <c r="P131" s="1785"/>
      <c r="Q131" s="1785"/>
      <c r="R131" s="1785"/>
      <c r="S131" s="1785"/>
      <c r="T131" s="1785"/>
      <c r="U131" s="1785"/>
      <c r="V131" s="1785"/>
      <c r="W131" s="1785"/>
      <c r="X131" s="1785"/>
      <c r="Y131" s="1785"/>
      <c r="Z131" s="1785"/>
      <c r="AA131" s="1785"/>
      <c r="AB131" s="1785"/>
      <c r="AC131" s="1785"/>
      <c r="AD131" s="1785"/>
      <c r="AE131" s="19"/>
      <c r="AF131" s="102"/>
      <c r="AG131" s="19"/>
      <c r="AH131" s="19"/>
      <c r="AI131" s="19"/>
      <c r="AJ131" s="19"/>
      <c r="AN131" s="281"/>
    </row>
    <row r="132" spans="1:42" s="4" customFormat="1" ht="23.1" customHeight="1">
      <c r="B132" s="102"/>
      <c r="C132" s="121"/>
      <c r="D132" s="26"/>
      <c r="E132" s="1785"/>
      <c r="F132" s="1785"/>
      <c r="G132" s="1785"/>
      <c r="H132" s="1785"/>
      <c r="I132" s="1785"/>
      <c r="J132" s="1785"/>
      <c r="K132" s="1785"/>
      <c r="L132" s="1785"/>
      <c r="M132" s="1785"/>
      <c r="N132" s="1785"/>
      <c r="O132" s="1785"/>
      <c r="P132" s="1785"/>
      <c r="Q132" s="1785"/>
      <c r="R132" s="1785"/>
      <c r="S132" s="1785"/>
      <c r="T132" s="1785"/>
      <c r="U132" s="1785"/>
      <c r="V132" s="1785"/>
      <c r="W132" s="1785"/>
      <c r="X132" s="1785"/>
      <c r="Y132" s="1785"/>
      <c r="Z132" s="1785"/>
      <c r="AA132" s="1785"/>
      <c r="AB132" s="1785"/>
      <c r="AC132" s="1785"/>
      <c r="AD132" s="1785"/>
      <c r="AE132" s="19"/>
      <c r="AF132" s="102"/>
      <c r="AG132" s="19"/>
      <c r="AH132" s="19"/>
      <c r="AI132" s="19"/>
      <c r="AJ132" s="19"/>
      <c r="AN132" s="281"/>
      <c r="AO132" s="4" t="s">
        <v>132</v>
      </c>
      <c r="AP132" s="478">
        <v>0</v>
      </c>
    </row>
    <row r="133" spans="1:42" s="4" customFormat="1" ht="12.75" customHeight="1">
      <c r="B133" s="102"/>
      <c r="C133" s="45"/>
      <c r="D133" s="26"/>
      <c r="E133" s="19" t="s">
        <v>110</v>
      </c>
      <c r="F133" s="690"/>
      <c r="G133" s="690"/>
      <c r="H133" s="690"/>
      <c r="I133" s="690"/>
      <c r="J133" s="690"/>
      <c r="K133" s="690"/>
      <c r="L133" s="690"/>
      <c r="M133" s="690"/>
      <c r="N133" s="690"/>
      <c r="O133" s="690"/>
      <c r="P133" s="690"/>
      <c r="Q133" s="690"/>
      <c r="R133" s="690"/>
      <c r="S133" s="1788" t="s">
        <v>116</v>
      </c>
      <c r="T133" s="1788"/>
      <c r="U133" s="690"/>
      <c r="V133" s="690"/>
      <c r="W133" s="690"/>
      <c r="X133" s="690"/>
      <c r="Y133" s="690"/>
      <c r="Z133" s="690"/>
      <c r="AA133" s="690"/>
      <c r="AB133" s="690"/>
      <c r="AC133" s="690"/>
      <c r="AD133" s="690"/>
      <c r="AF133" s="102"/>
      <c r="AG133" s="19"/>
      <c r="AH133" s="19"/>
      <c r="AI133" s="19"/>
      <c r="AJ133" s="19"/>
      <c r="AN133" s="281"/>
      <c r="AO133" s="26" t="s">
        <v>611</v>
      </c>
      <c r="AP133" s="4">
        <v>5</v>
      </c>
    </row>
    <row r="134" spans="1:42" s="4" customFormat="1" ht="12.75" customHeight="1">
      <c r="B134" s="102"/>
      <c r="C134" s="121"/>
      <c r="W134" s="19"/>
      <c r="X134" s="19"/>
      <c r="Y134" s="19"/>
      <c r="Z134" s="19"/>
      <c r="AA134" s="19"/>
      <c r="AB134" s="19"/>
      <c r="AN134" s="281"/>
      <c r="AO134" s="26" t="s">
        <v>208</v>
      </c>
      <c r="AP134" s="127">
        <v>4</v>
      </c>
    </row>
    <row r="135" spans="1:42" s="4" customFormat="1" ht="12.75" customHeight="1">
      <c r="B135" s="5"/>
      <c r="C135" s="45"/>
      <c r="D135" s="26" t="s">
        <v>208</v>
      </c>
      <c r="E135" s="345" t="s">
        <v>1302</v>
      </c>
      <c r="F135" s="122"/>
      <c r="G135" s="122"/>
      <c r="H135" s="122"/>
      <c r="I135" s="122"/>
      <c r="J135" s="122"/>
      <c r="K135" s="122"/>
      <c r="L135" s="122"/>
      <c r="M135" s="122"/>
      <c r="N135" s="122"/>
      <c r="O135" s="122"/>
      <c r="P135" s="122"/>
      <c r="Q135" s="122"/>
      <c r="R135" s="122"/>
      <c r="S135" s="122"/>
      <c r="T135" s="122"/>
      <c r="W135" s="122"/>
      <c r="X135" s="122"/>
      <c r="Y135" s="122"/>
      <c r="Z135" s="122"/>
      <c r="AA135" s="122"/>
      <c r="AB135" s="122"/>
      <c r="AF135" s="1675" t="s">
        <v>111</v>
      </c>
      <c r="AG135" s="1675"/>
      <c r="AH135" s="1675"/>
      <c r="AI135" s="1675"/>
      <c r="AJ135" s="1675"/>
      <c r="AK135" s="1675"/>
      <c r="AL135" s="1675"/>
      <c r="AN135" s="281"/>
      <c r="AO135" s="26" t="s">
        <v>931</v>
      </c>
      <c r="AP135" s="4">
        <v>3</v>
      </c>
    </row>
    <row r="136" spans="1:42" s="4" customFormat="1" ht="12.75" customHeight="1">
      <c r="B136" s="5"/>
      <c r="C136" s="45"/>
      <c r="F136" s="122"/>
      <c r="G136" s="122"/>
      <c r="H136" s="122"/>
      <c r="I136" s="122"/>
      <c r="J136" s="122"/>
      <c r="K136" s="122"/>
      <c r="L136" s="122"/>
      <c r="M136" s="122"/>
      <c r="N136" s="122"/>
      <c r="O136" s="122"/>
      <c r="P136" s="122"/>
      <c r="Q136" s="122"/>
      <c r="R136" s="122"/>
      <c r="S136" s="122"/>
      <c r="T136" s="122"/>
      <c r="X136" s="122"/>
      <c r="Y136" s="122"/>
      <c r="Z136" s="122"/>
      <c r="AA136" s="122"/>
      <c r="AB136" s="122"/>
      <c r="AN136" s="281"/>
      <c r="AO136" s="26" t="s">
        <v>766</v>
      </c>
      <c r="AP136" s="127">
        <v>4</v>
      </c>
    </row>
    <row r="137" spans="1:42" s="4" customFormat="1" ht="12.75" customHeight="1">
      <c r="B137" s="5"/>
      <c r="C137" s="45"/>
      <c r="D137" s="4" t="s">
        <v>157</v>
      </c>
      <c r="E137" s="116"/>
      <c r="F137" s="116"/>
      <c r="G137" s="116"/>
      <c r="H137" s="1663" t="s">
        <v>611</v>
      </c>
      <c r="I137" s="1663"/>
      <c r="J137" s="122"/>
      <c r="K137" s="122"/>
      <c r="L137" s="122"/>
      <c r="M137" s="122"/>
      <c r="N137" s="122"/>
      <c r="O137" s="122"/>
      <c r="P137" s="122"/>
      <c r="Q137" s="122"/>
      <c r="R137" s="122"/>
      <c r="S137" s="122"/>
      <c r="T137" s="122"/>
      <c r="U137" s="116"/>
      <c r="V137" s="116"/>
      <c r="W137" s="116"/>
      <c r="AN137" s="281"/>
      <c r="AO137" s="26" t="s">
        <v>767</v>
      </c>
      <c r="AP137" s="4">
        <v>3</v>
      </c>
    </row>
    <row r="138" spans="1:42" s="4" customFormat="1" ht="12.75" customHeight="1">
      <c r="B138" s="5"/>
      <c r="C138" s="45"/>
      <c r="E138" s="116"/>
      <c r="F138" s="122"/>
      <c r="G138" s="122"/>
      <c r="H138" s="122"/>
      <c r="I138" s="513"/>
      <c r="J138" s="122"/>
      <c r="K138" s="122"/>
      <c r="L138" s="122"/>
      <c r="M138" s="122"/>
      <c r="N138" s="122"/>
      <c r="O138" s="122"/>
      <c r="P138" s="122"/>
      <c r="Q138" s="122"/>
      <c r="T138" s="122"/>
      <c r="U138" s="116"/>
      <c r="V138" s="116"/>
      <c r="W138" s="116"/>
      <c r="X138" s="116"/>
      <c r="Y138" s="116"/>
      <c r="Z138" s="116"/>
      <c r="AA138" s="116"/>
      <c r="AB138" s="116"/>
      <c r="AD138" s="5"/>
      <c r="AI138" s="122"/>
      <c r="AJ138" s="122"/>
      <c r="AK138" s="122"/>
      <c r="AL138" s="122"/>
      <c r="AM138" s="122"/>
      <c r="AN138" s="281"/>
      <c r="AO138" s="26" t="s">
        <v>294</v>
      </c>
      <c r="AP138" s="4">
        <v>2</v>
      </c>
    </row>
    <row r="139" spans="1:42" s="4" customFormat="1" ht="12.75" customHeight="1">
      <c r="A139" s="92"/>
      <c r="B139" s="89"/>
      <c r="C139" s="123"/>
      <c r="D139" s="93"/>
      <c r="E139" s="118"/>
      <c r="F139" s="118"/>
      <c r="G139" s="124"/>
      <c r="H139" s="124"/>
      <c r="I139" s="124"/>
      <c r="J139" s="124"/>
      <c r="K139" s="124"/>
      <c r="L139" s="124"/>
      <c r="M139" s="124"/>
      <c r="N139" s="124"/>
      <c r="O139" s="124"/>
      <c r="P139" s="124"/>
      <c r="Q139" s="124"/>
      <c r="R139" s="124"/>
      <c r="S139" s="124"/>
      <c r="T139" s="118"/>
      <c r="U139" s="118"/>
      <c r="V139" s="118"/>
      <c r="W139" s="118"/>
      <c r="X139" s="118"/>
      <c r="Y139" s="118"/>
      <c r="Z139" s="118"/>
      <c r="AA139" s="118"/>
      <c r="AB139" s="93"/>
      <c r="AC139" s="89"/>
      <c r="AD139" s="93"/>
      <c r="AE139" s="93"/>
      <c r="AF139" s="93"/>
      <c r="AG139" s="93"/>
      <c r="AH139" s="93"/>
      <c r="AI139" s="60" t="s">
        <v>680</v>
      </c>
      <c r="AJ139" s="1240">
        <f>VLOOKUP($H$137,$AO$111:$AP$113,2,FALSE)</f>
        <v>3</v>
      </c>
      <c r="AK139" s="1243"/>
      <c r="AL139" s="10"/>
      <c r="AN139" s="281"/>
      <c r="AO139" s="26" t="s">
        <v>295</v>
      </c>
      <c r="AP139" s="4">
        <v>1</v>
      </c>
    </row>
    <row r="140" spans="1:42" s="4" customFormat="1" ht="12.75" customHeight="1">
      <c r="B140" s="5"/>
      <c r="C140" s="45"/>
      <c r="E140" s="116"/>
      <c r="F140" s="116"/>
      <c r="G140" s="116"/>
      <c r="J140" s="122"/>
      <c r="K140" s="122"/>
      <c r="L140" s="122"/>
      <c r="M140" s="122"/>
      <c r="N140" s="122"/>
      <c r="O140" s="122"/>
      <c r="P140" s="122"/>
      <c r="Q140" s="122"/>
      <c r="R140" s="122"/>
      <c r="S140" s="122"/>
      <c r="T140" s="122"/>
      <c r="U140" s="116"/>
      <c r="V140" s="116"/>
      <c r="W140" s="116"/>
      <c r="X140" s="116"/>
      <c r="Y140" s="116"/>
      <c r="Z140" s="116"/>
      <c r="AA140" s="116"/>
      <c r="AB140" s="116"/>
      <c r="AD140" s="5"/>
      <c r="AJ140" s="111"/>
      <c r="AN140" s="281"/>
    </row>
    <row r="141" spans="1:42" s="4" customFormat="1" ht="12.75" customHeight="1">
      <c r="B141" s="5"/>
      <c r="C141" s="3" t="s">
        <v>102</v>
      </c>
      <c r="E141" s="116"/>
      <c r="F141" s="122"/>
      <c r="G141" s="122"/>
      <c r="H141" s="122"/>
      <c r="I141" s="122"/>
      <c r="J141" s="122"/>
      <c r="K141" s="122"/>
      <c r="L141" s="122"/>
      <c r="M141" s="122"/>
      <c r="N141" s="122"/>
      <c r="O141" s="122"/>
      <c r="P141" s="122"/>
      <c r="Q141" s="122"/>
      <c r="R141" s="122"/>
      <c r="S141" s="122"/>
      <c r="T141" s="122"/>
      <c r="W141" s="122"/>
      <c r="X141" s="122"/>
      <c r="Y141" s="122"/>
      <c r="Z141" s="122"/>
      <c r="AA141" s="122"/>
      <c r="AB141" s="122"/>
      <c r="AC141" s="108"/>
      <c r="AD141" s="108"/>
      <c r="AE141" s="108"/>
      <c r="AF141" s="108"/>
      <c r="AG141" s="108"/>
      <c r="AH141" s="108"/>
      <c r="AI141" s="108"/>
      <c r="AN141" s="281"/>
    </row>
    <row r="142" spans="1:42" s="4" customFormat="1" ht="12.75" customHeight="1">
      <c r="A142" s="35"/>
      <c r="B142" s="5"/>
      <c r="C142" s="115"/>
      <c r="E142" s="122"/>
      <c r="F142" s="122"/>
      <c r="G142" s="122"/>
      <c r="H142" s="122"/>
      <c r="I142" s="122"/>
      <c r="J142" s="122"/>
      <c r="K142" s="122"/>
      <c r="L142" s="122"/>
      <c r="M142" s="122"/>
      <c r="N142" s="122"/>
      <c r="O142" s="122"/>
      <c r="P142" s="122"/>
      <c r="Q142" s="122"/>
      <c r="R142" s="122"/>
      <c r="S142" s="122"/>
      <c r="T142" s="122"/>
      <c r="U142" s="122"/>
      <c r="V142" s="122"/>
      <c r="W142" s="122"/>
      <c r="X142" s="122"/>
      <c r="Y142" s="122"/>
      <c r="Z142" s="122"/>
      <c r="AA142" s="122"/>
      <c r="AB142" s="122"/>
      <c r="AD142" s="5"/>
      <c r="AN142" s="281"/>
    </row>
    <row r="143" spans="1:42" s="4" customFormat="1" ht="12.75" customHeight="1">
      <c r="D143" s="26" t="s">
        <v>611</v>
      </c>
      <c r="E143" s="19" t="s">
        <v>979</v>
      </c>
      <c r="F143" s="122"/>
      <c r="G143" s="122"/>
      <c r="H143" s="122"/>
      <c r="I143" s="122"/>
      <c r="J143" s="122"/>
      <c r="K143" s="122"/>
      <c r="L143" s="122"/>
      <c r="M143" s="122"/>
      <c r="N143" s="122"/>
      <c r="O143" s="122"/>
      <c r="P143" s="122"/>
      <c r="Q143" s="122"/>
      <c r="R143" s="122"/>
      <c r="S143" s="122"/>
      <c r="T143" s="122"/>
      <c r="U143" s="122"/>
      <c r="V143" s="122"/>
      <c r="W143" s="122"/>
      <c r="X143" s="122"/>
      <c r="Y143" s="122"/>
      <c r="Z143" s="122"/>
      <c r="AA143" s="122"/>
      <c r="AB143" s="122"/>
      <c r="AF143" s="1675" t="s">
        <v>65</v>
      </c>
      <c r="AG143" s="1675"/>
      <c r="AH143" s="1675"/>
      <c r="AI143" s="1675"/>
      <c r="AJ143" s="1675"/>
      <c r="AK143" s="1675"/>
      <c r="AL143" s="1675"/>
      <c r="AN143" s="281"/>
    </row>
    <row r="144" spans="1:42" s="4" customFormat="1" ht="12.75" customHeight="1">
      <c r="D144" s="26"/>
      <c r="E144" s="19" t="s">
        <v>980</v>
      </c>
      <c r="F144" s="122"/>
      <c r="G144" s="122"/>
      <c r="H144" s="122"/>
      <c r="I144" s="122"/>
      <c r="J144" s="122"/>
      <c r="K144" s="122"/>
      <c r="L144" s="122"/>
      <c r="M144" s="122"/>
      <c r="N144" s="122"/>
      <c r="O144" s="122"/>
      <c r="P144" s="122"/>
      <c r="Q144" s="122"/>
      <c r="R144" s="122"/>
      <c r="S144" s="122"/>
      <c r="T144" s="122"/>
      <c r="U144" s="122"/>
      <c r="V144" s="122"/>
      <c r="W144" s="122"/>
      <c r="X144" s="122"/>
      <c r="Y144" s="122"/>
      <c r="Z144" s="122"/>
      <c r="AA144" s="122"/>
      <c r="AB144" s="122"/>
      <c r="AE144" s="108"/>
      <c r="AF144" s="108"/>
      <c r="AG144" s="108"/>
      <c r="AH144" s="108"/>
      <c r="AI144" s="108"/>
      <c r="AJ144" s="108"/>
      <c r="AK144" s="108"/>
      <c r="AL144" s="108"/>
      <c r="AN144" s="281"/>
    </row>
    <row r="145" spans="1:42" s="4" customFormat="1" ht="12.75" customHeight="1">
      <c r="B145" s="102"/>
      <c r="C145" s="121"/>
      <c r="D145" s="26"/>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81"/>
    </row>
    <row r="146" spans="1:42" s="4" customFormat="1" ht="12.75" customHeight="1">
      <c r="B146" s="5"/>
      <c r="C146" s="45"/>
      <c r="D146" s="26" t="s">
        <v>208</v>
      </c>
      <c r="E146" s="19" t="s">
        <v>1303</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675" t="s">
        <v>111</v>
      </c>
      <c r="AG146" s="1675"/>
      <c r="AH146" s="1675"/>
      <c r="AI146" s="1675"/>
      <c r="AJ146" s="1675"/>
      <c r="AK146" s="1675"/>
      <c r="AL146" s="1675"/>
      <c r="AN146" s="281"/>
    </row>
    <row r="147" spans="1:42" s="4" customFormat="1" ht="12.75" customHeight="1">
      <c r="B147" s="5"/>
      <c r="C147" s="45"/>
      <c r="D147" s="26"/>
      <c r="E147" s="19" t="s">
        <v>1304</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108"/>
      <c r="AF147" s="108"/>
      <c r="AG147" s="108"/>
      <c r="AH147" s="108"/>
      <c r="AI147" s="108"/>
      <c r="AJ147" s="108"/>
      <c r="AK147" s="108"/>
      <c r="AL147" s="108"/>
      <c r="AN147" s="281"/>
    </row>
    <row r="148" spans="1:42" s="4" customFormat="1" ht="12.75" customHeight="1">
      <c r="B148" s="5"/>
      <c r="C148" s="45"/>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81"/>
      <c r="AP148" s="127"/>
    </row>
    <row r="149" spans="1:42" s="4" customFormat="1" ht="12.75" customHeight="1">
      <c r="B149" s="5"/>
      <c r="C149" s="45"/>
      <c r="D149" s="4" t="s">
        <v>157</v>
      </c>
      <c r="E149" s="116"/>
      <c r="F149" s="116"/>
      <c r="G149" s="116"/>
      <c r="H149" s="1663" t="s">
        <v>132</v>
      </c>
      <c r="I149" s="1663"/>
      <c r="J149" s="19"/>
      <c r="K149" s="19"/>
      <c r="L149" s="19"/>
      <c r="M149" s="19"/>
      <c r="N149" s="19"/>
      <c r="O149" s="19"/>
      <c r="P149" s="19"/>
      <c r="Q149" s="19"/>
      <c r="R149" s="19"/>
      <c r="S149" s="19"/>
      <c r="T149" s="19"/>
      <c r="U149" s="19"/>
      <c r="V149" s="19"/>
      <c r="AN149" s="281"/>
    </row>
    <row r="150" spans="1:42" s="4" customFormat="1" ht="12.75" customHeight="1">
      <c r="B150" s="5"/>
      <c r="C150" s="45"/>
      <c r="E150" s="116"/>
      <c r="F150" s="116"/>
      <c r="G150" s="19"/>
      <c r="H150" s="19"/>
      <c r="I150" s="19"/>
      <c r="J150" s="19"/>
      <c r="K150" s="19"/>
      <c r="L150" s="19"/>
      <c r="M150" s="19"/>
      <c r="N150" s="19"/>
      <c r="O150" s="19"/>
      <c r="P150" s="19"/>
      <c r="Q150" s="19"/>
      <c r="R150" s="19"/>
      <c r="S150" s="19"/>
      <c r="T150" s="19"/>
      <c r="U150" s="19"/>
      <c r="V150" s="19"/>
      <c r="W150" s="19"/>
      <c r="X150" s="19"/>
      <c r="Y150" s="19"/>
      <c r="Z150" s="116"/>
      <c r="AA150" s="116"/>
      <c r="AB150" s="116"/>
      <c r="AJ150" s="19"/>
      <c r="AK150" s="19"/>
      <c r="AL150" s="19"/>
      <c r="AM150" s="19"/>
      <c r="AN150" s="281"/>
    </row>
    <row r="151" spans="1:42" s="4" customFormat="1" ht="12.75" customHeight="1">
      <c r="A151" s="92"/>
      <c r="B151" s="89"/>
      <c r="C151" s="123"/>
      <c r="D151" s="93"/>
      <c r="E151" s="118"/>
      <c r="F151" s="118"/>
      <c r="G151" s="125"/>
      <c r="H151" s="125"/>
      <c r="I151" s="125"/>
      <c r="J151" s="125"/>
      <c r="K151" s="125"/>
      <c r="L151" s="125"/>
      <c r="M151" s="125"/>
      <c r="N151" s="125"/>
      <c r="O151" s="125"/>
      <c r="P151" s="125"/>
      <c r="Q151" s="125"/>
      <c r="R151" s="125"/>
      <c r="S151" s="125"/>
      <c r="T151" s="125"/>
      <c r="U151" s="125"/>
      <c r="V151" s="125"/>
      <c r="W151" s="125"/>
      <c r="X151" s="125"/>
      <c r="Y151" s="118"/>
      <c r="Z151" s="118"/>
      <c r="AA151" s="118"/>
      <c r="AB151" s="93"/>
      <c r="AC151" s="89"/>
      <c r="AD151" s="93"/>
      <c r="AE151" s="93"/>
      <c r="AF151" s="93"/>
      <c r="AG151" s="93"/>
      <c r="AH151" s="93"/>
      <c r="AI151" s="60" t="s">
        <v>681</v>
      </c>
      <c r="AJ151" s="1240">
        <f>VLOOKUP(H149,AT111:AU113,2,FALSE)</f>
        <v>0</v>
      </c>
      <c r="AK151" s="1243"/>
      <c r="AL151" s="10"/>
      <c r="AN151" s="281"/>
      <c r="AO151" s="4" t="s">
        <v>132</v>
      </c>
      <c r="AP151" s="478">
        <v>0</v>
      </c>
    </row>
    <row r="152" spans="1:42" s="4" customFormat="1" ht="12.75" customHeight="1">
      <c r="B152" s="5"/>
      <c r="C152" s="45"/>
      <c r="AN152" s="281"/>
      <c r="AO152" s="26" t="s">
        <v>611</v>
      </c>
      <c r="AP152" s="4">
        <v>3</v>
      </c>
    </row>
    <row r="153" spans="1:42" s="4" customFormat="1" ht="12.75" customHeight="1">
      <c r="C153" s="3" t="s">
        <v>327</v>
      </c>
      <c r="AN153" s="281"/>
      <c r="AO153" s="26" t="s">
        <v>208</v>
      </c>
      <c r="AP153" s="4">
        <v>2</v>
      </c>
    </row>
    <row r="154" spans="1:42" s="4" customFormat="1" ht="12.75" customHeight="1">
      <c r="C154" s="3"/>
      <c r="D154" s="269" t="s">
        <v>1168</v>
      </c>
      <c r="AN154" s="281"/>
    </row>
    <row r="155" spans="1:42" s="4" customFormat="1" ht="12.75" customHeight="1">
      <c r="C155" s="3"/>
      <c r="AN155" s="281"/>
    </row>
    <row r="156" spans="1:42" s="4" customFormat="1" ht="12.75" customHeight="1">
      <c r="C156" s="3"/>
      <c r="D156" s="26" t="s">
        <v>611</v>
      </c>
      <c r="E156" s="1664" t="s">
        <v>781</v>
      </c>
      <c r="F156" s="1664"/>
      <c r="G156" s="1664"/>
      <c r="H156" s="1664"/>
      <c r="I156" s="1664"/>
      <c r="J156" s="1664"/>
      <c r="K156" s="1664"/>
      <c r="L156" s="1664"/>
      <c r="M156" s="1664"/>
      <c r="N156" s="1664"/>
      <c r="O156" s="1664"/>
      <c r="P156" s="1664"/>
      <c r="Q156" s="1664"/>
      <c r="R156" s="1664"/>
      <c r="S156" s="1664"/>
      <c r="T156" s="1664"/>
      <c r="U156" s="1664"/>
      <c r="V156" s="1664"/>
      <c r="W156" s="1664"/>
      <c r="X156" s="1664"/>
      <c r="Y156" s="1664"/>
      <c r="Z156" s="1664"/>
      <c r="AA156" s="1664"/>
      <c r="AB156" s="1664"/>
      <c r="AC156" s="1664"/>
      <c r="AF156" s="1675" t="s">
        <v>63</v>
      </c>
      <c r="AG156" s="1675"/>
      <c r="AH156" s="1675"/>
      <c r="AI156" s="1675"/>
      <c r="AJ156" s="1675"/>
      <c r="AK156" s="1675"/>
      <c r="AL156" s="1675"/>
      <c r="AN156" s="281"/>
    </row>
    <row r="157" spans="1:42" s="4" customFormat="1" ht="12.75" customHeight="1">
      <c r="C157" s="3"/>
      <c r="E157" s="1664"/>
      <c r="F157" s="1664"/>
      <c r="G157" s="1664"/>
      <c r="H157" s="1664"/>
      <c r="I157" s="1664"/>
      <c r="J157" s="1664"/>
      <c r="K157" s="1664"/>
      <c r="L157" s="1664"/>
      <c r="M157" s="1664"/>
      <c r="N157" s="1664"/>
      <c r="O157" s="1664"/>
      <c r="P157" s="1664"/>
      <c r="Q157" s="1664"/>
      <c r="R157" s="1664"/>
      <c r="S157" s="1664"/>
      <c r="T157" s="1664"/>
      <c r="U157" s="1664"/>
      <c r="V157" s="1664"/>
      <c r="W157" s="1664"/>
      <c r="X157" s="1664"/>
      <c r="Y157" s="1664"/>
      <c r="Z157" s="1664"/>
      <c r="AA157" s="1664"/>
      <c r="AB157" s="1664"/>
      <c r="AC157" s="1664"/>
      <c r="AN157" s="281"/>
    </row>
    <row r="158" spans="1:42" s="4" customFormat="1" ht="12.75" customHeight="1">
      <c r="C158" s="3"/>
      <c r="D158" s="26"/>
      <c r="E158" s="1664"/>
      <c r="F158" s="1664"/>
      <c r="G158" s="1664"/>
      <c r="H158" s="1664"/>
      <c r="I158" s="1664"/>
      <c r="J158" s="1664"/>
      <c r="K158" s="1664"/>
      <c r="L158" s="1664"/>
      <c r="M158" s="1664"/>
      <c r="N158" s="1664"/>
      <c r="O158" s="1664"/>
      <c r="P158" s="1664"/>
      <c r="Q158" s="1664"/>
      <c r="R158" s="1664"/>
      <c r="S158" s="1664"/>
      <c r="T158" s="1664"/>
      <c r="U158" s="1664"/>
      <c r="V158" s="1664"/>
      <c r="W158" s="1664"/>
      <c r="X158" s="1664"/>
      <c r="Y158" s="1664"/>
      <c r="Z158" s="1664"/>
      <c r="AA158" s="1664"/>
      <c r="AB158" s="1664"/>
      <c r="AC158" s="1664"/>
      <c r="AN158" s="281"/>
    </row>
    <row r="159" spans="1:42" s="4" customFormat="1" ht="15" customHeight="1">
      <c r="C159" s="3"/>
      <c r="E159" s="343"/>
      <c r="F159" s="343"/>
      <c r="G159" s="343"/>
      <c r="H159" s="343"/>
      <c r="I159" s="343"/>
      <c r="J159" s="343"/>
      <c r="K159" s="343"/>
      <c r="L159" s="343"/>
      <c r="M159" s="343"/>
      <c r="N159" s="343"/>
      <c r="O159" s="343"/>
      <c r="P159" s="343"/>
      <c r="Q159" s="343"/>
      <c r="R159" s="343"/>
      <c r="S159" s="343"/>
      <c r="T159" s="343"/>
      <c r="U159" s="343"/>
      <c r="V159" s="343"/>
      <c r="W159" s="343"/>
      <c r="X159" s="343"/>
      <c r="Y159" s="343"/>
      <c r="Z159" s="343"/>
      <c r="AA159" s="343"/>
      <c r="AB159" s="343"/>
      <c r="AN159" s="281"/>
    </row>
    <row r="160" spans="1:42" s="4" customFormat="1" ht="12.75" customHeight="1">
      <c r="C160" s="3"/>
      <c r="D160" s="26" t="s">
        <v>208</v>
      </c>
      <c r="E160" s="1664" t="s">
        <v>1784</v>
      </c>
      <c r="F160" s="1664"/>
      <c r="G160" s="1664"/>
      <c r="H160" s="1664"/>
      <c r="I160" s="1664"/>
      <c r="J160" s="1664"/>
      <c r="K160" s="1664"/>
      <c r="L160" s="1664"/>
      <c r="M160" s="1664"/>
      <c r="N160" s="1664"/>
      <c r="O160" s="1664"/>
      <c r="P160" s="1664"/>
      <c r="Q160" s="1664"/>
      <c r="R160" s="1664"/>
      <c r="S160" s="1664"/>
      <c r="T160" s="1664"/>
      <c r="U160" s="1664"/>
      <c r="V160" s="1664"/>
      <c r="W160" s="1664"/>
      <c r="X160" s="1664"/>
      <c r="Y160" s="1664"/>
      <c r="Z160" s="1664"/>
      <c r="AA160" s="1664"/>
      <c r="AB160" s="1664"/>
      <c r="AC160" s="1664"/>
      <c r="AF160" s="1675" t="s">
        <v>64</v>
      </c>
      <c r="AG160" s="1675"/>
      <c r="AH160" s="1675"/>
      <c r="AI160" s="1675"/>
      <c r="AJ160" s="1675"/>
      <c r="AK160" s="1675"/>
      <c r="AL160" s="1675"/>
      <c r="AN160" s="281"/>
    </row>
    <row r="161" spans="1:42" s="4" customFormat="1" ht="12.75" customHeight="1">
      <c r="C161" s="3"/>
      <c r="E161" s="1664"/>
      <c r="F161" s="1664"/>
      <c r="G161" s="1664"/>
      <c r="H161" s="1664"/>
      <c r="I161" s="1664"/>
      <c r="J161" s="1664"/>
      <c r="K161" s="1664"/>
      <c r="L161" s="1664"/>
      <c r="M161" s="1664"/>
      <c r="N161" s="1664"/>
      <c r="O161" s="1664"/>
      <c r="P161" s="1664"/>
      <c r="Q161" s="1664"/>
      <c r="R161" s="1664"/>
      <c r="S161" s="1664"/>
      <c r="T161" s="1664"/>
      <c r="U161" s="1664"/>
      <c r="V161" s="1664"/>
      <c r="W161" s="1664"/>
      <c r="X161" s="1664"/>
      <c r="Y161" s="1664"/>
      <c r="Z161" s="1664"/>
      <c r="AA161" s="1664"/>
      <c r="AB161" s="1664"/>
      <c r="AC161" s="1664"/>
      <c r="AN161" s="281"/>
    </row>
    <row r="162" spans="1:42" s="4" customFormat="1" ht="15" customHeight="1">
      <c r="C162" s="3"/>
      <c r="D162" s="26"/>
      <c r="E162" s="1664"/>
      <c r="F162" s="1664"/>
      <c r="G162" s="1664"/>
      <c r="H162" s="1664"/>
      <c r="I162" s="1664"/>
      <c r="J162" s="1664"/>
      <c r="K162" s="1664"/>
      <c r="L162" s="1664"/>
      <c r="M162" s="1664"/>
      <c r="N162" s="1664"/>
      <c r="O162" s="1664"/>
      <c r="P162" s="1664"/>
      <c r="Q162" s="1664"/>
      <c r="R162" s="1664"/>
      <c r="S162" s="1664"/>
      <c r="T162" s="1664"/>
      <c r="U162" s="1664"/>
      <c r="V162" s="1664"/>
      <c r="W162" s="1664"/>
      <c r="X162" s="1664"/>
      <c r="Y162" s="1664"/>
      <c r="Z162" s="1664"/>
      <c r="AA162" s="1664"/>
      <c r="AB162" s="1664"/>
      <c r="AC162" s="1664"/>
      <c r="AN162" s="281"/>
    </row>
    <row r="163" spans="1:42" s="4" customFormat="1" ht="12.75" customHeight="1">
      <c r="C163" s="3"/>
      <c r="E163" s="343"/>
      <c r="F163" s="343"/>
      <c r="G163" s="343"/>
      <c r="H163" s="343"/>
      <c r="I163" s="343"/>
      <c r="J163" s="343"/>
      <c r="K163" s="343"/>
      <c r="L163" s="343"/>
      <c r="M163" s="343"/>
      <c r="N163" s="343"/>
      <c r="O163" s="343"/>
      <c r="P163" s="343"/>
      <c r="Q163" s="343"/>
      <c r="R163" s="343"/>
      <c r="S163" s="343"/>
      <c r="T163" s="343"/>
      <c r="U163" s="343"/>
      <c r="V163" s="343"/>
      <c r="W163" s="343"/>
      <c r="X163" s="343"/>
      <c r="Y163" s="343"/>
      <c r="Z163" s="343"/>
      <c r="AA163" s="343"/>
      <c r="AB163" s="343"/>
      <c r="AN163" s="281"/>
    </row>
    <row r="164" spans="1:42" s="4" customFormat="1" ht="12.75" customHeight="1">
      <c r="C164" s="3"/>
      <c r="D164" s="26" t="s">
        <v>931</v>
      </c>
      <c r="E164" s="1664" t="s">
        <v>1785</v>
      </c>
      <c r="F164" s="1664"/>
      <c r="G164" s="1664"/>
      <c r="H164" s="1664"/>
      <c r="I164" s="1664"/>
      <c r="J164" s="1664"/>
      <c r="K164" s="1664"/>
      <c r="L164" s="1664"/>
      <c r="M164" s="1664"/>
      <c r="N164" s="1664"/>
      <c r="O164" s="1664"/>
      <c r="P164" s="1664"/>
      <c r="Q164" s="1664"/>
      <c r="R164" s="1664"/>
      <c r="S164" s="1664"/>
      <c r="T164" s="1664"/>
      <c r="U164" s="1664"/>
      <c r="V164" s="1664"/>
      <c r="W164" s="1664"/>
      <c r="X164" s="1664"/>
      <c r="Y164" s="1664"/>
      <c r="Z164" s="1664"/>
      <c r="AA164" s="1664"/>
      <c r="AB164" s="1664"/>
      <c r="AC164" s="1664"/>
      <c r="AF164" s="1675" t="s">
        <v>65</v>
      </c>
      <c r="AG164" s="1675"/>
      <c r="AH164" s="1675"/>
      <c r="AI164" s="1675"/>
      <c r="AJ164" s="1675"/>
      <c r="AK164" s="1675"/>
      <c r="AL164" s="1675"/>
      <c r="AN164" s="281"/>
    </row>
    <row r="165" spans="1:42" s="4" customFormat="1" ht="12.75" customHeight="1">
      <c r="B165" s="5"/>
      <c r="C165" s="45"/>
      <c r="E165" s="1664"/>
      <c r="F165" s="1664"/>
      <c r="G165" s="1664"/>
      <c r="H165" s="1664"/>
      <c r="I165" s="1664"/>
      <c r="J165" s="1664"/>
      <c r="K165" s="1664"/>
      <c r="L165" s="1664"/>
      <c r="M165" s="1664"/>
      <c r="N165" s="1664"/>
      <c r="O165" s="1664"/>
      <c r="P165" s="1664"/>
      <c r="Q165" s="1664"/>
      <c r="R165" s="1664"/>
      <c r="S165" s="1664"/>
      <c r="T165" s="1664"/>
      <c r="U165" s="1664"/>
      <c r="V165" s="1664"/>
      <c r="W165" s="1664"/>
      <c r="X165" s="1664"/>
      <c r="Y165" s="1664"/>
      <c r="Z165" s="1664"/>
      <c r="AA165" s="1664"/>
      <c r="AB165" s="1664"/>
      <c r="AC165" s="1664"/>
      <c r="AE165" s="1675"/>
      <c r="AF165" s="1675"/>
      <c r="AG165" s="1675"/>
      <c r="AH165" s="1675"/>
      <c r="AI165" s="1675"/>
      <c r="AJ165" s="1675"/>
      <c r="AK165" s="1675"/>
      <c r="AL165" s="108"/>
      <c r="AN165" s="281"/>
      <c r="AO165" s="4" t="s">
        <v>132</v>
      </c>
      <c r="AP165" s="478">
        <v>0</v>
      </c>
    </row>
    <row r="166" spans="1:42" s="4" customFormat="1" ht="12.75" customHeight="1">
      <c r="A166" s="120"/>
      <c r="D166" s="26"/>
      <c r="E166" s="1664"/>
      <c r="F166" s="1664"/>
      <c r="G166" s="1664"/>
      <c r="H166" s="1664"/>
      <c r="I166" s="1664"/>
      <c r="J166" s="1664"/>
      <c r="K166" s="1664"/>
      <c r="L166" s="1664"/>
      <c r="M166" s="1664"/>
      <c r="N166" s="1664"/>
      <c r="O166" s="1664"/>
      <c r="P166" s="1664"/>
      <c r="Q166" s="1664"/>
      <c r="R166" s="1664"/>
      <c r="S166" s="1664"/>
      <c r="T166" s="1664"/>
      <c r="U166" s="1664"/>
      <c r="V166" s="1664"/>
      <c r="W166" s="1664"/>
      <c r="X166" s="1664"/>
      <c r="Y166" s="1664"/>
      <c r="Z166" s="1664"/>
      <c r="AA166" s="1664"/>
      <c r="AB166" s="1664"/>
      <c r="AC166" s="1664"/>
      <c r="AF166" s="5"/>
      <c r="AN166" s="281"/>
      <c r="AO166" s="26" t="s">
        <v>611</v>
      </c>
      <c r="AP166" s="4">
        <v>3</v>
      </c>
    </row>
    <row r="167" spans="1:42" s="4" customFormat="1" ht="12.75" customHeight="1">
      <c r="B167" s="5"/>
      <c r="C167" s="45"/>
      <c r="D167" s="26"/>
      <c r="E167" s="344"/>
      <c r="F167" s="344"/>
      <c r="G167" s="344"/>
      <c r="H167" s="344"/>
      <c r="I167" s="344"/>
      <c r="J167" s="344"/>
      <c r="K167" s="344"/>
      <c r="L167" s="344"/>
      <c r="M167" s="344"/>
      <c r="N167" s="344"/>
      <c r="O167" s="344"/>
      <c r="P167" s="344"/>
      <c r="Q167" s="344"/>
      <c r="R167" s="344"/>
      <c r="S167" s="344"/>
      <c r="T167" s="344"/>
      <c r="U167" s="344"/>
      <c r="V167" s="344"/>
      <c r="W167" s="344"/>
      <c r="X167" s="344"/>
      <c r="Y167" s="344"/>
      <c r="Z167" s="344"/>
      <c r="AA167" s="344"/>
      <c r="AB167" s="344"/>
      <c r="AN167" s="281"/>
      <c r="AO167" s="26" t="s">
        <v>208</v>
      </c>
      <c r="AP167" s="4">
        <v>2</v>
      </c>
    </row>
    <row r="168" spans="1:42" s="4" customFormat="1" ht="12.75" customHeight="1">
      <c r="A168" s="111"/>
      <c r="B168" s="5"/>
      <c r="C168" s="126"/>
      <c r="D168" s="26" t="s">
        <v>766</v>
      </c>
      <c r="E168" s="1664" t="s">
        <v>1786</v>
      </c>
      <c r="F168" s="1664"/>
      <c r="G168" s="1664"/>
      <c r="H168" s="1664"/>
      <c r="I168" s="1664"/>
      <c r="J168" s="1664"/>
      <c r="K168" s="1664"/>
      <c r="L168" s="1664"/>
      <c r="M168" s="1664"/>
      <c r="N168" s="1664"/>
      <c r="O168" s="1664"/>
      <c r="P168" s="1664"/>
      <c r="Q168" s="1664"/>
      <c r="R168" s="1664"/>
      <c r="S168" s="1664"/>
      <c r="T168" s="1664"/>
      <c r="U168" s="1664"/>
      <c r="V168" s="1664"/>
      <c r="W168" s="1664"/>
      <c r="X168" s="1664"/>
      <c r="Y168" s="1664"/>
      <c r="Z168" s="1664"/>
      <c r="AA168" s="1664"/>
      <c r="AB168" s="1664"/>
      <c r="AC168" s="1664"/>
      <c r="AF168" s="1675" t="s">
        <v>64</v>
      </c>
      <c r="AG168" s="1675"/>
      <c r="AH168" s="1675"/>
      <c r="AI168" s="1675"/>
      <c r="AJ168" s="1675"/>
      <c r="AK168" s="1675"/>
      <c r="AL168" s="1675"/>
      <c r="AN168" s="281"/>
    </row>
    <row r="169" spans="1:42" s="4" customFormat="1" ht="12.75" customHeight="1">
      <c r="A169" s="111"/>
      <c r="B169" s="5"/>
      <c r="C169" s="126"/>
      <c r="D169" s="26"/>
      <c r="E169" s="1664"/>
      <c r="F169" s="1664"/>
      <c r="G169" s="1664"/>
      <c r="H169" s="1664"/>
      <c r="I169" s="1664"/>
      <c r="J169" s="1664"/>
      <c r="K169" s="1664"/>
      <c r="L169" s="1664"/>
      <c r="M169" s="1664"/>
      <c r="N169" s="1664"/>
      <c r="O169" s="1664"/>
      <c r="P169" s="1664"/>
      <c r="Q169" s="1664"/>
      <c r="R169" s="1664"/>
      <c r="S169" s="1664"/>
      <c r="T169" s="1664"/>
      <c r="U169" s="1664"/>
      <c r="V169" s="1664"/>
      <c r="W169" s="1664"/>
      <c r="X169" s="1664"/>
      <c r="Y169" s="1664"/>
      <c r="Z169" s="1664"/>
      <c r="AA169" s="1664"/>
      <c r="AB169" s="1664"/>
      <c r="AC169" s="1664"/>
      <c r="AE169" s="108"/>
      <c r="AF169" s="108"/>
      <c r="AG169" s="108"/>
      <c r="AH169" s="108"/>
      <c r="AI169" s="108"/>
      <c r="AJ169" s="108"/>
      <c r="AK169" s="108"/>
      <c r="AL169" s="108"/>
      <c r="AM169" s="20"/>
      <c r="AN169" s="281"/>
    </row>
    <row r="170" spans="1:42" s="4" customFormat="1" ht="12.75" customHeight="1">
      <c r="A170" s="111"/>
      <c r="B170" s="5"/>
      <c r="C170" s="126"/>
      <c r="D170" s="26"/>
      <c r="E170" s="1664"/>
      <c r="F170" s="1664"/>
      <c r="G170" s="1664"/>
      <c r="H170" s="1664"/>
      <c r="I170" s="1664"/>
      <c r="J170" s="1664"/>
      <c r="K170" s="1664"/>
      <c r="L170" s="1664"/>
      <c r="M170" s="1664"/>
      <c r="N170" s="1664"/>
      <c r="O170" s="1664"/>
      <c r="P170" s="1664"/>
      <c r="Q170" s="1664"/>
      <c r="R170" s="1664"/>
      <c r="S170" s="1664"/>
      <c r="T170" s="1664"/>
      <c r="U170" s="1664"/>
      <c r="V170" s="1664"/>
      <c r="W170" s="1664"/>
      <c r="X170" s="1664"/>
      <c r="Y170" s="1664"/>
      <c r="Z170" s="1664"/>
      <c r="AA170" s="1664"/>
      <c r="AB170" s="1664"/>
      <c r="AC170" s="1664"/>
      <c r="AE170" s="108"/>
      <c r="AF170" s="108"/>
      <c r="AG170" s="108"/>
      <c r="AH170" s="108"/>
      <c r="AI170" s="108"/>
      <c r="AJ170" s="108"/>
      <c r="AK170" s="108"/>
      <c r="AL170" s="108"/>
      <c r="AM170" s="20"/>
      <c r="AN170" s="281"/>
    </row>
    <row r="171" spans="1:42" s="4" customFormat="1" ht="12.75" customHeight="1">
      <c r="B171" s="5"/>
      <c r="C171" s="4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0"/>
      <c r="AD171" s="20"/>
      <c r="AL171" s="108"/>
      <c r="AM171" s="20"/>
      <c r="AN171" s="281"/>
    </row>
    <row r="172" spans="1:42" s="4" customFormat="1" ht="12.75" customHeight="1">
      <c r="B172" s="5"/>
      <c r="C172" s="45"/>
      <c r="D172" s="26" t="s">
        <v>767</v>
      </c>
      <c r="E172" s="1664" t="s">
        <v>1787</v>
      </c>
      <c r="F172" s="1664"/>
      <c r="G172" s="1664"/>
      <c r="H172" s="1664"/>
      <c r="I172" s="1664"/>
      <c r="J172" s="1664"/>
      <c r="K172" s="1664"/>
      <c r="L172" s="1664"/>
      <c r="M172" s="1664"/>
      <c r="N172" s="1664"/>
      <c r="O172" s="1664"/>
      <c r="P172" s="1664"/>
      <c r="Q172" s="1664"/>
      <c r="R172" s="1664"/>
      <c r="S172" s="1664"/>
      <c r="T172" s="1664"/>
      <c r="U172" s="1664"/>
      <c r="V172" s="1664"/>
      <c r="W172" s="1664"/>
      <c r="X172" s="1664"/>
      <c r="Y172" s="1664"/>
      <c r="Z172" s="1664"/>
      <c r="AA172" s="1664"/>
      <c r="AB172" s="1664"/>
      <c r="AC172" s="1664"/>
      <c r="AF172" s="1675" t="s">
        <v>65</v>
      </c>
      <c r="AG172" s="1675"/>
      <c r="AH172" s="1675"/>
      <c r="AI172" s="1675"/>
      <c r="AJ172" s="1675"/>
      <c r="AK172" s="1675"/>
      <c r="AL172" s="1675"/>
      <c r="AM172" s="20"/>
      <c r="AN172" s="281"/>
    </row>
    <row r="173" spans="1:42" s="4" customFormat="1" ht="12.75" customHeight="1">
      <c r="B173" s="5"/>
      <c r="C173" s="45"/>
      <c r="D173" s="26"/>
      <c r="E173" s="1664"/>
      <c r="F173" s="1664"/>
      <c r="G173" s="1664"/>
      <c r="H173" s="1664"/>
      <c r="I173" s="1664"/>
      <c r="J173" s="1664"/>
      <c r="K173" s="1664"/>
      <c r="L173" s="1664"/>
      <c r="M173" s="1664"/>
      <c r="N173" s="1664"/>
      <c r="O173" s="1664"/>
      <c r="P173" s="1664"/>
      <c r="Q173" s="1664"/>
      <c r="R173" s="1664"/>
      <c r="S173" s="1664"/>
      <c r="T173" s="1664"/>
      <c r="U173" s="1664"/>
      <c r="V173" s="1664"/>
      <c r="W173" s="1664"/>
      <c r="X173" s="1664"/>
      <c r="Y173" s="1664"/>
      <c r="Z173" s="1664"/>
      <c r="AA173" s="1664"/>
      <c r="AB173" s="1664"/>
      <c r="AC173" s="1664"/>
      <c r="AF173" s="5"/>
      <c r="AM173" s="20"/>
      <c r="AN173" s="281"/>
    </row>
    <row r="174" spans="1:42" s="4" customFormat="1" ht="12.75" customHeight="1">
      <c r="B174" s="5"/>
      <c r="C174" s="45"/>
      <c r="D174" s="26"/>
      <c r="E174" s="1664"/>
      <c r="F174" s="1664"/>
      <c r="G174" s="1664"/>
      <c r="H174" s="1664"/>
      <c r="I174" s="1664"/>
      <c r="J174" s="1664"/>
      <c r="K174" s="1664"/>
      <c r="L174" s="1664"/>
      <c r="M174" s="1664"/>
      <c r="N174" s="1664"/>
      <c r="O174" s="1664"/>
      <c r="P174" s="1664"/>
      <c r="Q174" s="1664"/>
      <c r="R174" s="1664"/>
      <c r="S174" s="1664"/>
      <c r="T174" s="1664"/>
      <c r="U174" s="1664"/>
      <c r="V174" s="1664"/>
      <c r="W174" s="1664"/>
      <c r="X174" s="1664"/>
      <c r="Y174" s="1664"/>
      <c r="Z174" s="1664"/>
      <c r="AA174" s="1664"/>
      <c r="AB174" s="1664"/>
      <c r="AC174" s="1664"/>
      <c r="AF174" s="5"/>
      <c r="AM174" s="20"/>
      <c r="AN174" s="281"/>
    </row>
    <row r="175" spans="1:42" s="4" customFormat="1" ht="12.75" customHeight="1">
      <c r="B175" s="5"/>
      <c r="C175" s="45"/>
      <c r="D175" s="26"/>
      <c r="AM175" s="20"/>
      <c r="AN175" s="281"/>
    </row>
    <row r="176" spans="1:42" s="4" customFormat="1" ht="12.75" customHeight="1">
      <c r="A176" s="120"/>
      <c r="B176" s="5"/>
      <c r="C176" s="45"/>
      <c r="D176" s="26" t="s">
        <v>294</v>
      </c>
      <c r="E176" s="1664" t="s">
        <v>1538</v>
      </c>
      <c r="F176" s="1664"/>
      <c r="G176" s="1664"/>
      <c r="H176" s="1664"/>
      <c r="I176" s="1664"/>
      <c r="J176" s="1664"/>
      <c r="K176" s="1664"/>
      <c r="L176" s="1664"/>
      <c r="M176" s="1664"/>
      <c r="N176" s="1664"/>
      <c r="O176" s="1664"/>
      <c r="P176" s="1664"/>
      <c r="Q176" s="1664"/>
      <c r="R176" s="1664"/>
      <c r="S176" s="1664"/>
      <c r="T176" s="1664"/>
      <c r="U176" s="1664"/>
      <c r="V176" s="1664"/>
      <c r="W176" s="1664"/>
      <c r="X176" s="1664"/>
      <c r="Y176" s="1664"/>
      <c r="Z176" s="1664"/>
      <c r="AA176" s="1664"/>
      <c r="AB176" s="1664"/>
      <c r="AC176" s="1664"/>
      <c r="AF176" s="1675" t="s">
        <v>111</v>
      </c>
      <c r="AG176" s="1675"/>
      <c r="AH176" s="1675"/>
      <c r="AI176" s="1675"/>
      <c r="AJ176" s="1675"/>
      <c r="AK176" s="1675"/>
      <c r="AL176" s="1675"/>
      <c r="AM176" s="20"/>
      <c r="AN176" s="281"/>
    </row>
    <row r="177" spans="1:42" s="4" customFormat="1" ht="23.1" customHeight="1">
      <c r="A177" s="120"/>
      <c r="B177" s="5"/>
      <c r="C177" s="45"/>
      <c r="D177" s="26"/>
      <c r="E177" s="1664"/>
      <c r="F177" s="1664"/>
      <c r="G177" s="1664"/>
      <c r="H177" s="1664"/>
      <c r="I177" s="1664"/>
      <c r="J177" s="1664"/>
      <c r="K177" s="1664"/>
      <c r="L177" s="1664"/>
      <c r="M177" s="1664"/>
      <c r="N177" s="1664"/>
      <c r="O177" s="1664"/>
      <c r="P177" s="1664"/>
      <c r="Q177" s="1664"/>
      <c r="R177" s="1664"/>
      <c r="S177" s="1664"/>
      <c r="T177" s="1664"/>
      <c r="U177" s="1664"/>
      <c r="V177" s="1664"/>
      <c r="W177" s="1664"/>
      <c r="X177" s="1664"/>
      <c r="Y177" s="1664"/>
      <c r="Z177" s="1664"/>
      <c r="AA177" s="1664"/>
      <c r="AB177" s="1664"/>
      <c r="AC177" s="1664"/>
      <c r="AE177" s="108"/>
      <c r="AF177" s="108"/>
      <c r="AG177" s="108"/>
      <c r="AH177" s="108"/>
      <c r="AI177" s="108"/>
      <c r="AJ177" s="108"/>
      <c r="AK177" s="108"/>
      <c r="AL177" s="108"/>
      <c r="AM177" s="20"/>
      <c r="AN177" s="281"/>
    </row>
    <row r="178" spans="1:42" s="4" customFormat="1" ht="12.75" customHeight="1">
      <c r="A178" s="120"/>
      <c r="B178" s="5"/>
      <c r="C178" s="4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E178" s="108"/>
      <c r="AM178" s="20"/>
      <c r="AN178" s="281"/>
      <c r="AO178" s="4" t="s">
        <v>132</v>
      </c>
      <c r="AP178" s="35">
        <v>0</v>
      </c>
    </row>
    <row r="179" spans="1:42" s="4" customFormat="1" ht="12.75" customHeight="1">
      <c r="A179" s="120"/>
      <c r="B179" s="5"/>
      <c r="C179" s="45"/>
      <c r="D179" s="26" t="s">
        <v>295</v>
      </c>
      <c r="E179" s="1664" t="s">
        <v>1539</v>
      </c>
      <c r="F179" s="1664"/>
      <c r="G179" s="1664"/>
      <c r="H179" s="1664"/>
      <c r="I179" s="1664"/>
      <c r="J179" s="1664"/>
      <c r="K179" s="1664"/>
      <c r="L179" s="1664"/>
      <c r="M179" s="1664"/>
      <c r="N179" s="1664"/>
      <c r="O179" s="1664"/>
      <c r="P179" s="1664"/>
      <c r="Q179" s="1664"/>
      <c r="R179" s="1664"/>
      <c r="S179" s="1664"/>
      <c r="T179" s="1664"/>
      <c r="U179" s="1664"/>
      <c r="V179" s="1664"/>
      <c r="W179" s="1664"/>
      <c r="X179" s="1664"/>
      <c r="Y179" s="1664"/>
      <c r="Z179" s="1664"/>
      <c r="AA179" s="1664"/>
      <c r="AB179" s="1664"/>
      <c r="AC179" s="1664"/>
      <c r="AF179" s="1675" t="s">
        <v>338</v>
      </c>
      <c r="AG179" s="1675"/>
      <c r="AH179" s="1675"/>
      <c r="AI179" s="1675"/>
      <c r="AJ179" s="1675"/>
      <c r="AK179" s="1675"/>
      <c r="AL179" s="1675"/>
      <c r="AM179" s="20"/>
      <c r="AN179" s="281"/>
      <c r="AO179" s="26" t="s">
        <v>611</v>
      </c>
      <c r="AP179" s="4">
        <v>3</v>
      </c>
    </row>
    <row r="180" spans="1:42" s="4" customFormat="1" ht="23.1" customHeight="1">
      <c r="A180" s="120"/>
      <c r="B180" s="5"/>
      <c r="C180" s="45"/>
      <c r="D180" s="26"/>
      <c r="E180" s="1664"/>
      <c r="F180" s="1664"/>
      <c r="G180" s="1664"/>
      <c r="H180" s="1664"/>
      <c r="I180" s="1664"/>
      <c r="J180" s="1664"/>
      <c r="K180" s="1664"/>
      <c r="L180" s="1664"/>
      <c r="M180" s="1664"/>
      <c r="N180" s="1664"/>
      <c r="O180" s="1664"/>
      <c r="P180" s="1664"/>
      <c r="Q180" s="1664"/>
      <c r="R180" s="1664"/>
      <c r="S180" s="1664"/>
      <c r="T180" s="1664"/>
      <c r="U180" s="1664"/>
      <c r="V180" s="1664"/>
      <c r="W180" s="1664"/>
      <c r="X180" s="1664"/>
      <c r="Y180" s="1664"/>
      <c r="Z180" s="1664"/>
      <c r="AA180" s="1664"/>
      <c r="AB180" s="1664"/>
      <c r="AC180" s="1664"/>
      <c r="AE180" s="108"/>
      <c r="AF180" s="108"/>
      <c r="AG180" s="108"/>
      <c r="AH180" s="108"/>
      <c r="AI180" s="108"/>
      <c r="AJ180" s="108"/>
      <c r="AK180" s="108"/>
      <c r="AL180" s="108"/>
      <c r="AM180" s="20"/>
      <c r="AN180" s="281"/>
      <c r="AO180" s="26" t="s">
        <v>208</v>
      </c>
      <c r="AP180" s="26">
        <v>2</v>
      </c>
    </row>
    <row r="181" spans="1:42" s="4" customFormat="1" ht="12.75" customHeight="1">
      <c r="A181" s="111"/>
      <c r="B181" s="5"/>
      <c r="C181" s="126"/>
      <c r="D181" s="26"/>
      <c r="E181" s="103"/>
      <c r="F181" s="103"/>
      <c r="G181" s="103"/>
      <c r="H181" s="103"/>
      <c r="I181" s="103"/>
      <c r="J181" s="103"/>
      <c r="K181" s="103"/>
      <c r="L181" s="103"/>
      <c r="M181" s="103"/>
      <c r="N181" s="103"/>
      <c r="O181" s="103"/>
      <c r="P181" s="103"/>
      <c r="Q181" s="103"/>
      <c r="R181" s="103"/>
      <c r="S181" s="103"/>
      <c r="T181" s="103"/>
      <c r="U181" s="103"/>
      <c r="V181" s="103"/>
      <c r="W181" s="103"/>
      <c r="X181" s="103"/>
      <c r="Y181" s="103"/>
      <c r="Z181" s="103"/>
      <c r="AA181" s="103"/>
      <c r="AB181" s="103"/>
      <c r="AC181" s="103"/>
      <c r="AE181" s="108"/>
      <c r="AF181" s="108"/>
      <c r="AG181" s="108"/>
      <c r="AH181" s="108"/>
      <c r="AI181" s="108"/>
      <c r="AJ181" s="108"/>
      <c r="AK181" s="108"/>
      <c r="AL181" s="108"/>
      <c r="AM181" s="20"/>
      <c r="AN181" s="281"/>
    </row>
    <row r="182" spans="1:42" s="4" customFormat="1" ht="12.75" customHeight="1">
      <c r="A182" s="120"/>
      <c r="B182" s="5"/>
      <c r="C182" s="45"/>
      <c r="D182" s="4" t="s">
        <v>157</v>
      </c>
      <c r="E182" s="116"/>
      <c r="F182" s="116"/>
      <c r="G182" s="116"/>
      <c r="H182" s="1663" t="s">
        <v>208</v>
      </c>
      <c r="I182" s="1663"/>
      <c r="J182" s="19"/>
      <c r="K182" s="19"/>
      <c r="AN182" s="281"/>
    </row>
    <row r="183" spans="1:42" s="4" customFormat="1" ht="12.75" customHeight="1">
      <c r="A183" s="120"/>
      <c r="B183" s="5"/>
      <c r="C183" s="45"/>
      <c r="E183" s="116"/>
      <c r="F183" s="116"/>
      <c r="G183" s="19"/>
      <c r="H183" s="19"/>
      <c r="I183" s="19"/>
      <c r="J183" s="19"/>
      <c r="K183" s="19"/>
      <c r="L183" s="19"/>
      <c r="M183" s="19"/>
      <c r="N183" s="19"/>
      <c r="O183" s="19"/>
      <c r="P183" s="19"/>
      <c r="Q183" s="19"/>
      <c r="R183" s="19"/>
      <c r="S183" s="19"/>
      <c r="T183" s="19"/>
      <c r="U183" s="19"/>
      <c r="V183" s="19"/>
      <c r="W183" s="19"/>
      <c r="X183" s="19"/>
      <c r="Y183" s="19"/>
      <c r="Z183" s="116"/>
      <c r="AA183" s="116"/>
      <c r="AB183" s="116"/>
      <c r="AD183" s="5"/>
      <c r="AG183" s="19"/>
      <c r="AH183" s="19"/>
      <c r="AI183" s="19"/>
      <c r="AJ183" s="19"/>
      <c r="AK183" s="19"/>
      <c r="AL183" s="19"/>
      <c r="AM183" s="19"/>
      <c r="AN183" s="281"/>
    </row>
    <row r="184" spans="1:42" s="4" customFormat="1" ht="12.75" customHeight="1">
      <c r="A184" s="119"/>
      <c r="B184" s="89"/>
      <c r="C184" s="123"/>
      <c r="D184" s="93"/>
      <c r="E184" s="118"/>
      <c r="F184" s="125"/>
      <c r="G184" s="125"/>
      <c r="H184" s="125"/>
      <c r="I184" s="125"/>
      <c r="J184" s="125"/>
      <c r="K184" s="125"/>
      <c r="L184" s="125"/>
      <c r="M184" s="125"/>
      <c r="N184" s="125"/>
      <c r="O184" s="125"/>
      <c r="P184" s="125"/>
      <c r="Q184" s="125"/>
      <c r="R184" s="125"/>
      <c r="S184" s="125"/>
      <c r="T184" s="125"/>
      <c r="U184" s="125"/>
      <c r="V184" s="125"/>
      <c r="W184" s="125"/>
      <c r="X184" s="125"/>
      <c r="Y184" s="118"/>
      <c r="Z184" s="118"/>
      <c r="AA184" s="118"/>
      <c r="AB184" s="93"/>
      <c r="AC184" s="89"/>
      <c r="AD184" s="93"/>
      <c r="AE184" s="93"/>
      <c r="AF184" s="93"/>
      <c r="AG184" s="93"/>
      <c r="AH184" s="93"/>
      <c r="AI184" s="60" t="s">
        <v>740</v>
      </c>
      <c r="AJ184" s="1240">
        <f>VLOOKUP($H$182,$AO$132:$AP$139,2,FALSE)</f>
        <v>4</v>
      </c>
      <c r="AK184" s="1243"/>
      <c r="AL184" s="10"/>
      <c r="AN184" s="281"/>
    </row>
    <row r="185" spans="1:42" s="4" customFormat="1" ht="12.75" customHeight="1">
      <c r="A185" s="120"/>
      <c r="B185" s="5"/>
      <c r="C185" s="45"/>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28"/>
      <c r="AN185" s="281"/>
    </row>
    <row r="186" spans="1:42" s="4" customFormat="1" ht="12.75" customHeight="1">
      <c r="A186" s="120"/>
      <c r="C186" s="3" t="s">
        <v>2331</v>
      </c>
      <c r="D186" s="129"/>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28"/>
      <c r="AN186" s="281"/>
    </row>
    <row r="187" spans="1:42" s="4" customFormat="1" ht="12.75" customHeight="1">
      <c r="A187" s="120"/>
      <c r="B187" s="5"/>
      <c r="C187" s="130"/>
      <c r="AD187" s="5"/>
      <c r="AN187" s="281"/>
    </row>
    <row r="188" spans="1:42" s="4" customFormat="1" ht="12.75" customHeight="1">
      <c r="C188" s="45"/>
      <c r="D188" s="26" t="s">
        <v>611</v>
      </c>
      <c r="E188" s="1664" t="s">
        <v>2329</v>
      </c>
      <c r="F188" s="1664"/>
      <c r="G188" s="1664"/>
      <c r="H188" s="1664"/>
      <c r="I188" s="1664"/>
      <c r="J188" s="1664"/>
      <c r="K188" s="1664"/>
      <c r="L188" s="1664"/>
      <c r="M188" s="1664"/>
      <c r="N188" s="1664"/>
      <c r="O188" s="1664"/>
      <c r="P188" s="1664"/>
      <c r="Q188" s="1664"/>
      <c r="R188" s="1664"/>
      <c r="S188" s="1664"/>
      <c r="T188" s="1664"/>
      <c r="U188" s="1664"/>
      <c r="V188" s="1664"/>
      <c r="W188" s="1664"/>
      <c r="X188" s="1664"/>
      <c r="Y188" s="1664"/>
      <c r="Z188" s="1664"/>
      <c r="AA188" s="1664"/>
      <c r="AB188" s="1664"/>
      <c r="AF188" s="1675" t="s">
        <v>65</v>
      </c>
      <c r="AG188" s="1675"/>
      <c r="AH188" s="1675"/>
      <c r="AI188" s="1675"/>
      <c r="AJ188" s="1675"/>
      <c r="AK188" s="1675"/>
      <c r="AL188" s="1675"/>
      <c r="AN188" s="281"/>
    </row>
    <row r="189" spans="1:42" s="4" customFormat="1" ht="12.75" customHeight="1">
      <c r="B189" s="5"/>
      <c r="C189" s="121"/>
      <c r="D189" s="26"/>
      <c r="E189" s="1664"/>
      <c r="F189" s="1664"/>
      <c r="G189" s="1664"/>
      <c r="H189" s="1664"/>
      <c r="I189" s="1664"/>
      <c r="J189" s="1664"/>
      <c r="K189" s="1664"/>
      <c r="L189" s="1664"/>
      <c r="M189" s="1664"/>
      <c r="N189" s="1664"/>
      <c r="O189" s="1664"/>
      <c r="P189" s="1664"/>
      <c r="Q189" s="1664"/>
      <c r="R189" s="1664"/>
      <c r="S189" s="1664"/>
      <c r="T189" s="1664"/>
      <c r="U189" s="1664"/>
      <c r="V189" s="1664"/>
      <c r="W189" s="1664"/>
      <c r="X189" s="1664"/>
      <c r="Y189" s="1664"/>
      <c r="Z189" s="1664"/>
      <c r="AA189" s="1664"/>
      <c r="AB189" s="1664"/>
      <c r="AE189" s="19"/>
      <c r="AN189" s="281"/>
      <c r="AO189" s="1402"/>
      <c r="AP189" s="1402"/>
    </row>
    <row r="190" spans="1:42" s="4" customFormat="1" ht="12.75" customHeight="1">
      <c r="B190" s="5"/>
      <c r="C190" s="121"/>
      <c r="D190" s="26"/>
      <c r="E190" s="1664"/>
      <c r="F190" s="1664"/>
      <c r="G190" s="1664"/>
      <c r="H190" s="1664"/>
      <c r="I190" s="1664"/>
      <c r="J190" s="1664"/>
      <c r="K190" s="1664"/>
      <c r="L190" s="1664"/>
      <c r="M190" s="1664"/>
      <c r="N190" s="1664"/>
      <c r="O190" s="1664"/>
      <c r="P190" s="1664"/>
      <c r="Q190" s="1664"/>
      <c r="R190" s="1664"/>
      <c r="S190" s="1664"/>
      <c r="T190" s="1664"/>
      <c r="U190" s="1664"/>
      <c r="V190" s="1664"/>
      <c r="W190" s="1664"/>
      <c r="X190" s="1664"/>
      <c r="Y190" s="1664"/>
      <c r="Z190" s="1664"/>
      <c r="AA190" s="1664"/>
      <c r="AB190" s="1664"/>
      <c r="AE190" s="19"/>
      <c r="AF190" s="102"/>
      <c r="AG190" s="19"/>
      <c r="AH190" s="19"/>
      <c r="AI190" s="19"/>
      <c r="AJ190" s="19"/>
      <c r="AK190" s="19"/>
      <c r="AL190" s="19"/>
      <c r="AN190" s="281"/>
    </row>
    <row r="191" spans="1:42" s="4" customFormat="1" ht="11.25" customHeight="1">
      <c r="B191" s="5"/>
      <c r="C191" s="121"/>
      <c r="D191" s="26"/>
      <c r="E191" s="1664"/>
      <c r="F191" s="1664"/>
      <c r="G191" s="1664"/>
      <c r="H191" s="1664"/>
      <c r="I191" s="1664"/>
      <c r="J191" s="1664"/>
      <c r="K191" s="1664"/>
      <c r="L191" s="1664"/>
      <c r="M191" s="1664"/>
      <c r="N191" s="1664"/>
      <c r="O191" s="1664"/>
      <c r="P191" s="1664"/>
      <c r="Q191" s="1664"/>
      <c r="R191" s="1664"/>
      <c r="S191" s="1664"/>
      <c r="T191" s="1664"/>
      <c r="U191" s="1664"/>
      <c r="V191" s="1664"/>
      <c r="W191" s="1664"/>
      <c r="X191" s="1664"/>
      <c r="Y191" s="1664"/>
      <c r="Z191" s="1664"/>
      <c r="AA191" s="1664"/>
      <c r="AB191" s="1664"/>
      <c r="AE191" s="19"/>
      <c r="AF191" s="102"/>
      <c r="AG191" s="19"/>
      <c r="AH191" s="19"/>
      <c r="AI191" s="19"/>
      <c r="AJ191" s="19"/>
      <c r="AK191" s="19"/>
      <c r="AL191" s="19"/>
      <c r="AN191" s="281"/>
      <c r="AO191" s="4" t="s">
        <v>132</v>
      </c>
      <c r="AP191" s="478">
        <v>0</v>
      </c>
    </row>
    <row r="192" spans="1:42" s="4" customFormat="1" ht="12.75" customHeight="1">
      <c r="B192" s="5"/>
      <c r="C192" s="121"/>
      <c r="D192" s="26"/>
      <c r="E192" s="344"/>
      <c r="F192" s="344"/>
      <c r="G192" s="344"/>
      <c r="H192" s="344"/>
      <c r="I192" s="344"/>
      <c r="J192" s="344"/>
      <c r="K192" s="344"/>
      <c r="L192" s="344"/>
      <c r="M192" s="344"/>
      <c r="N192" s="344"/>
      <c r="O192" s="344"/>
      <c r="P192" s="344"/>
      <c r="Q192" s="344"/>
      <c r="R192" s="344"/>
      <c r="S192" s="344"/>
      <c r="T192" s="344"/>
      <c r="U192" s="344"/>
      <c r="V192" s="344"/>
      <c r="W192" s="344"/>
      <c r="X192" s="344"/>
      <c r="Y192" s="344"/>
      <c r="Z192" s="344"/>
      <c r="AA192" s="344"/>
      <c r="AB192" s="344"/>
      <c r="AE192" s="19"/>
      <c r="AF192" s="102"/>
      <c r="AG192" s="19"/>
      <c r="AH192" s="19"/>
      <c r="AI192" s="19"/>
      <c r="AJ192" s="19"/>
      <c r="AK192" s="19"/>
      <c r="AL192" s="19"/>
      <c r="AN192" s="281"/>
      <c r="AO192" s="26" t="s">
        <v>611</v>
      </c>
      <c r="AP192" s="4">
        <v>2</v>
      </c>
    </row>
    <row r="193" spans="1:42" s="4" customFormat="1" ht="12.75" customHeight="1">
      <c r="B193" s="5"/>
      <c r="C193" s="45"/>
      <c r="D193" s="26" t="s">
        <v>208</v>
      </c>
      <c r="E193" s="1664" t="s">
        <v>2330</v>
      </c>
      <c r="F193" s="1664"/>
      <c r="G193" s="1664"/>
      <c r="H193" s="1664"/>
      <c r="I193" s="1664"/>
      <c r="J193" s="1664"/>
      <c r="K193" s="1664"/>
      <c r="L193" s="1664"/>
      <c r="M193" s="1664"/>
      <c r="N193" s="1664"/>
      <c r="O193" s="1664"/>
      <c r="P193" s="1664"/>
      <c r="Q193" s="1664"/>
      <c r="R193" s="1664"/>
      <c r="S193" s="1664"/>
      <c r="T193" s="1664"/>
      <c r="U193" s="1664"/>
      <c r="V193" s="1664"/>
      <c r="W193" s="1664"/>
      <c r="X193" s="1664"/>
      <c r="Y193" s="1664"/>
      <c r="Z193" s="1664"/>
      <c r="AA193" s="1664"/>
      <c r="AB193" s="1664"/>
      <c r="AF193" s="1675" t="s">
        <v>111</v>
      </c>
      <c r="AG193" s="1675"/>
      <c r="AH193" s="1675"/>
      <c r="AI193" s="1675"/>
      <c r="AJ193" s="1675"/>
      <c r="AK193" s="1675"/>
      <c r="AL193" s="1675"/>
      <c r="AN193" s="281"/>
      <c r="AO193" s="26" t="s">
        <v>208</v>
      </c>
      <c r="AP193" s="4">
        <v>1</v>
      </c>
    </row>
    <row r="194" spans="1:42" s="4" customFormat="1" ht="12.75" customHeight="1">
      <c r="B194" s="5"/>
      <c r="C194" s="45"/>
      <c r="E194" s="1664"/>
      <c r="F194" s="1664"/>
      <c r="G194" s="1664"/>
      <c r="H194" s="1664"/>
      <c r="I194" s="1664"/>
      <c r="J194" s="1664"/>
      <c r="K194" s="1664"/>
      <c r="L194" s="1664"/>
      <c r="M194" s="1664"/>
      <c r="N194" s="1664"/>
      <c r="O194" s="1664"/>
      <c r="P194" s="1664"/>
      <c r="Q194" s="1664"/>
      <c r="R194" s="1664"/>
      <c r="S194" s="1664"/>
      <c r="T194" s="1664"/>
      <c r="U194" s="1664"/>
      <c r="V194" s="1664"/>
      <c r="W194" s="1664"/>
      <c r="X194" s="1664"/>
      <c r="Y194" s="1664"/>
      <c r="Z194" s="1664"/>
      <c r="AA194" s="1664"/>
      <c r="AB194" s="1664"/>
      <c r="AD194" s="5"/>
      <c r="AE194" s="19"/>
      <c r="AN194" s="281"/>
    </row>
    <row r="195" spans="1:42" s="4" customFormat="1" ht="12.75" customHeight="1">
      <c r="B195" s="5"/>
      <c r="C195" s="45"/>
      <c r="E195" s="1664"/>
      <c r="F195" s="1664"/>
      <c r="G195" s="1664"/>
      <c r="H195" s="1664"/>
      <c r="I195" s="1664"/>
      <c r="J195" s="1664"/>
      <c r="K195" s="1664"/>
      <c r="L195" s="1664"/>
      <c r="M195" s="1664"/>
      <c r="N195" s="1664"/>
      <c r="O195" s="1664"/>
      <c r="P195" s="1664"/>
      <c r="Q195" s="1664"/>
      <c r="R195" s="1664"/>
      <c r="S195" s="1664"/>
      <c r="T195" s="1664"/>
      <c r="U195" s="1664"/>
      <c r="V195" s="1664"/>
      <c r="W195" s="1664"/>
      <c r="X195" s="1664"/>
      <c r="Y195" s="1664"/>
      <c r="Z195" s="1664"/>
      <c r="AA195" s="1664"/>
      <c r="AB195" s="1664"/>
      <c r="AD195" s="5"/>
      <c r="AE195" s="19"/>
      <c r="AN195" s="281"/>
    </row>
    <row r="196" spans="1:42" customFormat="1" ht="12.75" customHeight="1">
      <c r="A196" s="4"/>
      <c r="B196" s="5"/>
      <c r="C196" s="45"/>
      <c r="D196" s="4"/>
      <c r="E196" s="1664"/>
      <c r="F196" s="1664"/>
      <c r="G196" s="1664"/>
      <c r="H196" s="1664"/>
      <c r="I196" s="1664"/>
      <c r="J196" s="1664"/>
      <c r="K196" s="1664"/>
      <c r="L196" s="1664"/>
      <c r="M196" s="1664"/>
      <c r="N196" s="1664"/>
      <c r="O196" s="1664"/>
      <c r="P196" s="1664"/>
      <c r="Q196" s="1664"/>
      <c r="R196" s="1664"/>
      <c r="S196" s="1664"/>
      <c r="T196" s="1664"/>
      <c r="U196" s="1664"/>
      <c r="V196" s="1664"/>
      <c r="W196" s="1664"/>
      <c r="X196" s="1664"/>
      <c r="Y196" s="1664"/>
      <c r="Z196" s="1664"/>
      <c r="AA196" s="1664"/>
      <c r="AB196" s="1664"/>
      <c r="AC196" s="4"/>
      <c r="AD196" s="5"/>
      <c r="AE196" s="19"/>
      <c r="AF196" s="19"/>
      <c r="AG196" s="19"/>
      <c r="AH196" s="19"/>
      <c r="AI196" s="19"/>
      <c r="AJ196" s="4"/>
      <c r="AK196" s="4"/>
      <c r="AL196" s="4"/>
      <c r="AM196" s="4"/>
      <c r="AN196" s="204"/>
    </row>
    <row r="197" spans="1:42" customFormat="1" ht="5.0999999999999996" customHeight="1">
      <c r="A197" s="4"/>
      <c r="B197" s="5"/>
      <c r="C197" s="45"/>
      <c r="D197" s="4"/>
      <c r="E197" s="103"/>
      <c r="F197" s="103"/>
      <c r="G197" s="103"/>
      <c r="H197" s="103"/>
      <c r="I197" s="103"/>
      <c r="J197" s="103"/>
      <c r="K197" s="103"/>
      <c r="L197" s="103"/>
      <c r="M197" s="103"/>
      <c r="N197" s="103"/>
      <c r="O197" s="103"/>
      <c r="P197" s="103"/>
      <c r="Q197" s="103"/>
      <c r="R197" s="103"/>
      <c r="S197" s="103"/>
      <c r="T197" s="103"/>
      <c r="U197" s="103"/>
      <c r="V197" s="103"/>
      <c r="W197" s="103"/>
      <c r="X197" s="103"/>
      <c r="Y197" s="103"/>
      <c r="Z197" s="103"/>
      <c r="AA197" s="103"/>
      <c r="AB197" s="103"/>
      <c r="AC197" s="4"/>
      <c r="AD197" s="5"/>
      <c r="AE197" s="19"/>
      <c r="AF197" s="19"/>
      <c r="AG197" s="19"/>
      <c r="AH197" s="19"/>
      <c r="AI197" s="19"/>
      <c r="AJ197" s="4"/>
      <c r="AK197" s="4"/>
      <c r="AL197" s="4"/>
      <c r="AM197" s="4"/>
      <c r="AN197" s="204"/>
    </row>
    <row r="198" spans="1:42" customFormat="1" ht="12.75" customHeight="1">
      <c r="A198" s="4"/>
      <c r="B198" s="5"/>
      <c r="C198" s="45"/>
      <c r="D198" s="4"/>
      <c r="E198" s="1677" t="s">
        <v>2044</v>
      </c>
      <c r="F198" s="1677"/>
      <c r="G198" s="1677"/>
      <c r="H198" s="1677"/>
      <c r="I198" s="1677"/>
      <c r="J198" s="1677"/>
      <c r="K198" s="1677"/>
      <c r="L198" s="1677"/>
      <c r="M198" s="1677"/>
      <c r="N198" s="1677"/>
      <c r="O198" s="1677"/>
      <c r="P198" s="1677"/>
      <c r="Q198" s="1677"/>
      <c r="R198" s="1677"/>
      <c r="S198" s="1677"/>
      <c r="T198" s="1677"/>
      <c r="U198" s="1677"/>
      <c r="V198" s="1677"/>
      <c r="W198" s="1677"/>
      <c r="X198" s="1677"/>
      <c r="Y198" s="1677"/>
      <c r="Z198" s="1677"/>
      <c r="AA198" s="1677"/>
      <c r="AB198" s="1677"/>
      <c r="AC198" s="4"/>
      <c r="AD198" s="5"/>
      <c r="AE198" s="19"/>
      <c r="AF198" s="19"/>
      <c r="AG198" s="19"/>
      <c r="AH198" s="19"/>
      <c r="AI198" s="19"/>
      <c r="AJ198" s="4"/>
      <c r="AK198" s="4"/>
      <c r="AL198" s="4"/>
      <c r="AM198" s="4"/>
      <c r="AN198" s="204"/>
    </row>
    <row r="199" spans="1:42" customFormat="1" ht="12.75" customHeight="1">
      <c r="A199" s="4"/>
      <c r="B199" s="5"/>
      <c r="C199" s="45"/>
      <c r="D199" s="4"/>
      <c r="E199" s="1677"/>
      <c r="F199" s="1677"/>
      <c r="G199" s="1677"/>
      <c r="H199" s="1677"/>
      <c r="I199" s="1677"/>
      <c r="J199" s="1677"/>
      <c r="K199" s="1677"/>
      <c r="L199" s="1677"/>
      <c r="M199" s="1677"/>
      <c r="N199" s="1677"/>
      <c r="O199" s="1677"/>
      <c r="P199" s="1677"/>
      <c r="Q199" s="1677"/>
      <c r="R199" s="1677"/>
      <c r="S199" s="1677"/>
      <c r="T199" s="1677"/>
      <c r="U199" s="1677"/>
      <c r="V199" s="1677"/>
      <c r="W199" s="1677"/>
      <c r="X199" s="1677"/>
      <c r="Y199" s="1677"/>
      <c r="Z199" s="1677"/>
      <c r="AA199" s="1677"/>
      <c r="AB199" s="1677"/>
      <c r="AC199" s="4"/>
      <c r="AD199" s="5"/>
      <c r="AE199" s="19"/>
      <c r="AF199" s="19"/>
      <c r="AG199" s="19"/>
      <c r="AH199" s="19"/>
      <c r="AI199" s="19"/>
      <c r="AJ199" s="4"/>
      <c r="AK199" s="4"/>
      <c r="AL199" s="4"/>
      <c r="AM199" s="4"/>
      <c r="AN199" s="204"/>
    </row>
    <row r="200" spans="1:42" customFormat="1" ht="18" customHeight="1">
      <c r="A200" s="4"/>
      <c r="B200" s="5"/>
      <c r="C200" s="45"/>
      <c r="D200" s="4"/>
      <c r="E200" s="1677"/>
      <c r="F200" s="1677"/>
      <c r="G200" s="1677"/>
      <c r="H200" s="1677"/>
      <c r="I200" s="1677"/>
      <c r="J200" s="1677"/>
      <c r="K200" s="1677"/>
      <c r="L200" s="1677"/>
      <c r="M200" s="1677"/>
      <c r="N200" s="1677"/>
      <c r="O200" s="1677"/>
      <c r="P200" s="1677"/>
      <c r="Q200" s="1677"/>
      <c r="R200" s="1677"/>
      <c r="S200" s="1677"/>
      <c r="T200" s="1677"/>
      <c r="U200" s="1677"/>
      <c r="V200" s="1677"/>
      <c r="W200" s="1677"/>
      <c r="X200" s="1677"/>
      <c r="Y200" s="1677"/>
      <c r="Z200" s="1677"/>
      <c r="AA200" s="1677"/>
      <c r="AB200" s="1677"/>
      <c r="AC200" s="4"/>
      <c r="AD200" s="5"/>
      <c r="AE200" s="19"/>
      <c r="AF200" s="19"/>
      <c r="AG200" s="19"/>
      <c r="AH200" s="19"/>
      <c r="AI200" s="19"/>
      <c r="AJ200" s="4"/>
      <c r="AK200" s="4"/>
      <c r="AL200" s="4"/>
      <c r="AM200" s="4"/>
      <c r="AN200" s="204"/>
    </row>
    <row r="201" spans="1:42" customFormat="1" ht="12.75" customHeight="1">
      <c r="A201" s="4"/>
      <c r="B201" s="5"/>
      <c r="C201" s="45"/>
      <c r="D201" s="4" t="s">
        <v>157</v>
      </c>
      <c r="E201" s="116"/>
      <c r="F201" s="116"/>
      <c r="G201" s="116"/>
      <c r="H201" s="1663" t="s">
        <v>208</v>
      </c>
      <c r="I201" s="1663"/>
      <c r="J201" s="103"/>
      <c r="K201" s="103"/>
      <c r="L201" s="103"/>
      <c r="M201" s="103"/>
      <c r="N201" s="103"/>
      <c r="O201" s="103"/>
      <c r="P201" s="103"/>
      <c r="Q201" s="103"/>
      <c r="R201" s="103"/>
      <c r="S201" s="103"/>
      <c r="T201" s="103"/>
      <c r="U201" s="103"/>
      <c r="V201" s="103"/>
      <c r="W201" s="103"/>
      <c r="X201" s="103"/>
      <c r="Y201" s="103"/>
      <c r="Z201" s="103"/>
      <c r="AA201" s="103"/>
      <c r="AB201" s="103"/>
      <c r="AC201" s="4"/>
      <c r="AD201" s="5"/>
      <c r="AE201" s="19"/>
      <c r="AF201" s="19"/>
      <c r="AG201" s="19"/>
      <c r="AH201" s="19"/>
      <c r="AI201" s="19"/>
      <c r="AJ201" s="4"/>
      <c r="AK201" s="4"/>
      <c r="AL201" s="4"/>
      <c r="AM201" s="4"/>
      <c r="AN201" s="204"/>
      <c r="AP201" t="s">
        <v>99</v>
      </c>
    </row>
    <row r="202" spans="1:42" customFormat="1">
      <c r="A202" s="4"/>
      <c r="B202" s="5"/>
      <c r="C202" s="45"/>
      <c r="D202" s="4"/>
      <c r="E202" s="103"/>
      <c r="F202" s="103"/>
      <c r="G202" s="103"/>
      <c r="H202" s="103"/>
      <c r="I202" s="103"/>
      <c r="J202" s="103"/>
      <c r="K202" s="103"/>
      <c r="L202" s="103"/>
      <c r="M202" s="103"/>
      <c r="N202" s="103"/>
      <c r="O202" s="103"/>
      <c r="P202" s="103"/>
      <c r="Q202" s="103"/>
      <c r="R202" s="103"/>
      <c r="S202" s="103"/>
      <c r="T202" s="103"/>
      <c r="U202" s="103"/>
      <c r="V202" s="103"/>
      <c r="W202" s="103"/>
      <c r="X202" s="103"/>
      <c r="Y202" s="103"/>
      <c r="Z202" s="103"/>
      <c r="AA202" s="103"/>
      <c r="AB202" s="103"/>
      <c r="AC202" s="4"/>
      <c r="AD202" s="5"/>
      <c r="AE202" s="19"/>
      <c r="AF202" s="19"/>
      <c r="AG202" s="19"/>
      <c r="AH202" s="19"/>
      <c r="AI202" s="19"/>
      <c r="AJ202" s="4"/>
      <c r="AK202" s="4"/>
      <c r="AL202" s="4"/>
      <c r="AM202" s="4"/>
      <c r="AN202" s="204"/>
      <c r="AP202" t="s">
        <v>100</v>
      </c>
    </row>
    <row r="203" spans="1:42" customFormat="1" ht="12.75" customHeight="1">
      <c r="A203" s="92"/>
      <c r="B203" s="89"/>
      <c r="C203" s="123"/>
      <c r="D203" s="93"/>
      <c r="E203" s="93"/>
      <c r="F203" s="93"/>
      <c r="G203" s="93"/>
      <c r="H203" s="93"/>
      <c r="I203" s="93"/>
      <c r="J203" s="131"/>
      <c r="K203" s="131"/>
      <c r="L203" s="125"/>
      <c r="M203" s="125"/>
      <c r="N203" s="125"/>
      <c r="O203" s="125"/>
      <c r="P203" s="125"/>
      <c r="Q203" s="125"/>
      <c r="R203" s="125"/>
      <c r="S203" s="125"/>
      <c r="T203" s="125"/>
      <c r="U203" s="125"/>
      <c r="V203" s="125"/>
      <c r="W203" s="125"/>
      <c r="X203" s="125"/>
      <c r="Y203" s="118"/>
      <c r="Z203" s="118"/>
      <c r="AA203" s="118"/>
      <c r="AB203" s="93"/>
      <c r="AC203" s="89"/>
      <c r="AD203" s="93"/>
      <c r="AE203" s="93"/>
      <c r="AF203" s="93"/>
      <c r="AG203" s="93"/>
      <c r="AH203" s="93"/>
      <c r="AI203" s="60" t="s">
        <v>2320</v>
      </c>
      <c r="AJ203" s="1240">
        <f>VLOOKUP($H$201,$AO$151:$AP$153,2,FALSE)</f>
        <v>2</v>
      </c>
      <c r="AK203" s="1243"/>
      <c r="AL203" s="10"/>
      <c r="AM203" s="4"/>
      <c r="AN203" s="204"/>
      <c r="AP203" t="s">
        <v>101</v>
      </c>
    </row>
    <row r="204" spans="1:42" customFormat="1">
      <c r="A204" s="4"/>
      <c r="B204" s="5"/>
      <c r="C204" s="4"/>
      <c r="D204" s="4"/>
      <c r="E204" s="4"/>
      <c r="F204" s="4"/>
      <c r="G204" s="4"/>
      <c r="H204" s="4"/>
      <c r="I204" s="4"/>
      <c r="J204" s="4"/>
      <c r="K204" s="4"/>
      <c r="L204" s="4"/>
      <c r="M204" s="4"/>
      <c r="N204" s="4"/>
      <c r="O204" s="4"/>
      <c r="P204" s="4"/>
      <c r="Q204" s="4"/>
      <c r="R204" s="4"/>
      <c r="S204" s="4"/>
      <c r="T204" s="4"/>
      <c r="U204" s="4"/>
      <c r="V204" s="4"/>
      <c r="W204" s="4"/>
      <c r="X204" s="4"/>
      <c r="Y204" s="4"/>
      <c r="Z204" s="4"/>
      <c r="AA204" s="4"/>
      <c r="AB204" s="4"/>
      <c r="AC204" s="4"/>
      <c r="AD204" s="5"/>
      <c r="AE204" s="19"/>
      <c r="AF204" s="19"/>
      <c r="AG204" s="19"/>
      <c r="AH204" s="19"/>
      <c r="AI204" s="19"/>
      <c r="AJ204" s="4"/>
      <c r="AK204" s="4"/>
      <c r="AL204" s="4"/>
      <c r="AM204" s="4"/>
      <c r="AN204" s="204"/>
      <c r="AP204" t="s">
        <v>368</v>
      </c>
    </row>
    <row r="205" spans="1:42" customFormat="1" ht="12.75" customHeight="1">
      <c r="A205" s="4"/>
      <c r="B205" s="4"/>
      <c r="C205" s="3" t="s">
        <v>30</v>
      </c>
      <c r="D205" s="129"/>
      <c r="E205" s="4"/>
      <c r="F205" s="4"/>
      <c r="G205" s="4"/>
      <c r="H205" s="4"/>
      <c r="I205" s="4"/>
      <c r="J205" s="4"/>
      <c r="K205" s="4"/>
      <c r="L205" s="4"/>
      <c r="M205" s="4"/>
      <c r="N205" s="4"/>
      <c r="O205" s="4"/>
      <c r="P205" s="4"/>
      <c r="Q205" s="4"/>
      <c r="R205" s="4"/>
      <c r="S205" s="4"/>
      <c r="T205" s="4"/>
      <c r="U205" s="4"/>
      <c r="V205" s="4"/>
      <c r="W205" s="4"/>
      <c r="X205" s="4"/>
      <c r="Y205" s="4"/>
      <c r="Z205" s="4"/>
      <c r="AA205" s="4"/>
      <c r="AB205" s="4"/>
      <c r="AC205" s="4"/>
      <c r="AD205" s="5"/>
      <c r="AE205" s="19"/>
      <c r="AF205" s="19"/>
      <c r="AG205" s="19"/>
      <c r="AH205" s="19"/>
      <c r="AI205" s="19"/>
      <c r="AJ205" s="4"/>
      <c r="AK205" s="4"/>
      <c r="AL205" s="4"/>
      <c r="AM205" s="4"/>
      <c r="AN205" s="204"/>
      <c r="AP205" t="s">
        <v>108</v>
      </c>
    </row>
    <row r="206" spans="1:42" customFormat="1" ht="12.75" customHeight="1">
      <c r="A206" s="4"/>
      <c r="B206" s="5"/>
      <c r="C206" s="91"/>
      <c r="D206" s="4"/>
      <c r="E206" s="4"/>
      <c r="F206" s="4"/>
      <c r="G206" s="4"/>
      <c r="H206" s="4"/>
      <c r="I206" s="4"/>
      <c r="J206" s="4"/>
      <c r="K206" s="4"/>
      <c r="L206" s="4"/>
      <c r="M206" s="4"/>
      <c r="N206" s="4"/>
      <c r="O206" s="4"/>
      <c r="P206" s="4"/>
      <c r="Q206" s="4"/>
      <c r="R206" s="4"/>
      <c r="S206" s="4"/>
      <c r="T206" s="4"/>
      <c r="U206" s="4"/>
      <c r="V206" s="4"/>
      <c r="W206" s="4"/>
      <c r="X206" s="4"/>
      <c r="Y206" s="4"/>
      <c r="Z206" s="4"/>
      <c r="AA206" s="4"/>
      <c r="AB206" s="4"/>
      <c r="AC206" s="4"/>
      <c r="AD206" s="5"/>
      <c r="AE206" s="19"/>
      <c r="AF206" s="19"/>
      <c r="AG206" s="19"/>
      <c r="AH206" s="19"/>
      <c r="AI206" s="19"/>
      <c r="AJ206" s="4"/>
      <c r="AK206" s="4"/>
      <c r="AL206" s="4"/>
      <c r="AM206" s="4"/>
      <c r="AN206" s="204"/>
      <c r="AP206" t="s">
        <v>105</v>
      </c>
    </row>
    <row r="207" spans="1:42" customFormat="1" ht="12.75" customHeight="1">
      <c r="A207" s="35"/>
      <c r="B207" s="4"/>
      <c r="C207" s="45"/>
      <c r="D207" s="26" t="s">
        <v>611</v>
      </c>
      <c r="E207" s="1789" t="s">
        <v>1305</v>
      </c>
      <c r="F207" s="1789"/>
      <c r="G207" s="1789"/>
      <c r="H207" s="1789"/>
      <c r="I207" s="1789"/>
      <c r="J207" s="1789"/>
      <c r="K207" s="1789"/>
      <c r="L207" s="1789"/>
      <c r="M207" s="1789"/>
      <c r="N207" s="1789"/>
      <c r="O207" s="1789"/>
      <c r="P207" s="1789"/>
      <c r="Q207" s="1789"/>
      <c r="R207" s="1789"/>
      <c r="S207" s="1789"/>
      <c r="T207" s="1789"/>
      <c r="U207" s="1789"/>
      <c r="V207" s="1789"/>
      <c r="W207" s="1789"/>
      <c r="X207" s="1789"/>
      <c r="Y207" s="1789"/>
      <c r="Z207" s="1789"/>
      <c r="AA207" s="1789"/>
      <c r="AB207" s="1789"/>
      <c r="AC207" s="4"/>
      <c r="AD207" s="4"/>
      <c r="AF207" s="1675" t="s">
        <v>65</v>
      </c>
      <c r="AG207" s="1675"/>
      <c r="AH207" s="1675"/>
      <c r="AI207" s="1675"/>
      <c r="AJ207" s="1675"/>
      <c r="AK207" s="1675"/>
      <c r="AL207" s="1675"/>
      <c r="AM207" s="4"/>
      <c r="AN207" s="204"/>
      <c r="AP207" t="s">
        <v>106</v>
      </c>
    </row>
    <row r="208" spans="1:42" customFormat="1" ht="11.85" customHeight="1">
      <c r="A208" s="4"/>
      <c r="B208" s="5"/>
      <c r="C208" s="115"/>
      <c r="D208" s="26"/>
      <c r="E208" s="1789"/>
      <c r="F208" s="1789"/>
      <c r="G208" s="1789"/>
      <c r="H208" s="1789"/>
      <c r="I208" s="1789"/>
      <c r="J208" s="1789"/>
      <c r="K208" s="1789"/>
      <c r="L208" s="1789"/>
      <c r="M208" s="1789"/>
      <c r="N208" s="1789"/>
      <c r="O208" s="1789"/>
      <c r="P208" s="1789"/>
      <c r="Q208" s="1789"/>
      <c r="R208" s="1789"/>
      <c r="S208" s="1789"/>
      <c r="T208" s="1789"/>
      <c r="U208" s="1789"/>
      <c r="V208" s="1789"/>
      <c r="W208" s="1789"/>
      <c r="X208" s="1789"/>
      <c r="Y208" s="1789"/>
      <c r="Z208" s="1789"/>
      <c r="AA208" s="1789"/>
      <c r="AB208" s="1789"/>
      <c r="AC208" s="4"/>
      <c r="AD208" s="4"/>
      <c r="AE208" s="4"/>
      <c r="AM208" s="4"/>
      <c r="AN208" s="204"/>
      <c r="AP208" t="s">
        <v>103</v>
      </c>
    </row>
    <row r="209" spans="1:52" customFormat="1" ht="14.1" customHeight="1">
      <c r="A209" s="4"/>
      <c r="B209" s="42"/>
      <c r="C209" s="45"/>
      <c r="D209" s="26"/>
      <c r="E209" s="1789"/>
      <c r="F209" s="1789"/>
      <c r="G209" s="1789"/>
      <c r="H209" s="1789"/>
      <c r="I209" s="1789"/>
      <c r="J209" s="1789"/>
      <c r="K209" s="1789"/>
      <c r="L209" s="1789"/>
      <c r="M209" s="1789"/>
      <c r="N209" s="1789"/>
      <c r="O209" s="1789"/>
      <c r="P209" s="1789"/>
      <c r="Q209" s="1789"/>
      <c r="R209" s="1789"/>
      <c r="S209" s="1789"/>
      <c r="T209" s="1789"/>
      <c r="U209" s="1789"/>
      <c r="V209" s="1789"/>
      <c r="W209" s="1789"/>
      <c r="X209" s="1789"/>
      <c r="Y209" s="1789"/>
      <c r="Z209" s="1789"/>
      <c r="AA209" s="1789"/>
      <c r="AB209" s="1789"/>
      <c r="AC209" s="4"/>
      <c r="AD209" s="4"/>
      <c r="AE209" s="19"/>
      <c r="AM209" s="4"/>
      <c r="AN209" s="204"/>
      <c r="AP209" t="s">
        <v>104</v>
      </c>
    </row>
    <row r="210" spans="1:52" customFormat="1" ht="14.1" customHeight="1">
      <c r="A210" s="4"/>
      <c r="B210" s="5"/>
      <c r="C210" s="45"/>
      <c r="D210" s="26" t="s">
        <v>208</v>
      </c>
      <c r="E210" s="1676" t="s">
        <v>1306</v>
      </c>
      <c r="F210" s="1676"/>
      <c r="G210" s="1676"/>
      <c r="H210" s="1676"/>
      <c r="I210" s="1676"/>
      <c r="J210" s="1676"/>
      <c r="K210" s="1676"/>
      <c r="L210" s="1676"/>
      <c r="M210" s="1676"/>
      <c r="N210" s="1676"/>
      <c r="O210" s="1676"/>
      <c r="P210" s="1676"/>
      <c r="Q210" s="1676"/>
      <c r="R210" s="1676"/>
      <c r="S210" s="1676"/>
      <c r="T210" s="1676"/>
      <c r="U210" s="1676"/>
      <c r="V210" s="1676"/>
      <c r="W210" s="1676"/>
      <c r="X210" s="1676"/>
      <c r="Y210" s="1676"/>
      <c r="Z210" s="1676"/>
      <c r="AA210" s="1676"/>
      <c r="AB210" s="1676"/>
      <c r="AC210" s="4"/>
      <c r="AD210" s="4"/>
      <c r="AF210" s="1675" t="s">
        <v>111</v>
      </c>
      <c r="AG210" s="1675"/>
      <c r="AH210" s="1675"/>
      <c r="AI210" s="1675"/>
      <c r="AJ210" s="1675"/>
      <c r="AK210" s="1675"/>
      <c r="AL210" s="1675"/>
      <c r="AM210" s="4"/>
      <c r="AN210" s="680"/>
      <c r="AP210" s="48" t="s">
        <v>369</v>
      </c>
    </row>
    <row r="211" spans="1:52" customFormat="1" ht="12.75" customHeight="1">
      <c r="A211" s="4"/>
      <c r="B211" s="5"/>
      <c r="C211" s="115"/>
      <c r="D211" s="4"/>
      <c r="E211" s="1676"/>
      <c r="F211" s="1676"/>
      <c r="G211" s="1676"/>
      <c r="H211" s="1676"/>
      <c r="I211" s="1676"/>
      <c r="J211" s="1676"/>
      <c r="K211" s="1676"/>
      <c r="L211" s="1676"/>
      <c r="M211" s="1676"/>
      <c r="N211" s="1676"/>
      <c r="O211" s="1676"/>
      <c r="P211" s="1676"/>
      <c r="Q211" s="1676"/>
      <c r="R211" s="1676"/>
      <c r="S211" s="1676"/>
      <c r="T211" s="1676"/>
      <c r="U211" s="1676"/>
      <c r="V211" s="1676"/>
      <c r="W211" s="1676"/>
      <c r="X211" s="1676"/>
      <c r="Y211" s="1676"/>
      <c r="Z211" s="1676"/>
      <c r="AA211" s="1676"/>
      <c r="AB211" s="1676"/>
      <c r="AC211" s="4"/>
      <c r="AD211" s="5"/>
      <c r="AE211" s="4"/>
      <c r="AF211" s="4"/>
      <c r="AG211" s="4"/>
      <c r="AH211" s="4"/>
      <c r="AI211" s="4"/>
      <c r="AJ211" s="4"/>
      <c r="AK211" s="4"/>
      <c r="AL211" s="4"/>
      <c r="AM211" s="4"/>
      <c r="AN211" s="204"/>
      <c r="AP211" s="4" t="s">
        <v>132</v>
      </c>
      <c r="AQ211" s="478">
        <v>0</v>
      </c>
    </row>
    <row r="212" spans="1:52" customFormat="1" ht="14.1" customHeight="1">
      <c r="A212" s="4"/>
      <c r="B212" s="5"/>
      <c r="C212" s="115"/>
      <c r="D212" s="4"/>
      <c r="E212" s="1676"/>
      <c r="F212" s="1676"/>
      <c r="G212" s="1676"/>
      <c r="H212" s="1676"/>
      <c r="I212" s="1676"/>
      <c r="J212" s="1676"/>
      <c r="K212" s="1676"/>
      <c r="L212" s="1676"/>
      <c r="M212" s="1676"/>
      <c r="N212" s="1676"/>
      <c r="O212" s="1676"/>
      <c r="P212" s="1676"/>
      <c r="Q212" s="1676"/>
      <c r="R212" s="1676"/>
      <c r="S212" s="1676"/>
      <c r="T212" s="1676"/>
      <c r="U212" s="1676"/>
      <c r="V212" s="1676"/>
      <c r="W212" s="1676"/>
      <c r="X212" s="1676"/>
      <c r="Y212" s="1676"/>
      <c r="Z212" s="1676"/>
      <c r="AA212" s="1676"/>
      <c r="AB212" s="1676"/>
      <c r="AC212" s="4"/>
      <c r="AD212" s="5"/>
      <c r="AE212" s="4"/>
      <c r="AF212" s="4"/>
      <c r="AG212" s="4"/>
      <c r="AH212" s="4"/>
      <c r="AI212" s="4"/>
      <c r="AJ212" s="4"/>
      <c r="AK212" s="4"/>
      <c r="AL212" s="4"/>
      <c r="AM212" s="4"/>
      <c r="AN212" s="204"/>
      <c r="AP212" s="26" t="s">
        <v>611</v>
      </c>
      <c r="AQ212" s="4">
        <v>2</v>
      </c>
    </row>
    <row r="213" spans="1:52" customFormat="1" ht="14.1" customHeight="1">
      <c r="A213" s="4"/>
      <c r="B213" s="5"/>
      <c r="C213" s="115"/>
      <c r="D213" s="4" t="s">
        <v>157</v>
      </c>
      <c r="E213" s="116"/>
      <c r="F213" s="116"/>
      <c r="G213" s="116"/>
      <c r="H213" s="1663" t="s">
        <v>132</v>
      </c>
      <c r="I213" s="1663"/>
      <c r="J213" s="132"/>
      <c r="K213" s="132"/>
      <c r="L213" s="132"/>
      <c r="M213" s="132"/>
      <c r="N213" s="132"/>
      <c r="O213" s="132"/>
      <c r="P213" s="132"/>
      <c r="Q213" s="132"/>
      <c r="R213" s="132"/>
      <c r="S213" s="132"/>
      <c r="T213" s="132"/>
      <c r="U213" s="132"/>
      <c r="V213" s="132"/>
      <c r="W213" s="132"/>
      <c r="X213" s="132"/>
      <c r="Y213" s="132"/>
      <c r="Z213" s="132"/>
      <c r="AA213" s="132"/>
      <c r="AB213" s="132"/>
      <c r="AC213" s="4"/>
      <c r="AD213" s="5"/>
      <c r="AE213" s="4"/>
      <c r="AF213" s="4"/>
      <c r="AG213" s="4"/>
      <c r="AH213" s="4"/>
      <c r="AI213" s="4"/>
      <c r="AJ213" s="4"/>
      <c r="AK213" s="4"/>
      <c r="AL213" s="4"/>
      <c r="AM213" s="4"/>
      <c r="AN213" s="204"/>
      <c r="AP213" s="26" t="s">
        <v>208</v>
      </c>
      <c r="AQ213" s="4">
        <v>3</v>
      </c>
    </row>
    <row r="214" spans="1:52" customFormat="1" ht="14.25" customHeight="1">
      <c r="A214" s="4"/>
      <c r="B214" s="5"/>
      <c r="C214" s="115"/>
      <c r="D214" s="4"/>
      <c r="E214" s="132"/>
      <c r="F214" s="132"/>
      <c r="G214" s="132"/>
      <c r="H214" s="132"/>
      <c r="I214" s="132"/>
      <c r="J214" s="132"/>
      <c r="K214" s="132"/>
      <c r="L214" s="132"/>
      <c r="M214" s="132"/>
      <c r="N214" s="132"/>
      <c r="O214" s="132"/>
      <c r="P214" s="132"/>
      <c r="Q214" s="132"/>
      <c r="R214" s="132"/>
      <c r="S214" s="132"/>
      <c r="T214" s="132"/>
      <c r="U214" s="132"/>
      <c r="V214" s="132"/>
      <c r="W214" s="132"/>
      <c r="X214" s="132"/>
      <c r="Y214" s="132"/>
      <c r="Z214" s="132"/>
      <c r="AA214" s="132"/>
      <c r="AB214" s="132"/>
      <c r="AC214" s="4"/>
      <c r="AD214" s="5"/>
      <c r="AE214" s="4"/>
      <c r="AF214" s="4"/>
      <c r="AG214" s="4"/>
      <c r="AH214" s="4"/>
      <c r="AI214" s="4"/>
      <c r="AJ214" s="4"/>
      <c r="AK214" s="4"/>
      <c r="AL214" s="4"/>
      <c r="AM214" s="4"/>
      <c r="AN214" s="204"/>
    </row>
    <row r="215" spans="1:52" customFormat="1" ht="12.75" customHeight="1">
      <c r="A215" s="92"/>
      <c r="B215" s="89"/>
      <c r="C215" s="117"/>
      <c r="D215" s="93"/>
      <c r="E215" s="93"/>
      <c r="F215" s="93"/>
      <c r="G215" s="93"/>
      <c r="H215" s="93"/>
      <c r="I215" s="93"/>
      <c r="J215" s="133"/>
      <c r="K215" s="133"/>
      <c r="L215" s="133"/>
      <c r="M215" s="133"/>
      <c r="N215" s="133"/>
      <c r="O215" s="133"/>
      <c r="P215" s="133"/>
      <c r="Q215" s="133"/>
      <c r="R215" s="133"/>
      <c r="S215" s="133"/>
      <c r="T215" s="133"/>
      <c r="U215" s="125"/>
      <c r="V215" s="125"/>
      <c r="W215" s="125"/>
      <c r="X215" s="125"/>
      <c r="Y215" s="118"/>
      <c r="Z215" s="118"/>
      <c r="AA215" s="118"/>
      <c r="AB215" s="93"/>
      <c r="AC215" s="89"/>
      <c r="AD215" s="93"/>
      <c r="AE215" s="93"/>
      <c r="AF215" s="93"/>
      <c r="AG215" s="93"/>
      <c r="AH215" s="93"/>
      <c r="AI215" s="60" t="s">
        <v>324</v>
      </c>
      <c r="AJ215" s="1240">
        <f>VLOOKUP($H$213,$AO$151:$AP$153,2,FALSE)</f>
        <v>0</v>
      </c>
      <c r="AK215" s="1243"/>
      <c r="AL215" s="10"/>
      <c r="AM215" s="4"/>
      <c r="AN215" s="204"/>
      <c r="AP215" s="1240"/>
      <c r="AQ215" s="1243"/>
    </row>
    <row r="216" spans="1:52" customFormat="1">
      <c r="A216" s="4"/>
      <c r="B216" s="42"/>
      <c r="C216" s="45"/>
      <c r="D216" s="2"/>
      <c r="E216" s="19"/>
      <c r="F216" s="19"/>
      <c r="G216" s="19"/>
      <c r="H216" s="19"/>
      <c r="I216" s="19"/>
      <c r="J216" s="19"/>
      <c r="K216" s="19"/>
      <c r="L216" s="19"/>
      <c r="M216" s="19"/>
      <c r="N216" s="19"/>
      <c r="O216" s="19"/>
      <c r="P216" s="19"/>
      <c r="Q216" s="19"/>
      <c r="R216" s="19"/>
      <c r="S216" s="19"/>
      <c r="T216" s="19"/>
      <c r="U216" s="19"/>
      <c r="V216" s="19"/>
      <c r="W216" s="19"/>
      <c r="X216" s="19"/>
      <c r="Y216" s="19"/>
      <c r="Z216" s="19"/>
      <c r="AA216" s="19"/>
      <c r="AB216" s="19"/>
      <c r="AC216" s="4"/>
      <c r="AD216" s="5"/>
      <c r="AE216" s="4"/>
      <c r="AF216" s="4"/>
      <c r="AG216" s="4"/>
      <c r="AH216" s="4"/>
      <c r="AI216" s="4"/>
      <c r="AJ216" s="4"/>
      <c r="AK216" s="4"/>
      <c r="AL216" s="4"/>
      <c r="AM216" s="4"/>
      <c r="AN216" s="204"/>
      <c r="AT216" s="21"/>
      <c r="AU216" s="21"/>
      <c r="AV216" s="21"/>
      <c r="AW216" s="21"/>
      <c r="AX216" s="21"/>
      <c r="AY216" s="21"/>
      <c r="AZ216" s="21"/>
    </row>
    <row r="217" spans="1:52" customFormat="1">
      <c r="A217" s="4"/>
      <c r="B217" s="4"/>
      <c r="C217" s="3" t="s">
        <v>1554</v>
      </c>
      <c r="D217" s="134"/>
      <c r="E217" s="19"/>
      <c r="F217" s="19"/>
      <c r="G217" s="19"/>
      <c r="H217" s="19"/>
      <c r="I217" s="19"/>
      <c r="J217" s="19"/>
      <c r="K217" s="19"/>
      <c r="L217" s="19"/>
      <c r="M217" s="19"/>
      <c r="N217" s="19"/>
      <c r="O217" s="19"/>
      <c r="P217" s="19"/>
      <c r="Q217" s="19"/>
      <c r="R217" s="19"/>
      <c r="S217" s="19"/>
      <c r="T217" s="19"/>
      <c r="U217" s="19"/>
      <c r="V217" s="19"/>
      <c r="W217" s="19"/>
      <c r="X217" s="19"/>
      <c r="Y217" s="19"/>
      <c r="Z217" s="19"/>
      <c r="AA217" s="19"/>
      <c r="AB217" s="19"/>
      <c r="AC217" s="4"/>
      <c r="AD217" s="5"/>
      <c r="AE217" s="4"/>
      <c r="AF217" s="4"/>
      <c r="AG217" s="4"/>
      <c r="AH217" s="4"/>
      <c r="AI217" s="4"/>
      <c r="AJ217" s="4"/>
      <c r="AK217" s="4"/>
      <c r="AL217" s="4"/>
      <c r="AM217" s="4"/>
      <c r="AN217" s="204"/>
      <c r="AT217" s="21"/>
      <c r="AU217" s="21"/>
      <c r="AV217" s="21"/>
      <c r="AW217" s="21"/>
      <c r="AX217" s="21"/>
      <c r="AY217" s="21"/>
      <c r="AZ217" s="21"/>
    </row>
    <row r="218" spans="1:52" customFormat="1">
      <c r="A218" s="4"/>
      <c r="B218" s="42"/>
      <c r="C218" s="45"/>
      <c r="D218" s="2"/>
      <c r="E218" s="19"/>
      <c r="F218" s="19"/>
      <c r="G218" s="19"/>
      <c r="H218" s="19"/>
      <c r="I218" s="19"/>
      <c r="J218" s="19"/>
      <c r="K218" s="19"/>
      <c r="L218" s="19"/>
      <c r="M218" s="19"/>
      <c r="N218" s="19"/>
      <c r="O218" s="19"/>
      <c r="P218" s="19"/>
      <c r="Q218" s="19"/>
      <c r="R218" s="19"/>
      <c r="S218" s="19"/>
      <c r="T218" s="19"/>
      <c r="U218" s="19"/>
      <c r="V218" s="19"/>
      <c r="W218" s="19"/>
      <c r="X218" s="19"/>
      <c r="Y218" s="19"/>
      <c r="Z218" s="19"/>
      <c r="AA218" s="19"/>
      <c r="AB218" s="19"/>
      <c r="AC218" s="4"/>
      <c r="AD218" s="5"/>
      <c r="AE218" s="4"/>
      <c r="AF218" s="4"/>
      <c r="AG218" s="4"/>
      <c r="AH218" s="4"/>
      <c r="AI218" s="4"/>
      <c r="AJ218" s="4"/>
      <c r="AK218" s="4"/>
      <c r="AL218" s="4"/>
      <c r="AM218" s="4"/>
      <c r="AN218" s="204"/>
      <c r="AT218" s="21"/>
      <c r="AU218" s="21"/>
      <c r="AV218" s="21"/>
      <c r="AW218" s="21"/>
      <c r="AX218" s="21"/>
      <c r="AY218" s="21"/>
      <c r="AZ218" s="21"/>
    </row>
    <row r="219" spans="1:52" customFormat="1">
      <c r="A219" s="4"/>
      <c r="B219" s="4"/>
      <c r="C219" s="45"/>
      <c r="D219" s="26" t="s">
        <v>611</v>
      </c>
      <c r="E219" s="1664" t="s">
        <v>1555</v>
      </c>
      <c r="F219" s="1664"/>
      <c r="G219" s="1664"/>
      <c r="H219" s="1664"/>
      <c r="I219" s="1664"/>
      <c r="J219" s="1664"/>
      <c r="K219" s="1664"/>
      <c r="L219" s="1664"/>
      <c r="M219" s="1664"/>
      <c r="N219" s="1664"/>
      <c r="O219" s="1664"/>
      <c r="P219" s="1664"/>
      <c r="Q219" s="1664"/>
      <c r="R219" s="1664"/>
      <c r="S219" s="1664"/>
      <c r="T219" s="1664"/>
      <c r="U219" s="1664"/>
      <c r="V219" s="1664"/>
      <c r="W219" s="1664"/>
      <c r="X219" s="1664"/>
      <c r="Y219" s="1664"/>
      <c r="Z219" s="1664"/>
      <c r="AA219" s="1664"/>
      <c r="AB219" s="1664"/>
      <c r="AC219" s="4"/>
      <c r="AD219" s="4"/>
      <c r="AF219" s="1675" t="s">
        <v>65</v>
      </c>
      <c r="AG219" s="1675"/>
      <c r="AH219" s="1675"/>
      <c r="AI219" s="1675"/>
      <c r="AJ219" s="1675"/>
      <c r="AK219" s="1675"/>
      <c r="AL219" s="1675"/>
      <c r="AM219" s="4"/>
      <c r="AN219" s="204"/>
      <c r="AT219" s="21"/>
      <c r="AU219" s="21"/>
      <c r="AV219" s="21"/>
      <c r="AW219" s="21"/>
      <c r="AX219" s="21"/>
      <c r="AY219" s="21"/>
      <c r="AZ219" s="21"/>
    </row>
    <row r="220" spans="1:52" customFormat="1">
      <c r="A220" s="4"/>
      <c r="B220" s="5"/>
      <c r="C220" s="115"/>
      <c r="D220" s="26"/>
      <c r="E220" s="1664"/>
      <c r="F220" s="1664"/>
      <c r="G220" s="1664"/>
      <c r="H220" s="1664"/>
      <c r="I220" s="1664"/>
      <c r="J220" s="1664"/>
      <c r="K220" s="1664"/>
      <c r="L220" s="1664"/>
      <c r="M220" s="1664"/>
      <c r="N220" s="1664"/>
      <c r="O220" s="1664"/>
      <c r="P220" s="1664"/>
      <c r="Q220" s="1664"/>
      <c r="R220" s="1664"/>
      <c r="S220" s="1664"/>
      <c r="T220" s="1664"/>
      <c r="U220" s="1664"/>
      <c r="V220" s="1664"/>
      <c r="W220" s="1664"/>
      <c r="X220" s="1664"/>
      <c r="Y220" s="1664"/>
      <c r="Z220" s="1664"/>
      <c r="AA220" s="1664"/>
      <c r="AB220" s="1664"/>
      <c r="AC220" s="4"/>
      <c r="AD220" s="4"/>
      <c r="AE220" s="4"/>
      <c r="AF220" s="5"/>
      <c r="AG220" s="4"/>
      <c r="AH220" s="4"/>
      <c r="AI220" s="4"/>
      <c r="AJ220" s="4"/>
      <c r="AK220" s="4"/>
      <c r="AL220" s="4"/>
      <c r="AM220" s="4"/>
      <c r="AN220" s="204"/>
      <c r="AT220" s="21"/>
      <c r="AU220" s="21"/>
      <c r="AV220" s="21"/>
      <c r="AW220" s="21"/>
      <c r="AX220" s="21"/>
      <c r="AY220" s="21"/>
      <c r="AZ220" s="21"/>
    </row>
    <row r="221" spans="1:52" customFormat="1">
      <c r="A221" s="4"/>
      <c r="B221" s="42"/>
      <c r="C221" s="45"/>
      <c r="D221" s="26"/>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4"/>
      <c r="AE221" s="4"/>
      <c r="AF221" s="5"/>
      <c r="AG221" s="4"/>
      <c r="AH221" s="4"/>
      <c r="AI221" s="4"/>
      <c r="AJ221" s="4"/>
      <c r="AK221" s="4"/>
      <c r="AL221" s="4"/>
      <c r="AM221" s="4"/>
      <c r="AN221" s="204"/>
      <c r="AT221" s="21"/>
      <c r="AU221" s="21"/>
      <c r="AV221" s="21"/>
      <c r="AW221" s="21"/>
      <c r="AX221" s="21"/>
      <c r="AY221" s="21"/>
      <c r="AZ221" s="21"/>
    </row>
    <row r="222" spans="1:52" customFormat="1" ht="12.75" customHeight="1">
      <c r="A222" s="4"/>
      <c r="B222" s="5"/>
      <c r="C222" s="45"/>
      <c r="D222" s="26" t="s">
        <v>208</v>
      </c>
      <c r="E222" s="1664" t="s">
        <v>922</v>
      </c>
      <c r="F222" s="1664"/>
      <c r="G222" s="1664"/>
      <c r="H222" s="1664"/>
      <c r="I222" s="1664"/>
      <c r="J222" s="1664"/>
      <c r="K222" s="1664"/>
      <c r="L222" s="1664"/>
      <c r="M222" s="1664"/>
      <c r="N222" s="1664"/>
      <c r="O222" s="1664"/>
      <c r="P222" s="1664"/>
      <c r="Q222" s="1664"/>
      <c r="R222" s="1664"/>
      <c r="S222" s="1664"/>
      <c r="T222" s="1664"/>
      <c r="U222" s="1664"/>
      <c r="V222" s="1664"/>
      <c r="W222" s="1664"/>
      <c r="X222" s="1664"/>
      <c r="Y222" s="1664"/>
      <c r="Z222" s="1664"/>
      <c r="AA222" s="1664"/>
      <c r="AB222" s="1664"/>
      <c r="AC222" s="4"/>
      <c r="AD222" s="4"/>
      <c r="AF222" s="1675" t="s">
        <v>111</v>
      </c>
      <c r="AG222" s="1675"/>
      <c r="AH222" s="1675"/>
      <c r="AI222" s="1675"/>
      <c r="AJ222" s="1675"/>
      <c r="AK222" s="1675"/>
      <c r="AL222" s="1675"/>
      <c r="AM222" s="4"/>
      <c r="AN222" s="204"/>
      <c r="AT222" s="21"/>
      <c r="AU222" s="21"/>
      <c r="AV222" s="21"/>
      <c r="AW222" s="21"/>
      <c r="AX222" s="21"/>
      <c r="AY222" s="21"/>
      <c r="AZ222" s="21"/>
    </row>
    <row r="223" spans="1:52" customFormat="1">
      <c r="A223" s="4"/>
      <c r="B223" s="5"/>
      <c r="C223" s="115"/>
      <c r="D223" s="4"/>
      <c r="E223" s="1664"/>
      <c r="F223" s="1664"/>
      <c r="G223" s="1664"/>
      <c r="H223" s="1664"/>
      <c r="I223" s="1664"/>
      <c r="J223" s="1664"/>
      <c r="K223" s="1664"/>
      <c r="L223" s="1664"/>
      <c r="M223" s="1664"/>
      <c r="N223" s="1664"/>
      <c r="O223" s="1664"/>
      <c r="P223" s="1664"/>
      <c r="Q223" s="1664"/>
      <c r="R223" s="1664"/>
      <c r="S223" s="1664"/>
      <c r="T223" s="1664"/>
      <c r="U223" s="1664"/>
      <c r="V223" s="1664"/>
      <c r="W223" s="1664"/>
      <c r="X223" s="1664"/>
      <c r="Y223" s="1664"/>
      <c r="Z223" s="1664"/>
      <c r="AA223" s="1664"/>
      <c r="AB223" s="1664"/>
      <c r="AC223" s="4"/>
      <c r="AD223" s="5"/>
      <c r="AE223" s="4"/>
      <c r="AF223" s="4"/>
      <c r="AG223" s="4"/>
      <c r="AH223" s="4"/>
      <c r="AI223" s="4"/>
      <c r="AJ223" s="4"/>
      <c r="AK223" s="4"/>
      <c r="AL223" s="4"/>
      <c r="AM223" s="4"/>
      <c r="AN223" s="204"/>
      <c r="AT223" s="21"/>
      <c r="AU223" s="21"/>
      <c r="AV223" s="21"/>
      <c r="AW223" s="21"/>
      <c r="AX223" s="21"/>
      <c r="AY223" s="21"/>
      <c r="AZ223" s="21"/>
    </row>
    <row r="224" spans="1:52" customFormat="1">
      <c r="A224" s="4"/>
      <c r="B224" s="5"/>
      <c r="C224" s="115"/>
      <c r="D224" s="4"/>
      <c r="E224" s="103"/>
      <c r="F224" s="103"/>
      <c r="G224" s="103"/>
      <c r="H224" s="103"/>
      <c r="I224" s="103"/>
      <c r="J224" s="103"/>
      <c r="K224" s="103"/>
      <c r="L224" s="103"/>
      <c r="M224" s="103"/>
      <c r="N224" s="103"/>
      <c r="O224" s="103"/>
      <c r="P224" s="103"/>
      <c r="Q224" s="103"/>
      <c r="R224" s="103"/>
      <c r="S224" s="103"/>
      <c r="T224" s="103"/>
      <c r="U224" s="103"/>
      <c r="V224" s="103"/>
      <c r="W224" s="103"/>
      <c r="X224" s="103"/>
      <c r="Y224" s="103"/>
      <c r="Z224" s="103"/>
      <c r="AA224" s="103"/>
      <c r="AB224" s="103"/>
      <c r="AC224" s="4"/>
      <c r="AD224" s="5"/>
      <c r="AE224" s="4"/>
      <c r="AF224" s="4"/>
      <c r="AG224" s="4"/>
      <c r="AH224" s="4"/>
      <c r="AI224" s="4"/>
      <c r="AJ224" s="4"/>
      <c r="AK224" s="4"/>
      <c r="AL224" s="4"/>
      <c r="AM224" s="4"/>
      <c r="AN224" s="204"/>
      <c r="AT224" s="21"/>
      <c r="AU224" s="21"/>
      <c r="AV224" s="21"/>
      <c r="AW224" s="21"/>
      <c r="AX224" s="21"/>
      <c r="AY224" s="21"/>
      <c r="AZ224" s="21"/>
    </row>
    <row r="225" spans="1:82" customFormat="1" ht="12.75" customHeight="1">
      <c r="A225" s="4"/>
      <c r="B225" s="5"/>
      <c r="C225" s="115"/>
      <c r="D225" s="4" t="s">
        <v>157</v>
      </c>
      <c r="E225" s="116"/>
      <c r="F225" s="116"/>
      <c r="G225" s="116"/>
      <c r="H225" s="1663" t="s">
        <v>132</v>
      </c>
      <c r="I225" s="1663"/>
      <c r="J225" s="103"/>
      <c r="K225" s="103"/>
      <c r="L225" s="103"/>
      <c r="M225" s="103"/>
      <c r="N225" s="103"/>
      <c r="O225" s="103"/>
      <c r="P225" s="103"/>
      <c r="Q225" s="103"/>
      <c r="R225" s="103"/>
      <c r="S225" s="103"/>
      <c r="T225" s="103"/>
      <c r="U225" s="103"/>
      <c r="V225" s="103"/>
      <c r="W225" s="103"/>
      <c r="X225" s="103"/>
      <c r="Y225" s="103"/>
      <c r="Z225" s="103"/>
      <c r="AA225" s="103"/>
      <c r="AB225" s="103"/>
      <c r="AC225" s="4"/>
      <c r="AD225" s="5"/>
      <c r="AE225" s="4"/>
      <c r="AF225" s="4"/>
      <c r="AG225" s="4"/>
      <c r="AH225" s="4"/>
      <c r="AI225" s="4"/>
      <c r="AJ225" s="4"/>
      <c r="AK225" s="4"/>
      <c r="AL225" s="4"/>
      <c r="AM225" s="4"/>
      <c r="AN225" s="204"/>
      <c r="AT225" s="21"/>
      <c r="AU225" s="21"/>
      <c r="AV225" s="21"/>
      <c r="AW225" s="21"/>
      <c r="AX225" s="21"/>
      <c r="AY225" s="21"/>
      <c r="AZ225" s="21"/>
    </row>
    <row r="226" spans="1:82" customFormat="1">
      <c r="A226" s="4"/>
      <c r="B226" s="5"/>
      <c r="C226" s="115"/>
      <c r="D226" s="4"/>
      <c r="E226" s="103"/>
      <c r="F226" s="103"/>
      <c r="G226" s="103"/>
      <c r="H226" s="103"/>
      <c r="I226" s="103"/>
      <c r="J226" s="103"/>
      <c r="K226" s="103"/>
      <c r="L226" s="103"/>
      <c r="M226" s="103"/>
      <c r="N226" s="103"/>
      <c r="O226" s="103"/>
      <c r="P226" s="103"/>
      <c r="Q226" s="103"/>
      <c r="R226" s="103"/>
      <c r="S226" s="103"/>
      <c r="T226" s="103"/>
      <c r="U226" s="103"/>
      <c r="V226" s="103"/>
      <c r="W226" s="103"/>
      <c r="X226" s="103"/>
      <c r="Y226" s="103"/>
      <c r="Z226" s="103"/>
      <c r="AA226" s="103"/>
      <c r="AB226" s="103"/>
      <c r="AC226" s="4"/>
      <c r="AD226" s="5"/>
      <c r="AE226" s="4"/>
      <c r="AF226" s="4"/>
      <c r="AG226" s="4"/>
      <c r="AH226" s="4"/>
      <c r="AI226" s="4"/>
      <c r="AJ226" s="4"/>
      <c r="AK226" s="4"/>
      <c r="AL226" s="4"/>
      <c r="AM226" s="4"/>
      <c r="AN226" s="204"/>
      <c r="AS226" s="21"/>
      <c r="AT226" s="21"/>
      <c r="AU226" s="21"/>
      <c r="AV226" s="21"/>
      <c r="AW226" s="21"/>
      <c r="AX226" s="21"/>
      <c r="AY226" s="21"/>
      <c r="AZ226" s="21"/>
      <c r="BA226" s="21"/>
      <c r="BB226" s="21"/>
      <c r="BC226" s="21"/>
      <c r="BD226" s="40"/>
      <c r="BE226" s="40"/>
      <c r="BF226" s="40"/>
      <c r="BG226" s="40"/>
      <c r="BH226" s="40"/>
      <c r="BI226" s="21"/>
      <c r="BJ226" s="21"/>
      <c r="BK226" s="21"/>
      <c r="BL226" s="21"/>
      <c r="BM226" s="21"/>
      <c r="BN226" s="21"/>
      <c r="BO226" s="21"/>
      <c r="BP226" s="21"/>
      <c r="BQ226" s="21"/>
      <c r="BR226" s="21"/>
      <c r="BS226" s="21"/>
      <c r="BT226" s="21"/>
      <c r="BU226" s="21"/>
      <c r="BV226" s="21"/>
      <c r="BW226" s="21"/>
      <c r="BX226" s="21"/>
      <c r="BY226" s="21"/>
      <c r="BZ226" s="21"/>
      <c r="CA226" s="21"/>
      <c r="CB226" s="21"/>
      <c r="CC226" s="21"/>
      <c r="CD226" s="21"/>
    </row>
    <row r="227" spans="1:82" customFormat="1">
      <c r="A227" s="92"/>
      <c r="B227" s="89"/>
      <c r="C227" s="117"/>
      <c r="D227" s="93"/>
      <c r="E227" s="131"/>
      <c r="F227" s="131"/>
      <c r="G227" s="131"/>
      <c r="H227" s="131"/>
      <c r="I227" s="131"/>
      <c r="J227" s="131"/>
      <c r="K227" s="131"/>
      <c r="L227" s="131"/>
      <c r="M227" s="131"/>
      <c r="N227" s="131"/>
      <c r="O227" s="131"/>
      <c r="P227" s="131"/>
      <c r="Q227" s="131"/>
      <c r="R227" s="131"/>
      <c r="S227" s="131"/>
      <c r="T227" s="131"/>
      <c r="U227" s="131"/>
      <c r="V227" s="125"/>
      <c r="W227" s="125"/>
      <c r="X227" s="125"/>
      <c r="Y227" s="118"/>
      <c r="Z227" s="118"/>
      <c r="AA227" s="118"/>
      <c r="AB227" s="93"/>
      <c r="AC227" s="89"/>
      <c r="AD227" s="93"/>
      <c r="AE227" s="93"/>
      <c r="AF227" s="93"/>
      <c r="AG227" s="93"/>
      <c r="AH227" s="93"/>
      <c r="AI227" s="60" t="s">
        <v>325</v>
      </c>
      <c r="AJ227" s="1240">
        <f>VLOOKUP($H$225,$AO$165:$AP$167,2,FALSE)</f>
        <v>0</v>
      </c>
      <c r="AK227" s="1243"/>
      <c r="AL227" s="10"/>
      <c r="AM227" s="4"/>
      <c r="AN227" s="204"/>
      <c r="AS227" s="21"/>
      <c r="AT227" s="21"/>
      <c r="AU227" s="21"/>
      <c r="AV227" s="21"/>
      <c r="AW227" s="21"/>
      <c r="AX227" s="21"/>
      <c r="AY227" s="21"/>
      <c r="AZ227" s="21"/>
      <c r="BA227" s="21"/>
      <c r="BB227" s="21"/>
      <c r="BC227" s="21"/>
      <c r="BD227" s="40"/>
      <c r="BE227" s="40"/>
      <c r="BF227" s="40"/>
      <c r="BG227" s="40"/>
      <c r="BH227" s="40"/>
      <c r="BI227" s="21"/>
      <c r="BJ227" s="21"/>
      <c r="BK227" s="21"/>
      <c r="BL227" s="21"/>
      <c r="BM227" s="21"/>
      <c r="BN227" s="21"/>
      <c r="BO227" s="21"/>
      <c r="BP227" s="21"/>
      <c r="BQ227" s="21"/>
      <c r="BR227" s="21"/>
      <c r="BS227" s="21"/>
      <c r="BT227" s="21"/>
      <c r="BU227" s="21"/>
      <c r="BV227" s="21"/>
      <c r="BW227" s="21"/>
      <c r="BX227" s="21"/>
      <c r="BY227" s="21"/>
      <c r="BZ227" s="21"/>
      <c r="CA227" s="21"/>
      <c r="CB227" s="21"/>
      <c r="CC227" s="21"/>
      <c r="CD227" s="21"/>
    </row>
    <row r="228" spans="1:82" customFormat="1" ht="12.75" customHeight="1">
      <c r="A228" s="4"/>
      <c r="B228" s="5"/>
      <c r="C228" s="115"/>
      <c r="D228" s="4"/>
      <c r="E228" s="4"/>
      <c r="F228" s="4"/>
      <c r="G228" s="4"/>
      <c r="H228" s="4"/>
      <c r="I228" s="4"/>
      <c r="J228" s="103"/>
      <c r="K228" s="103"/>
      <c r="L228" s="103"/>
      <c r="M228" s="103"/>
      <c r="N228" s="4"/>
      <c r="O228" s="4"/>
      <c r="P228" s="4"/>
      <c r="Q228" s="4"/>
      <c r="R228" s="4"/>
      <c r="S228" s="4"/>
      <c r="T228" s="4"/>
      <c r="U228" s="4"/>
      <c r="V228" s="4"/>
      <c r="W228" s="4"/>
      <c r="X228" s="4"/>
      <c r="Y228" s="4"/>
      <c r="Z228" s="4"/>
      <c r="AA228" s="4"/>
      <c r="AB228" s="4"/>
      <c r="AC228" s="4"/>
      <c r="AD228" s="4"/>
      <c r="AE228" s="4"/>
      <c r="AF228" s="4"/>
      <c r="AG228" s="4"/>
      <c r="AH228" s="4"/>
      <c r="AI228" s="4"/>
      <c r="AJ228" s="4"/>
      <c r="AK228" s="4"/>
      <c r="AL228" s="4"/>
      <c r="AM228" s="4"/>
      <c r="AN228" s="204"/>
      <c r="AS228" s="21"/>
      <c r="AT228" s="21"/>
      <c r="AU228" s="21"/>
      <c r="AV228" s="21"/>
      <c r="AW228" s="21"/>
      <c r="AX228" s="21"/>
      <c r="AY228" s="21"/>
      <c r="AZ228" s="21"/>
      <c r="BA228" s="21"/>
      <c r="BB228" s="21"/>
      <c r="BC228" s="21"/>
      <c r="BD228" s="40"/>
      <c r="BE228" s="40"/>
      <c r="BF228" s="40"/>
      <c r="BG228" s="40"/>
      <c r="BH228" s="40"/>
      <c r="BI228" s="21"/>
      <c r="BJ228" s="21"/>
      <c r="BK228" s="21"/>
      <c r="BL228" s="21"/>
      <c r="BM228" s="21"/>
      <c r="BN228" s="21"/>
      <c r="BO228" s="21"/>
      <c r="BP228" s="21"/>
      <c r="BQ228" s="21"/>
      <c r="BR228" s="21"/>
      <c r="BS228" s="21"/>
      <c r="BT228" s="21"/>
      <c r="BU228" s="21"/>
      <c r="BV228" s="21"/>
      <c r="BW228" s="21"/>
      <c r="BX228" s="21"/>
      <c r="BY228" s="21"/>
      <c r="BZ228" s="21"/>
      <c r="CA228" s="21"/>
      <c r="CB228" s="21"/>
      <c r="CC228" s="21"/>
      <c r="CD228" s="21"/>
    </row>
    <row r="229" spans="1:82" customFormat="1" ht="12.75" customHeight="1">
      <c r="A229" s="4"/>
      <c r="B229" s="4"/>
      <c r="C229" s="3" t="s">
        <v>211</v>
      </c>
      <c r="D229" s="4"/>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4"/>
      <c r="AJ229" s="4"/>
      <c r="AK229" s="4"/>
      <c r="AL229" s="4"/>
      <c r="AM229" s="4"/>
      <c r="AN229" s="204"/>
      <c r="AS229" s="21"/>
      <c r="AT229" s="21"/>
      <c r="AU229" s="21"/>
      <c r="AV229" s="21"/>
      <c r="AW229" s="21"/>
      <c r="AX229" s="21"/>
      <c r="AY229" s="21"/>
      <c r="AZ229" s="21"/>
      <c r="BA229" s="21"/>
      <c r="BB229" s="21"/>
      <c r="BC229" s="21"/>
      <c r="BD229" s="40"/>
      <c r="BE229" s="40"/>
      <c r="BF229" s="40"/>
      <c r="BG229" s="40"/>
      <c r="BH229" s="40"/>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c r="A230" s="4"/>
      <c r="B230" s="42"/>
      <c r="C230" s="135"/>
      <c r="D230" s="35"/>
      <c r="E230" s="35"/>
      <c r="F230" s="4"/>
      <c r="G230" s="4"/>
      <c r="H230" s="35"/>
      <c r="I230" s="35"/>
      <c r="J230" s="35"/>
      <c r="K230" s="35"/>
      <c r="L230" s="35"/>
      <c r="M230" s="35"/>
      <c r="N230" s="35"/>
      <c r="O230" s="35"/>
      <c r="P230" s="35"/>
      <c r="Q230" s="35"/>
      <c r="R230" s="35"/>
      <c r="S230" s="35"/>
      <c r="T230" s="4"/>
      <c r="U230" s="4"/>
      <c r="V230" s="4"/>
      <c r="W230" s="4"/>
      <c r="X230" s="120"/>
      <c r="Y230" s="120"/>
      <c r="Z230" s="120"/>
      <c r="AA230" s="120"/>
      <c r="AB230" s="120"/>
      <c r="AC230" s="22"/>
      <c r="AD230" s="5"/>
      <c r="AE230" s="4"/>
      <c r="AF230" s="4"/>
      <c r="AG230" s="4"/>
      <c r="AH230" s="4"/>
      <c r="AI230" s="4"/>
      <c r="AJ230" s="4"/>
      <c r="AK230" s="4"/>
      <c r="AL230" s="4"/>
      <c r="AM230" s="4"/>
      <c r="AN230" s="204"/>
      <c r="AS230" s="21"/>
      <c r="AT230" s="21"/>
      <c r="AU230" s="21"/>
      <c r="AV230" s="21"/>
      <c r="AW230" s="21"/>
      <c r="AX230" s="21"/>
      <c r="AY230" s="21"/>
      <c r="AZ230" s="21"/>
      <c r="BA230" s="21"/>
      <c r="BB230" s="21"/>
      <c r="BC230" s="21"/>
      <c r="BD230" s="40"/>
      <c r="BE230" s="40"/>
      <c r="BF230" s="40"/>
      <c r="BG230" s="40"/>
      <c r="BH230" s="40"/>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c r="A231" s="4"/>
      <c r="B231" s="4"/>
      <c r="C231" s="45"/>
      <c r="D231" s="26" t="s">
        <v>611</v>
      </c>
      <c r="E231" s="1664" t="s">
        <v>1169</v>
      </c>
      <c r="F231" s="1664"/>
      <c r="G231" s="1664"/>
      <c r="H231" s="1664"/>
      <c r="I231" s="1664"/>
      <c r="J231" s="1664"/>
      <c r="K231" s="1664"/>
      <c r="L231" s="1664"/>
      <c r="M231" s="1664"/>
      <c r="N231" s="1664"/>
      <c r="O231" s="1664"/>
      <c r="P231" s="1664"/>
      <c r="Q231" s="1664"/>
      <c r="R231" s="1664"/>
      <c r="S231" s="1664"/>
      <c r="T231" s="1664"/>
      <c r="U231" s="1664"/>
      <c r="V231" s="1664"/>
      <c r="W231" s="1664"/>
      <c r="X231" s="1664"/>
      <c r="Y231" s="1664"/>
      <c r="Z231" s="1664"/>
      <c r="AA231" s="1664"/>
      <c r="AB231" s="1664"/>
      <c r="AC231" s="4"/>
      <c r="AD231" s="4"/>
      <c r="AF231" s="1675" t="s">
        <v>65</v>
      </c>
      <c r="AG231" s="1675"/>
      <c r="AH231" s="1675"/>
      <c r="AI231" s="1675"/>
      <c r="AJ231" s="1675"/>
      <c r="AK231" s="1675"/>
      <c r="AL231" s="1675"/>
      <c r="AM231" s="4"/>
      <c r="AN231" s="204"/>
      <c r="AT231" s="21"/>
      <c r="AU231" s="21"/>
      <c r="AV231" s="21"/>
      <c r="AW231" s="21"/>
      <c r="AX231" s="21"/>
      <c r="AY231" s="21"/>
      <c r="AZ231" s="21"/>
    </row>
    <row r="232" spans="1:82" customFormat="1">
      <c r="A232" s="4"/>
      <c r="B232" s="5"/>
      <c r="C232" s="115"/>
      <c r="D232" s="26"/>
      <c r="E232" s="1664"/>
      <c r="F232" s="1664"/>
      <c r="G232" s="1664"/>
      <c r="H232" s="1664"/>
      <c r="I232" s="1664"/>
      <c r="J232" s="1664"/>
      <c r="K232" s="1664"/>
      <c r="L232" s="1664"/>
      <c r="M232" s="1664"/>
      <c r="N232" s="1664"/>
      <c r="O232" s="1664"/>
      <c r="P232" s="1664"/>
      <c r="Q232" s="1664"/>
      <c r="R232" s="1664"/>
      <c r="S232" s="1664"/>
      <c r="T232" s="1664"/>
      <c r="U232" s="1664"/>
      <c r="V232" s="1664"/>
      <c r="W232" s="1664"/>
      <c r="X232" s="1664"/>
      <c r="Y232" s="1664"/>
      <c r="Z232" s="1664"/>
      <c r="AA232" s="1664"/>
      <c r="AB232" s="1664"/>
      <c r="AC232" s="4"/>
      <c r="AD232" s="4"/>
      <c r="AL232" s="4"/>
      <c r="AM232" s="4"/>
      <c r="AN232" s="204"/>
    </row>
    <row r="233" spans="1:82" customFormat="1" ht="12.75" customHeight="1">
      <c r="A233" s="4"/>
      <c r="B233" s="5"/>
      <c r="C233" s="115"/>
      <c r="D233" s="26"/>
      <c r="E233" s="1664"/>
      <c r="F233" s="1664"/>
      <c r="G233" s="1664"/>
      <c r="H233" s="1664"/>
      <c r="I233" s="1664"/>
      <c r="J233" s="1664"/>
      <c r="K233" s="1664"/>
      <c r="L233" s="1664"/>
      <c r="M233" s="1664"/>
      <c r="N233" s="1664"/>
      <c r="O233" s="1664"/>
      <c r="P233" s="1664"/>
      <c r="Q233" s="1664"/>
      <c r="R233" s="1664"/>
      <c r="S233" s="1664"/>
      <c r="T233" s="1664"/>
      <c r="U233" s="1664"/>
      <c r="V233" s="1664"/>
      <c r="W233" s="1664"/>
      <c r="X233" s="1664"/>
      <c r="Y233" s="1664"/>
      <c r="Z233" s="1664"/>
      <c r="AA233" s="1664"/>
      <c r="AB233" s="1664"/>
      <c r="AC233" s="4"/>
      <c r="AD233" s="4"/>
      <c r="AE233" s="4"/>
      <c r="AF233" s="5"/>
      <c r="AG233" s="4"/>
      <c r="AH233" s="4"/>
      <c r="AI233" s="4"/>
      <c r="AJ233" s="4"/>
      <c r="AK233" s="4"/>
      <c r="AL233" s="4"/>
      <c r="AM233" s="4"/>
      <c r="AN233" s="676"/>
      <c r="AO233" s="21"/>
    </row>
    <row r="234" spans="1:82" customFormat="1">
      <c r="A234" s="120"/>
      <c r="B234" s="10"/>
      <c r="C234" s="45"/>
      <c r="D234" s="26"/>
      <c r="E234" s="343"/>
      <c r="F234" s="343"/>
      <c r="G234" s="343"/>
      <c r="H234" s="343"/>
      <c r="I234" s="343"/>
      <c r="J234" s="343"/>
      <c r="K234" s="343"/>
      <c r="L234" s="343"/>
      <c r="M234" s="343"/>
      <c r="N234" s="343"/>
      <c r="O234" s="343"/>
      <c r="P234" s="343"/>
      <c r="Q234" s="343"/>
      <c r="R234" s="343"/>
      <c r="S234" s="343"/>
      <c r="T234" s="343"/>
      <c r="U234" s="343"/>
      <c r="V234" s="343"/>
      <c r="W234" s="343"/>
      <c r="X234" s="343"/>
      <c r="Y234" s="343"/>
      <c r="Z234" s="343"/>
      <c r="AA234" s="343"/>
      <c r="AB234" s="343"/>
      <c r="AC234" s="4"/>
      <c r="AD234" s="4"/>
      <c r="AE234" s="4"/>
      <c r="AM234" s="4"/>
      <c r="AN234" s="204"/>
      <c r="AO234" s="38"/>
      <c r="AP234" s="21"/>
    </row>
    <row r="235" spans="1:82" customFormat="1">
      <c r="A235" s="4"/>
      <c r="B235" s="5"/>
      <c r="C235" s="45"/>
      <c r="D235" s="26" t="s">
        <v>208</v>
      </c>
      <c r="E235" s="1664" t="s">
        <v>1170</v>
      </c>
      <c r="F235" s="1664"/>
      <c r="G235" s="1664"/>
      <c r="H235" s="1664"/>
      <c r="I235" s="1664"/>
      <c r="J235" s="1664"/>
      <c r="K235" s="1664"/>
      <c r="L235" s="1664"/>
      <c r="M235" s="1664"/>
      <c r="N235" s="1664"/>
      <c r="O235" s="1664"/>
      <c r="P235" s="1664"/>
      <c r="Q235" s="1664"/>
      <c r="R235" s="1664"/>
      <c r="S235" s="1664"/>
      <c r="T235" s="1664"/>
      <c r="U235" s="1664"/>
      <c r="V235" s="1664"/>
      <c r="W235" s="1664"/>
      <c r="X235" s="1664"/>
      <c r="Y235" s="1664"/>
      <c r="Z235" s="1664"/>
      <c r="AA235" s="1664"/>
      <c r="AB235" s="344"/>
      <c r="AC235" s="4"/>
      <c r="AD235" s="4"/>
      <c r="AF235" s="1675" t="s">
        <v>111</v>
      </c>
      <c r="AG235" s="1675"/>
      <c r="AH235" s="1675"/>
      <c r="AI235" s="1675"/>
      <c r="AJ235" s="1675"/>
      <c r="AK235" s="1675"/>
      <c r="AL235" s="1675"/>
      <c r="AM235" s="4"/>
      <c r="AN235" s="204"/>
      <c r="AO235" s="38"/>
      <c r="AP235" s="21"/>
    </row>
    <row r="236" spans="1:82" customFormat="1">
      <c r="A236" s="4"/>
      <c r="B236" s="5"/>
      <c r="C236" s="45"/>
      <c r="D236" s="4"/>
      <c r="E236" s="1664"/>
      <c r="F236" s="1664"/>
      <c r="G236" s="1664"/>
      <c r="H236" s="1664"/>
      <c r="I236" s="1664"/>
      <c r="J236" s="1664"/>
      <c r="K236" s="1664"/>
      <c r="L236" s="1664"/>
      <c r="M236" s="1664"/>
      <c r="N236" s="1664"/>
      <c r="O236" s="1664"/>
      <c r="P236" s="1664"/>
      <c r="Q236" s="1664"/>
      <c r="R236" s="1664"/>
      <c r="S236" s="1664"/>
      <c r="T236" s="1664"/>
      <c r="U236" s="1664"/>
      <c r="V236" s="1664"/>
      <c r="W236" s="1664"/>
      <c r="X236" s="1664"/>
      <c r="Y236" s="1664"/>
      <c r="Z236" s="1664"/>
      <c r="AA236" s="1664"/>
      <c r="AB236" s="344"/>
      <c r="AC236" s="108"/>
      <c r="AD236" s="108"/>
      <c r="AE236" s="108"/>
      <c r="AF236" s="108"/>
      <c r="AG236" s="108"/>
      <c r="AH236" s="108"/>
      <c r="AI236" s="108"/>
      <c r="AJ236" s="4"/>
      <c r="AK236" s="4"/>
      <c r="AL236" s="4"/>
      <c r="AM236" s="4"/>
      <c r="AN236" s="204"/>
      <c r="AO236" s="38"/>
      <c r="AP236" s="21"/>
    </row>
    <row r="237" spans="1:82" customFormat="1">
      <c r="A237" s="4"/>
      <c r="B237" s="5"/>
      <c r="C237" s="45"/>
      <c r="D237" s="4"/>
      <c r="E237" s="1664"/>
      <c r="F237" s="1664"/>
      <c r="G237" s="1664"/>
      <c r="H237" s="1664"/>
      <c r="I237" s="1664"/>
      <c r="J237" s="1664"/>
      <c r="K237" s="1664"/>
      <c r="L237" s="1664"/>
      <c r="M237" s="1664"/>
      <c r="N237" s="1664"/>
      <c r="O237" s="1664"/>
      <c r="P237" s="1664"/>
      <c r="Q237" s="1664"/>
      <c r="R237" s="1664"/>
      <c r="S237" s="1664"/>
      <c r="T237" s="1664"/>
      <c r="U237" s="1664"/>
      <c r="V237" s="1664"/>
      <c r="W237" s="1664"/>
      <c r="X237" s="1664"/>
      <c r="Y237" s="1664"/>
      <c r="Z237" s="1664"/>
      <c r="AA237" s="1664"/>
      <c r="AB237" s="344"/>
      <c r="AC237" s="108"/>
      <c r="AD237" s="108"/>
      <c r="AE237" s="108"/>
      <c r="AF237" s="108"/>
      <c r="AG237" s="108"/>
      <c r="AH237" s="108"/>
      <c r="AI237" s="108"/>
      <c r="AJ237" s="4"/>
      <c r="AK237" s="4"/>
      <c r="AL237" s="4"/>
      <c r="AM237" s="4"/>
      <c r="AN237" s="204"/>
      <c r="AO237" s="38"/>
      <c r="AP237" s="21"/>
    </row>
    <row r="238" spans="1:82" customFormat="1">
      <c r="A238" s="4"/>
      <c r="B238" s="5"/>
      <c r="C238" s="45"/>
      <c r="D238" s="4"/>
      <c r="E238" s="27"/>
      <c r="F238" s="27"/>
      <c r="G238" s="27"/>
      <c r="H238" s="27"/>
      <c r="I238" s="27"/>
      <c r="J238" s="27"/>
      <c r="K238" s="27"/>
      <c r="L238" s="27"/>
      <c r="M238" s="27"/>
      <c r="N238" s="27"/>
      <c r="O238" s="27"/>
      <c r="P238" s="27"/>
      <c r="Q238" s="27"/>
      <c r="R238" s="27"/>
      <c r="S238" s="27"/>
      <c r="T238" s="27"/>
      <c r="U238" s="27"/>
      <c r="V238" s="27"/>
      <c r="W238" s="27"/>
      <c r="X238" s="27"/>
      <c r="Y238" s="27"/>
      <c r="Z238" s="27"/>
      <c r="AA238" s="27"/>
      <c r="AB238" s="27"/>
      <c r="AC238" s="108"/>
      <c r="AD238" s="108"/>
      <c r="AE238" s="108"/>
      <c r="AF238" s="108"/>
      <c r="AG238" s="108"/>
      <c r="AH238" s="108"/>
      <c r="AI238" s="108"/>
      <c r="AJ238" s="4"/>
      <c r="AK238" s="4"/>
      <c r="AL238" s="4"/>
      <c r="AM238" s="4"/>
      <c r="AN238" s="204"/>
    </row>
    <row r="239" spans="1:82" customFormat="1" ht="12.75" customHeight="1">
      <c r="A239" s="4"/>
      <c r="B239" s="5"/>
      <c r="C239" s="45"/>
      <c r="D239" s="4" t="s">
        <v>157</v>
      </c>
      <c r="E239" s="116"/>
      <c r="F239" s="116"/>
      <c r="G239" s="116"/>
      <c r="H239" s="1663" t="s">
        <v>132</v>
      </c>
      <c r="I239" s="1663"/>
      <c r="J239" s="27"/>
      <c r="K239" s="27"/>
      <c r="L239" s="27"/>
      <c r="M239" s="27"/>
      <c r="N239" s="27"/>
      <c r="O239" s="27"/>
      <c r="P239" s="27"/>
      <c r="Q239" s="27"/>
      <c r="R239" s="27"/>
      <c r="S239" s="27"/>
      <c r="T239" s="27"/>
      <c r="U239" s="27"/>
      <c r="V239" s="27"/>
      <c r="W239" s="27"/>
      <c r="X239" s="27"/>
      <c r="Y239" s="27"/>
      <c r="Z239" s="27"/>
      <c r="AA239" s="27"/>
      <c r="AB239" s="27"/>
      <c r="AC239" s="108"/>
      <c r="AD239" s="108"/>
      <c r="AE239" s="108"/>
      <c r="AF239" s="108"/>
      <c r="AG239" s="108"/>
      <c r="AH239" s="108"/>
      <c r="AI239" s="108"/>
      <c r="AJ239" s="4"/>
      <c r="AK239" s="4"/>
      <c r="AL239" s="4"/>
      <c r="AM239" s="4"/>
      <c r="AN239" s="204"/>
    </row>
    <row r="240" spans="1:82" customFormat="1" ht="12.75" customHeight="1">
      <c r="A240" s="4"/>
      <c r="B240" s="5"/>
      <c r="C240" s="45"/>
      <c r="D240" s="4"/>
      <c r="E240" s="27"/>
      <c r="F240" s="27"/>
      <c r="G240" s="27"/>
      <c r="H240" s="27"/>
      <c r="I240" s="27"/>
      <c r="J240" s="27"/>
      <c r="K240" s="27"/>
      <c r="L240" s="27"/>
      <c r="M240" s="27"/>
      <c r="N240" s="27"/>
      <c r="O240" s="27"/>
      <c r="P240" s="27"/>
      <c r="Q240" s="27"/>
      <c r="R240" s="27"/>
      <c r="S240" s="27"/>
      <c r="T240" s="27"/>
      <c r="U240" s="27"/>
      <c r="V240" s="27"/>
      <c r="W240" s="27"/>
      <c r="X240" s="27"/>
      <c r="Y240" s="27"/>
      <c r="Z240" s="27"/>
      <c r="AA240" s="27"/>
      <c r="AB240" s="27"/>
      <c r="AC240" s="108"/>
      <c r="AD240" s="108"/>
      <c r="AE240" s="108"/>
      <c r="AF240" s="108"/>
      <c r="AG240" s="108"/>
      <c r="AH240" s="108"/>
      <c r="AI240" s="108"/>
      <c r="AJ240" s="4"/>
      <c r="AK240" s="4"/>
      <c r="AL240" s="4"/>
      <c r="AM240" s="4"/>
      <c r="AN240" s="676"/>
      <c r="AO240" s="38"/>
      <c r="AP240" s="21"/>
      <c r="AQ240" s="21"/>
      <c r="AR240" s="21"/>
      <c r="AS240" s="21"/>
      <c r="AT240" s="21"/>
      <c r="AU240" s="21"/>
      <c r="AV240" s="21"/>
      <c r="AW240" s="21"/>
      <c r="AX240" s="21"/>
      <c r="AY240" s="21"/>
      <c r="AZ240" s="21"/>
      <c r="BA240" s="21"/>
      <c r="BB240" s="21"/>
      <c r="BC240" s="21"/>
      <c r="BD240" s="40"/>
      <c r="BE240" s="40"/>
      <c r="BF240" s="40"/>
      <c r="BG240" s="40"/>
      <c r="BH240" s="40"/>
      <c r="BI240" s="21"/>
      <c r="BJ240" s="21"/>
      <c r="BK240" s="21"/>
      <c r="BL240" s="21"/>
      <c r="BM240" s="21"/>
      <c r="BN240" s="21"/>
      <c r="BO240" s="21"/>
      <c r="BP240" s="21"/>
      <c r="BQ240" s="21"/>
      <c r="BR240" s="21"/>
      <c r="BS240" s="21"/>
      <c r="BT240" s="21"/>
      <c r="BU240" s="21"/>
      <c r="BV240" s="21"/>
    </row>
    <row r="241" spans="1:74" customFormat="1">
      <c r="A241" s="92"/>
      <c r="B241" s="89"/>
      <c r="C241" s="123"/>
      <c r="D241" s="93"/>
      <c r="E241" s="97"/>
      <c r="F241" s="97"/>
      <c r="G241" s="97"/>
      <c r="H241" s="97"/>
      <c r="I241" s="97"/>
      <c r="J241" s="97"/>
      <c r="K241" s="97"/>
      <c r="L241" s="97"/>
      <c r="M241" s="97"/>
      <c r="N241" s="97"/>
      <c r="O241" s="97"/>
      <c r="P241" s="97"/>
      <c r="Q241" s="97"/>
      <c r="R241" s="97"/>
      <c r="S241" s="97"/>
      <c r="T241" s="97"/>
      <c r="U241" s="97"/>
      <c r="V241" s="97"/>
      <c r="W241" s="97"/>
      <c r="X241" s="97"/>
      <c r="Y241" s="97"/>
      <c r="Z241" s="97"/>
      <c r="AA241" s="97"/>
      <c r="AB241" s="136"/>
      <c r="AC241" s="136"/>
      <c r="AD241" s="136"/>
      <c r="AE241" s="136"/>
      <c r="AF241" s="136"/>
      <c r="AG241" s="136"/>
      <c r="AH241" s="93"/>
      <c r="AI241" s="60" t="s">
        <v>902</v>
      </c>
      <c r="AJ241" s="1240">
        <f>VLOOKUP($H$239,$AO$178:$AP$180,2,FALSE)</f>
        <v>0</v>
      </c>
      <c r="AK241" s="1243"/>
      <c r="AL241" s="10"/>
      <c r="AM241" s="4"/>
      <c r="AN241" s="676"/>
      <c r="AO241" s="38"/>
      <c r="AP241" s="21"/>
      <c r="AQ241" s="21"/>
      <c r="AR241" s="21"/>
      <c r="AS241" s="21"/>
      <c r="AT241" s="21"/>
      <c r="AU241" s="21"/>
      <c r="AV241" s="21"/>
      <c r="AW241" s="21"/>
      <c r="AX241" s="21"/>
      <c r="AY241" s="21"/>
      <c r="AZ241" s="21"/>
      <c r="BA241" s="21"/>
      <c r="BB241" s="21"/>
      <c r="BC241" s="21"/>
      <c r="BD241" s="40"/>
      <c r="BE241" s="40"/>
      <c r="BF241" s="40"/>
      <c r="BG241" s="40"/>
      <c r="BH241" s="40"/>
      <c r="BI241" s="21"/>
      <c r="BJ241" s="21"/>
      <c r="BK241" s="21"/>
      <c r="BL241" s="21"/>
      <c r="BM241" s="21"/>
      <c r="BN241" s="21"/>
      <c r="BO241" s="21"/>
      <c r="BP241" s="21"/>
      <c r="BQ241" s="21"/>
      <c r="BR241" s="21"/>
      <c r="BS241" s="21"/>
      <c r="BT241" s="21"/>
      <c r="BU241" s="21"/>
      <c r="BV241" s="21"/>
    </row>
    <row r="242" spans="1:74" customFormat="1" ht="12.75" customHeight="1">
      <c r="A242" s="35"/>
      <c r="B242" s="5"/>
      <c r="C242" s="115"/>
      <c r="D242" s="4"/>
      <c r="E242" s="4"/>
      <c r="F242" s="4"/>
      <c r="G242" s="4"/>
      <c r="H242" s="4"/>
      <c r="I242" s="4"/>
      <c r="J242" s="27"/>
      <c r="K242" s="27"/>
      <c r="L242" s="103"/>
      <c r="M242" s="103"/>
      <c r="N242" s="103"/>
      <c r="O242" s="103"/>
      <c r="P242" s="103"/>
      <c r="Q242" s="103"/>
      <c r="R242" s="103"/>
      <c r="S242" s="103"/>
      <c r="T242" s="103"/>
      <c r="U242" s="103"/>
      <c r="V242" s="19"/>
      <c r="W242" s="19"/>
      <c r="X242" s="19"/>
      <c r="Y242" s="19"/>
      <c r="Z242" s="116"/>
      <c r="AA242" s="116"/>
      <c r="AB242" s="116"/>
      <c r="AC242" s="4"/>
      <c r="AD242" s="5"/>
      <c r="AE242" s="4"/>
      <c r="AF242" s="4"/>
      <c r="AG242" s="4"/>
      <c r="AH242" s="4"/>
      <c r="AI242" s="4"/>
      <c r="AJ242" s="4"/>
      <c r="AK242" s="4"/>
      <c r="AL242" s="4"/>
      <c r="AM242" s="4"/>
      <c r="AN242" s="676"/>
      <c r="AO242" s="38"/>
      <c r="AP242" s="21"/>
      <c r="AQ242" s="21"/>
      <c r="AR242" s="21"/>
      <c r="AS242" s="21"/>
      <c r="AT242" s="21"/>
      <c r="AU242" s="21"/>
      <c r="AV242" s="21"/>
      <c r="AW242" s="21"/>
      <c r="AX242" s="21"/>
      <c r="AY242" s="21"/>
      <c r="AZ242" s="21"/>
      <c r="BA242" s="21"/>
      <c r="BB242" s="21"/>
      <c r="BC242" s="21"/>
      <c r="BD242" s="40"/>
      <c r="BE242" s="40"/>
      <c r="BF242" s="40"/>
      <c r="BG242" s="40"/>
      <c r="BH242" s="40"/>
      <c r="BI242" s="21"/>
      <c r="BJ242" s="21"/>
      <c r="BK242" s="21"/>
      <c r="BL242" s="21"/>
      <c r="BM242" s="21"/>
      <c r="BN242" s="21"/>
      <c r="BO242" s="21"/>
      <c r="BP242" s="21"/>
      <c r="BQ242" s="21"/>
      <c r="BR242" s="21"/>
      <c r="BS242" s="21"/>
      <c r="BT242" s="21"/>
      <c r="BU242" s="21"/>
      <c r="BV242" s="21"/>
    </row>
    <row r="243" spans="1:74" customFormat="1">
      <c r="A243" s="4"/>
      <c r="B243" s="4"/>
      <c r="C243" s="3" t="s">
        <v>212</v>
      </c>
      <c r="D243" s="19"/>
      <c r="E243" s="4"/>
      <c r="F243" s="4"/>
      <c r="G243" s="4"/>
      <c r="H243" s="4"/>
      <c r="I243" s="4"/>
      <c r="J243" s="4"/>
      <c r="K243" s="4"/>
      <c r="L243" s="4"/>
      <c r="M243" s="4"/>
      <c r="N243" s="4"/>
      <c r="O243" s="4"/>
      <c r="P243" s="4"/>
      <c r="Q243" s="4"/>
      <c r="R243" s="4"/>
      <c r="S243" s="4"/>
      <c r="T243" s="4"/>
      <c r="U243" s="4"/>
      <c r="V243" s="4"/>
      <c r="W243" s="4"/>
      <c r="X243" s="4"/>
      <c r="Y243" s="4"/>
      <c r="Z243" s="4"/>
      <c r="AA243" s="4"/>
      <c r="AB243" s="4"/>
      <c r="AC243" s="4"/>
      <c r="AD243" s="4"/>
      <c r="AE243" s="4"/>
      <c r="AF243" s="4"/>
      <c r="AG243" s="4"/>
      <c r="AH243" s="4"/>
      <c r="AI243" s="4"/>
      <c r="AJ243" s="4"/>
      <c r="AK243" s="4"/>
      <c r="AL243" s="4"/>
      <c r="AM243" s="4"/>
      <c r="AN243" s="676"/>
      <c r="AO243" s="38"/>
      <c r="AP243" s="21"/>
      <c r="AQ243" s="21"/>
      <c r="AR243" s="21"/>
      <c r="AS243" s="21"/>
      <c r="AT243" s="21"/>
      <c r="AU243" s="21"/>
      <c r="AV243" s="21"/>
      <c r="AW243" s="21"/>
      <c r="AX243" s="21"/>
      <c r="AY243" s="21"/>
      <c r="AZ243" s="21"/>
      <c r="BA243" s="21"/>
      <c r="BB243" s="21"/>
      <c r="BC243" s="21"/>
      <c r="BD243" s="40"/>
      <c r="BE243" s="40"/>
      <c r="BF243" s="40"/>
      <c r="BG243" s="40"/>
      <c r="BH243" s="40"/>
      <c r="BI243" s="21"/>
      <c r="BJ243" s="21"/>
      <c r="BK243" s="21"/>
      <c r="BL243" s="21"/>
      <c r="BM243" s="21"/>
      <c r="BN243" s="21"/>
      <c r="BO243" s="21"/>
      <c r="BP243" s="21"/>
      <c r="BQ243" s="21"/>
      <c r="BR243" s="21"/>
      <c r="BS243" s="21"/>
      <c r="BT243" s="21"/>
      <c r="BU243" s="21"/>
      <c r="BV243" s="21"/>
    </row>
    <row r="244" spans="1:74" customFormat="1">
      <c r="A244" s="4"/>
      <c r="B244" s="102"/>
      <c r="C244" s="4"/>
      <c r="D244" s="4"/>
      <c r="E244" s="19"/>
      <c r="F244" s="19"/>
      <c r="G244" s="19"/>
      <c r="H244" s="19"/>
      <c r="I244" s="19"/>
      <c r="J244" s="19"/>
      <c r="K244" s="19"/>
      <c r="L244" s="19"/>
      <c r="M244" s="19"/>
      <c r="N244" s="19"/>
      <c r="O244" s="19"/>
      <c r="P244" s="19"/>
      <c r="Q244" s="19"/>
      <c r="R244" s="19"/>
      <c r="S244" s="19"/>
      <c r="T244" s="19"/>
      <c r="U244" s="19"/>
      <c r="V244" s="19"/>
      <c r="W244" s="19"/>
      <c r="X244" s="19"/>
      <c r="Y244" s="19"/>
      <c r="Z244" s="19"/>
      <c r="AA244" s="19"/>
      <c r="AB244" s="19"/>
      <c r="AC244" s="19"/>
      <c r="AD244" s="102"/>
      <c r="AE244" s="19"/>
      <c r="AF244" s="19"/>
      <c r="AG244" s="19"/>
      <c r="AH244" s="19"/>
      <c r="AI244" s="4"/>
      <c r="AJ244" s="4"/>
      <c r="AK244" s="4"/>
      <c r="AL244" s="4"/>
      <c r="AM244" s="4"/>
      <c r="AN244" s="676"/>
      <c r="AO244" s="38"/>
      <c r="AP244" s="21"/>
      <c r="AQ244" s="21"/>
      <c r="AR244" s="21"/>
      <c r="AS244" s="21"/>
      <c r="AT244" s="21"/>
      <c r="AU244" s="21"/>
      <c r="AV244" s="21"/>
      <c r="AW244" s="21"/>
      <c r="AX244" s="21"/>
      <c r="AY244" s="21"/>
      <c r="AZ244" s="21"/>
      <c r="BA244" s="21"/>
      <c r="BB244" s="21"/>
      <c r="BC244" s="21"/>
      <c r="BD244" s="40"/>
      <c r="BE244" s="40"/>
      <c r="BF244" s="40"/>
      <c r="BG244" s="40"/>
      <c r="BH244" s="40"/>
      <c r="BI244" s="21"/>
      <c r="BJ244" s="21"/>
      <c r="BK244" s="21"/>
      <c r="BL244" s="21"/>
      <c r="BM244" s="21"/>
      <c r="BN244" s="21"/>
      <c r="BO244" s="21"/>
      <c r="BP244" s="21"/>
      <c r="BQ244" s="21"/>
      <c r="BR244" s="21"/>
      <c r="BS244" s="21"/>
      <c r="BT244" s="21"/>
      <c r="BU244" s="21"/>
      <c r="BV244" s="21"/>
    </row>
    <row r="245" spans="1:74" customFormat="1">
      <c r="A245" s="4"/>
      <c r="B245" s="4"/>
      <c r="C245" s="45"/>
      <c r="D245" s="26" t="s">
        <v>611</v>
      </c>
      <c r="E245" s="1664" t="s">
        <v>337</v>
      </c>
      <c r="F245" s="1664"/>
      <c r="G245" s="1664"/>
      <c r="H245" s="1664"/>
      <c r="I245" s="1664"/>
      <c r="J245" s="1664"/>
      <c r="K245" s="1664"/>
      <c r="L245" s="1664"/>
      <c r="M245" s="1664"/>
      <c r="N245" s="1664"/>
      <c r="O245" s="1664"/>
      <c r="P245" s="1664"/>
      <c r="Q245" s="1664"/>
      <c r="R245" s="1664"/>
      <c r="S245" s="1664"/>
      <c r="T245" s="1664"/>
      <c r="U245" s="1664"/>
      <c r="V245" s="1664"/>
      <c r="W245" s="1664"/>
      <c r="X245" s="1664"/>
      <c r="Y245" s="1664"/>
      <c r="Z245" s="1664"/>
      <c r="AA245" s="1664"/>
      <c r="AB245" s="1664"/>
      <c r="AC245" s="4"/>
      <c r="AD245" s="4"/>
      <c r="AF245" s="1675" t="s">
        <v>111</v>
      </c>
      <c r="AG245" s="1675"/>
      <c r="AH245" s="1675"/>
      <c r="AI245" s="1675"/>
      <c r="AJ245" s="1675"/>
      <c r="AK245" s="1675"/>
      <c r="AL245" s="1675"/>
      <c r="AM245" s="4"/>
      <c r="AN245" s="676"/>
      <c r="AO245" s="38"/>
      <c r="AP245" s="21"/>
      <c r="AQ245" s="21"/>
      <c r="AR245" s="21"/>
      <c r="AS245" s="21"/>
      <c r="AT245" s="21"/>
      <c r="AU245" s="21"/>
      <c r="AV245" s="21"/>
      <c r="AW245" s="21"/>
      <c r="AX245" s="21"/>
      <c r="AY245" s="21"/>
      <c r="AZ245" s="21"/>
      <c r="BA245" s="21"/>
      <c r="BB245" s="21"/>
      <c r="BC245" s="21"/>
      <c r="BD245" s="40"/>
      <c r="BE245" s="40"/>
      <c r="BF245" s="40"/>
      <c r="BG245" s="40"/>
      <c r="BH245" s="40"/>
      <c r="BI245" s="21"/>
      <c r="BJ245" s="21"/>
      <c r="BK245" s="21"/>
      <c r="BL245" s="21"/>
      <c r="BM245" s="21"/>
      <c r="BN245" s="21"/>
      <c r="BO245" s="21"/>
      <c r="BP245" s="21"/>
      <c r="BQ245" s="21"/>
      <c r="BR245" s="21"/>
      <c r="BS245" s="21"/>
      <c r="BT245" s="21"/>
      <c r="BU245" s="21"/>
      <c r="BV245" s="21"/>
    </row>
    <row r="246" spans="1:74" customFormat="1">
      <c r="A246" s="4"/>
      <c r="B246" s="5"/>
      <c r="C246" s="115"/>
      <c r="D246" s="26"/>
      <c r="E246" s="1664"/>
      <c r="F246" s="1664"/>
      <c r="G246" s="1664"/>
      <c r="H246" s="1664"/>
      <c r="I246" s="1664"/>
      <c r="J246" s="1664"/>
      <c r="K246" s="1664"/>
      <c r="L246" s="1664"/>
      <c r="M246" s="1664"/>
      <c r="N246" s="1664"/>
      <c r="O246" s="1664"/>
      <c r="P246" s="1664"/>
      <c r="Q246" s="1664"/>
      <c r="R246" s="1664"/>
      <c r="S246" s="1664"/>
      <c r="T246" s="1664"/>
      <c r="U246" s="1664"/>
      <c r="V246" s="1664"/>
      <c r="W246" s="1664"/>
      <c r="X246" s="1664"/>
      <c r="Y246" s="1664"/>
      <c r="Z246" s="1664"/>
      <c r="AA246" s="1664"/>
      <c r="AB246" s="1664"/>
      <c r="AC246" s="4"/>
      <c r="AD246" s="4"/>
      <c r="AL246" s="4"/>
      <c r="AM246" s="4"/>
      <c r="AN246" s="676"/>
      <c r="AO246" s="38"/>
      <c r="AP246" s="21"/>
      <c r="AQ246" s="21"/>
      <c r="AR246" s="21"/>
      <c r="AS246" s="21"/>
      <c r="AT246" s="21"/>
      <c r="AU246" s="21"/>
      <c r="AV246" s="21"/>
      <c r="AW246" s="21"/>
      <c r="AX246" s="21"/>
      <c r="AY246" s="21"/>
      <c r="AZ246" s="21"/>
      <c r="BA246" s="21"/>
      <c r="BB246" s="21"/>
      <c r="BC246" s="21"/>
      <c r="BD246" s="40"/>
      <c r="BE246" s="40"/>
      <c r="BF246" s="40"/>
      <c r="BG246" s="40"/>
      <c r="BH246" s="40"/>
      <c r="BI246" s="21"/>
      <c r="BJ246" s="21"/>
      <c r="BK246" s="21"/>
      <c r="BL246" s="21"/>
      <c r="BM246" s="21"/>
      <c r="BN246" s="21"/>
      <c r="BO246" s="21"/>
      <c r="BP246" s="21"/>
      <c r="BQ246" s="21"/>
      <c r="BR246" s="21"/>
      <c r="BS246" s="21"/>
      <c r="BT246" s="21"/>
      <c r="BU246" s="21"/>
      <c r="BV246" s="21"/>
    </row>
    <row r="247" spans="1:74" customFormat="1">
      <c r="A247" s="4"/>
      <c r="B247" s="102"/>
      <c r="C247" s="121"/>
      <c r="D247" s="26"/>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4"/>
      <c r="AD247" s="4"/>
      <c r="AE247" s="19"/>
      <c r="AF247" s="102"/>
      <c r="AG247" s="19"/>
      <c r="AH247" s="19"/>
      <c r="AI247" s="19"/>
      <c r="AJ247" s="19"/>
      <c r="AK247" s="4"/>
      <c r="AL247" s="4"/>
      <c r="AM247" s="4"/>
      <c r="AN247" s="676"/>
      <c r="AO247" s="38"/>
      <c r="AP247" s="21"/>
      <c r="AQ247" s="21"/>
      <c r="AR247" s="21"/>
      <c r="AS247" s="21"/>
      <c r="AT247" s="21"/>
      <c r="AU247" s="21"/>
      <c r="AV247" s="21"/>
      <c r="AW247" s="21"/>
      <c r="AX247" s="21"/>
      <c r="AY247" s="21"/>
      <c r="AZ247" s="21"/>
      <c r="BA247" s="21"/>
      <c r="BB247" s="21"/>
      <c r="BC247" s="21"/>
      <c r="BD247" s="40"/>
      <c r="BE247" s="40"/>
      <c r="BF247" s="40"/>
      <c r="BG247" s="40"/>
      <c r="BH247" s="40"/>
      <c r="BI247" s="21"/>
      <c r="BJ247" s="21"/>
      <c r="BK247" s="21"/>
      <c r="BL247" s="21"/>
      <c r="BM247" s="21"/>
      <c r="BN247" s="21"/>
      <c r="BO247" s="21"/>
      <c r="BP247" s="21"/>
      <c r="BQ247" s="21"/>
      <c r="BR247" s="21"/>
      <c r="BS247" s="21"/>
      <c r="BT247" s="21"/>
      <c r="BU247" s="21"/>
      <c r="BV247" s="21"/>
    </row>
    <row r="248" spans="1:74" customFormat="1">
      <c r="A248" s="35"/>
      <c r="B248" s="5"/>
      <c r="C248" s="45"/>
      <c r="D248" s="26" t="s">
        <v>208</v>
      </c>
      <c r="E248" s="1664" t="s">
        <v>1307</v>
      </c>
      <c r="F248" s="1664"/>
      <c r="G248" s="1664"/>
      <c r="H248" s="1664"/>
      <c r="I248" s="1664"/>
      <c r="J248" s="1664"/>
      <c r="K248" s="1664"/>
      <c r="L248" s="1664"/>
      <c r="M248" s="1664"/>
      <c r="N248" s="1664"/>
      <c r="O248" s="1664"/>
      <c r="P248" s="1664"/>
      <c r="Q248" s="1664"/>
      <c r="R248" s="1664"/>
      <c r="S248" s="1664"/>
      <c r="T248" s="1664"/>
      <c r="U248" s="1664"/>
      <c r="V248" s="1664"/>
      <c r="W248" s="1664"/>
      <c r="X248" s="1664"/>
      <c r="Y248" s="1664"/>
      <c r="Z248" s="1664"/>
      <c r="AA248" s="1664"/>
      <c r="AB248" s="1664"/>
      <c r="AC248" s="4"/>
      <c r="AD248" s="4"/>
      <c r="AF248" s="1675" t="s">
        <v>338</v>
      </c>
      <c r="AG248" s="1675"/>
      <c r="AH248" s="1675"/>
      <c r="AI248" s="1675"/>
      <c r="AJ248" s="1675"/>
      <c r="AK248" s="1675"/>
      <c r="AL248" s="1675"/>
      <c r="AM248" s="4"/>
      <c r="AN248" s="676"/>
      <c r="AO248" s="38"/>
      <c r="AP248" s="21"/>
      <c r="AQ248" s="21"/>
      <c r="AR248" s="21"/>
      <c r="AS248" s="21"/>
      <c r="AT248" s="21"/>
      <c r="AU248" s="21"/>
      <c r="AV248" s="21"/>
      <c r="AW248" s="21"/>
      <c r="AX248" s="21"/>
      <c r="AY248" s="21"/>
      <c r="AZ248" s="21"/>
      <c r="BA248" s="21"/>
      <c r="BB248" s="21"/>
      <c r="BC248" s="21"/>
      <c r="BD248" s="40"/>
      <c r="BE248" s="40"/>
      <c r="BF248" s="40"/>
      <c r="BG248" s="40"/>
      <c r="BH248" s="40"/>
      <c r="BI248" s="21"/>
      <c r="BJ248" s="21"/>
      <c r="BK248" s="21"/>
      <c r="BL248" s="21"/>
      <c r="BM248" s="21"/>
      <c r="BN248" s="21"/>
      <c r="BO248" s="21"/>
      <c r="BP248" s="21"/>
      <c r="BQ248" s="21"/>
      <c r="BR248" s="21"/>
      <c r="BS248" s="21"/>
      <c r="BT248" s="21"/>
      <c r="BU248" s="21"/>
      <c r="BV248" s="21"/>
    </row>
    <row r="249" spans="1:74" customFormat="1" ht="12.75" customHeight="1">
      <c r="A249" s="35"/>
      <c r="B249" s="5"/>
      <c r="C249" s="45"/>
      <c r="D249" s="26"/>
      <c r="E249" s="1664"/>
      <c r="F249" s="1664"/>
      <c r="G249" s="1664"/>
      <c r="H249" s="1664"/>
      <c r="I249" s="1664"/>
      <c r="J249" s="1664"/>
      <c r="K249" s="1664"/>
      <c r="L249" s="1664"/>
      <c r="M249" s="1664"/>
      <c r="N249" s="1664"/>
      <c r="O249" s="1664"/>
      <c r="P249" s="1664"/>
      <c r="Q249" s="1664"/>
      <c r="R249" s="1664"/>
      <c r="S249" s="1664"/>
      <c r="T249" s="1664"/>
      <c r="U249" s="1664"/>
      <c r="V249" s="1664"/>
      <c r="W249" s="1664"/>
      <c r="X249" s="1664"/>
      <c r="Y249" s="1664"/>
      <c r="Z249" s="1664"/>
      <c r="AA249" s="1664"/>
      <c r="AB249" s="1664"/>
      <c r="AC249" s="4"/>
      <c r="AD249" s="4"/>
      <c r="AE249" s="108"/>
      <c r="AM249" s="4"/>
      <c r="AN249" s="676"/>
      <c r="AO249" s="38"/>
      <c r="AP249" s="21"/>
      <c r="AQ249" s="21"/>
      <c r="AR249" s="21"/>
      <c r="AS249" s="21"/>
      <c r="AT249" s="21"/>
      <c r="AU249" s="21"/>
      <c r="AV249" s="21"/>
      <c r="AW249" s="21"/>
      <c r="AX249" s="21"/>
      <c r="AY249" s="21"/>
      <c r="AZ249" s="21"/>
      <c r="BA249" s="21"/>
      <c r="BB249" s="21"/>
      <c r="BC249" s="21"/>
      <c r="BD249" s="40"/>
      <c r="BE249" s="40"/>
      <c r="BF249" s="40"/>
      <c r="BG249" s="40"/>
      <c r="BH249" s="40"/>
      <c r="BI249" s="21"/>
      <c r="BJ249" s="21"/>
      <c r="BK249" s="21"/>
      <c r="BL249" s="21"/>
      <c r="BM249" s="21"/>
      <c r="BN249" s="21"/>
      <c r="BO249" s="21"/>
      <c r="BP249" s="21"/>
      <c r="BQ249" s="21"/>
      <c r="BR249" s="21"/>
      <c r="BS249" s="21"/>
      <c r="BT249" s="21"/>
      <c r="BU249" s="21"/>
      <c r="BV249" s="21"/>
    </row>
    <row r="250" spans="1:74" customFormat="1">
      <c r="A250" s="4"/>
      <c r="B250" s="5"/>
      <c r="C250" s="115"/>
      <c r="D250" s="4"/>
      <c r="E250" s="103"/>
      <c r="F250" s="103"/>
      <c r="G250" s="103"/>
      <c r="H250" s="103"/>
      <c r="I250" s="103"/>
      <c r="J250" s="103"/>
      <c r="K250" s="103"/>
      <c r="L250" s="103"/>
      <c r="M250" s="103"/>
      <c r="N250" s="103"/>
      <c r="O250" s="103"/>
      <c r="P250" s="103"/>
      <c r="Q250" s="103"/>
      <c r="R250" s="103"/>
      <c r="S250" s="103"/>
      <c r="T250" s="103"/>
      <c r="U250" s="103"/>
      <c r="V250" s="103"/>
      <c r="W250" s="103"/>
      <c r="X250" s="103"/>
      <c r="Y250" s="103"/>
      <c r="Z250" s="103"/>
      <c r="AA250" s="103"/>
      <c r="AB250" s="103"/>
      <c r="AC250" s="4"/>
      <c r="AD250" s="5"/>
      <c r="AE250" s="19"/>
      <c r="AF250" s="19"/>
      <c r="AG250" s="19"/>
      <c r="AH250" s="19"/>
      <c r="AI250" s="4"/>
      <c r="AJ250" s="4"/>
      <c r="AK250" s="4"/>
      <c r="AL250" s="4"/>
      <c r="AM250" s="4"/>
      <c r="AN250" s="676"/>
      <c r="AO250" s="38"/>
      <c r="AP250" s="21"/>
      <c r="AQ250" s="21"/>
      <c r="AR250" s="21"/>
      <c r="AS250" s="21"/>
      <c r="AT250" s="21"/>
      <c r="AU250" s="21"/>
      <c r="AV250" s="21"/>
      <c r="AW250" s="21"/>
      <c r="AX250" s="21"/>
      <c r="AY250" s="21"/>
      <c r="AZ250" s="21"/>
      <c r="BA250" s="21"/>
      <c r="BB250" s="21"/>
      <c r="BC250" s="21"/>
      <c r="BD250" s="40"/>
      <c r="BE250" s="40"/>
      <c r="BF250" s="40"/>
      <c r="BG250" s="40"/>
      <c r="BH250" s="40"/>
      <c r="BI250" s="21"/>
      <c r="BJ250" s="21"/>
      <c r="BK250" s="21"/>
      <c r="BL250" s="21"/>
      <c r="BM250" s="21"/>
      <c r="BN250" s="21"/>
      <c r="BO250" s="21"/>
      <c r="BP250" s="21"/>
      <c r="BQ250" s="21"/>
      <c r="BR250" s="21"/>
      <c r="BS250" s="21"/>
      <c r="BT250" s="21"/>
      <c r="BU250" s="21"/>
      <c r="BV250" s="21"/>
    </row>
    <row r="251" spans="1:74" customFormat="1" ht="12.75" customHeight="1">
      <c r="A251" s="4"/>
      <c r="B251" s="5"/>
      <c r="C251" s="4"/>
      <c r="D251" s="4" t="s">
        <v>157</v>
      </c>
      <c r="E251" s="116"/>
      <c r="F251" s="116"/>
      <c r="G251" s="116"/>
      <c r="H251" s="1663" t="s">
        <v>132</v>
      </c>
      <c r="I251" s="1663"/>
      <c r="J251" s="103"/>
      <c r="K251" s="103"/>
      <c r="L251" s="103"/>
      <c r="M251" s="103"/>
      <c r="N251" s="103"/>
      <c r="O251" s="103"/>
      <c r="P251" s="103"/>
      <c r="Q251" s="4"/>
      <c r="R251" s="4"/>
      <c r="S251" s="4"/>
      <c r="T251" s="4"/>
      <c r="U251" s="4"/>
      <c r="V251" s="4"/>
      <c r="W251" s="103"/>
      <c r="X251" s="103"/>
      <c r="Y251" s="103"/>
      <c r="Z251" s="103"/>
      <c r="AA251" s="103"/>
      <c r="AB251" s="103"/>
      <c r="AC251" s="4"/>
      <c r="AD251" s="5"/>
      <c r="AE251" s="19"/>
      <c r="AF251" s="19"/>
      <c r="AG251" s="19"/>
      <c r="AH251" s="19"/>
      <c r="AI251" s="4"/>
      <c r="AJ251" s="4"/>
      <c r="AK251" s="4"/>
      <c r="AL251" s="4"/>
      <c r="AM251" s="4"/>
      <c r="AN251" s="676"/>
      <c r="AO251" s="38"/>
      <c r="AP251" s="21"/>
      <c r="AQ251" s="21"/>
      <c r="AR251" s="21"/>
      <c r="AS251" s="21"/>
      <c r="AT251" s="21"/>
      <c r="AU251" s="21"/>
      <c r="AV251" s="21"/>
      <c r="AW251" s="21"/>
      <c r="AX251" s="21"/>
      <c r="AY251" s="21"/>
      <c r="AZ251" s="21"/>
      <c r="BA251" s="21"/>
      <c r="BB251" s="21"/>
      <c r="BC251" s="21"/>
      <c r="BD251" s="40"/>
      <c r="BE251" s="40"/>
      <c r="BF251" s="40"/>
      <c r="BG251" s="40"/>
      <c r="BH251" s="40"/>
      <c r="BI251" s="21"/>
      <c r="BJ251" s="21"/>
      <c r="BK251" s="21"/>
      <c r="BL251" s="21"/>
      <c r="BM251" s="21"/>
      <c r="BN251" s="21"/>
      <c r="BO251" s="21"/>
      <c r="BP251" s="21"/>
      <c r="BQ251" s="21"/>
      <c r="BR251" s="21"/>
      <c r="BS251" s="21"/>
      <c r="BT251" s="21"/>
      <c r="BU251" s="21"/>
      <c r="BV251" s="21"/>
    </row>
    <row r="252" spans="1:74" customFormat="1" ht="12.75" customHeight="1">
      <c r="A252" s="4"/>
      <c r="B252" s="102"/>
      <c r="C252" s="137"/>
      <c r="D252" s="19"/>
      <c r="E252" s="19"/>
      <c r="F252" s="19"/>
      <c r="G252" s="19"/>
      <c r="H252" s="19"/>
      <c r="I252" s="19"/>
      <c r="J252" s="19"/>
      <c r="K252" s="19"/>
      <c r="L252" s="19"/>
      <c r="M252" s="19"/>
      <c r="N252" s="19"/>
      <c r="O252" s="19"/>
      <c r="P252" s="19"/>
      <c r="Q252" s="19"/>
      <c r="R252" s="19"/>
      <c r="S252" s="19"/>
      <c r="T252" s="19"/>
      <c r="U252" s="19"/>
      <c r="V252" s="19"/>
      <c r="W252" s="19"/>
      <c r="X252" s="19"/>
      <c r="Y252" s="19"/>
      <c r="Z252" s="19"/>
      <c r="AA252" s="19"/>
      <c r="AB252" s="19"/>
      <c r="AC252" s="19"/>
      <c r="AD252" s="102"/>
      <c r="AE252" s="19"/>
      <c r="AF252" s="19"/>
      <c r="AG252" s="19"/>
      <c r="AH252" s="19"/>
      <c r="AI252" s="4"/>
      <c r="AJ252" s="4"/>
      <c r="AK252" s="4"/>
      <c r="AL252" s="4"/>
      <c r="AM252" s="4"/>
      <c r="AN252" s="676"/>
      <c r="AO252" s="38"/>
      <c r="AP252" s="21"/>
      <c r="AQ252" s="21"/>
      <c r="AR252" s="21"/>
      <c r="AS252" s="21"/>
      <c r="AT252" s="21"/>
      <c r="AU252" s="21"/>
      <c r="AV252" s="21"/>
      <c r="AW252" s="21"/>
      <c r="AX252" s="21"/>
      <c r="AY252" s="21"/>
      <c r="AZ252" s="21"/>
      <c r="BA252" s="21"/>
      <c r="BB252" s="21"/>
      <c r="BC252" s="21"/>
      <c r="BD252" s="40"/>
      <c r="BE252" s="40"/>
      <c r="BF252" s="40"/>
      <c r="BG252" s="40"/>
      <c r="BH252" s="40"/>
      <c r="BI252" s="21"/>
      <c r="BJ252" s="21"/>
      <c r="BK252" s="21"/>
      <c r="BL252" s="21"/>
      <c r="BM252" s="21"/>
      <c r="BN252" s="21"/>
      <c r="BO252" s="21"/>
      <c r="BP252" s="21"/>
      <c r="BQ252" s="21"/>
      <c r="BR252" s="21"/>
      <c r="BS252" s="21"/>
      <c r="BT252" s="21"/>
      <c r="BU252" s="21"/>
      <c r="BV252" s="21"/>
    </row>
    <row r="253" spans="1:74" customFormat="1" ht="14.1" customHeight="1">
      <c r="A253" s="92"/>
      <c r="B253" s="138"/>
      <c r="C253" s="139"/>
      <c r="D253" s="125"/>
      <c r="E253" s="125"/>
      <c r="F253" s="125"/>
      <c r="G253" s="125"/>
      <c r="H253" s="125"/>
      <c r="I253" s="125"/>
      <c r="J253" s="125"/>
      <c r="K253" s="125"/>
      <c r="L253" s="125"/>
      <c r="M253" s="125"/>
      <c r="N253" s="125"/>
      <c r="O253" s="125"/>
      <c r="P253" s="125"/>
      <c r="Q253" s="125"/>
      <c r="R253" s="125"/>
      <c r="S253" s="125"/>
      <c r="T253" s="125"/>
      <c r="U253" s="125"/>
      <c r="V253" s="125"/>
      <c r="W253" s="125"/>
      <c r="X253" s="125"/>
      <c r="Y253" s="125"/>
      <c r="Z253" s="125"/>
      <c r="AA253" s="125"/>
      <c r="AB253" s="125"/>
      <c r="AC253" s="138"/>
      <c r="AD253" s="125"/>
      <c r="AE253" s="125"/>
      <c r="AF253" s="125"/>
      <c r="AG253" s="125"/>
      <c r="AH253" s="93"/>
      <c r="AI253" s="60" t="s">
        <v>83</v>
      </c>
      <c r="AJ253" s="1240">
        <f>VLOOKUP($H$251,$AO$191:$AP$193,2,FALSE)</f>
        <v>0</v>
      </c>
      <c r="AK253" s="1243"/>
      <c r="AL253" s="10"/>
      <c r="AM253" s="4"/>
      <c r="AN253" s="676"/>
      <c r="AO253" s="38"/>
      <c r="AP253" s="21"/>
      <c r="AQ253" s="21"/>
      <c r="AR253" s="21"/>
      <c r="AS253" s="21"/>
      <c r="AT253" s="21"/>
      <c r="AU253" s="21"/>
      <c r="AV253" s="21"/>
      <c r="AW253" s="21"/>
      <c r="AX253" s="21"/>
      <c r="AY253" s="21"/>
      <c r="AZ253" s="21"/>
      <c r="BA253" s="21"/>
      <c r="BB253" s="21"/>
      <c r="BC253" s="21"/>
      <c r="BD253" s="40"/>
      <c r="BE253" s="40"/>
      <c r="BF253" s="40"/>
      <c r="BG253" s="40"/>
      <c r="BH253" s="40"/>
      <c r="BI253" s="21"/>
      <c r="BJ253" s="21"/>
      <c r="BK253" s="21"/>
      <c r="BL253" s="21"/>
      <c r="BM253" s="21"/>
      <c r="BN253" s="21"/>
      <c r="BO253" s="21"/>
      <c r="BP253" s="21"/>
      <c r="BQ253" s="21"/>
      <c r="BR253" s="21"/>
      <c r="BS253" s="21"/>
      <c r="BT253" s="21"/>
      <c r="BU253" s="21"/>
      <c r="BV253" s="21"/>
    </row>
    <row r="254" spans="1:74" customFormat="1">
      <c r="A254" s="4"/>
      <c r="B254" s="102"/>
      <c r="C254" s="137"/>
      <c r="D254" s="19"/>
      <c r="E254" s="19"/>
      <c r="F254" s="19"/>
      <c r="G254" s="19"/>
      <c r="H254" s="19"/>
      <c r="I254" s="19"/>
      <c r="J254" s="19"/>
      <c r="K254" s="19"/>
      <c r="L254" s="19"/>
      <c r="M254" s="19"/>
      <c r="N254" s="19"/>
      <c r="O254" s="19"/>
      <c r="P254" s="19"/>
      <c r="Q254" s="19"/>
      <c r="R254" s="19"/>
      <c r="S254" s="19"/>
      <c r="T254" s="19"/>
      <c r="U254" s="19"/>
      <c r="V254" s="19"/>
      <c r="W254" s="19"/>
      <c r="X254" s="19"/>
      <c r="Y254" s="19"/>
      <c r="Z254" s="19"/>
      <c r="AA254" s="19"/>
      <c r="AB254" s="19"/>
      <c r="AC254" s="102"/>
      <c r="AD254" s="19"/>
      <c r="AE254" s="19"/>
      <c r="AF254" s="19"/>
      <c r="AG254" s="19"/>
      <c r="AH254" s="4"/>
      <c r="AI254" s="62"/>
      <c r="AJ254" s="10"/>
      <c r="AK254" s="10"/>
      <c r="AL254" s="10"/>
      <c r="AM254" s="4"/>
      <c r="AN254" s="676"/>
      <c r="AO254" s="38"/>
      <c r="AP254" s="21"/>
      <c r="AQ254" s="21"/>
      <c r="AR254" s="21"/>
      <c r="AS254" s="21"/>
      <c r="AT254" s="21"/>
      <c r="AU254" s="21"/>
      <c r="AV254" s="21"/>
      <c r="AW254" s="21"/>
      <c r="AX254" s="21"/>
      <c r="AY254" s="21"/>
      <c r="AZ254" s="21"/>
      <c r="BA254" s="21"/>
      <c r="BB254" s="21"/>
      <c r="BC254" s="21"/>
      <c r="BD254" s="40"/>
      <c r="BE254" s="40"/>
      <c r="BF254" s="40"/>
      <c r="BG254" s="40"/>
      <c r="BH254" s="40"/>
      <c r="BI254" s="21"/>
      <c r="BJ254" s="21"/>
      <c r="BK254" s="21"/>
      <c r="BL254" s="21"/>
      <c r="BM254" s="21"/>
      <c r="BN254" s="21"/>
      <c r="BO254" s="21"/>
      <c r="BP254" s="21"/>
      <c r="BQ254" s="21"/>
      <c r="BR254" s="21"/>
      <c r="BS254" s="21"/>
      <c r="BT254" s="21"/>
      <c r="BU254" s="21"/>
      <c r="BV254" s="21"/>
    </row>
    <row r="255" spans="1:74" customFormat="1">
      <c r="A255" s="4"/>
      <c r="B255" s="102"/>
      <c r="C255" s="3" t="s">
        <v>213</v>
      </c>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02"/>
      <c r="AD255" s="19"/>
      <c r="AE255" s="19"/>
      <c r="AF255" s="19"/>
      <c r="AG255" s="19"/>
      <c r="AH255" s="4"/>
      <c r="AI255" s="62"/>
      <c r="AJ255" s="10"/>
      <c r="AK255" s="10"/>
      <c r="AL255" s="10"/>
      <c r="AM255" s="4"/>
      <c r="AN255" s="676"/>
      <c r="AO255" s="38"/>
      <c r="AP255" s="21"/>
      <c r="AQ255" s="21"/>
      <c r="AR255" s="21"/>
      <c r="AS255" s="21"/>
      <c r="AT255" s="21"/>
      <c r="AU255" s="21"/>
      <c r="AV255" s="21"/>
      <c r="AW255" s="21"/>
      <c r="AX255" s="21"/>
      <c r="AY255" s="21"/>
      <c r="AZ255" s="21"/>
      <c r="BA255" s="21"/>
      <c r="BB255" s="21"/>
      <c r="BC255" s="21"/>
      <c r="BD255" s="40"/>
      <c r="BE255" s="40"/>
      <c r="BF255" s="40"/>
      <c r="BG255" s="40"/>
      <c r="BH255" s="40"/>
      <c r="BI255" s="21"/>
      <c r="BJ255" s="21"/>
      <c r="BK255" s="21"/>
      <c r="BL255" s="21"/>
      <c r="BM255" s="21"/>
      <c r="BN255" s="21"/>
      <c r="BO255" s="21"/>
      <c r="BP255" s="21"/>
      <c r="BQ255" s="21"/>
      <c r="BR255" s="21"/>
      <c r="BS255" s="21"/>
      <c r="BT255" s="21"/>
      <c r="BU255" s="21"/>
      <c r="BV255" s="21"/>
    </row>
    <row r="256" spans="1:74" customFormat="1">
      <c r="A256" s="4"/>
      <c r="B256" s="102"/>
      <c r="C256" s="137"/>
      <c r="D256" s="19"/>
      <c r="E256" s="19"/>
      <c r="F256" s="19"/>
      <c r="G256" s="19"/>
      <c r="H256" s="19"/>
      <c r="I256" s="19"/>
      <c r="J256" s="19"/>
      <c r="K256" s="19"/>
      <c r="L256" s="19"/>
      <c r="M256" s="19"/>
      <c r="N256" s="19"/>
      <c r="O256" s="19"/>
      <c r="P256" s="19"/>
      <c r="Q256" s="19"/>
      <c r="R256" s="19"/>
      <c r="S256" s="19"/>
      <c r="T256" s="19"/>
      <c r="U256" s="19"/>
      <c r="V256" s="19"/>
      <c r="W256" s="19"/>
      <c r="X256" s="19"/>
      <c r="Y256" s="19"/>
      <c r="Z256" s="19"/>
      <c r="AA256" s="19"/>
      <c r="AB256" s="19"/>
      <c r="AC256" s="102"/>
      <c r="AD256" s="19"/>
      <c r="AE256" s="19"/>
      <c r="AF256" s="19"/>
      <c r="AG256" s="19"/>
      <c r="AH256" s="4"/>
      <c r="AI256" s="62"/>
      <c r="AJ256" s="10"/>
      <c r="AK256" s="10"/>
      <c r="AL256" s="10"/>
      <c r="AM256" s="4"/>
      <c r="AN256" s="204"/>
    </row>
    <row r="257" spans="1:82" customFormat="1" ht="13.7" customHeight="1">
      <c r="A257" s="4"/>
      <c r="B257" s="102"/>
      <c r="C257" s="137"/>
      <c r="D257" s="26" t="s">
        <v>611</v>
      </c>
      <c r="E257" s="1664" t="s">
        <v>2042</v>
      </c>
      <c r="F257" s="1664"/>
      <c r="G257" s="1664"/>
      <c r="H257" s="1664"/>
      <c r="I257" s="1664"/>
      <c r="J257" s="1664"/>
      <c r="K257" s="1664"/>
      <c r="L257" s="1664"/>
      <c r="M257" s="1664"/>
      <c r="N257" s="1664"/>
      <c r="O257" s="1664"/>
      <c r="P257" s="1664"/>
      <c r="Q257" s="1664"/>
      <c r="R257" s="1664"/>
      <c r="S257" s="1664"/>
      <c r="T257" s="1664"/>
      <c r="U257" s="1664"/>
      <c r="V257" s="1664"/>
      <c r="W257" s="1664"/>
      <c r="X257" s="1664"/>
      <c r="Y257" s="1664"/>
      <c r="Z257" s="1664"/>
      <c r="AA257" s="1664"/>
      <c r="AB257" s="1664"/>
      <c r="AC257" s="1664"/>
      <c r="AD257" s="1664"/>
      <c r="AF257" s="1675" t="s">
        <v>111</v>
      </c>
      <c r="AG257" s="1675"/>
      <c r="AH257" s="1675"/>
      <c r="AI257" s="1675"/>
      <c r="AJ257" s="1675"/>
      <c r="AK257" s="1675"/>
      <c r="AL257" s="1675"/>
      <c r="AM257" s="104"/>
      <c r="AN257" s="204"/>
    </row>
    <row r="258" spans="1:82" customFormat="1">
      <c r="A258" s="4"/>
      <c r="B258" s="102"/>
      <c r="C258" s="137"/>
      <c r="D258" s="26"/>
      <c r="E258" s="1664"/>
      <c r="F258" s="1664"/>
      <c r="G258" s="1664"/>
      <c r="H258" s="1664"/>
      <c r="I258" s="1664"/>
      <c r="J258" s="1664"/>
      <c r="K258" s="1664"/>
      <c r="L258" s="1664"/>
      <c r="M258" s="1664"/>
      <c r="N258" s="1664"/>
      <c r="O258" s="1664"/>
      <c r="P258" s="1664"/>
      <c r="Q258" s="1664"/>
      <c r="R258" s="1664"/>
      <c r="S258" s="1664"/>
      <c r="T258" s="1664"/>
      <c r="U258" s="1664"/>
      <c r="V258" s="1664"/>
      <c r="W258" s="1664"/>
      <c r="X258" s="1664"/>
      <c r="Y258" s="1664"/>
      <c r="Z258" s="1664"/>
      <c r="AA258" s="1664"/>
      <c r="AB258" s="1664"/>
      <c r="AC258" s="1664"/>
      <c r="AD258" s="1664"/>
      <c r="AL258" s="108"/>
      <c r="AM258" s="104"/>
      <c r="AN258" s="676"/>
      <c r="AO258" s="38"/>
      <c r="AP258" s="21"/>
      <c r="AQ258" s="21"/>
      <c r="AR258" s="21"/>
      <c r="AS258" s="21"/>
      <c r="AT258" s="21"/>
      <c r="AU258" s="21"/>
      <c r="AV258" s="21"/>
      <c r="AW258" s="21"/>
      <c r="AX258" s="21"/>
      <c r="AY258" s="21"/>
      <c r="AZ258" s="21"/>
      <c r="BA258" s="21"/>
      <c r="BB258" s="21"/>
      <c r="BC258" s="21"/>
      <c r="BD258" s="40"/>
      <c r="BE258" s="40"/>
      <c r="BF258" s="40"/>
      <c r="BG258" s="40"/>
      <c r="BH258" s="40"/>
      <c r="BI258" s="21"/>
      <c r="BJ258" s="21"/>
      <c r="BK258" s="21"/>
      <c r="BL258" s="21"/>
      <c r="BM258" s="21"/>
      <c r="BN258" s="21"/>
      <c r="BO258" s="21"/>
      <c r="BP258" s="21"/>
      <c r="BQ258" s="21"/>
      <c r="BR258" s="21"/>
      <c r="BS258" s="21"/>
      <c r="BT258" s="21"/>
      <c r="BU258" s="21"/>
    </row>
    <row r="259" spans="1:82" customFormat="1" ht="18.600000000000001" customHeight="1">
      <c r="A259" s="4"/>
      <c r="B259" s="102"/>
      <c r="C259" s="137"/>
      <c r="D259" s="26"/>
      <c r="E259" s="1664"/>
      <c r="F259" s="1664"/>
      <c r="G259" s="1664"/>
      <c r="H259" s="1664"/>
      <c r="I259" s="1664"/>
      <c r="J259" s="1664"/>
      <c r="K259" s="1664"/>
      <c r="L259" s="1664"/>
      <c r="M259" s="1664"/>
      <c r="N259" s="1664"/>
      <c r="O259" s="1664"/>
      <c r="P259" s="1664"/>
      <c r="Q259" s="1664"/>
      <c r="R259" s="1664"/>
      <c r="S259" s="1664"/>
      <c r="T259" s="1664"/>
      <c r="U259" s="1664"/>
      <c r="V259" s="1664"/>
      <c r="W259" s="1664"/>
      <c r="X259" s="1664"/>
      <c r="Y259" s="1664"/>
      <c r="Z259" s="1664"/>
      <c r="AA259" s="1664"/>
      <c r="AB259" s="1664"/>
      <c r="AC259" s="1664"/>
      <c r="AD259" s="1664"/>
      <c r="AE259" s="108"/>
      <c r="AF259" s="108"/>
      <c r="AG259" s="108"/>
      <c r="AH259" s="108"/>
      <c r="AI259" s="108"/>
      <c r="AJ259" s="108"/>
      <c r="AK259" s="108"/>
      <c r="AL259" s="108"/>
      <c r="AM259" s="104"/>
      <c r="AN259" s="676"/>
      <c r="AO259" s="38"/>
      <c r="AP259" s="21"/>
      <c r="AQ259" s="21"/>
      <c r="AR259" s="21"/>
      <c r="AS259" s="21"/>
      <c r="AT259" s="21"/>
      <c r="AU259" s="21"/>
      <c r="AV259" s="21"/>
      <c r="AW259" s="21"/>
      <c r="AX259" s="21"/>
      <c r="AY259" s="21"/>
      <c r="AZ259" s="21"/>
      <c r="BA259" s="21"/>
      <c r="BB259" s="21"/>
      <c r="BC259" s="21"/>
      <c r="BD259" s="40"/>
      <c r="BE259" s="40"/>
      <c r="BF259" s="40"/>
      <c r="BG259" s="40"/>
      <c r="BH259" s="40"/>
      <c r="BI259" s="21"/>
      <c r="BJ259" s="21"/>
      <c r="BK259" s="21"/>
      <c r="BL259" s="21"/>
      <c r="BM259" s="21"/>
      <c r="BN259" s="21"/>
      <c r="BO259" s="21"/>
      <c r="BP259" s="21"/>
      <c r="BQ259" s="21"/>
      <c r="BR259" s="21"/>
      <c r="BS259" s="21"/>
      <c r="BT259" s="21"/>
      <c r="BU259" s="21"/>
    </row>
    <row r="260" spans="1:82" s="4" customFormat="1" ht="12.75" customHeight="1">
      <c r="B260" s="102"/>
      <c r="C260" s="137"/>
      <c r="D260" s="26"/>
      <c r="E260" s="342"/>
      <c r="F260" s="342"/>
      <c r="G260" s="342"/>
      <c r="H260" s="342"/>
      <c r="I260" s="342"/>
      <c r="J260" s="342"/>
      <c r="K260" s="342"/>
      <c r="L260" s="342"/>
      <c r="M260" s="342"/>
      <c r="N260" s="342"/>
      <c r="O260" s="342"/>
      <c r="P260" s="342"/>
      <c r="Q260" s="342"/>
      <c r="R260" s="342"/>
      <c r="S260" s="342"/>
      <c r="T260" s="342"/>
      <c r="U260" s="342"/>
      <c r="V260" s="342"/>
      <c r="W260" s="342"/>
      <c r="X260" s="342"/>
      <c r="Y260" s="342"/>
      <c r="Z260" s="342"/>
      <c r="AA260" s="342"/>
      <c r="AB260" s="342"/>
      <c r="AC260" s="342"/>
      <c r="AD260" s="342"/>
      <c r="AE260" s="108"/>
      <c r="AM260" s="104"/>
      <c r="AN260" s="281"/>
    </row>
    <row r="261" spans="1:82" s="4" customFormat="1" ht="12.75" customHeight="1">
      <c r="B261" s="102"/>
      <c r="C261" s="137"/>
      <c r="D261" s="26" t="s">
        <v>208</v>
      </c>
      <c r="E261" s="1672" t="s">
        <v>2043</v>
      </c>
      <c r="F261" s="1672"/>
      <c r="G261" s="1672"/>
      <c r="H261" s="1672"/>
      <c r="I261" s="1672"/>
      <c r="J261" s="1672"/>
      <c r="K261" s="1672"/>
      <c r="L261" s="1672"/>
      <c r="M261" s="1672"/>
      <c r="N261" s="1672"/>
      <c r="O261" s="1672"/>
      <c r="P261" s="1672"/>
      <c r="Q261" s="1672"/>
      <c r="R261" s="1672"/>
      <c r="S261" s="1672"/>
      <c r="T261" s="1672"/>
      <c r="U261" s="1672"/>
      <c r="V261" s="1672"/>
      <c r="W261" s="1672"/>
      <c r="X261" s="1672"/>
      <c r="Y261" s="1672"/>
      <c r="Z261" s="1672"/>
      <c r="AA261" s="1672"/>
      <c r="AB261" s="1672"/>
      <c r="AC261" s="1672"/>
      <c r="AD261" s="1672"/>
      <c r="AF261" s="1675" t="s">
        <v>65</v>
      </c>
      <c r="AG261" s="1675"/>
      <c r="AH261" s="1675"/>
      <c r="AI261" s="1675"/>
      <c r="AJ261" s="1675"/>
      <c r="AK261" s="1675"/>
      <c r="AL261" s="1675"/>
      <c r="AM261" s="104"/>
      <c r="AN261" s="281"/>
    </row>
    <row r="262" spans="1:82" s="4" customFormat="1" ht="12.75" customHeight="1">
      <c r="B262" s="102"/>
      <c r="C262" s="137"/>
      <c r="D262" s="26"/>
      <c r="E262" s="1672"/>
      <c r="F262" s="1672"/>
      <c r="G262" s="1672"/>
      <c r="H262" s="1672"/>
      <c r="I262" s="1672"/>
      <c r="J262" s="1672"/>
      <c r="K262" s="1672"/>
      <c r="L262" s="1672"/>
      <c r="M262" s="1672"/>
      <c r="N262" s="1672"/>
      <c r="O262" s="1672"/>
      <c r="P262" s="1672"/>
      <c r="Q262" s="1672"/>
      <c r="R262" s="1672"/>
      <c r="S262" s="1672"/>
      <c r="T262" s="1672"/>
      <c r="U262" s="1672"/>
      <c r="V262" s="1672"/>
      <c r="W262" s="1672"/>
      <c r="X262" s="1672"/>
      <c r="Y262" s="1672"/>
      <c r="Z262" s="1672"/>
      <c r="AA262" s="1672"/>
      <c r="AB262" s="1672"/>
      <c r="AC262" s="1672"/>
      <c r="AD262" s="1672"/>
      <c r="AE262" s="108"/>
      <c r="AF262" s="108"/>
      <c r="AG262" s="108"/>
      <c r="AH262" s="108"/>
      <c r="AI262" s="108"/>
      <c r="AJ262" s="108"/>
      <c r="AK262" s="108"/>
      <c r="AL262" s="108"/>
      <c r="AM262" s="104"/>
      <c r="AN262" s="281"/>
    </row>
    <row r="263" spans="1:82" s="4" customFormat="1" ht="12.75" customHeight="1">
      <c r="B263" s="102"/>
      <c r="C263" s="137"/>
      <c r="D263" s="26"/>
      <c r="E263" s="1672"/>
      <c r="F263" s="1672"/>
      <c r="G263" s="1672"/>
      <c r="H263" s="1672"/>
      <c r="I263" s="1672"/>
      <c r="J263" s="1672"/>
      <c r="K263" s="1672"/>
      <c r="L263" s="1672"/>
      <c r="M263" s="1672"/>
      <c r="N263" s="1672"/>
      <c r="O263" s="1672"/>
      <c r="P263" s="1672"/>
      <c r="Q263" s="1672"/>
      <c r="R263" s="1672"/>
      <c r="S263" s="1672"/>
      <c r="T263" s="1672"/>
      <c r="U263" s="1672"/>
      <c r="V263" s="1672"/>
      <c r="W263" s="1672"/>
      <c r="X263" s="1672"/>
      <c r="Y263" s="1672"/>
      <c r="Z263" s="1672"/>
      <c r="AA263" s="1672"/>
      <c r="AB263" s="1672"/>
      <c r="AC263" s="1672"/>
      <c r="AD263" s="1672"/>
      <c r="AE263" s="108"/>
      <c r="AF263" s="108"/>
      <c r="AG263" s="108"/>
      <c r="AH263" s="108"/>
      <c r="AI263" s="108"/>
      <c r="AJ263" s="108"/>
      <c r="AK263" s="108"/>
      <c r="AL263" s="108"/>
      <c r="AM263" s="104"/>
      <c r="AN263" s="281"/>
    </row>
    <row r="264" spans="1:82" s="4" customFormat="1" ht="12.75" customHeight="1">
      <c r="B264" s="102"/>
      <c r="C264" s="137"/>
      <c r="D264" s="26"/>
      <c r="E264" s="1672"/>
      <c r="F264" s="1672"/>
      <c r="G264" s="1672"/>
      <c r="H264" s="1672"/>
      <c r="I264" s="1672"/>
      <c r="J264" s="1672"/>
      <c r="K264" s="1672"/>
      <c r="L264" s="1672"/>
      <c r="M264" s="1672"/>
      <c r="N264" s="1672"/>
      <c r="O264" s="1672"/>
      <c r="P264" s="1672"/>
      <c r="Q264" s="1672"/>
      <c r="R264" s="1672"/>
      <c r="S264" s="1672"/>
      <c r="T264" s="1672"/>
      <c r="U264" s="1672"/>
      <c r="V264" s="1672"/>
      <c r="W264" s="1672"/>
      <c r="X264" s="1672"/>
      <c r="Y264" s="1672"/>
      <c r="Z264" s="1672"/>
      <c r="AA264" s="1672"/>
      <c r="AB264" s="1672"/>
      <c r="AC264" s="1672"/>
      <c r="AD264" s="1672"/>
      <c r="AE264" s="108"/>
      <c r="AF264" s="108"/>
      <c r="AG264" s="108"/>
      <c r="AH264" s="108"/>
      <c r="AI264" s="108"/>
      <c r="AJ264" s="108"/>
      <c r="AK264" s="108"/>
      <c r="AL264" s="108"/>
      <c r="AM264" s="104"/>
      <c r="AN264" s="281"/>
    </row>
    <row r="265" spans="1:82" s="4" customFormat="1" ht="12.75" customHeight="1">
      <c r="A265"/>
      <c r="B265"/>
      <c r="C265"/>
      <c r="D265"/>
      <c r="E265"/>
      <c r="F265"/>
      <c r="G265"/>
      <c r="H265"/>
      <c r="I265"/>
      <c r="J265"/>
      <c r="K265"/>
      <c r="L265"/>
      <c r="M265"/>
      <c r="N265"/>
      <c r="O265"/>
      <c r="P265"/>
      <c r="Q265"/>
      <c r="R265"/>
      <c r="S265"/>
      <c r="T265"/>
      <c r="U265"/>
      <c r="V265"/>
      <c r="W265"/>
      <c r="X265"/>
      <c r="Y265"/>
      <c r="Z265"/>
      <c r="AA265"/>
      <c r="AB265"/>
      <c r="AC265"/>
      <c r="AD265"/>
      <c r="AE265"/>
      <c r="AF265"/>
      <c r="AG265"/>
      <c r="AH265"/>
      <c r="AI265"/>
      <c r="AJ265"/>
      <c r="AK265"/>
      <c r="AL265"/>
      <c r="AM265"/>
      <c r="AN265" s="281"/>
    </row>
    <row r="266" spans="1:82" s="4" customFormat="1" ht="12.75" customHeight="1">
      <c r="B266" s="102"/>
      <c r="C266" s="137"/>
      <c r="D266" s="4" t="s">
        <v>157</v>
      </c>
      <c r="E266" s="116"/>
      <c r="F266" s="116"/>
      <c r="G266" s="116"/>
      <c r="H266" s="1663" t="s">
        <v>611</v>
      </c>
      <c r="I266" s="1663"/>
      <c r="J266" s="103"/>
      <c r="K266" s="103"/>
      <c r="L266" s="103"/>
      <c r="M266" s="103"/>
      <c r="N266" s="103"/>
      <c r="O266" s="103"/>
      <c r="P266" s="103"/>
      <c r="Q266" s="103"/>
      <c r="R266" s="103"/>
      <c r="S266" s="103"/>
      <c r="T266" s="103"/>
      <c r="U266" s="103"/>
      <c r="V266" s="103"/>
      <c r="W266" s="103"/>
      <c r="X266" s="103"/>
      <c r="Y266" s="103"/>
      <c r="Z266" s="103"/>
      <c r="AA266" s="103"/>
      <c r="AB266" s="103"/>
      <c r="AC266" s="103"/>
      <c r="AD266" s="103"/>
      <c r="AE266" s="103"/>
      <c r="AF266" s="103"/>
      <c r="AG266" s="19"/>
      <c r="AI266" s="62"/>
      <c r="AJ266" s="10"/>
      <c r="AK266" s="10"/>
      <c r="AL266" s="10"/>
      <c r="AN266" s="281"/>
    </row>
    <row r="267" spans="1:82" s="4" customFormat="1" ht="12.75" customHeight="1">
      <c r="B267" s="102"/>
      <c r="C267" s="137"/>
      <c r="D267" s="19"/>
      <c r="E267" s="19"/>
      <c r="F267" s="19"/>
      <c r="G267" s="19"/>
      <c r="H267" s="19"/>
      <c r="I267" s="19"/>
      <c r="J267" s="19"/>
      <c r="K267" s="19"/>
      <c r="L267" s="19"/>
      <c r="M267" s="19"/>
      <c r="N267" s="19"/>
      <c r="O267" s="19"/>
      <c r="P267" s="19"/>
      <c r="Q267" s="19"/>
      <c r="R267" s="19"/>
      <c r="S267" s="19"/>
      <c r="T267" s="19"/>
      <c r="U267" s="19"/>
      <c r="V267" s="19"/>
      <c r="W267" s="19"/>
      <c r="X267" s="19"/>
      <c r="Y267" s="19"/>
      <c r="Z267" s="19"/>
      <c r="AA267" s="19"/>
      <c r="AB267" s="19"/>
      <c r="AC267" s="102"/>
      <c r="AD267" s="19"/>
      <c r="AE267" s="19"/>
      <c r="AF267" s="19"/>
      <c r="AG267" s="19"/>
      <c r="AI267" s="62"/>
      <c r="AJ267" s="10"/>
      <c r="AK267" s="10"/>
      <c r="AL267" s="10"/>
      <c r="AN267" s="281"/>
    </row>
    <row r="268" spans="1:82" s="4" customFormat="1" ht="12.75" customHeight="1">
      <c r="A268" s="92"/>
      <c r="B268" s="138"/>
      <c r="C268" s="139"/>
      <c r="D268" s="125"/>
      <c r="E268" s="125"/>
      <c r="F268" s="125"/>
      <c r="G268" s="125"/>
      <c r="H268" s="125"/>
      <c r="I268" s="125"/>
      <c r="J268" s="125"/>
      <c r="K268" s="125"/>
      <c r="L268" s="125"/>
      <c r="M268" s="125"/>
      <c r="N268" s="125"/>
      <c r="O268" s="125"/>
      <c r="P268" s="125"/>
      <c r="Q268" s="125"/>
      <c r="R268" s="125"/>
      <c r="S268" s="125"/>
      <c r="T268" s="125"/>
      <c r="U268" s="125"/>
      <c r="V268" s="125"/>
      <c r="W268" s="125"/>
      <c r="X268" s="125"/>
      <c r="Y268" s="125"/>
      <c r="Z268" s="125"/>
      <c r="AA268" s="125"/>
      <c r="AB268" s="125"/>
      <c r="AC268" s="138"/>
      <c r="AD268" s="125"/>
      <c r="AE268" s="125"/>
      <c r="AF268" s="125"/>
      <c r="AG268" s="125"/>
      <c r="AH268" s="93"/>
      <c r="AI268" s="60" t="s">
        <v>214</v>
      </c>
      <c r="AJ268" s="1240">
        <f>VLOOKUP($H$266,$AP$211:$AQ$213,2,FALSE)</f>
        <v>2</v>
      </c>
      <c r="AK268" s="1243"/>
      <c r="AL268" s="10"/>
      <c r="AN268" s="281"/>
    </row>
    <row r="269" spans="1:82" customFormat="1">
      <c r="A269" s="4"/>
      <c r="B269" s="102"/>
      <c r="C269" s="137"/>
      <c r="D269" s="19"/>
      <c r="E269" s="19"/>
      <c r="F269" s="19"/>
      <c r="G269" s="19"/>
      <c r="H269" s="19"/>
      <c r="I269" s="19"/>
      <c r="J269" s="19"/>
      <c r="K269" s="19"/>
      <c r="L269" s="19"/>
      <c r="M269" s="19"/>
      <c r="N269" s="19"/>
      <c r="O269" s="19"/>
      <c r="P269" s="19"/>
      <c r="Q269" s="19"/>
      <c r="R269" s="19"/>
      <c r="S269" s="19"/>
      <c r="T269" s="19"/>
      <c r="U269" s="19"/>
      <c r="V269" s="19"/>
      <c r="W269" s="19"/>
      <c r="X269" s="19"/>
      <c r="Y269" s="19"/>
      <c r="Z269" s="19"/>
      <c r="AA269" s="19"/>
      <c r="AB269" s="19"/>
      <c r="AC269" s="102"/>
      <c r="AD269" s="19"/>
      <c r="AE269" s="19"/>
      <c r="AF269" s="19"/>
      <c r="AG269" s="19"/>
      <c r="AH269" s="4"/>
      <c r="AI269" s="62"/>
      <c r="AJ269" s="10"/>
      <c r="AK269" s="10"/>
      <c r="AL269" s="10"/>
      <c r="AM269" s="4"/>
      <c r="AN269" s="204"/>
      <c r="AS269" s="432"/>
      <c r="AT269" s="432"/>
      <c r="AU269" s="432"/>
      <c r="AV269" s="432"/>
      <c r="AW269" s="432"/>
      <c r="AX269" s="432"/>
      <c r="AY269" s="432"/>
      <c r="AZ269" s="432"/>
      <c r="BA269" s="432"/>
      <c r="BB269" s="432"/>
      <c r="BC269" s="432"/>
      <c r="BD269" s="648"/>
      <c r="BE269" s="648"/>
      <c r="BF269" s="648"/>
      <c r="BG269" s="648"/>
      <c r="BH269" s="648"/>
      <c r="BI269" s="432"/>
      <c r="BJ269" s="432"/>
      <c r="BK269" s="432"/>
      <c r="BL269" s="432"/>
      <c r="BM269" s="432"/>
      <c r="BN269" s="432"/>
      <c r="BO269" s="432"/>
      <c r="BP269" s="432"/>
      <c r="BQ269" s="432"/>
      <c r="BR269" s="432"/>
      <c r="BS269" s="432"/>
      <c r="BT269" s="432"/>
      <c r="BU269" s="432"/>
      <c r="BV269" s="432"/>
      <c r="BW269" s="432"/>
      <c r="BX269" s="432"/>
      <c r="BY269" s="432"/>
      <c r="BZ269" s="432"/>
      <c r="CA269" s="432"/>
      <c r="CB269" s="432"/>
      <c r="CC269" s="432"/>
      <c r="CD269" s="432"/>
    </row>
    <row r="270" spans="1:82" customFormat="1">
      <c r="A270" s="4"/>
      <c r="B270" s="102"/>
      <c r="C270" s="3" t="s">
        <v>1701</v>
      </c>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102"/>
      <c r="AD270" s="19"/>
      <c r="AE270" s="19"/>
      <c r="AF270" s="19"/>
      <c r="AG270" s="19"/>
      <c r="AH270" s="4"/>
      <c r="AI270" s="62"/>
      <c r="AJ270" s="10"/>
      <c r="AK270" s="10"/>
      <c r="AL270" s="10"/>
      <c r="AM270" s="4"/>
      <c r="AN270" s="204"/>
      <c r="AT270" s="432"/>
      <c r="AU270" s="432"/>
      <c r="AV270" s="432"/>
      <c r="AW270" s="432"/>
      <c r="AX270" s="432"/>
      <c r="AY270" s="432"/>
      <c r="AZ270" s="432"/>
    </row>
    <row r="271" spans="1:82" customFormat="1">
      <c r="A271" s="4"/>
      <c r="B271" s="102"/>
      <c r="C271" s="137"/>
      <c r="D271" s="19"/>
      <c r="E271" s="19"/>
      <c r="F271" s="19"/>
      <c r="G271" s="19"/>
      <c r="H271" s="19"/>
      <c r="I271" s="19"/>
      <c r="J271" s="19"/>
      <c r="K271" s="19"/>
      <c r="L271" s="19"/>
      <c r="M271" s="19"/>
      <c r="N271" s="19"/>
      <c r="O271" s="19"/>
      <c r="P271" s="19"/>
      <c r="Q271" s="19"/>
      <c r="R271" s="19"/>
      <c r="S271" s="19"/>
      <c r="T271" s="19"/>
      <c r="U271" s="19"/>
      <c r="V271" s="19"/>
      <c r="W271" s="19"/>
      <c r="X271" s="19"/>
      <c r="Y271" s="19"/>
      <c r="Z271" s="19"/>
      <c r="AA271" s="19"/>
      <c r="AB271" s="19"/>
      <c r="AC271" s="102"/>
      <c r="AD271" s="19"/>
      <c r="AL271" s="10"/>
      <c r="AM271" s="4"/>
      <c r="AN271" s="204"/>
      <c r="AO271" s="4" t="s">
        <v>132</v>
      </c>
      <c r="AP271" s="127">
        <v>0</v>
      </c>
      <c r="AS271" s="432"/>
      <c r="AT271" s="432"/>
      <c r="AU271" s="432"/>
      <c r="AV271" s="432"/>
      <c r="AW271" s="432"/>
      <c r="AX271" s="432"/>
      <c r="AY271" s="432"/>
      <c r="AZ271" s="432"/>
      <c r="BA271" s="432"/>
      <c r="BB271" s="432"/>
      <c r="BC271" s="432"/>
      <c r="BD271" s="648"/>
      <c r="BE271" s="648"/>
      <c r="BF271" s="648"/>
      <c r="BG271" s="648"/>
      <c r="BH271" s="648"/>
      <c r="BI271" s="432"/>
      <c r="BJ271" s="432"/>
      <c r="BK271" s="432"/>
      <c r="BL271" s="432"/>
      <c r="BM271" s="432"/>
      <c r="BN271" s="432"/>
      <c r="BO271" s="432"/>
      <c r="BP271" s="432"/>
      <c r="BQ271" s="432"/>
      <c r="BR271" s="432"/>
      <c r="BS271" s="432"/>
      <c r="BT271" s="432"/>
      <c r="BU271" s="432"/>
      <c r="BV271" s="432"/>
      <c r="BW271" s="432"/>
      <c r="BX271" s="432"/>
      <c r="BY271" s="432"/>
      <c r="BZ271" s="432"/>
      <c r="CA271" s="432"/>
      <c r="CB271" s="432"/>
      <c r="CC271" s="432"/>
      <c r="CD271" s="432"/>
    </row>
    <row r="272" spans="1:82" customFormat="1" ht="13.7" customHeight="1">
      <c r="A272" s="4"/>
      <c r="B272" s="102"/>
      <c r="C272" s="137"/>
      <c r="D272" s="26" t="s">
        <v>611</v>
      </c>
      <c r="E272" s="1664" t="s">
        <v>2332</v>
      </c>
      <c r="F272" s="1664"/>
      <c r="G272" s="1664"/>
      <c r="H272" s="1664"/>
      <c r="I272" s="1664"/>
      <c r="J272" s="1664"/>
      <c r="K272" s="1664"/>
      <c r="L272" s="1664"/>
      <c r="M272" s="1664"/>
      <c r="N272" s="1664"/>
      <c r="O272" s="1664"/>
      <c r="P272" s="1664"/>
      <c r="Q272" s="1664"/>
      <c r="R272" s="1664"/>
      <c r="S272" s="1664"/>
      <c r="T272" s="1664"/>
      <c r="U272" s="1664"/>
      <c r="V272" s="1664"/>
      <c r="W272" s="1664"/>
      <c r="X272" s="1664"/>
      <c r="Y272" s="1664"/>
      <c r="Z272" s="1664"/>
      <c r="AA272" s="1664"/>
      <c r="AB272" s="1664"/>
      <c r="AC272" s="1664"/>
      <c r="AD272" s="1664"/>
      <c r="AF272" s="1675" t="s">
        <v>1702</v>
      </c>
      <c r="AG272" s="1675"/>
      <c r="AH272" s="1675"/>
      <c r="AI272" s="1675"/>
      <c r="AJ272" s="1675"/>
      <c r="AK272" s="1675"/>
      <c r="AL272" s="1675"/>
      <c r="AM272" s="104"/>
      <c r="AN272" s="204"/>
      <c r="AO272" s="26" t="s">
        <v>116</v>
      </c>
      <c r="AP272" s="4">
        <v>8</v>
      </c>
      <c r="AT272" s="432"/>
      <c r="AU272" s="432"/>
      <c r="AV272" s="432"/>
      <c r="AW272" s="432"/>
      <c r="AX272" s="432"/>
      <c r="AY272" s="432"/>
      <c r="AZ272" s="432"/>
    </row>
    <row r="273" spans="1:82" customFormat="1">
      <c r="A273" s="4"/>
      <c r="B273" s="102"/>
      <c r="C273" s="137"/>
      <c r="D273" s="26"/>
      <c r="E273" s="1664"/>
      <c r="F273" s="1664"/>
      <c r="G273" s="1664"/>
      <c r="H273" s="1664"/>
      <c r="I273" s="1664"/>
      <c r="J273" s="1664"/>
      <c r="K273" s="1664"/>
      <c r="L273" s="1664"/>
      <c r="M273" s="1664"/>
      <c r="N273" s="1664"/>
      <c r="O273" s="1664"/>
      <c r="P273" s="1664"/>
      <c r="Q273" s="1664"/>
      <c r="R273" s="1664"/>
      <c r="S273" s="1664"/>
      <c r="T273" s="1664"/>
      <c r="U273" s="1664"/>
      <c r="V273" s="1664"/>
      <c r="W273" s="1664"/>
      <c r="X273" s="1664"/>
      <c r="Y273" s="1664"/>
      <c r="Z273" s="1664"/>
      <c r="AA273" s="1664"/>
      <c r="AB273" s="1664"/>
      <c r="AC273" s="1664"/>
      <c r="AD273" s="1664"/>
      <c r="AE273" s="108"/>
      <c r="AF273" s="108"/>
      <c r="AG273" s="108"/>
      <c r="AH273" s="108"/>
      <c r="AI273" s="108"/>
      <c r="AJ273" s="108"/>
      <c r="AK273" s="108"/>
      <c r="AL273" s="108"/>
      <c r="AM273" s="104"/>
      <c r="AN273" s="204"/>
      <c r="AO273" s="26"/>
      <c r="AP273" s="4"/>
      <c r="AT273" s="432"/>
      <c r="AU273" s="432"/>
      <c r="AV273" s="432"/>
      <c r="AW273" s="432"/>
      <c r="AX273" s="432"/>
      <c r="AY273" s="432"/>
      <c r="AZ273" s="432"/>
    </row>
    <row r="274" spans="1:82" customFormat="1" ht="18.75" customHeight="1">
      <c r="A274" s="4"/>
      <c r="B274" s="102"/>
      <c r="C274" s="137"/>
      <c r="D274" s="26"/>
      <c r="E274" s="1664"/>
      <c r="F274" s="1664"/>
      <c r="G274" s="1664"/>
      <c r="H274" s="1664"/>
      <c r="I274" s="1664"/>
      <c r="J274" s="1664"/>
      <c r="K274" s="1664"/>
      <c r="L274" s="1664"/>
      <c r="M274" s="1664"/>
      <c r="N274" s="1664"/>
      <c r="O274" s="1664"/>
      <c r="P274" s="1664"/>
      <c r="Q274" s="1664"/>
      <c r="R274" s="1664"/>
      <c r="S274" s="1664"/>
      <c r="T274" s="1664"/>
      <c r="U274" s="1664"/>
      <c r="V274" s="1664"/>
      <c r="W274" s="1664"/>
      <c r="X274" s="1664"/>
      <c r="Y274" s="1664"/>
      <c r="Z274" s="1664"/>
      <c r="AA274" s="1664"/>
      <c r="AB274" s="1664"/>
      <c r="AC274" s="1664"/>
      <c r="AD274" s="1664"/>
      <c r="AE274" s="108"/>
      <c r="AF274" s="108"/>
      <c r="AG274" s="108"/>
      <c r="AH274" s="108"/>
      <c r="AI274" s="108"/>
      <c r="AJ274" s="108"/>
      <c r="AK274" s="108"/>
      <c r="AL274" s="108"/>
      <c r="AM274" s="104"/>
      <c r="AN274" s="204"/>
      <c r="AO274" s="194"/>
      <c r="AT274" s="432"/>
      <c r="AU274" s="432"/>
      <c r="AV274" s="432"/>
      <c r="AW274" s="432"/>
      <c r="AX274" s="432"/>
      <c r="AY274" s="432"/>
      <c r="AZ274" s="432"/>
    </row>
    <row r="275" spans="1:82" customFormat="1">
      <c r="A275" s="4"/>
      <c r="B275" s="102"/>
      <c r="C275" s="137"/>
      <c r="D275" s="26"/>
      <c r="E275" s="103"/>
      <c r="F275" s="103"/>
      <c r="G275" s="103"/>
      <c r="H275" s="103"/>
      <c r="I275" s="103"/>
      <c r="J275" s="103"/>
      <c r="K275" s="103"/>
      <c r="L275" s="103"/>
      <c r="M275" s="103"/>
      <c r="N275" s="103"/>
      <c r="O275" s="103"/>
      <c r="P275" s="103"/>
      <c r="Q275" s="103"/>
      <c r="R275" s="103"/>
      <c r="S275" s="103"/>
      <c r="T275" s="103"/>
      <c r="U275" s="103"/>
      <c r="V275" s="103"/>
      <c r="W275" s="103"/>
      <c r="X275" s="103"/>
      <c r="Y275" s="103"/>
      <c r="Z275" s="103"/>
      <c r="AA275" s="103"/>
      <c r="AB275" s="103"/>
      <c r="AC275" s="103"/>
      <c r="AD275" s="103"/>
      <c r="AE275" s="108"/>
      <c r="AF275" s="108"/>
      <c r="AG275" s="108"/>
      <c r="AH275" s="108"/>
      <c r="AI275" s="108"/>
      <c r="AJ275" s="108"/>
      <c r="AK275" s="108"/>
      <c r="AL275" s="108"/>
      <c r="AM275" s="104"/>
      <c r="AN275" s="204"/>
      <c r="AO275" s="194"/>
      <c r="AT275" s="432"/>
      <c r="AU275" s="432"/>
      <c r="AV275" s="432"/>
      <c r="AW275" s="432"/>
      <c r="AX275" s="432"/>
      <c r="AY275" s="432"/>
      <c r="AZ275" s="432"/>
    </row>
    <row r="276" spans="1:82" customFormat="1">
      <c r="A276" s="4"/>
      <c r="B276" s="102"/>
      <c r="C276" s="137"/>
      <c r="D276" s="4" t="s">
        <v>157</v>
      </c>
      <c r="E276" s="116"/>
      <c r="F276" s="116"/>
      <c r="G276" s="116"/>
      <c r="H276" s="1663" t="s">
        <v>132</v>
      </c>
      <c r="I276" s="1663"/>
      <c r="J276" s="19"/>
      <c r="K276" s="19"/>
      <c r="L276" s="19"/>
      <c r="M276" s="19"/>
      <c r="N276" s="19"/>
      <c r="O276" s="19"/>
      <c r="P276" s="19"/>
      <c r="Q276" s="19"/>
      <c r="R276" s="19"/>
      <c r="S276" s="19"/>
      <c r="T276" s="19"/>
      <c r="U276" s="19"/>
      <c r="V276" s="19"/>
      <c r="W276" s="19"/>
      <c r="X276" s="19"/>
      <c r="Y276" s="19"/>
      <c r="Z276" s="19"/>
      <c r="AA276" s="19"/>
      <c r="AB276" s="19"/>
      <c r="AC276" s="102"/>
      <c r="AD276" s="19"/>
      <c r="AE276" s="19"/>
      <c r="AF276" s="19"/>
      <c r="AG276" s="19"/>
      <c r="AH276" s="4"/>
      <c r="AI276" s="62"/>
      <c r="AJ276" s="10"/>
      <c r="AK276" s="10"/>
      <c r="AL276" s="10"/>
      <c r="AM276" s="4"/>
      <c r="AN276" s="204"/>
      <c r="AS276" s="432"/>
      <c r="AT276" s="432"/>
      <c r="AU276" s="432"/>
      <c r="AV276" s="432"/>
      <c r="AW276" s="432"/>
      <c r="AX276" s="432"/>
      <c r="AY276" s="432"/>
      <c r="AZ276" s="432"/>
      <c r="BA276" s="432"/>
      <c r="BB276" s="432"/>
      <c r="BC276" s="432"/>
      <c r="BD276" s="648"/>
      <c r="BE276" s="648"/>
      <c r="BF276" s="648"/>
      <c r="BG276" s="648"/>
      <c r="BH276" s="648"/>
      <c r="BI276" s="432"/>
      <c r="BJ276" s="432"/>
      <c r="BK276" s="432"/>
      <c r="BL276" s="432"/>
      <c r="BM276" s="432"/>
      <c r="BN276" s="432"/>
      <c r="BO276" s="432"/>
      <c r="BP276" s="432"/>
      <c r="BQ276" s="432"/>
      <c r="BR276" s="432"/>
      <c r="BS276" s="432"/>
      <c r="BT276" s="432"/>
      <c r="BU276" s="432"/>
      <c r="BV276" s="432"/>
      <c r="BW276" s="432"/>
      <c r="BX276" s="432"/>
      <c r="BY276" s="432"/>
      <c r="BZ276" s="432"/>
      <c r="CA276" s="432"/>
      <c r="CB276" s="432"/>
      <c r="CC276" s="432"/>
      <c r="CD276" s="432"/>
    </row>
    <row r="277" spans="1:82" customFormat="1">
      <c r="A277" s="4"/>
      <c r="B277" s="102"/>
      <c r="C277" s="137"/>
      <c r="D277" s="19"/>
      <c r="E277" s="19"/>
      <c r="F277" s="19"/>
      <c r="G277" s="19"/>
      <c r="H277" s="19"/>
      <c r="I277" s="19"/>
      <c r="J277" s="19"/>
      <c r="K277" s="19"/>
      <c r="L277" s="19"/>
      <c r="M277" s="19"/>
      <c r="N277" s="19"/>
      <c r="O277" s="19"/>
      <c r="P277" s="19"/>
      <c r="Q277" s="19"/>
      <c r="R277" s="19"/>
      <c r="S277" s="19"/>
      <c r="T277" s="19"/>
      <c r="U277" s="19"/>
      <c r="V277" s="19"/>
      <c r="W277" s="19"/>
      <c r="X277" s="19"/>
      <c r="Y277" s="19"/>
      <c r="Z277" s="19"/>
      <c r="AA277" s="19"/>
      <c r="AB277" s="19"/>
      <c r="AC277" s="19"/>
      <c r="AD277" s="102"/>
      <c r="AE277" s="19"/>
      <c r="AF277" s="19"/>
      <c r="AG277" s="19"/>
      <c r="AH277" s="19"/>
      <c r="AI277" s="4"/>
      <c r="AJ277" s="4"/>
      <c r="AK277" s="4"/>
      <c r="AL277" s="4"/>
      <c r="AM277" s="4"/>
      <c r="AN277" s="204"/>
      <c r="AT277" s="432"/>
      <c r="AU277" s="432"/>
      <c r="AV277" s="432"/>
      <c r="AW277" s="432"/>
      <c r="AX277" s="432"/>
      <c r="AY277" s="432"/>
      <c r="AZ277" s="432"/>
    </row>
    <row r="278" spans="1:82" customFormat="1">
      <c r="A278" s="92"/>
      <c r="B278" s="138"/>
      <c r="C278" s="139"/>
      <c r="D278" s="125"/>
      <c r="E278" s="125"/>
      <c r="F278" s="125"/>
      <c r="G278" s="125"/>
      <c r="H278" s="125"/>
      <c r="I278" s="125"/>
      <c r="J278" s="125"/>
      <c r="K278" s="125"/>
      <c r="L278" s="125"/>
      <c r="M278" s="125"/>
      <c r="N278" s="125"/>
      <c r="O278" s="125"/>
      <c r="P278" s="125"/>
      <c r="Q278" s="125"/>
      <c r="R278" s="125"/>
      <c r="S278" s="125"/>
      <c r="T278" s="125"/>
      <c r="U278" s="125"/>
      <c r="V278" s="125"/>
      <c r="W278" s="125"/>
      <c r="X278" s="125"/>
      <c r="Y278" s="125"/>
      <c r="Z278" s="125"/>
      <c r="AA278" s="125"/>
      <c r="AB278" s="125"/>
      <c r="AC278" s="138"/>
      <c r="AD278" s="125"/>
      <c r="AE278" s="125"/>
      <c r="AF278" s="125"/>
      <c r="AG278" s="125"/>
      <c r="AH278" s="93"/>
      <c r="AI278" s="60" t="s">
        <v>1793</v>
      </c>
      <c r="AJ278" s="1240">
        <f>VLOOKUP($H$276,$AO$271:$AP$272,2,FALSE)</f>
        <v>0</v>
      </c>
      <c r="AK278" s="1243"/>
      <c r="AL278" s="10"/>
      <c r="AM278" s="4"/>
      <c r="AN278" s="204"/>
      <c r="AS278" s="432"/>
      <c r="AT278" s="432"/>
      <c r="AU278" s="432"/>
      <c r="AV278" s="432"/>
      <c r="AW278" s="432"/>
      <c r="AX278" s="432"/>
      <c r="AY278" s="432"/>
      <c r="AZ278" s="432"/>
      <c r="BA278" s="432"/>
      <c r="BB278" s="432"/>
      <c r="BC278" s="432"/>
      <c r="BD278" s="648"/>
      <c r="BE278" s="648"/>
      <c r="BF278" s="648"/>
      <c r="BG278" s="648"/>
      <c r="BH278" s="648"/>
      <c r="BI278" s="432"/>
      <c r="BJ278" s="432"/>
      <c r="BK278" s="432"/>
      <c r="BL278" s="432"/>
      <c r="BM278" s="432"/>
      <c r="BN278" s="432"/>
      <c r="BO278" s="432"/>
      <c r="BP278" s="432"/>
      <c r="BQ278" s="432"/>
      <c r="BR278" s="432"/>
      <c r="BS278" s="432"/>
      <c r="BT278" s="432"/>
      <c r="BU278" s="432"/>
      <c r="BV278" s="432"/>
      <c r="BW278" s="432"/>
      <c r="BX278" s="432"/>
      <c r="BY278" s="432"/>
      <c r="BZ278" s="432"/>
      <c r="CA278" s="432"/>
      <c r="CB278" s="432"/>
      <c r="CC278" s="432"/>
      <c r="CD278" s="432"/>
    </row>
    <row r="279" spans="1:82" s="4" customFormat="1" ht="12.75" customHeight="1">
      <c r="B279" s="102"/>
      <c r="C279" s="137"/>
      <c r="D279" s="19"/>
      <c r="E279" s="19"/>
      <c r="F279" s="19"/>
      <c r="G279" s="19"/>
      <c r="H279" s="19"/>
      <c r="I279" s="19"/>
      <c r="J279" s="19"/>
      <c r="K279" s="19"/>
      <c r="L279" s="19"/>
      <c r="M279" s="19"/>
      <c r="N279" s="19"/>
      <c r="O279" s="19"/>
      <c r="P279" s="19"/>
      <c r="Q279" s="19"/>
      <c r="R279" s="19"/>
      <c r="S279" s="19"/>
      <c r="T279" s="19"/>
      <c r="U279" s="19"/>
      <c r="V279" s="19"/>
      <c r="W279" s="19"/>
      <c r="X279" s="19"/>
      <c r="Y279" s="19"/>
      <c r="Z279" s="19"/>
      <c r="AA279" s="19"/>
      <c r="AB279" s="19"/>
      <c r="AC279" s="19"/>
      <c r="AD279" s="102"/>
      <c r="AE279" s="19"/>
      <c r="AF279" s="19"/>
      <c r="AG279" s="19"/>
      <c r="AH279" s="19"/>
      <c r="AN279" s="281"/>
    </row>
    <row r="280" spans="1:82" s="4" customFormat="1" ht="12.75" customHeight="1">
      <c r="A280" s="92"/>
      <c r="B280" s="125"/>
      <c r="C280" s="125"/>
      <c r="D280" s="125"/>
      <c r="E280" s="125"/>
      <c r="F280" s="125"/>
      <c r="G280" s="125"/>
      <c r="H280" s="125"/>
      <c r="I280" s="125"/>
      <c r="J280" s="125"/>
      <c r="K280" s="125"/>
      <c r="L280" s="125"/>
      <c r="M280" s="125"/>
      <c r="N280" s="125"/>
      <c r="O280" s="125"/>
      <c r="P280" s="125"/>
      <c r="Q280" s="125"/>
      <c r="R280" s="125"/>
      <c r="S280" s="125"/>
      <c r="T280" s="125"/>
      <c r="U280" s="125"/>
      <c r="V280" s="125"/>
      <c r="W280" s="125"/>
      <c r="X280" s="125"/>
      <c r="Y280" s="125"/>
      <c r="Z280" s="125"/>
      <c r="AA280" s="125"/>
      <c r="AB280" s="125"/>
      <c r="AC280" s="138"/>
      <c r="AD280" s="125"/>
      <c r="AE280" s="93"/>
      <c r="AF280" s="93"/>
      <c r="AG280" s="93"/>
      <c r="AH280" s="93"/>
      <c r="AI280" s="60"/>
      <c r="AJ280" s="60" t="s">
        <v>38</v>
      </c>
      <c r="AK280" s="1240">
        <f>$AJ$124+$AJ$139+$AJ$151+$AJ$184+$AJ$203+$AJ$215+$AJ$227+$AJ$241+$AJ$253+$AJ$268+AJ278</f>
        <v>17</v>
      </c>
      <c r="AL280" s="1241"/>
      <c r="AM280" s="1243"/>
      <c r="AN280" s="281"/>
    </row>
    <row r="281" spans="1:82" s="4" customFormat="1" ht="12.75" customHeight="1" thickBot="1">
      <c r="B281" s="19"/>
      <c r="C281" s="19"/>
      <c r="D281" s="19"/>
      <c r="E281" s="19"/>
      <c r="F281" s="19"/>
      <c r="G281" s="19"/>
      <c r="H281" s="19"/>
      <c r="I281" s="19"/>
      <c r="J281" s="19"/>
      <c r="K281" s="19"/>
      <c r="L281" s="19"/>
      <c r="M281" s="19"/>
      <c r="N281" s="19"/>
      <c r="O281" s="19"/>
      <c r="P281" s="19"/>
      <c r="Q281" s="19"/>
      <c r="R281" s="19"/>
      <c r="S281" s="19"/>
      <c r="T281" s="19"/>
      <c r="U281" s="19"/>
      <c r="V281" s="19"/>
      <c r="W281" s="19"/>
      <c r="X281" s="19"/>
      <c r="Y281" s="19"/>
      <c r="Z281" s="19"/>
      <c r="AA281" s="19"/>
      <c r="AB281" s="19"/>
      <c r="AC281" s="102"/>
      <c r="AD281" s="19"/>
      <c r="AI281" s="62"/>
      <c r="AJ281" s="10"/>
      <c r="AK281" s="10"/>
      <c r="AL281" s="10"/>
      <c r="AN281" s="281"/>
    </row>
    <row r="282" spans="1:82" s="4" customFormat="1" ht="12.75" customHeight="1" thickTop="1">
      <c r="A282" s="282"/>
      <c r="B282" s="283" t="s">
        <v>95</v>
      </c>
      <c r="C282" s="284"/>
      <c r="D282" s="284"/>
      <c r="E282" s="284"/>
      <c r="F282" s="284"/>
      <c r="G282" s="284"/>
      <c r="H282" s="284"/>
      <c r="I282" s="284"/>
      <c r="J282" s="284"/>
      <c r="K282" s="284"/>
      <c r="L282" s="284"/>
      <c r="M282" s="284"/>
      <c r="N282" s="284"/>
      <c r="O282" s="284"/>
      <c r="P282" s="284"/>
      <c r="Q282" s="284"/>
      <c r="R282" s="284"/>
      <c r="S282" s="284"/>
      <c r="T282" s="284"/>
      <c r="U282" s="284"/>
      <c r="V282" s="284"/>
      <c r="W282" s="284"/>
      <c r="X282" s="284"/>
      <c r="Y282" s="284"/>
      <c r="Z282" s="284"/>
      <c r="AA282" s="284"/>
      <c r="AB282" s="284"/>
      <c r="AC282" s="285"/>
      <c r="AD282" s="284"/>
      <c r="AE282" s="282"/>
      <c r="AF282" s="282"/>
      <c r="AG282" s="282"/>
      <c r="AH282" s="282"/>
      <c r="AI282" s="286"/>
      <c r="AJ282" s="287"/>
      <c r="AK282" s="287"/>
      <c r="AL282" s="287"/>
      <c r="AM282" s="282"/>
      <c r="AN282" s="281"/>
    </row>
    <row r="283" spans="1:82" s="4" customFormat="1" ht="12.75" customHeight="1">
      <c r="B283" s="19"/>
      <c r="C283" s="19"/>
      <c r="D283" s="19"/>
      <c r="E283" s="19"/>
      <c r="F283" s="19"/>
      <c r="G283" s="19"/>
      <c r="H283" s="19"/>
      <c r="I283" s="19"/>
      <c r="J283" s="19"/>
      <c r="K283" s="19"/>
      <c r="L283" s="19"/>
      <c r="M283" s="19"/>
      <c r="N283" s="19"/>
      <c r="O283" s="19"/>
      <c r="P283" s="19"/>
      <c r="Q283" s="19"/>
      <c r="R283" s="19"/>
      <c r="S283" s="19"/>
      <c r="T283" s="19"/>
      <c r="U283" s="19"/>
      <c r="V283" s="19"/>
      <c r="W283" s="19"/>
      <c r="X283" s="19"/>
      <c r="Y283" s="19"/>
      <c r="Z283" s="19"/>
      <c r="AA283" s="19"/>
      <c r="AB283" s="19"/>
      <c r="AC283" s="102"/>
      <c r="AD283" s="19"/>
      <c r="AI283" s="62"/>
      <c r="AJ283" s="10"/>
      <c r="AK283" s="10"/>
      <c r="AL283" s="10"/>
      <c r="AN283" s="281"/>
    </row>
    <row r="284" spans="1:82" s="4" customFormat="1" ht="12.75" customHeight="1">
      <c r="B284" s="41" t="s">
        <v>97</v>
      </c>
      <c r="C284" s="41"/>
      <c r="D284" s="41"/>
      <c r="E284" s="41"/>
      <c r="F284" s="41"/>
      <c r="G284"/>
      <c r="H284" s="1085" t="s">
        <v>2483</v>
      </c>
      <c r="I284" s="1085"/>
      <c r="J284" s="1085"/>
      <c r="K284" s="1085"/>
      <c r="L284" s="1085"/>
      <c r="M284" s="1085"/>
      <c r="N284" s="1085"/>
      <c r="O284" s="1085"/>
      <c r="P284" s="1085"/>
      <c r="Q284" s="1085"/>
      <c r="R284" s="1085"/>
      <c r="S284"/>
      <c r="T284" s="41" t="s">
        <v>97</v>
      </c>
      <c r="U284"/>
      <c r="V284" s="41"/>
      <c r="W284" s="41"/>
      <c r="X284" s="41"/>
      <c r="Y284" s="41"/>
      <c r="Z284"/>
      <c r="AA284" s="1085"/>
      <c r="AB284" s="1085"/>
      <c r="AC284" s="1085"/>
      <c r="AD284" s="1085"/>
      <c r="AE284" s="1085"/>
      <c r="AF284" s="1085"/>
      <c r="AG284" s="1085"/>
      <c r="AH284" s="1085"/>
      <c r="AI284" s="1085"/>
      <c r="AJ284" s="1085"/>
      <c r="AK284" s="1085"/>
      <c r="AL284" s="10"/>
      <c r="AN284" s="281"/>
    </row>
    <row r="285" spans="1:82" s="4" customFormat="1" ht="12.75" customHeight="1">
      <c r="B285" s="41" t="s">
        <v>734</v>
      </c>
      <c r="C285" s="41"/>
      <c r="D285" s="41"/>
      <c r="E285" s="41"/>
      <c r="F285" s="41"/>
      <c r="G285"/>
      <c r="H285" s="1087" t="s">
        <v>2483</v>
      </c>
      <c r="I285" s="1087"/>
      <c r="J285" s="1087"/>
      <c r="K285" s="1087"/>
      <c r="L285" s="1087"/>
      <c r="M285" s="1087"/>
      <c r="N285" s="1087"/>
      <c r="O285" s="1087"/>
      <c r="P285" s="1087"/>
      <c r="Q285" s="1087"/>
      <c r="R285" s="1087"/>
      <c r="S285"/>
      <c r="T285" s="41" t="s">
        <v>734</v>
      </c>
      <c r="U285"/>
      <c r="V285" s="41"/>
      <c r="W285" s="41"/>
      <c r="X285" s="41"/>
      <c r="Y285" s="41"/>
      <c r="Z285"/>
      <c r="AA285" s="1087"/>
      <c r="AB285" s="1087"/>
      <c r="AC285" s="1087"/>
      <c r="AD285" s="1087"/>
      <c r="AE285" s="1087"/>
      <c r="AF285" s="1087"/>
      <c r="AG285" s="1087"/>
      <c r="AH285" s="1087"/>
      <c r="AI285" s="1087"/>
      <c r="AJ285" s="1087"/>
      <c r="AK285" s="1087"/>
      <c r="AL285" s="10"/>
      <c r="AN285" s="281"/>
    </row>
    <row r="286" spans="1:82" s="4" customFormat="1" ht="12.75" customHeight="1">
      <c r="B286" s="41" t="s">
        <v>107</v>
      </c>
      <c r="C286" s="41"/>
      <c r="D286" s="41"/>
      <c r="E286" s="41"/>
      <c r="F286" s="41"/>
      <c r="G286"/>
      <c r="H286" s="1087" t="s">
        <v>2484</v>
      </c>
      <c r="I286" s="1087"/>
      <c r="J286" s="1087"/>
      <c r="K286" s="1087"/>
      <c r="L286" s="1087"/>
      <c r="M286" s="1087"/>
      <c r="N286" s="1087"/>
      <c r="O286" s="1087"/>
      <c r="P286" s="1087"/>
      <c r="Q286" s="1087"/>
      <c r="R286" s="1087"/>
      <c r="S286"/>
      <c r="T286" s="41" t="s">
        <v>107</v>
      </c>
      <c r="U286"/>
      <c r="V286" s="41"/>
      <c r="W286" s="41"/>
      <c r="X286" s="41"/>
      <c r="Y286" s="41"/>
      <c r="Z286"/>
      <c r="AA286" s="1087"/>
      <c r="AB286" s="1087"/>
      <c r="AC286" s="1087"/>
      <c r="AD286" s="1087"/>
      <c r="AE286" s="1087"/>
      <c r="AF286" s="1087"/>
      <c r="AG286" s="1087"/>
      <c r="AH286" s="1087"/>
      <c r="AI286" s="1087"/>
      <c r="AJ286" s="1087"/>
      <c r="AK286" s="1087"/>
      <c r="AL286" s="10"/>
      <c r="AN286" s="281"/>
      <c r="AO286" s="211"/>
    </row>
    <row r="287" spans="1:82" s="4" customFormat="1" ht="12.75" customHeight="1">
      <c r="B287" s="41" t="s">
        <v>398</v>
      </c>
      <c r="C287" s="41"/>
      <c r="D287" s="41"/>
      <c r="E287" s="41"/>
      <c r="F287" s="41"/>
      <c r="G287"/>
      <c r="H287" s="1087" t="s">
        <v>2485</v>
      </c>
      <c r="I287" s="1087"/>
      <c r="J287" s="1087"/>
      <c r="K287" s="1087"/>
      <c r="L287" s="1087"/>
      <c r="M287" s="1087"/>
      <c r="N287" s="1087"/>
      <c r="O287" s="1087"/>
      <c r="P287" s="1087"/>
      <c r="Q287" s="1087"/>
      <c r="R287" s="1087"/>
      <c r="S287"/>
      <c r="T287" s="41" t="s">
        <v>398</v>
      </c>
      <c r="U287"/>
      <c r="V287" s="41"/>
      <c r="W287" s="41"/>
      <c r="X287" s="41"/>
      <c r="Y287" s="41"/>
      <c r="Z287"/>
      <c r="AA287" s="1087"/>
      <c r="AB287" s="1087"/>
      <c r="AC287" s="1087"/>
      <c r="AD287" s="1087"/>
      <c r="AE287" s="1087"/>
      <c r="AF287" s="1087"/>
      <c r="AG287" s="1087"/>
      <c r="AH287" s="1087"/>
      <c r="AI287" s="1087"/>
      <c r="AJ287" s="1087"/>
      <c r="AK287" s="1087"/>
      <c r="AL287" s="10"/>
      <c r="AN287" s="281"/>
      <c r="AO287" s="211"/>
    </row>
    <row r="288" spans="1:82" s="4" customFormat="1" ht="12.75" customHeight="1">
      <c r="B288" s="41" t="s">
        <v>399</v>
      </c>
      <c r="C288" s="41"/>
      <c r="D288" s="41"/>
      <c r="E288" s="41"/>
      <c r="F288" s="41"/>
      <c r="G288" s="41"/>
      <c r="H288" s="1109" t="s">
        <v>2486</v>
      </c>
      <c r="I288" s="1110"/>
      <c r="J288" s="1110"/>
      <c r="K288" s="1110"/>
      <c r="L288" s="1110"/>
      <c r="M288" s="1110"/>
      <c r="N288" s="5" t="s">
        <v>858</v>
      </c>
      <c r="O288" s="5"/>
      <c r="P288" s="1114"/>
      <c r="Q288" s="1114"/>
      <c r="R288" s="1114"/>
      <c r="S288" s="41"/>
      <c r="T288" s="41" t="s">
        <v>399</v>
      </c>
      <c r="U288"/>
      <c r="V288" s="41"/>
      <c r="W288" s="41"/>
      <c r="X288" s="41"/>
      <c r="Y288" s="41"/>
      <c r="Z288"/>
      <c r="AA288" s="1110"/>
      <c r="AB288" s="1110"/>
      <c r="AC288" s="1110"/>
      <c r="AD288" s="1110"/>
      <c r="AE288" s="1110"/>
      <c r="AF288" s="1110"/>
      <c r="AG288" s="5" t="s">
        <v>858</v>
      </c>
      <c r="AH288" s="5"/>
      <c r="AI288" s="1114"/>
      <c r="AJ288" s="1114"/>
      <c r="AK288" s="1114"/>
      <c r="AL288" s="10"/>
      <c r="AN288" s="281"/>
      <c r="AO288" s="211"/>
    </row>
    <row r="289" spans="1:41" s="4" customFormat="1" ht="12.75" customHeight="1">
      <c r="B289" s="41" t="s">
        <v>96</v>
      </c>
      <c r="C289" s="41"/>
      <c r="D289" s="41"/>
      <c r="E289" s="41"/>
      <c r="F289" s="41"/>
      <c r="G289" s="41"/>
      <c r="H289" s="1087" t="s">
        <v>99</v>
      </c>
      <c r="I289" s="1087"/>
      <c r="J289" s="1087"/>
      <c r="K289" s="1087"/>
      <c r="L289" s="1087"/>
      <c r="M289" s="1087"/>
      <c r="N289" s="1087"/>
      <c r="O289" s="1087"/>
      <c r="P289" s="1087"/>
      <c r="Q289" s="1087"/>
      <c r="R289" s="1087"/>
      <c r="S289" s="41"/>
      <c r="T289" s="41" t="s">
        <v>96</v>
      </c>
      <c r="U289"/>
      <c r="V289" s="41"/>
      <c r="W289" s="41"/>
      <c r="X289" s="41"/>
      <c r="Y289" s="41"/>
      <c r="Z289"/>
      <c r="AA289" s="1087"/>
      <c r="AB289" s="1087"/>
      <c r="AC289" s="1087"/>
      <c r="AD289" s="1087"/>
      <c r="AE289" s="1087"/>
      <c r="AF289" s="1087"/>
      <c r="AG289" s="1087"/>
      <c r="AH289" s="1087"/>
      <c r="AI289" s="1087"/>
      <c r="AJ289" s="1087"/>
      <c r="AK289" s="1087"/>
      <c r="AL289" s="10"/>
      <c r="AN289" s="281"/>
      <c r="AO289" s="211"/>
    </row>
    <row r="290" spans="1:41" s="4" customFormat="1" ht="12.75" customHeight="1">
      <c r="B290" s="41" t="s">
        <v>98</v>
      </c>
      <c r="C290" s="41"/>
      <c r="D290" s="41"/>
      <c r="E290" s="41"/>
      <c r="F290" s="41"/>
      <c r="G290" s="41"/>
      <c r="H290" s="1087" t="s">
        <v>2487</v>
      </c>
      <c r="I290" s="1087"/>
      <c r="J290" s="1087"/>
      <c r="K290" s="1087"/>
      <c r="L290" s="1087"/>
      <c r="M290" s="1087"/>
      <c r="N290" s="1087"/>
      <c r="O290" s="1087"/>
      <c r="P290" s="1087"/>
      <c r="Q290" s="1087"/>
      <c r="R290" s="1087"/>
      <c r="S290" s="41"/>
      <c r="T290" s="41" t="s">
        <v>98</v>
      </c>
      <c r="U290"/>
      <c r="V290" s="41"/>
      <c r="W290" s="41"/>
      <c r="X290" s="41"/>
      <c r="Y290" s="41"/>
      <c r="Z290"/>
      <c r="AA290" s="1087"/>
      <c r="AB290" s="1087"/>
      <c r="AC290" s="1087"/>
      <c r="AD290" s="1087"/>
      <c r="AE290" s="1087"/>
      <c r="AF290" s="1087"/>
      <c r="AG290" s="1087"/>
      <c r="AH290" s="1087"/>
      <c r="AI290" s="1087"/>
      <c r="AJ290" s="1087"/>
      <c r="AK290" s="1087"/>
      <c r="AL290" s="10"/>
      <c r="AN290" s="281"/>
    </row>
    <row r="291" spans="1:41" s="4" customFormat="1" ht="12.75" customHeight="1">
      <c r="B291" s="41" t="s">
        <v>109</v>
      </c>
      <c r="C291" s="41"/>
      <c r="D291" s="41"/>
      <c r="E291" s="41"/>
      <c r="F291" s="41"/>
      <c r="G291" s="41"/>
      <c r="H291" s="1705">
        <v>7.0000000000000007E-2</v>
      </c>
      <c r="I291" s="1705"/>
      <c r="J291" s="1705"/>
      <c r="K291" s="1705"/>
      <c r="L291" s="1705"/>
      <c r="M291" s="1705"/>
      <c r="N291" s="1705"/>
      <c r="O291" s="1705"/>
      <c r="P291" s="1705"/>
      <c r="Q291" s="1705"/>
      <c r="R291" s="1705"/>
      <c r="S291" s="41"/>
      <c r="T291" s="41" t="s">
        <v>109</v>
      </c>
      <c r="U291" s="41"/>
      <c r="V291" s="41"/>
      <c r="W291" s="41"/>
      <c r="X291" s="41"/>
      <c r="Y291" s="41"/>
      <c r="Z291" s="12"/>
      <c r="AA291" s="1705"/>
      <c r="AB291" s="1705"/>
      <c r="AC291" s="1705"/>
      <c r="AD291" s="1705"/>
      <c r="AE291" s="1705"/>
      <c r="AF291" s="1705"/>
      <c r="AG291" s="1705"/>
      <c r="AH291" s="1705"/>
      <c r="AI291" s="1705"/>
      <c r="AJ291" s="1705"/>
      <c r="AK291" s="1705"/>
      <c r="AL291" s="10"/>
      <c r="AN291" s="281"/>
    </row>
    <row r="292" spans="1:41" s="4" customFormat="1" ht="12.75" customHeight="1">
      <c r="B292" s="41"/>
      <c r="C292" s="41"/>
      <c r="D292" s="41"/>
      <c r="E292" s="41"/>
      <c r="F292" s="41"/>
      <c r="G292" s="41"/>
      <c r="H292" s="273"/>
      <c r="I292" s="273"/>
      <c r="J292" s="273"/>
      <c r="K292" s="273"/>
      <c r="L292" s="273"/>
      <c r="M292" s="273"/>
      <c r="N292" s="273"/>
      <c r="O292" s="273"/>
      <c r="P292" s="274"/>
      <c r="Q292" s="274"/>
      <c r="R292" s="274"/>
      <c r="S292" s="41"/>
      <c r="T292" s="41"/>
      <c r="U292" s="41"/>
      <c r="V292" s="41"/>
      <c r="W292" s="41"/>
      <c r="X292" s="41"/>
      <c r="Y292" s="41"/>
      <c r="Z292" s="275"/>
      <c r="AA292" s="275"/>
      <c r="AB292" s="275"/>
      <c r="AC292" s="275"/>
      <c r="AD292" s="275"/>
      <c r="AE292" s="275"/>
      <c r="AF292" s="275"/>
      <c r="AG292" s="275"/>
      <c r="AH292" s="12"/>
      <c r="AI292" s="12"/>
      <c r="AJ292" s="12"/>
      <c r="AK292" s="41"/>
      <c r="AL292" s="10"/>
      <c r="AN292" s="281"/>
    </row>
    <row r="293" spans="1:41" s="4" customFormat="1" ht="12.75" customHeight="1">
      <c r="B293" s="41" t="s">
        <v>97</v>
      </c>
      <c r="C293" s="41"/>
      <c r="D293" s="41"/>
      <c r="E293" s="41"/>
      <c r="F293" s="41"/>
      <c r="G293"/>
      <c r="H293" s="1085" t="s">
        <v>2488</v>
      </c>
      <c r="I293" s="1085"/>
      <c r="J293" s="1085"/>
      <c r="K293" s="1085"/>
      <c r="L293" s="1085"/>
      <c r="M293" s="1085"/>
      <c r="N293" s="1085"/>
      <c r="O293" s="1085"/>
      <c r="P293" s="1085"/>
      <c r="Q293" s="1085"/>
      <c r="R293" s="1085"/>
      <c r="S293"/>
      <c r="T293" s="41" t="s">
        <v>97</v>
      </c>
      <c r="U293"/>
      <c r="V293" s="41"/>
      <c r="W293" s="41"/>
      <c r="X293" s="41"/>
      <c r="Y293" s="41"/>
      <c r="Z293"/>
      <c r="AA293" s="1085"/>
      <c r="AB293" s="1085"/>
      <c r="AC293" s="1085"/>
      <c r="AD293" s="1085"/>
      <c r="AE293" s="1085"/>
      <c r="AF293" s="1085"/>
      <c r="AG293" s="1085"/>
      <c r="AH293" s="1085"/>
      <c r="AI293" s="1085"/>
      <c r="AJ293" s="1085"/>
      <c r="AK293" s="1085"/>
      <c r="AL293" s="10"/>
      <c r="AN293" s="281"/>
    </row>
    <row r="294" spans="1:41" s="20" customFormat="1" ht="12.75" customHeight="1">
      <c r="A294" s="4"/>
      <c r="B294" s="41" t="s">
        <v>734</v>
      </c>
      <c r="C294" s="41"/>
      <c r="D294" s="41"/>
      <c r="E294" s="41"/>
      <c r="F294" s="41"/>
      <c r="G294"/>
      <c r="H294" s="1087" t="s">
        <v>2489</v>
      </c>
      <c r="I294" s="1087"/>
      <c r="J294" s="1087"/>
      <c r="K294" s="1087"/>
      <c r="L294" s="1087"/>
      <c r="M294" s="1087"/>
      <c r="N294" s="1087"/>
      <c r="O294" s="1087"/>
      <c r="P294" s="1087"/>
      <c r="Q294" s="1087"/>
      <c r="R294" s="1087"/>
      <c r="S294"/>
      <c r="T294" s="41" t="s">
        <v>734</v>
      </c>
      <c r="U294"/>
      <c r="V294" s="41"/>
      <c r="W294" s="41"/>
      <c r="X294" s="41"/>
      <c r="Y294" s="41"/>
      <c r="Z294"/>
      <c r="AA294" s="1087"/>
      <c r="AB294" s="1087"/>
      <c r="AC294" s="1087"/>
      <c r="AD294" s="1087"/>
      <c r="AE294" s="1087"/>
      <c r="AF294" s="1087"/>
      <c r="AG294" s="1087"/>
      <c r="AH294" s="1087"/>
      <c r="AI294" s="1087"/>
      <c r="AJ294" s="1087"/>
      <c r="AK294" s="1087"/>
      <c r="AL294" s="10"/>
      <c r="AM294" s="4"/>
      <c r="AN294" s="281"/>
      <c r="AO294" s="4"/>
    </row>
    <row r="295" spans="1:41" s="20" customFormat="1" ht="12.75" customHeight="1">
      <c r="A295" s="4"/>
      <c r="B295" s="41" t="s">
        <v>107</v>
      </c>
      <c r="C295" s="41"/>
      <c r="D295" s="41"/>
      <c r="E295" s="41"/>
      <c r="F295" s="41"/>
      <c r="G295"/>
      <c r="H295" s="1087" t="s">
        <v>2484</v>
      </c>
      <c r="I295" s="1087"/>
      <c r="J295" s="1087"/>
      <c r="K295" s="1087"/>
      <c r="L295" s="1087"/>
      <c r="M295" s="1087"/>
      <c r="N295" s="1087"/>
      <c r="O295" s="1087"/>
      <c r="P295" s="1087"/>
      <c r="Q295" s="1087"/>
      <c r="R295" s="1087"/>
      <c r="S295"/>
      <c r="T295" s="41" t="s">
        <v>107</v>
      </c>
      <c r="U295"/>
      <c r="V295" s="41"/>
      <c r="W295" s="41"/>
      <c r="X295" s="41"/>
      <c r="Y295" s="41"/>
      <c r="Z295"/>
      <c r="AA295" s="1087"/>
      <c r="AB295" s="1087"/>
      <c r="AC295" s="1087"/>
      <c r="AD295" s="1087"/>
      <c r="AE295" s="1087"/>
      <c r="AF295" s="1087"/>
      <c r="AG295" s="1087"/>
      <c r="AH295" s="1087"/>
      <c r="AI295" s="1087"/>
      <c r="AJ295" s="1087"/>
      <c r="AK295" s="1087"/>
      <c r="AL295" s="10"/>
      <c r="AM295" s="4"/>
      <c r="AN295" s="281"/>
      <c r="AO295" s="4"/>
    </row>
    <row r="296" spans="1:41" s="4" customFormat="1" ht="12.75" customHeight="1">
      <c r="B296" s="41" t="s">
        <v>398</v>
      </c>
      <c r="C296" s="41"/>
      <c r="D296" s="41"/>
      <c r="E296" s="41"/>
      <c r="F296" s="41"/>
      <c r="G296"/>
      <c r="H296" s="1087"/>
      <c r="I296" s="1087"/>
      <c r="J296" s="1087"/>
      <c r="K296" s="1087"/>
      <c r="L296" s="1087"/>
      <c r="M296" s="1087"/>
      <c r="N296" s="1087"/>
      <c r="O296" s="1087"/>
      <c r="P296" s="1087"/>
      <c r="Q296" s="1087"/>
      <c r="R296" s="1087"/>
      <c r="S296"/>
      <c r="T296" s="41" t="s">
        <v>398</v>
      </c>
      <c r="U296"/>
      <c r="V296" s="41"/>
      <c r="W296" s="41"/>
      <c r="X296" s="41"/>
      <c r="Y296" s="41"/>
      <c r="Z296"/>
      <c r="AA296" s="1087"/>
      <c r="AB296" s="1087"/>
      <c r="AC296" s="1087"/>
      <c r="AD296" s="1087"/>
      <c r="AE296" s="1087"/>
      <c r="AF296" s="1087"/>
      <c r="AG296" s="1087"/>
      <c r="AH296" s="1087"/>
      <c r="AI296" s="1087"/>
      <c r="AJ296" s="1087"/>
      <c r="AK296" s="1087"/>
      <c r="AL296" s="10"/>
      <c r="AN296" s="281"/>
    </row>
    <row r="297" spans="1:41" s="4" customFormat="1" ht="12.75" customHeight="1">
      <c r="B297" s="41" t="s">
        <v>399</v>
      </c>
      <c r="C297" s="41"/>
      <c r="D297" s="41"/>
      <c r="E297" s="41"/>
      <c r="F297" s="41"/>
      <c r="G297" s="41"/>
      <c r="H297" s="1109" t="s">
        <v>2490</v>
      </c>
      <c r="I297" s="1110"/>
      <c r="J297" s="1110"/>
      <c r="K297" s="1110"/>
      <c r="L297" s="1110"/>
      <c r="M297" s="1110"/>
      <c r="N297" s="5" t="s">
        <v>858</v>
      </c>
      <c r="O297" s="5"/>
      <c r="P297" s="1114"/>
      <c r="Q297" s="1114"/>
      <c r="R297" s="1114"/>
      <c r="S297" s="41"/>
      <c r="T297" s="41" t="s">
        <v>399</v>
      </c>
      <c r="U297"/>
      <c r="V297" s="41"/>
      <c r="W297" s="41"/>
      <c r="X297" s="41"/>
      <c r="Y297" s="41"/>
      <c r="Z297"/>
      <c r="AA297" s="1110"/>
      <c r="AB297" s="1110"/>
      <c r="AC297" s="1110"/>
      <c r="AD297" s="1110"/>
      <c r="AE297" s="1110"/>
      <c r="AF297" s="1110"/>
      <c r="AG297" s="5" t="s">
        <v>858</v>
      </c>
      <c r="AH297" s="5"/>
      <c r="AI297" s="1114"/>
      <c r="AJ297" s="1114"/>
      <c r="AK297" s="1114"/>
      <c r="AL297" s="10"/>
      <c r="AN297" s="281"/>
    </row>
    <row r="298" spans="1:41" s="4" customFormat="1" ht="12.75" customHeight="1">
      <c r="B298" s="41" t="s">
        <v>96</v>
      </c>
      <c r="C298" s="41"/>
      <c r="D298" s="41"/>
      <c r="E298" s="41"/>
      <c r="F298" s="41"/>
      <c r="G298" s="41"/>
      <c r="H298" s="1087" t="s">
        <v>108</v>
      </c>
      <c r="I298" s="1087"/>
      <c r="J298" s="1087"/>
      <c r="K298" s="1087"/>
      <c r="L298" s="1087"/>
      <c r="M298" s="1087"/>
      <c r="N298" s="1087"/>
      <c r="O298" s="1087"/>
      <c r="P298" s="1087"/>
      <c r="Q298" s="1087"/>
      <c r="R298" s="1087"/>
      <c r="S298" s="41"/>
      <c r="T298" s="41" t="s">
        <v>96</v>
      </c>
      <c r="U298"/>
      <c r="V298" s="41"/>
      <c r="W298" s="41"/>
      <c r="X298" s="41"/>
      <c r="Y298" s="41"/>
      <c r="Z298"/>
      <c r="AA298" s="1087"/>
      <c r="AB298" s="1087"/>
      <c r="AC298" s="1087"/>
      <c r="AD298" s="1087"/>
      <c r="AE298" s="1087"/>
      <c r="AF298" s="1087"/>
      <c r="AG298" s="1087"/>
      <c r="AH298" s="1087"/>
      <c r="AI298" s="1087"/>
      <c r="AJ298" s="1087"/>
      <c r="AK298" s="1087"/>
      <c r="AL298" s="10"/>
      <c r="AN298" s="281"/>
    </row>
    <row r="299" spans="1:41" s="4" customFormat="1" ht="12.75" customHeight="1">
      <c r="B299" s="41" t="s">
        <v>98</v>
      </c>
      <c r="C299" s="41"/>
      <c r="D299" s="41"/>
      <c r="E299" s="41"/>
      <c r="F299" s="41"/>
      <c r="G299" s="41"/>
      <c r="H299" s="1087" t="s">
        <v>2491</v>
      </c>
      <c r="I299" s="1087"/>
      <c r="J299" s="1087"/>
      <c r="K299" s="1087"/>
      <c r="L299" s="1087"/>
      <c r="M299" s="1087"/>
      <c r="N299" s="1087"/>
      <c r="O299" s="1087"/>
      <c r="P299" s="1087"/>
      <c r="Q299" s="1087"/>
      <c r="R299" s="1087"/>
      <c r="S299" s="41"/>
      <c r="T299" s="41" t="s">
        <v>98</v>
      </c>
      <c r="U299"/>
      <c r="V299" s="41"/>
      <c r="W299" s="41"/>
      <c r="X299" s="41"/>
      <c r="Y299" s="41"/>
      <c r="Z299"/>
      <c r="AA299" s="1087"/>
      <c r="AB299" s="1087"/>
      <c r="AC299" s="1087"/>
      <c r="AD299" s="1087"/>
      <c r="AE299" s="1087"/>
      <c r="AF299" s="1087"/>
      <c r="AG299" s="1087"/>
      <c r="AH299" s="1087"/>
      <c r="AI299" s="1087"/>
      <c r="AJ299" s="1087"/>
      <c r="AK299" s="1087"/>
      <c r="AL299" s="10"/>
      <c r="AN299" s="281"/>
    </row>
    <row r="300" spans="1:41" s="4" customFormat="1" ht="12.75" customHeight="1">
      <c r="B300" s="41" t="s">
        <v>109</v>
      </c>
      <c r="C300" s="41"/>
      <c r="D300" s="41"/>
      <c r="E300" s="41"/>
      <c r="F300" s="41"/>
      <c r="G300" s="41"/>
      <c r="H300" s="1705">
        <v>0.56000000000000005</v>
      </c>
      <c r="I300" s="1705"/>
      <c r="J300" s="1705"/>
      <c r="K300" s="1705"/>
      <c r="L300" s="1705"/>
      <c r="M300" s="1705"/>
      <c r="N300" s="1705"/>
      <c r="O300" s="1705"/>
      <c r="P300" s="1705"/>
      <c r="Q300" s="1705"/>
      <c r="R300" s="1705"/>
      <c r="S300" s="41"/>
      <c r="T300" s="41" t="s">
        <v>109</v>
      </c>
      <c r="U300" s="41"/>
      <c r="V300" s="41"/>
      <c r="W300" s="41"/>
      <c r="X300" s="41"/>
      <c r="Y300" s="41"/>
      <c r="Z300" s="12"/>
      <c r="AA300" s="1705"/>
      <c r="AB300" s="1705"/>
      <c r="AC300" s="1705"/>
      <c r="AD300" s="1705"/>
      <c r="AE300" s="1705"/>
      <c r="AF300" s="1705"/>
      <c r="AG300" s="1705"/>
      <c r="AH300" s="1705"/>
      <c r="AI300" s="1705"/>
      <c r="AJ300" s="1705"/>
      <c r="AK300" s="1705"/>
      <c r="AL300" s="10"/>
      <c r="AN300" s="281"/>
    </row>
    <row r="301" spans="1:41" s="4" customFormat="1" ht="12.75" customHeight="1">
      <c r="B301" s="41"/>
      <c r="C301" s="41"/>
      <c r="D301" s="41"/>
      <c r="E301" s="41"/>
      <c r="F301" s="41"/>
      <c r="G301" s="41"/>
      <c r="H301" s="273"/>
      <c r="I301" s="273"/>
      <c r="J301" s="273"/>
      <c r="K301" s="273"/>
      <c r="L301" s="273"/>
      <c r="M301" s="273"/>
      <c r="N301" s="273"/>
      <c r="O301" s="273"/>
      <c r="P301" s="274"/>
      <c r="Q301" s="274"/>
      <c r="R301" s="274"/>
      <c r="S301" s="41"/>
      <c r="T301" s="41"/>
      <c r="U301" s="41"/>
      <c r="V301" s="41"/>
      <c r="W301" s="41"/>
      <c r="X301" s="41"/>
      <c r="Y301" s="41"/>
      <c r="Z301" s="275"/>
      <c r="AA301" s="275"/>
      <c r="AB301" s="275"/>
      <c r="AC301" s="275"/>
      <c r="AD301" s="275"/>
      <c r="AE301" s="275"/>
      <c r="AF301" s="275"/>
      <c r="AG301" s="275"/>
      <c r="AH301" s="12"/>
      <c r="AI301" s="12"/>
      <c r="AJ301" s="12"/>
      <c r="AK301" s="41"/>
      <c r="AL301" s="10"/>
      <c r="AN301" s="281"/>
    </row>
    <row r="302" spans="1:41" s="4" customFormat="1" ht="12.75" customHeight="1">
      <c r="B302" s="41" t="s">
        <v>97</v>
      </c>
      <c r="C302" s="41"/>
      <c r="D302" s="41"/>
      <c r="E302" s="41"/>
      <c r="F302" s="41"/>
      <c r="G302"/>
      <c r="H302" s="1085" t="s">
        <v>2492</v>
      </c>
      <c r="I302" s="1085"/>
      <c r="J302" s="1085"/>
      <c r="K302" s="1085"/>
      <c r="L302" s="1085"/>
      <c r="M302" s="1085"/>
      <c r="N302" s="1085"/>
      <c r="O302" s="1085"/>
      <c r="P302" s="1085"/>
      <c r="Q302" s="1085"/>
      <c r="R302" s="1085"/>
      <c r="S302"/>
      <c r="T302" s="41" t="s">
        <v>97</v>
      </c>
      <c r="U302"/>
      <c r="V302" s="41"/>
      <c r="W302" s="41"/>
      <c r="X302" s="41"/>
      <c r="Y302" s="41"/>
      <c r="Z302"/>
      <c r="AA302" s="1085"/>
      <c r="AB302" s="1085"/>
      <c r="AC302" s="1085"/>
      <c r="AD302" s="1085"/>
      <c r="AE302" s="1085"/>
      <c r="AF302" s="1085"/>
      <c r="AG302" s="1085"/>
      <c r="AH302" s="1085"/>
      <c r="AI302" s="1085"/>
      <c r="AJ302" s="1085"/>
      <c r="AK302" s="1085"/>
      <c r="AL302" s="10"/>
      <c r="AN302" s="281"/>
    </row>
    <row r="303" spans="1:41" s="4" customFormat="1" ht="12.75" customHeight="1">
      <c r="B303" s="41" t="s">
        <v>734</v>
      </c>
      <c r="C303" s="41"/>
      <c r="D303" s="41"/>
      <c r="E303" s="41"/>
      <c r="F303" s="41"/>
      <c r="G303"/>
      <c r="H303" s="1087" t="s">
        <v>2493</v>
      </c>
      <c r="I303" s="1087"/>
      <c r="J303" s="1087"/>
      <c r="K303" s="1087"/>
      <c r="L303" s="1087"/>
      <c r="M303" s="1087"/>
      <c r="N303" s="1087"/>
      <c r="O303" s="1087"/>
      <c r="P303" s="1087"/>
      <c r="Q303" s="1087"/>
      <c r="R303" s="1087"/>
      <c r="S303"/>
      <c r="T303" s="41" t="s">
        <v>734</v>
      </c>
      <c r="U303"/>
      <c r="V303" s="41"/>
      <c r="W303" s="41"/>
      <c r="X303" s="41"/>
      <c r="Y303" s="41"/>
      <c r="Z303"/>
      <c r="AA303" s="1087"/>
      <c r="AB303" s="1087"/>
      <c r="AC303" s="1087"/>
      <c r="AD303" s="1087"/>
      <c r="AE303" s="1087"/>
      <c r="AF303" s="1087"/>
      <c r="AG303" s="1087"/>
      <c r="AH303" s="1087"/>
      <c r="AI303" s="1087"/>
      <c r="AJ303" s="1087"/>
      <c r="AK303" s="1087"/>
      <c r="AL303" s="10"/>
      <c r="AN303" s="281"/>
    </row>
    <row r="304" spans="1:41" s="4" customFormat="1" ht="12.75" customHeight="1">
      <c r="B304" s="41" t="s">
        <v>107</v>
      </c>
      <c r="C304" s="41"/>
      <c r="D304" s="41"/>
      <c r="E304" s="41"/>
      <c r="F304" s="41"/>
      <c r="G304"/>
      <c r="H304" s="1087" t="s">
        <v>2484</v>
      </c>
      <c r="I304" s="1087"/>
      <c r="J304" s="1087"/>
      <c r="K304" s="1087"/>
      <c r="L304" s="1087"/>
      <c r="M304" s="1087"/>
      <c r="N304" s="1087"/>
      <c r="O304" s="1087"/>
      <c r="P304" s="1087"/>
      <c r="Q304" s="1087"/>
      <c r="R304" s="1087"/>
      <c r="S304"/>
      <c r="T304" s="41" t="s">
        <v>107</v>
      </c>
      <c r="U304"/>
      <c r="V304" s="41"/>
      <c r="W304" s="41"/>
      <c r="X304" s="41"/>
      <c r="Y304" s="41"/>
      <c r="Z304"/>
      <c r="AA304" s="1087"/>
      <c r="AB304" s="1087"/>
      <c r="AC304" s="1087"/>
      <c r="AD304" s="1087"/>
      <c r="AE304" s="1087"/>
      <c r="AF304" s="1087"/>
      <c r="AG304" s="1087"/>
      <c r="AH304" s="1087"/>
      <c r="AI304" s="1087"/>
      <c r="AJ304" s="1087"/>
      <c r="AK304" s="1087"/>
      <c r="AL304" s="10"/>
      <c r="AN304" s="281"/>
    </row>
    <row r="305" spans="2:40" s="4" customFormat="1" ht="12.75" customHeight="1">
      <c r="B305" s="41" t="s">
        <v>398</v>
      </c>
      <c r="C305" s="41"/>
      <c r="D305" s="41"/>
      <c r="E305" s="41"/>
      <c r="F305" s="41"/>
      <c r="G305"/>
      <c r="H305" s="1087"/>
      <c r="I305" s="1087"/>
      <c r="J305" s="1087"/>
      <c r="K305" s="1087"/>
      <c r="L305" s="1087"/>
      <c r="M305" s="1087"/>
      <c r="N305" s="1087"/>
      <c r="O305" s="1087"/>
      <c r="P305" s="1087"/>
      <c r="Q305" s="1087"/>
      <c r="R305" s="1087"/>
      <c r="S305"/>
      <c r="T305" s="41" t="s">
        <v>398</v>
      </c>
      <c r="U305"/>
      <c r="V305" s="41"/>
      <c r="W305" s="41"/>
      <c r="X305" s="41"/>
      <c r="Y305" s="41"/>
      <c r="Z305"/>
      <c r="AA305" s="1087"/>
      <c r="AB305" s="1087"/>
      <c r="AC305" s="1087"/>
      <c r="AD305" s="1087"/>
      <c r="AE305" s="1087"/>
      <c r="AF305" s="1087"/>
      <c r="AG305" s="1087"/>
      <c r="AH305" s="1087"/>
      <c r="AI305" s="1087"/>
      <c r="AJ305" s="1087"/>
      <c r="AK305" s="1087"/>
      <c r="AL305" s="10"/>
      <c r="AN305" s="281"/>
    </row>
    <row r="306" spans="2:40" s="4" customFormat="1" ht="12.75" customHeight="1">
      <c r="B306" s="41" t="s">
        <v>399</v>
      </c>
      <c r="C306" s="41"/>
      <c r="D306" s="41"/>
      <c r="E306" s="41"/>
      <c r="F306" s="41"/>
      <c r="G306" s="41"/>
      <c r="H306" s="1109" t="s">
        <v>2494</v>
      </c>
      <c r="I306" s="1110"/>
      <c r="J306" s="1110"/>
      <c r="K306" s="1110"/>
      <c r="L306" s="1110"/>
      <c r="M306" s="1110"/>
      <c r="N306" s="5" t="s">
        <v>858</v>
      </c>
      <c r="O306" s="5"/>
      <c r="P306" s="1114"/>
      <c r="Q306" s="1114"/>
      <c r="R306" s="1114"/>
      <c r="S306" s="41"/>
      <c r="T306" s="41" t="s">
        <v>399</v>
      </c>
      <c r="U306"/>
      <c r="V306" s="41"/>
      <c r="W306" s="41"/>
      <c r="X306" s="41"/>
      <c r="Y306" s="41"/>
      <c r="Z306"/>
      <c r="AA306" s="1110"/>
      <c r="AB306" s="1110"/>
      <c r="AC306" s="1110"/>
      <c r="AD306" s="1110"/>
      <c r="AE306" s="1110"/>
      <c r="AF306" s="1110"/>
      <c r="AG306" s="5" t="s">
        <v>858</v>
      </c>
      <c r="AH306" s="5"/>
      <c r="AI306" s="1114"/>
      <c r="AJ306" s="1114"/>
      <c r="AK306" s="1114"/>
      <c r="AL306" s="10"/>
      <c r="AN306" s="281"/>
    </row>
    <row r="307" spans="2:40" s="4" customFormat="1" ht="12.75" customHeight="1">
      <c r="B307" s="41" t="s">
        <v>96</v>
      </c>
      <c r="C307" s="41"/>
      <c r="D307" s="41"/>
      <c r="E307" s="41"/>
      <c r="F307" s="41"/>
      <c r="G307" s="41"/>
      <c r="H307" s="1087" t="s">
        <v>100</v>
      </c>
      <c r="I307" s="1087"/>
      <c r="J307" s="1087"/>
      <c r="K307" s="1087"/>
      <c r="L307" s="1087"/>
      <c r="M307" s="1087"/>
      <c r="N307" s="1087"/>
      <c r="O307" s="1087"/>
      <c r="P307" s="1087"/>
      <c r="Q307" s="1087"/>
      <c r="R307" s="1087"/>
      <c r="S307" s="41"/>
      <c r="T307" s="41" t="s">
        <v>96</v>
      </c>
      <c r="U307"/>
      <c r="V307" s="41"/>
      <c r="W307" s="41"/>
      <c r="X307" s="41"/>
      <c r="Y307" s="41"/>
      <c r="Z307"/>
      <c r="AA307" s="1087"/>
      <c r="AB307" s="1087"/>
      <c r="AC307" s="1087"/>
      <c r="AD307" s="1087"/>
      <c r="AE307" s="1087"/>
      <c r="AF307" s="1087"/>
      <c r="AG307" s="1087"/>
      <c r="AH307" s="1087"/>
      <c r="AI307" s="1087"/>
      <c r="AJ307" s="1087"/>
      <c r="AK307" s="1087"/>
      <c r="AL307" s="10"/>
      <c r="AN307" s="281"/>
    </row>
    <row r="308" spans="2:40" s="4" customFormat="1" ht="12.75" customHeight="1">
      <c r="B308" s="41" t="s">
        <v>98</v>
      </c>
      <c r="C308" s="41"/>
      <c r="D308" s="41"/>
      <c r="E308" s="41"/>
      <c r="F308" s="41"/>
      <c r="G308" s="41"/>
      <c r="H308" s="1087" t="s">
        <v>2495</v>
      </c>
      <c r="I308" s="1087"/>
      <c r="J308" s="1087"/>
      <c r="K308" s="1087"/>
      <c r="L308" s="1087"/>
      <c r="M308" s="1087"/>
      <c r="N308" s="1087"/>
      <c r="O308" s="1087"/>
      <c r="P308" s="1087"/>
      <c r="Q308" s="1087"/>
      <c r="R308" s="1087"/>
      <c r="S308" s="41"/>
      <c r="T308" s="41" t="s">
        <v>98</v>
      </c>
      <c r="U308"/>
      <c r="V308" s="41"/>
      <c r="W308" s="41"/>
      <c r="X308" s="41"/>
      <c r="Y308" s="41"/>
      <c r="Z308"/>
      <c r="AA308" s="1087"/>
      <c r="AB308" s="1087"/>
      <c r="AC308" s="1087"/>
      <c r="AD308" s="1087"/>
      <c r="AE308" s="1087"/>
      <c r="AF308" s="1087"/>
      <c r="AG308" s="1087"/>
      <c r="AH308" s="1087"/>
      <c r="AI308" s="1087"/>
      <c r="AJ308" s="1087"/>
      <c r="AK308" s="1087"/>
      <c r="AL308" s="10"/>
      <c r="AN308" s="281"/>
    </row>
    <row r="309" spans="2:40" s="4" customFormat="1" ht="12.75" customHeight="1">
      <c r="B309" s="41" t="s">
        <v>109</v>
      </c>
      <c r="C309" s="41"/>
      <c r="D309" s="41"/>
      <c r="E309" s="41"/>
      <c r="F309" s="41"/>
      <c r="G309" s="41"/>
      <c r="H309" s="1705">
        <v>0.14000000000000001</v>
      </c>
      <c r="I309" s="1705"/>
      <c r="J309" s="1705"/>
      <c r="K309" s="1705"/>
      <c r="L309" s="1705"/>
      <c r="M309" s="1705"/>
      <c r="N309" s="1705"/>
      <c r="O309" s="1705"/>
      <c r="P309" s="1705"/>
      <c r="Q309" s="1705"/>
      <c r="R309" s="1705"/>
      <c r="S309" s="41"/>
      <c r="T309" s="41" t="s">
        <v>109</v>
      </c>
      <c r="U309" s="41"/>
      <c r="V309" s="41"/>
      <c r="W309" s="41"/>
      <c r="X309" s="41"/>
      <c r="Y309" s="41"/>
      <c r="Z309" s="12"/>
      <c r="AA309" s="1705"/>
      <c r="AB309" s="1705"/>
      <c r="AC309" s="1705"/>
      <c r="AD309" s="1705"/>
      <c r="AE309" s="1705"/>
      <c r="AF309" s="1705"/>
      <c r="AG309" s="1705"/>
      <c r="AH309" s="1705"/>
      <c r="AI309" s="1705"/>
      <c r="AJ309" s="1705"/>
      <c r="AK309" s="1705"/>
      <c r="AL309" s="10"/>
      <c r="AN309" s="281"/>
    </row>
    <row r="310" spans="2:40" s="4" customFormat="1" ht="12.75" customHeight="1">
      <c r="B310" s="41"/>
      <c r="C310" s="41"/>
      <c r="D310" s="41"/>
      <c r="E310" s="41"/>
      <c r="F310" s="41"/>
      <c r="G310" s="41"/>
      <c r="H310" s="273"/>
      <c r="I310" s="273"/>
      <c r="J310" s="273"/>
      <c r="K310" s="273"/>
      <c r="L310" s="273"/>
      <c r="M310" s="273"/>
      <c r="N310" s="273"/>
      <c r="O310" s="273"/>
      <c r="P310" s="274"/>
      <c r="Q310" s="274"/>
      <c r="R310" s="274"/>
      <c r="S310" s="41"/>
      <c r="T310" s="41"/>
      <c r="U310" s="41"/>
      <c r="V310" s="41"/>
      <c r="W310" s="41"/>
      <c r="X310" s="41"/>
      <c r="Y310" s="41"/>
      <c r="Z310" s="275"/>
      <c r="AA310" s="275"/>
      <c r="AB310" s="275"/>
      <c r="AC310" s="275"/>
      <c r="AD310" s="275"/>
      <c r="AE310" s="275"/>
      <c r="AF310" s="275"/>
      <c r="AG310" s="275"/>
      <c r="AH310" s="12"/>
      <c r="AI310" s="12"/>
      <c r="AJ310" s="12"/>
      <c r="AK310" s="41"/>
      <c r="AL310" s="10"/>
      <c r="AN310" s="281"/>
    </row>
    <row r="311" spans="2:40" s="4" customFormat="1" ht="12.75" customHeight="1">
      <c r="B311" s="41" t="s">
        <v>97</v>
      </c>
      <c r="C311" s="41"/>
      <c r="D311" s="41"/>
      <c r="E311" s="41"/>
      <c r="F311" s="41"/>
      <c r="G311"/>
      <c r="H311" s="1085" t="s">
        <v>2496</v>
      </c>
      <c r="I311" s="1085"/>
      <c r="J311" s="1085"/>
      <c r="K311" s="1085"/>
      <c r="L311" s="1085"/>
      <c r="M311" s="1085"/>
      <c r="N311" s="1085"/>
      <c r="O311" s="1085"/>
      <c r="P311" s="1085"/>
      <c r="Q311" s="1085"/>
      <c r="R311" s="1085"/>
      <c r="S311"/>
      <c r="T311" s="41" t="s">
        <v>97</v>
      </c>
      <c r="U311"/>
      <c r="V311" s="41"/>
      <c r="W311" s="41"/>
      <c r="X311" s="41"/>
      <c r="Y311" s="41"/>
      <c r="Z311"/>
      <c r="AA311" s="1085"/>
      <c r="AB311" s="1085"/>
      <c r="AC311" s="1085"/>
      <c r="AD311" s="1085"/>
      <c r="AE311" s="1085"/>
      <c r="AF311" s="1085"/>
      <c r="AG311" s="1085"/>
      <c r="AH311" s="1085"/>
      <c r="AI311" s="1085"/>
      <c r="AJ311" s="1085"/>
      <c r="AK311" s="1085"/>
      <c r="AL311" s="10"/>
      <c r="AN311" s="281"/>
    </row>
    <row r="312" spans="2:40" s="4" customFormat="1" ht="12.75" customHeight="1">
      <c r="B312" s="41" t="s">
        <v>734</v>
      </c>
      <c r="C312" s="41"/>
      <c r="D312" s="41"/>
      <c r="E312" s="41"/>
      <c r="F312" s="41"/>
      <c r="G312"/>
      <c r="H312" s="1087" t="s">
        <v>2497</v>
      </c>
      <c r="I312" s="1087"/>
      <c r="J312" s="1087"/>
      <c r="K312" s="1087"/>
      <c r="L312" s="1087"/>
      <c r="M312" s="1087"/>
      <c r="N312" s="1087"/>
      <c r="O312" s="1087"/>
      <c r="P312" s="1087"/>
      <c r="Q312" s="1087"/>
      <c r="R312" s="1087"/>
      <c r="S312"/>
      <c r="T312" s="41" t="s">
        <v>734</v>
      </c>
      <c r="U312"/>
      <c r="V312" s="41"/>
      <c r="W312" s="41"/>
      <c r="X312" s="41"/>
      <c r="Y312" s="41"/>
      <c r="Z312"/>
      <c r="AA312" s="1087"/>
      <c r="AB312" s="1087"/>
      <c r="AC312" s="1087"/>
      <c r="AD312" s="1087"/>
      <c r="AE312" s="1087"/>
      <c r="AF312" s="1087"/>
      <c r="AG312" s="1087"/>
      <c r="AH312" s="1087"/>
      <c r="AI312" s="1087"/>
      <c r="AJ312" s="1087"/>
      <c r="AK312" s="1087"/>
      <c r="AL312" s="10"/>
      <c r="AN312" s="281"/>
    </row>
    <row r="313" spans="2:40" s="4" customFormat="1" ht="12.75" customHeight="1">
      <c r="B313" s="41" t="s">
        <v>107</v>
      </c>
      <c r="C313" s="41"/>
      <c r="D313" s="41"/>
      <c r="E313" s="41"/>
      <c r="F313" s="41"/>
      <c r="G313"/>
      <c r="H313" s="1087" t="s">
        <v>2484</v>
      </c>
      <c r="I313" s="1087"/>
      <c r="J313" s="1087"/>
      <c r="K313" s="1087"/>
      <c r="L313" s="1087"/>
      <c r="M313" s="1087"/>
      <c r="N313" s="1087"/>
      <c r="O313" s="1087"/>
      <c r="P313" s="1087"/>
      <c r="Q313" s="1087"/>
      <c r="R313" s="1087"/>
      <c r="S313"/>
      <c r="T313" s="41" t="s">
        <v>107</v>
      </c>
      <c r="U313"/>
      <c r="V313" s="41"/>
      <c r="W313" s="41"/>
      <c r="X313" s="41"/>
      <c r="Y313" s="41"/>
      <c r="Z313"/>
      <c r="AA313" s="1087"/>
      <c r="AB313" s="1087"/>
      <c r="AC313" s="1087"/>
      <c r="AD313" s="1087"/>
      <c r="AE313" s="1087"/>
      <c r="AF313" s="1087"/>
      <c r="AG313" s="1087"/>
      <c r="AH313" s="1087"/>
      <c r="AI313" s="1087"/>
      <c r="AJ313" s="1087"/>
      <c r="AK313" s="1087"/>
      <c r="AL313" s="10"/>
      <c r="AN313" s="281"/>
    </row>
    <row r="314" spans="2:40" s="4" customFormat="1" ht="12.75" customHeight="1">
      <c r="B314" s="41" t="s">
        <v>398</v>
      </c>
      <c r="C314" s="41"/>
      <c r="D314" s="41"/>
      <c r="E314" s="41"/>
      <c r="F314" s="41"/>
      <c r="G314"/>
      <c r="H314" s="1087"/>
      <c r="I314" s="1087"/>
      <c r="J314" s="1087"/>
      <c r="K314" s="1087"/>
      <c r="L314" s="1087"/>
      <c r="M314" s="1087"/>
      <c r="N314" s="1087"/>
      <c r="O314" s="1087"/>
      <c r="P314" s="1087"/>
      <c r="Q314" s="1087"/>
      <c r="R314" s="1087"/>
      <c r="S314"/>
      <c r="T314" s="41" t="s">
        <v>398</v>
      </c>
      <c r="U314"/>
      <c r="V314" s="41"/>
      <c r="W314" s="41"/>
      <c r="X314" s="41"/>
      <c r="Y314" s="41"/>
      <c r="Z314"/>
      <c r="AA314" s="1087"/>
      <c r="AB314" s="1087"/>
      <c r="AC314" s="1087"/>
      <c r="AD314" s="1087"/>
      <c r="AE314" s="1087"/>
      <c r="AF314" s="1087"/>
      <c r="AG314" s="1087"/>
      <c r="AH314" s="1087"/>
      <c r="AI314" s="1087"/>
      <c r="AJ314" s="1087"/>
      <c r="AK314" s="1087"/>
      <c r="AL314" s="10"/>
      <c r="AN314" s="281"/>
    </row>
    <row r="315" spans="2:40" s="4" customFormat="1" ht="12.75" customHeight="1">
      <c r="B315" s="41" t="s">
        <v>399</v>
      </c>
      <c r="C315" s="41"/>
      <c r="D315" s="41"/>
      <c r="E315" s="41"/>
      <c r="F315" s="41"/>
      <c r="G315" s="41"/>
      <c r="H315" s="1109" t="s">
        <v>2498</v>
      </c>
      <c r="I315" s="1110"/>
      <c r="J315" s="1110"/>
      <c r="K315" s="1110"/>
      <c r="L315" s="1110"/>
      <c r="M315" s="1110"/>
      <c r="N315" s="5" t="s">
        <v>858</v>
      </c>
      <c r="O315" s="5"/>
      <c r="P315" s="1114"/>
      <c r="Q315" s="1114"/>
      <c r="R315" s="1114"/>
      <c r="S315" s="41"/>
      <c r="T315" s="41" t="s">
        <v>399</v>
      </c>
      <c r="U315"/>
      <c r="V315" s="41"/>
      <c r="W315" s="41"/>
      <c r="X315" s="41"/>
      <c r="Y315" s="41"/>
      <c r="Z315"/>
      <c r="AA315" s="1110"/>
      <c r="AB315" s="1110"/>
      <c r="AC315" s="1110"/>
      <c r="AD315" s="1110"/>
      <c r="AE315" s="1110"/>
      <c r="AF315" s="1110"/>
      <c r="AG315" s="5" t="s">
        <v>858</v>
      </c>
      <c r="AH315" s="5"/>
      <c r="AI315" s="1114"/>
      <c r="AJ315" s="1114"/>
      <c r="AK315" s="1114"/>
      <c r="AL315" s="10"/>
      <c r="AN315" s="281"/>
    </row>
    <row r="316" spans="2:40" s="4" customFormat="1" ht="12.75" customHeight="1">
      <c r="B316" s="41" t="s">
        <v>96</v>
      </c>
      <c r="C316" s="41"/>
      <c r="D316" s="41"/>
      <c r="E316" s="41"/>
      <c r="F316" s="41"/>
      <c r="G316" s="41"/>
      <c r="H316" s="1087" t="s">
        <v>368</v>
      </c>
      <c r="I316" s="1087"/>
      <c r="J316" s="1087"/>
      <c r="K316" s="1087"/>
      <c r="L316" s="1087"/>
      <c r="M316" s="1087"/>
      <c r="N316" s="1087"/>
      <c r="O316" s="1087"/>
      <c r="P316" s="1087"/>
      <c r="Q316" s="1087"/>
      <c r="R316" s="1087"/>
      <c r="S316" s="41"/>
      <c r="T316" s="41" t="s">
        <v>96</v>
      </c>
      <c r="U316"/>
      <c r="V316" s="41"/>
      <c r="W316" s="41"/>
      <c r="X316" s="41"/>
      <c r="Y316" s="41"/>
      <c r="Z316"/>
      <c r="AA316" s="1087"/>
      <c r="AB316" s="1087"/>
      <c r="AC316" s="1087"/>
      <c r="AD316" s="1087"/>
      <c r="AE316" s="1087"/>
      <c r="AF316" s="1087"/>
      <c r="AG316" s="1087"/>
      <c r="AH316" s="1087"/>
      <c r="AI316" s="1087"/>
      <c r="AJ316" s="1087"/>
      <c r="AK316" s="1087"/>
      <c r="AL316" s="10"/>
      <c r="AN316" s="281"/>
    </row>
    <row r="317" spans="2:40" s="4" customFormat="1" ht="12.75" customHeight="1">
      <c r="B317" s="41" t="s">
        <v>98</v>
      </c>
      <c r="C317" s="41"/>
      <c r="D317" s="41"/>
      <c r="E317" s="41"/>
      <c r="F317" s="41"/>
      <c r="G317" s="41"/>
      <c r="H317" s="1087" t="s">
        <v>2499</v>
      </c>
      <c r="I317" s="1087"/>
      <c r="J317" s="1087"/>
      <c r="K317" s="1087"/>
      <c r="L317" s="1087"/>
      <c r="M317" s="1087"/>
      <c r="N317" s="1087"/>
      <c r="O317" s="1087"/>
      <c r="P317" s="1087"/>
      <c r="Q317" s="1087"/>
      <c r="R317" s="1087"/>
      <c r="S317" s="41"/>
      <c r="T317" s="41" t="s">
        <v>98</v>
      </c>
      <c r="U317"/>
      <c r="V317" s="41"/>
      <c r="W317" s="41"/>
      <c r="X317" s="41"/>
      <c r="Y317" s="41"/>
      <c r="Z317"/>
      <c r="AA317" s="1087"/>
      <c r="AB317" s="1087"/>
      <c r="AC317" s="1087"/>
      <c r="AD317" s="1087"/>
      <c r="AE317" s="1087"/>
      <c r="AF317" s="1087"/>
      <c r="AG317" s="1087"/>
      <c r="AH317" s="1087"/>
      <c r="AI317" s="1087"/>
      <c r="AJ317" s="1087"/>
      <c r="AK317" s="1087"/>
      <c r="AL317" s="10"/>
      <c r="AN317" s="281"/>
    </row>
    <row r="318" spans="2:40" s="4" customFormat="1" ht="12.75" customHeight="1">
      <c r="B318" s="41" t="s">
        <v>109</v>
      </c>
      <c r="C318" s="41"/>
      <c r="D318" s="41"/>
      <c r="E318" s="41"/>
      <c r="F318" s="41"/>
      <c r="G318" s="41"/>
      <c r="H318" s="1705">
        <v>1</v>
      </c>
      <c r="I318" s="1705"/>
      <c r="J318" s="1705"/>
      <c r="K318" s="1705"/>
      <c r="L318" s="1705"/>
      <c r="M318" s="1705"/>
      <c r="N318" s="1705"/>
      <c r="O318" s="1705"/>
      <c r="P318" s="1705"/>
      <c r="Q318" s="1705"/>
      <c r="R318" s="1705"/>
      <c r="S318" s="41"/>
      <c r="T318" s="41" t="s">
        <v>109</v>
      </c>
      <c r="U318" s="41"/>
      <c r="V318" s="41"/>
      <c r="W318" s="41"/>
      <c r="X318" s="41"/>
      <c r="Y318" s="41"/>
      <c r="Z318" s="12"/>
      <c r="AA318" s="1705"/>
      <c r="AB318" s="1705"/>
      <c r="AC318" s="1705"/>
      <c r="AD318" s="1705"/>
      <c r="AE318" s="1705"/>
      <c r="AF318" s="1705"/>
      <c r="AG318" s="1705"/>
      <c r="AH318" s="1705"/>
      <c r="AI318" s="1705"/>
      <c r="AJ318" s="1705"/>
      <c r="AK318" s="1705"/>
      <c r="AL318" s="10"/>
      <c r="AN318" s="281"/>
    </row>
    <row r="319" spans="2:40" s="4" customFormat="1" ht="12.75" customHeight="1">
      <c r="B319" s="41"/>
      <c r="C319" s="41"/>
      <c r="D319" s="41"/>
      <c r="E319" s="41"/>
      <c r="F319" s="41"/>
      <c r="G319" s="41"/>
      <c r="H319" s="273"/>
      <c r="I319" s="273"/>
      <c r="J319" s="273"/>
      <c r="K319" s="273"/>
      <c r="L319" s="273"/>
      <c r="M319" s="273"/>
      <c r="N319" s="273"/>
      <c r="O319" s="273"/>
      <c r="P319" s="274"/>
      <c r="Q319" s="274"/>
      <c r="R319" s="274"/>
      <c r="S319" s="41"/>
      <c r="T319" s="41"/>
      <c r="U319" s="41"/>
      <c r="V319" s="41"/>
      <c r="W319" s="41"/>
      <c r="X319" s="41"/>
      <c r="Y319" s="41"/>
      <c r="Z319" s="275"/>
      <c r="AA319" s="275"/>
      <c r="AB319" s="275"/>
      <c r="AC319" s="275"/>
      <c r="AD319" s="275"/>
      <c r="AE319" s="275"/>
      <c r="AF319" s="275"/>
      <c r="AG319" s="275"/>
      <c r="AH319" s="12"/>
      <c r="AI319" s="12"/>
      <c r="AJ319" s="12"/>
      <c r="AK319" s="41"/>
      <c r="AL319" s="41"/>
      <c r="AN319" s="281"/>
    </row>
    <row r="320" spans="2:40" s="4" customFormat="1" ht="12.75" customHeight="1">
      <c r="B320" s="41" t="s">
        <v>97</v>
      </c>
      <c r="C320" s="41"/>
      <c r="D320" s="41"/>
      <c r="E320" s="41"/>
      <c r="F320" s="41"/>
      <c r="G320"/>
      <c r="H320" s="1085" t="s">
        <v>2500</v>
      </c>
      <c r="I320" s="1085"/>
      <c r="J320" s="1085"/>
      <c r="K320" s="1085"/>
      <c r="L320" s="1085"/>
      <c r="M320" s="1085"/>
      <c r="N320" s="1085"/>
      <c r="O320" s="1085"/>
      <c r="P320" s="1085"/>
      <c r="Q320" s="1085"/>
      <c r="R320" s="1085"/>
      <c r="S320"/>
      <c r="T320" s="41" t="s">
        <v>97</v>
      </c>
      <c r="U320"/>
      <c r="V320" s="41"/>
      <c r="W320" s="41"/>
      <c r="X320" s="41"/>
      <c r="Y320" s="41"/>
      <c r="Z320"/>
      <c r="AA320" s="1085"/>
      <c r="AB320" s="1085"/>
      <c r="AC320" s="1085"/>
      <c r="AD320" s="1085"/>
      <c r="AE320" s="1085"/>
      <c r="AF320" s="1085"/>
      <c r="AG320" s="1085"/>
      <c r="AH320" s="1085"/>
      <c r="AI320" s="1085"/>
      <c r="AJ320" s="1085"/>
      <c r="AK320" s="1085"/>
      <c r="AL320" s="41"/>
      <c r="AN320" s="281"/>
    </row>
    <row r="321" spans="1:76" s="4" customFormat="1" ht="12.75" customHeight="1">
      <c r="B321" s="41" t="s">
        <v>734</v>
      </c>
      <c r="C321" s="41"/>
      <c r="D321" s="41"/>
      <c r="E321" s="41"/>
      <c r="F321" s="41"/>
      <c r="G321"/>
      <c r="H321" s="1087" t="s">
        <v>2501</v>
      </c>
      <c r="I321" s="1087"/>
      <c r="J321" s="1087"/>
      <c r="K321" s="1087"/>
      <c r="L321" s="1087"/>
      <c r="M321" s="1087"/>
      <c r="N321" s="1087"/>
      <c r="O321" s="1087"/>
      <c r="P321" s="1087"/>
      <c r="Q321" s="1087"/>
      <c r="R321" s="1087"/>
      <c r="S321"/>
      <c r="T321" s="41" t="s">
        <v>734</v>
      </c>
      <c r="U321"/>
      <c r="V321" s="41"/>
      <c r="W321" s="41"/>
      <c r="X321" s="41"/>
      <c r="Y321" s="41"/>
      <c r="Z321"/>
      <c r="AA321" s="1087"/>
      <c r="AB321" s="1087"/>
      <c r="AC321" s="1087"/>
      <c r="AD321" s="1087"/>
      <c r="AE321" s="1087"/>
      <c r="AF321" s="1087"/>
      <c r="AG321" s="1087"/>
      <c r="AH321" s="1087"/>
      <c r="AI321" s="1087"/>
      <c r="AJ321" s="1087"/>
      <c r="AK321" s="1087"/>
      <c r="AL321" s="41"/>
      <c r="AN321" s="281"/>
    </row>
    <row r="322" spans="1:76" s="4" customFormat="1" ht="18" customHeight="1">
      <c r="B322" s="41" t="s">
        <v>107</v>
      </c>
      <c r="C322" s="41"/>
      <c r="D322" s="41"/>
      <c r="E322" s="41"/>
      <c r="F322" s="41"/>
      <c r="G322"/>
      <c r="H322" s="1087" t="s">
        <v>2407</v>
      </c>
      <c r="I322" s="1087"/>
      <c r="J322" s="1087"/>
      <c r="K322" s="1087"/>
      <c r="L322" s="1087"/>
      <c r="M322" s="1087"/>
      <c r="N322" s="1087"/>
      <c r="O322" s="1087"/>
      <c r="P322" s="1087"/>
      <c r="Q322" s="1087"/>
      <c r="R322" s="1087"/>
      <c r="S322"/>
      <c r="T322" s="41" t="s">
        <v>107</v>
      </c>
      <c r="U322"/>
      <c r="V322" s="41"/>
      <c r="W322" s="41"/>
      <c r="X322" s="41"/>
      <c r="Y322" s="41"/>
      <c r="Z322"/>
      <c r="AA322" s="1087"/>
      <c r="AB322" s="1087"/>
      <c r="AC322" s="1087"/>
      <c r="AD322" s="1087"/>
      <c r="AE322" s="1087"/>
      <c r="AF322" s="1087"/>
      <c r="AG322" s="1087"/>
      <c r="AH322" s="1087"/>
      <c r="AI322" s="1087"/>
      <c r="AJ322" s="1087"/>
      <c r="AK322" s="1087"/>
      <c r="AL322" s="41"/>
      <c r="AN322" s="281"/>
    </row>
    <row r="323" spans="1:76" s="4" customFormat="1" ht="12.75" customHeight="1">
      <c r="B323" s="41" t="s">
        <v>398</v>
      </c>
      <c r="C323" s="41"/>
      <c r="D323" s="41"/>
      <c r="E323" s="41"/>
      <c r="F323" s="41"/>
      <c r="G323"/>
      <c r="H323" s="1087" t="s">
        <v>2502</v>
      </c>
      <c r="I323" s="1087"/>
      <c r="J323" s="1087"/>
      <c r="K323" s="1087"/>
      <c r="L323" s="1087"/>
      <c r="M323" s="1087"/>
      <c r="N323" s="1087"/>
      <c r="O323" s="1087"/>
      <c r="P323" s="1087"/>
      <c r="Q323" s="1087"/>
      <c r="R323" s="1087"/>
      <c r="S323"/>
      <c r="T323" s="41" t="s">
        <v>398</v>
      </c>
      <c r="U323"/>
      <c r="V323" s="41"/>
      <c r="W323" s="41"/>
      <c r="X323" s="41"/>
      <c r="Y323" s="41"/>
      <c r="Z323"/>
      <c r="AA323" s="1087"/>
      <c r="AB323" s="1087"/>
      <c r="AC323" s="1087"/>
      <c r="AD323" s="1087"/>
      <c r="AE323" s="1087"/>
      <c r="AF323" s="1087"/>
      <c r="AG323" s="1087"/>
      <c r="AH323" s="1087"/>
      <c r="AI323" s="1087"/>
      <c r="AJ323" s="1087"/>
      <c r="AK323" s="1087"/>
      <c r="AL323" s="41"/>
      <c r="AN323" s="281"/>
    </row>
    <row r="324" spans="1:76" s="4" customFormat="1" ht="12.75" customHeight="1">
      <c r="B324" s="41" t="s">
        <v>399</v>
      </c>
      <c r="C324" s="41"/>
      <c r="D324" s="41"/>
      <c r="E324" s="41"/>
      <c r="F324" s="41"/>
      <c r="G324" s="41"/>
      <c r="H324" s="1109" t="s">
        <v>2503</v>
      </c>
      <c r="I324" s="1110"/>
      <c r="J324" s="1110"/>
      <c r="K324" s="1110"/>
      <c r="L324" s="1110"/>
      <c r="M324" s="1110"/>
      <c r="N324" s="5" t="s">
        <v>858</v>
      </c>
      <c r="O324" s="5"/>
      <c r="P324" s="1114"/>
      <c r="Q324" s="1114"/>
      <c r="R324" s="1114"/>
      <c r="S324" s="41"/>
      <c r="T324" s="41" t="s">
        <v>399</v>
      </c>
      <c r="U324"/>
      <c r="V324" s="41"/>
      <c r="W324" s="41"/>
      <c r="X324" s="41"/>
      <c r="Y324" s="41"/>
      <c r="Z324"/>
      <c r="AA324" s="1110"/>
      <c r="AB324" s="1110"/>
      <c r="AC324" s="1110"/>
      <c r="AD324" s="1110"/>
      <c r="AE324" s="1110"/>
      <c r="AF324" s="1110"/>
      <c r="AG324" s="5" t="s">
        <v>858</v>
      </c>
      <c r="AH324" s="5"/>
      <c r="AI324" s="1114"/>
      <c r="AJ324" s="1114"/>
      <c r="AK324" s="1114"/>
      <c r="AL324" s="41"/>
      <c r="AN324" s="281"/>
    </row>
    <row r="325" spans="1:76" s="4" customFormat="1" ht="12.75" customHeight="1">
      <c r="B325" s="41" t="s">
        <v>96</v>
      </c>
      <c r="C325" s="41"/>
      <c r="D325" s="41"/>
      <c r="E325" s="41"/>
      <c r="F325" s="41"/>
      <c r="G325" s="41"/>
      <c r="H325" s="1087" t="s">
        <v>369</v>
      </c>
      <c r="I325" s="1087"/>
      <c r="J325" s="1087"/>
      <c r="K325" s="1087"/>
      <c r="L325" s="1087"/>
      <c r="M325" s="1087"/>
      <c r="N325" s="1087"/>
      <c r="O325" s="1087"/>
      <c r="P325" s="1087"/>
      <c r="Q325" s="1087"/>
      <c r="R325" s="1087"/>
      <c r="S325" s="41"/>
      <c r="T325" s="41" t="s">
        <v>96</v>
      </c>
      <c r="U325"/>
      <c r="V325" s="41"/>
      <c r="W325" s="41"/>
      <c r="X325" s="41"/>
      <c r="Y325" s="41"/>
      <c r="Z325"/>
      <c r="AA325" s="1087"/>
      <c r="AB325" s="1087"/>
      <c r="AC325" s="1087"/>
      <c r="AD325" s="1087"/>
      <c r="AE325" s="1087"/>
      <c r="AF325" s="1087"/>
      <c r="AG325" s="1087"/>
      <c r="AH325" s="1087"/>
      <c r="AI325" s="1087"/>
      <c r="AJ325" s="1087"/>
      <c r="AK325" s="1087"/>
      <c r="AL325" s="41"/>
      <c r="AN325" s="281"/>
    </row>
    <row r="326" spans="1:76" s="4" customFormat="1" ht="12.75" customHeight="1">
      <c r="B326" s="41" t="s">
        <v>98</v>
      </c>
      <c r="C326" s="41"/>
      <c r="D326" s="41"/>
      <c r="E326" s="41"/>
      <c r="F326" s="41"/>
      <c r="G326" s="41"/>
      <c r="H326" s="1087" t="s">
        <v>2504</v>
      </c>
      <c r="I326" s="1087"/>
      <c r="J326" s="1087"/>
      <c r="K326" s="1087"/>
      <c r="L326" s="1087"/>
      <c r="M326" s="1087"/>
      <c r="N326" s="1087"/>
      <c r="O326" s="1087"/>
      <c r="P326" s="1087"/>
      <c r="Q326" s="1087"/>
      <c r="R326" s="1087"/>
      <c r="S326" s="41"/>
      <c r="T326" s="41" t="s">
        <v>98</v>
      </c>
      <c r="U326"/>
      <c r="V326" s="41"/>
      <c r="W326" s="41"/>
      <c r="X326" s="41"/>
      <c r="Y326" s="41"/>
      <c r="Z326"/>
      <c r="AA326" s="1087"/>
      <c r="AB326" s="1087"/>
      <c r="AC326" s="1087"/>
      <c r="AD326" s="1087"/>
      <c r="AE326" s="1087"/>
      <c r="AF326" s="1087"/>
      <c r="AG326" s="1087"/>
      <c r="AH326" s="1087"/>
      <c r="AI326" s="1087"/>
      <c r="AJ326" s="1087"/>
      <c r="AK326" s="1087"/>
      <c r="AL326" s="41"/>
      <c r="AN326" s="281"/>
    </row>
    <row r="327" spans="1:76" s="4" customFormat="1" ht="12.75" customHeight="1">
      <c r="B327" s="41" t="s">
        <v>109</v>
      </c>
      <c r="C327" s="41"/>
      <c r="D327" s="41"/>
      <c r="E327" s="41"/>
      <c r="F327" s="41"/>
      <c r="G327" s="41"/>
      <c r="H327" s="1705" t="s">
        <v>2505</v>
      </c>
      <c r="I327" s="1705"/>
      <c r="J327" s="1705"/>
      <c r="K327" s="1705"/>
      <c r="L327" s="1705"/>
      <c r="M327" s="1705"/>
      <c r="N327" s="1705"/>
      <c r="O327" s="1705"/>
      <c r="P327" s="1705"/>
      <c r="Q327" s="1705"/>
      <c r="R327" s="1705"/>
      <c r="S327" s="41"/>
      <c r="T327" s="41" t="s">
        <v>109</v>
      </c>
      <c r="U327" s="41"/>
      <c r="V327" s="41"/>
      <c r="W327" s="41"/>
      <c r="X327" s="41"/>
      <c r="Y327" s="41"/>
      <c r="Z327" s="12"/>
      <c r="AA327" s="1705"/>
      <c r="AB327" s="1705"/>
      <c r="AC327" s="1705"/>
      <c r="AD327" s="1705"/>
      <c r="AE327" s="1705"/>
      <c r="AF327" s="1705"/>
      <c r="AG327" s="1705"/>
      <c r="AH327" s="1705"/>
      <c r="AI327" s="1705"/>
      <c r="AJ327" s="1705"/>
      <c r="AK327" s="1705"/>
      <c r="AL327" s="41"/>
      <c r="AN327" s="281"/>
    </row>
    <row r="328" spans="1:76" s="4" customFormat="1" ht="12.75" customHeight="1" thickBot="1">
      <c r="A328" s="17"/>
      <c r="B328" s="17"/>
      <c r="C328" s="101"/>
      <c r="D328" s="140"/>
      <c r="E328" s="140"/>
      <c r="F328" s="140"/>
      <c r="G328" s="140"/>
      <c r="H328" s="140"/>
      <c r="I328" s="140"/>
      <c r="J328" s="140"/>
      <c r="K328" s="140"/>
      <c r="L328" s="140"/>
      <c r="M328" s="140"/>
      <c r="N328" s="140"/>
      <c r="O328" s="140"/>
      <c r="P328" s="140"/>
      <c r="Q328" s="140"/>
      <c r="R328" s="140"/>
      <c r="S328" s="140"/>
      <c r="T328" s="140"/>
      <c r="U328" s="140"/>
      <c r="V328" s="140"/>
      <c r="W328" s="140"/>
      <c r="X328" s="140"/>
      <c r="Y328" s="140"/>
      <c r="Z328" s="140"/>
      <c r="AA328" s="140"/>
      <c r="AB328" s="140"/>
      <c r="AC328" s="140"/>
      <c r="AD328" s="99"/>
      <c r="AE328" s="140"/>
      <c r="AF328" s="140"/>
      <c r="AG328" s="140"/>
      <c r="AH328" s="140"/>
      <c r="AI328" s="101"/>
      <c r="AJ328" s="101"/>
      <c r="AK328" s="101"/>
      <c r="AL328" s="101"/>
      <c r="AM328" s="101"/>
      <c r="AN328" s="281"/>
    </row>
    <row r="329" spans="1:76" s="4" customFormat="1" ht="12.75" customHeight="1" thickTop="1">
      <c r="A329"/>
      <c r="B329" s="186"/>
      <c r="C329" s="187"/>
      <c r="D329" s="187"/>
      <c r="E329" s="187"/>
      <c r="F329" s="187"/>
      <c r="G329" s="187"/>
      <c r="H329" s="187"/>
      <c r="I329" s="103"/>
      <c r="J329" s="103"/>
      <c r="K329" s="103"/>
      <c r="L329" s="103"/>
      <c r="M329" s="103"/>
      <c r="N329" s="103"/>
      <c r="O329" s="103"/>
      <c r="P329" s="103"/>
      <c r="Q329" s="103"/>
      <c r="R329"/>
      <c r="S329"/>
      <c r="T329" s="3"/>
      <c r="U329" s="3"/>
      <c r="V329" s="3"/>
      <c r="W329" s="3"/>
      <c r="X329" s="3"/>
      <c r="Y329" s="3"/>
      <c r="Z329" s="3"/>
      <c r="AA329" s="3"/>
      <c r="AB329" s="3"/>
      <c r="AC329" s="3"/>
      <c r="AD329" s="3"/>
      <c r="AE329" s="3"/>
      <c r="AF329"/>
      <c r="AG329" s="3"/>
      <c r="AH329" s="3"/>
      <c r="AI329" s="3"/>
      <c r="AJ329" s="3"/>
      <c r="AN329" s="281"/>
    </row>
    <row r="330" spans="1:76" s="4" customFormat="1" ht="12.75" customHeight="1">
      <c r="B330" s="3" t="s">
        <v>1529</v>
      </c>
      <c r="C330" s="5"/>
      <c r="AC330" s="3"/>
      <c r="AE330" s="1673" t="s">
        <v>388</v>
      </c>
      <c r="AF330" s="1673"/>
      <c r="AG330" s="1673"/>
      <c r="AH330" s="1673"/>
      <c r="AI330" s="1673"/>
      <c r="AJ330" s="1673"/>
      <c r="AK330" s="1673"/>
      <c r="AL330" s="3"/>
      <c r="AM330" s="834"/>
      <c r="AN330" s="3"/>
    </row>
    <row r="331" spans="1:76" s="4" customFormat="1" ht="12.75" customHeight="1">
      <c r="A331" s="3"/>
      <c r="B331" s="5"/>
      <c r="C331" s="1706" t="s">
        <v>1916</v>
      </c>
      <c r="D331" s="1706"/>
      <c r="E331" s="1706"/>
      <c r="F331" s="1706"/>
      <c r="G331" s="1706"/>
      <c r="H331" s="1706"/>
      <c r="I331" s="1706"/>
      <c r="J331" s="1706"/>
      <c r="K331" s="1706"/>
      <c r="L331" s="1706"/>
      <c r="M331" s="1706"/>
      <c r="N331" s="1706"/>
      <c r="O331" s="1706"/>
      <c r="P331" s="1706"/>
      <c r="Q331" s="1706"/>
      <c r="R331" s="1706"/>
      <c r="S331" s="1706"/>
      <c r="T331" s="1706"/>
      <c r="U331" s="1706"/>
      <c r="V331" s="1706"/>
      <c r="W331" s="1706"/>
      <c r="X331" s="1706"/>
      <c r="Y331" s="1706"/>
      <c r="Z331" s="1706"/>
      <c r="AA331" s="1706"/>
      <c r="AB331" s="1706"/>
      <c r="AC331" s="1706"/>
      <c r="AD331" s="1706"/>
      <c r="AE331" s="1706"/>
      <c r="AF331" s="1706"/>
      <c r="AG331" s="1706"/>
      <c r="AH331" s="1706"/>
      <c r="AI331" s="1706"/>
      <c r="AJ331" s="1706"/>
      <c r="AM331" s="835"/>
      <c r="AS331" s="793"/>
      <c r="AT331" s="793"/>
      <c r="AU331" s="793"/>
      <c r="AV331" s="793"/>
      <c r="AW331" s="793"/>
      <c r="AX331" s="793"/>
      <c r="AY331" s="793"/>
      <c r="AZ331" s="793"/>
      <c r="BA331" s="793"/>
      <c r="BB331" s="793"/>
      <c r="BC331" s="793"/>
      <c r="BD331" s="793"/>
      <c r="BE331" s="793"/>
      <c r="BF331" s="793"/>
      <c r="BG331" s="793"/>
      <c r="BH331" s="793"/>
      <c r="BI331" s="793"/>
      <c r="BJ331" s="793"/>
      <c r="BK331" s="793"/>
      <c r="BL331" s="793"/>
      <c r="BM331" s="793"/>
      <c r="BN331" s="793"/>
      <c r="BO331" s="793"/>
      <c r="BP331" s="793"/>
      <c r="BQ331" s="793"/>
      <c r="BR331" s="793"/>
      <c r="BS331" s="793"/>
      <c r="BT331" s="793"/>
      <c r="BU331" s="793"/>
      <c r="BV331" s="793"/>
      <c r="BW331" s="793"/>
      <c r="BX331" s="793"/>
    </row>
    <row r="332" spans="1:76" s="4" customFormat="1" ht="12.75" customHeight="1">
      <c r="A332"/>
      <c r="C332" s="1706"/>
      <c r="D332" s="1706"/>
      <c r="E332" s="1706"/>
      <c r="F332" s="1706"/>
      <c r="G332" s="1706"/>
      <c r="H332" s="1706"/>
      <c r="I332" s="1706"/>
      <c r="J332" s="1706"/>
      <c r="K332" s="1706"/>
      <c r="L332" s="1706"/>
      <c r="M332" s="1706"/>
      <c r="N332" s="1706"/>
      <c r="O332" s="1706"/>
      <c r="P332" s="1706"/>
      <c r="Q332" s="1706"/>
      <c r="R332" s="1706"/>
      <c r="S332" s="1706"/>
      <c r="T332" s="1706"/>
      <c r="U332" s="1706"/>
      <c r="V332" s="1706"/>
      <c r="W332" s="1706"/>
      <c r="X332" s="1706"/>
      <c r="Y332" s="1706"/>
      <c r="Z332" s="1706"/>
      <c r="AA332" s="1706"/>
      <c r="AB332" s="1706"/>
      <c r="AC332" s="1706"/>
      <c r="AD332" s="1706"/>
      <c r="AE332" s="1706"/>
      <c r="AF332" s="1706"/>
      <c r="AG332" s="1706"/>
      <c r="AH332" s="1706"/>
      <c r="AI332" s="1706"/>
      <c r="AJ332" s="1706"/>
      <c r="AK332" s="3"/>
      <c r="AL332" s="3"/>
      <c r="AM332" s="27"/>
      <c r="AN332" s="281"/>
      <c r="AR332" s="793"/>
      <c r="AS332" s="793"/>
      <c r="AT332" s="793"/>
      <c r="AU332" s="793"/>
      <c r="AV332" s="793"/>
      <c r="AW332" s="793"/>
      <c r="AX332" s="793"/>
      <c r="AY332" s="793"/>
      <c r="AZ332" s="793"/>
      <c r="BA332" s="793"/>
      <c r="BB332" s="793"/>
      <c r="BC332" s="793"/>
      <c r="BD332" s="793"/>
      <c r="BE332" s="793"/>
      <c r="BF332" s="793"/>
      <c r="BG332" s="793"/>
      <c r="BH332" s="793"/>
      <c r="BI332" s="793"/>
      <c r="BJ332" s="793"/>
      <c r="BK332" s="793"/>
      <c r="BL332" s="793"/>
      <c r="BM332" s="793"/>
      <c r="BN332" s="793"/>
      <c r="BO332" s="793"/>
      <c r="BP332" s="793"/>
      <c r="BQ332" s="793"/>
      <c r="BR332" s="793"/>
      <c r="BS332" s="793"/>
      <c r="BT332" s="793"/>
      <c r="BU332" s="793"/>
      <c r="BV332" s="793"/>
      <c r="BW332" s="793"/>
      <c r="BX332" s="793"/>
    </row>
    <row r="333" spans="1:76" s="4" customFormat="1" ht="12.75" customHeight="1">
      <c r="A333" s="27"/>
      <c r="B333" s="26"/>
      <c r="C333" s="1706"/>
      <c r="D333" s="1706"/>
      <c r="E333" s="1706"/>
      <c r="F333" s="1706"/>
      <c r="G333" s="1706"/>
      <c r="H333" s="1706"/>
      <c r="I333" s="1706"/>
      <c r="J333" s="1706"/>
      <c r="K333" s="1706"/>
      <c r="L333" s="1706"/>
      <c r="M333" s="1706"/>
      <c r="N333" s="1706"/>
      <c r="O333" s="1706"/>
      <c r="P333" s="1706"/>
      <c r="Q333" s="1706"/>
      <c r="R333" s="1706"/>
      <c r="S333" s="1706"/>
      <c r="T333" s="1706"/>
      <c r="U333" s="1706"/>
      <c r="V333" s="1706"/>
      <c r="W333" s="1706"/>
      <c r="X333" s="1706"/>
      <c r="Y333" s="1706"/>
      <c r="Z333" s="1706"/>
      <c r="AA333" s="1706"/>
      <c r="AB333" s="1706"/>
      <c r="AC333" s="1706"/>
      <c r="AD333" s="1706"/>
      <c r="AE333" s="1706"/>
      <c r="AF333" s="1706"/>
      <c r="AG333" s="1706"/>
      <c r="AH333" s="1706"/>
      <c r="AI333" s="1706"/>
      <c r="AJ333" s="1706"/>
      <c r="AK333" s="27"/>
      <c r="AL333" s="27"/>
      <c r="AM333" s="27"/>
      <c r="AN333" s="281"/>
      <c r="AO333" s="185"/>
      <c r="AR333" s="793"/>
      <c r="AS333" s="793"/>
      <c r="AT333" s="793"/>
      <c r="AU333" s="793"/>
      <c r="AV333" s="793"/>
      <c r="AW333" s="793"/>
      <c r="AX333" s="793"/>
      <c r="AY333" s="793"/>
      <c r="AZ333" s="793"/>
      <c r="BA333" s="793"/>
      <c r="BB333" s="793"/>
      <c r="BC333" s="793"/>
      <c r="BD333" s="793"/>
      <c r="BE333" s="793"/>
      <c r="BF333" s="793"/>
      <c r="BG333" s="793"/>
      <c r="BH333" s="793"/>
      <c r="BI333" s="793"/>
      <c r="BJ333" s="793"/>
      <c r="BK333" s="793"/>
      <c r="BL333" s="793"/>
      <c r="BM333" s="793"/>
      <c r="BN333" s="793"/>
      <c r="BO333" s="793"/>
      <c r="BP333" s="793"/>
      <c r="BQ333" s="793"/>
      <c r="BR333" s="793"/>
      <c r="BS333" s="793"/>
      <c r="BT333" s="793"/>
      <c r="BU333" s="793"/>
      <c r="BV333" s="793"/>
      <c r="BW333" s="793"/>
      <c r="BX333" s="793"/>
    </row>
    <row r="334" spans="1:76" s="4" customFormat="1" ht="12.75" customHeight="1">
      <c r="A334" s="27"/>
      <c r="B334" s="26"/>
      <c r="C334" s="1706"/>
      <c r="D334" s="1706"/>
      <c r="E334" s="1706"/>
      <c r="F334" s="1706"/>
      <c r="G334" s="1706"/>
      <c r="H334" s="1706"/>
      <c r="I334" s="1706"/>
      <c r="J334" s="1706"/>
      <c r="K334" s="1706"/>
      <c r="L334" s="1706"/>
      <c r="M334" s="1706"/>
      <c r="N334" s="1706"/>
      <c r="O334" s="1706"/>
      <c r="P334" s="1706"/>
      <c r="Q334" s="1706"/>
      <c r="R334" s="1706"/>
      <c r="S334" s="1706"/>
      <c r="T334" s="1706"/>
      <c r="U334" s="1706"/>
      <c r="V334" s="1706"/>
      <c r="W334" s="1706"/>
      <c r="X334" s="1706"/>
      <c r="Y334" s="1706"/>
      <c r="Z334" s="1706"/>
      <c r="AA334" s="1706"/>
      <c r="AB334" s="1706"/>
      <c r="AC334" s="1706"/>
      <c r="AD334" s="1706"/>
      <c r="AE334" s="1706"/>
      <c r="AF334" s="1706"/>
      <c r="AG334" s="1706"/>
      <c r="AH334" s="1706"/>
      <c r="AI334" s="1706"/>
      <c r="AJ334" s="1706"/>
      <c r="AK334" s="27"/>
      <c r="AL334" s="27"/>
      <c r="AM334" s="27"/>
      <c r="AN334" s="281"/>
      <c r="AO334" s="185"/>
      <c r="AR334" s="793"/>
      <c r="AS334" s="793"/>
      <c r="AT334" s="793"/>
      <c r="AU334" s="793"/>
      <c r="AV334" s="793"/>
      <c r="AW334" s="793"/>
      <c r="AX334" s="793"/>
      <c r="AY334" s="793"/>
      <c r="AZ334" s="793"/>
      <c r="BA334" s="793"/>
      <c r="BB334" s="793"/>
      <c r="BC334" s="793"/>
      <c r="BD334" s="793"/>
      <c r="BE334" s="793"/>
      <c r="BF334" s="793"/>
      <c r="BG334" s="793"/>
      <c r="BH334" s="793"/>
      <c r="BI334" s="793"/>
      <c r="BJ334" s="793"/>
      <c r="BK334" s="793"/>
      <c r="BL334" s="793"/>
      <c r="BM334" s="793"/>
      <c r="BN334" s="793"/>
      <c r="BO334" s="793"/>
      <c r="BP334" s="793"/>
      <c r="BQ334" s="793"/>
      <c r="BR334" s="793"/>
      <c r="BS334" s="793"/>
      <c r="BT334" s="793"/>
      <c r="BU334" s="793"/>
      <c r="BV334" s="793"/>
      <c r="BW334" s="793"/>
      <c r="BX334" s="793"/>
    </row>
    <row r="335" spans="1:76" s="4" customFormat="1" ht="12.75" customHeight="1">
      <c r="A335" s="27"/>
      <c r="B335" s="26"/>
      <c r="C335" s="1706"/>
      <c r="D335" s="1706"/>
      <c r="E335" s="1706"/>
      <c r="F335" s="1706"/>
      <c r="G335" s="1706"/>
      <c r="H335" s="1706"/>
      <c r="I335" s="1706"/>
      <c r="J335" s="1706"/>
      <c r="K335" s="1706"/>
      <c r="L335" s="1706"/>
      <c r="M335" s="1706"/>
      <c r="N335" s="1706"/>
      <c r="O335" s="1706"/>
      <c r="P335" s="1706"/>
      <c r="Q335" s="1706"/>
      <c r="R335" s="1706"/>
      <c r="S335" s="1706"/>
      <c r="T335" s="1706"/>
      <c r="U335" s="1706"/>
      <c r="V335" s="1706"/>
      <c r="W335" s="1706"/>
      <c r="X335" s="1706"/>
      <c r="Y335" s="1706"/>
      <c r="Z335" s="1706"/>
      <c r="AA335" s="1706"/>
      <c r="AB335" s="1706"/>
      <c r="AC335" s="1706"/>
      <c r="AD335" s="1706"/>
      <c r="AE335" s="1706"/>
      <c r="AF335" s="1706"/>
      <c r="AG335" s="1706"/>
      <c r="AH335" s="1706"/>
      <c r="AI335" s="1706"/>
      <c r="AJ335" s="1706"/>
      <c r="AK335" s="27"/>
      <c r="AL335" s="27"/>
      <c r="AM335" s="27"/>
      <c r="AN335" s="281"/>
      <c r="AO335" s="185"/>
      <c r="AR335" s="793"/>
      <c r="AS335" s="793"/>
      <c r="AT335" s="793"/>
      <c r="AU335" s="793"/>
      <c r="AV335" s="793"/>
      <c r="AW335" s="793"/>
      <c r="AX335" s="793"/>
      <c r="AY335" s="793"/>
      <c r="AZ335" s="793"/>
      <c r="BA335" s="793"/>
      <c r="BB335" s="793"/>
      <c r="BC335" s="793"/>
      <c r="BD335" s="793"/>
      <c r="BE335" s="793"/>
      <c r="BF335" s="793"/>
      <c r="BG335" s="793"/>
      <c r="BH335" s="793"/>
      <c r="BI335" s="793"/>
      <c r="BJ335" s="793"/>
      <c r="BK335" s="793"/>
      <c r="BL335" s="793"/>
      <c r="BM335" s="793"/>
      <c r="BN335" s="793"/>
      <c r="BO335" s="793"/>
      <c r="BP335" s="793"/>
      <c r="BQ335" s="793"/>
      <c r="BR335" s="793"/>
      <c r="BS335" s="793"/>
      <c r="BT335" s="793"/>
      <c r="BU335" s="793"/>
      <c r="BV335" s="793"/>
      <c r="BW335" s="793"/>
      <c r="BX335" s="793"/>
    </row>
    <row r="336" spans="1:76" s="4" customFormat="1" ht="12.75" customHeight="1">
      <c r="A336" s="27"/>
      <c r="B336" s="26"/>
      <c r="C336" s="1706"/>
      <c r="D336" s="1706"/>
      <c r="E336" s="1706"/>
      <c r="F336" s="1706"/>
      <c r="G336" s="1706"/>
      <c r="H336" s="1706"/>
      <c r="I336" s="1706"/>
      <c r="J336" s="1706"/>
      <c r="K336" s="1706"/>
      <c r="L336" s="1706"/>
      <c r="M336" s="1706"/>
      <c r="N336" s="1706"/>
      <c r="O336" s="1706"/>
      <c r="P336" s="1706"/>
      <c r="Q336" s="1706"/>
      <c r="R336" s="1706"/>
      <c r="S336" s="1706"/>
      <c r="T336" s="1706"/>
      <c r="U336" s="1706"/>
      <c r="V336" s="1706"/>
      <c r="W336" s="1706"/>
      <c r="X336" s="1706"/>
      <c r="Y336" s="1706"/>
      <c r="Z336" s="1706"/>
      <c r="AA336" s="1706"/>
      <c r="AB336" s="1706"/>
      <c r="AC336" s="1706"/>
      <c r="AD336" s="1706"/>
      <c r="AE336" s="1706"/>
      <c r="AF336" s="1706"/>
      <c r="AG336" s="1706"/>
      <c r="AH336" s="1706"/>
      <c r="AI336" s="1706"/>
      <c r="AJ336" s="1706"/>
      <c r="AK336" s="27"/>
      <c r="AL336" s="27"/>
      <c r="AM336" s="27"/>
      <c r="AN336" s="281"/>
      <c r="AO336" s="185"/>
      <c r="AR336" s="793"/>
      <c r="AS336" s="793"/>
      <c r="AT336" s="793"/>
      <c r="AU336" s="793"/>
      <c r="AV336" s="793"/>
      <c r="AW336" s="793"/>
      <c r="AX336" s="793"/>
      <c r="AY336" s="793"/>
      <c r="AZ336" s="793"/>
      <c r="BA336" s="793"/>
      <c r="BB336" s="793"/>
      <c r="BC336" s="793"/>
      <c r="BD336" s="793"/>
      <c r="BE336" s="793"/>
      <c r="BF336" s="793"/>
      <c r="BG336" s="793"/>
      <c r="BH336" s="793"/>
      <c r="BI336" s="793"/>
      <c r="BJ336" s="793"/>
      <c r="BK336" s="793"/>
      <c r="BL336" s="793"/>
      <c r="BM336" s="793"/>
      <c r="BN336" s="793"/>
      <c r="BO336" s="793"/>
      <c r="BP336" s="793"/>
      <c r="BQ336" s="793"/>
      <c r="BR336" s="793"/>
      <c r="BS336" s="793"/>
      <c r="BT336" s="793"/>
      <c r="BU336" s="793"/>
      <c r="BV336" s="793"/>
      <c r="BW336" s="793"/>
      <c r="BX336" s="793"/>
    </row>
    <row r="337" spans="1:76" s="4" customFormat="1" ht="12.6" customHeight="1">
      <c r="A337" s="27"/>
      <c r="B337" s="26"/>
      <c r="C337" s="1706"/>
      <c r="D337" s="1706"/>
      <c r="E337" s="1706"/>
      <c r="F337" s="1706"/>
      <c r="G337" s="1706"/>
      <c r="H337" s="1706"/>
      <c r="I337" s="1706"/>
      <c r="J337" s="1706"/>
      <c r="K337" s="1706"/>
      <c r="L337" s="1706"/>
      <c r="M337" s="1706"/>
      <c r="N337" s="1706"/>
      <c r="O337" s="1706"/>
      <c r="P337" s="1706"/>
      <c r="Q337" s="1706"/>
      <c r="R337" s="1706"/>
      <c r="S337" s="1706"/>
      <c r="T337" s="1706"/>
      <c r="U337" s="1706"/>
      <c r="V337" s="1706"/>
      <c r="W337" s="1706"/>
      <c r="X337" s="1706"/>
      <c r="Y337" s="1706"/>
      <c r="Z337" s="1706"/>
      <c r="AA337" s="1706"/>
      <c r="AB337" s="1706"/>
      <c r="AC337" s="1706"/>
      <c r="AD337" s="1706"/>
      <c r="AE337" s="1706"/>
      <c r="AF337" s="1706"/>
      <c r="AG337" s="1706"/>
      <c r="AH337" s="1706"/>
      <c r="AI337" s="1706"/>
      <c r="AJ337" s="1706"/>
      <c r="AK337" s="27"/>
      <c r="AL337" s="27"/>
      <c r="AM337" s="27"/>
      <c r="AN337" s="281"/>
      <c r="AO337" s="185"/>
      <c r="AR337" s="793"/>
      <c r="AS337" s="793"/>
      <c r="AT337" s="793"/>
      <c r="AU337" s="793"/>
      <c r="AV337" s="793"/>
      <c r="AW337" s="793"/>
      <c r="AX337" s="793"/>
      <c r="AY337" s="793"/>
      <c r="AZ337" s="793"/>
      <c r="BA337" s="793"/>
      <c r="BB337" s="793"/>
      <c r="BC337" s="793"/>
      <c r="BD337" s="793"/>
      <c r="BE337" s="793"/>
      <c r="BF337" s="793"/>
      <c r="BG337" s="793"/>
      <c r="BH337" s="793"/>
      <c r="BI337" s="793"/>
      <c r="BJ337" s="793"/>
      <c r="BK337" s="793"/>
      <c r="BL337" s="793"/>
      <c r="BM337" s="793"/>
      <c r="BN337" s="793"/>
      <c r="BO337" s="793"/>
      <c r="BP337" s="793"/>
      <c r="BQ337" s="793"/>
      <c r="BR337" s="793"/>
      <c r="BS337" s="793"/>
      <c r="BT337" s="793"/>
      <c r="BU337" s="793"/>
      <c r="BV337" s="793"/>
      <c r="BW337" s="793"/>
      <c r="BX337" s="793"/>
    </row>
    <row r="338" spans="1:76" s="4" customFormat="1" ht="12.6" customHeight="1">
      <c r="A338" s="27"/>
      <c r="B338" s="26"/>
      <c r="C338" s="1706"/>
      <c r="D338" s="1706"/>
      <c r="E338" s="1706"/>
      <c r="F338" s="1706"/>
      <c r="G338" s="1706"/>
      <c r="H338" s="1706"/>
      <c r="I338" s="1706"/>
      <c r="J338" s="1706"/>
      <c r="K338" s="1706"/>
      <c r="L338" s="1706"/>
      <c r="M338" s="1706"/>
      <c r="N338" s="1706"/>
      <c r="O338" s="1706"/>
      <c r="P338" s="1706"/>
      <c r="Q338" s="1706"/>
      <c r="R338" s="1706"/>
      <c r="S338" s="1706"/>
      <c r="T338" s="1706"/>
      <c r="U338" s="1706"/>
      <c r="V338" s="1706"/>
      <c r="W338" s="1706"/>
      <c r="X338" s="1706"/>
      <c r="Y338" s="1706"/>
      <c r="Z338" s="1706"/>
      <c r="AA338" s="1706"/>
      <c r="AB338" s="1706"/>
      <c r="AC338" s="1706"/>
      <c r="AD338" s="1706"/>
      <c r="AE338" s="1706"/>
      <c r="AF338" s="1706"/>
      <c r="AG338" s="1706"/>
      <c r="AH338" s="1706"/>
      <c r="AI338" s="1706"/>
      <c r="AJ338" s="1706"/>
      <c r="AK338" s="27"/>
      <c r="AL338" s="27"/>
      <c r="AM338" s="27"/>
      <c r="AN338" s="281"/>
      <c r="AO338" s="185"/>
    </row>
    <row r="339" spans="1:76" s="4" customFormat="1" ht="12.75" customHeight="1">
      <c r="A339" s="27"/>
      <c r="B339" s="26"/>
      <c r="C339" s="1706" t="s">
        <v>1917</v>
      </c>
      <c r="D339" s="1706"/>
      <c r="E339" s="1706"/>
      <c r="F339" s="1706"/>
      <c r="G339" s="1706"/>
      <c r="H339" s="1706"/>
      <c r="I339" s="1706"/>
      <c r="J339" s="1706"/>
      <c r="K339" s="1706"/>
      <c r="L339" s="1706"/>
      <c r="M339" s="1706"/>
      <c r="N339" s="1706"/>
      <c r="O339" s="1706"/>
      <c r="P339" s="1706"/>
      <c r="Q339" s="1706"/>
      <c r="R339" s="1706"/>
      <c r="S339" s="1706"/>
      <c r="T339" s="1706"/>
      <c r="U339" s="1706"/>
      <c r="V339" s="1706"/>
      <c r="W339" s="1706"/>
      <c r="X339" s="1706"/>
      <c r="Y339" s="1706"/>
      <c r="Z339" s="1706"/>
      <c r="AA339" s="1706"/>
      <c r="AB339" s="1706"/>
      <c r="AC339" s="1706"/>
      <c r="AD339" s="1706"/>
      <c r="AE339" s="1706"/>
      <c r="AF339" s="1706"/>
      <c r="AG339" s="1706"/>
      <c r="AH339" s="1706"/>
      <c r="AI339" s="1706"/>
      <c r="AJ339" s="1706"/>
      <c r="AK339" s="27"/>
      <c r="AL339" s="27"/>
      <c r="AM339" s="27"/>
      <c r="AN339" s="281"/>
    </row>
    <row r="340" spans="1:76" s="4" customFormat="1" ht="12.75" customHeight="1">
      <c r="A340" s="27"/>
      <c r="B340" s="26"/>
      <c r="C340" s="1706"/>
      <c r="D340" s="1706"/>
      <c r="E340" s="1706"/>
      <c r="F340" s="1706"/>
      <c r="G340" s="1706"/>
      <c r="H340" s="1706"/>
      <c r="I340" s="1706"/>
      <c r="J340" s="1706"/>
      <c r="K340" s="1706"/>
      <c r="L340" s="1706"/>
      <c r="M340" s="1706"/>
      <c r="N340" s="1706"/>
      <c r="O340" s="1706"/>
      <c r="P340" s="1706"/>
      <c r="Q340" s="1706"/>
      <c r="R340" s="1706"/>
      <c r="S340" s="1706"/>
      <c r="T340" s="1706"/>
      <c r="U340" s="1706"/>
      <c r="V340" s="1706"/>
      <c r="W340" s="1706"/>
      <c r="X340" s="1706"/>
      <c r="Y340" s="1706"/>
      <c r="Z340" s="1706"/>
      <c r="AA340" s="1706"/>
      <c r="AB340" s="1706"/>
      <c r="AC340" s="1706"/>
      <c r="AD340" s="1706"/>
      <c r="AE340" s="1706"/>
      <c r="AF340" s="1706"/>
      <c r="AG340" s="1706"/>
      <c r="AH340" s="1706"/>
      <c r="AI340" s="1706"/>
      <c r="AJ340" s="1706"/>
      <c r="AK340" s="27"/>
      <c r="AL340" s="27"/>
      <c r="AM340" s="27"/>
      <c r="AN340" s="281"/>
    </row>
    <row r="341" spans="1:76" s="4" customFormat="1" ht="12.75" customHeight="1">
      <c r="A341" s="27"/>
      <c r="B341" s="26"/>
      <c r="C341" s="1706"/>
      <c r="D341" s="1706"/>
      <c r="E341" s="1706"/>
      <c r="F341" s="1706"/>
      <c r="G341" s="1706"/>
      <c r="H341" s="1706"/>
      <c r="I341" s="1706"/>
      <c r="J341" s="1706"/>
      <c r="K341" s="1706"/>
      <c r="L341" s="1706"/>
      <c r="M341" s="1706"/>
      <c r="N341" s="1706"/>
      <c r="O341" s="1706"/>
      <c r="P341" s="1706"/>
      <c r="Q341" s="1706"/>
      <c r="R341" s="1706"/>
      <c r="S341" s="1706"/>
      <c r="T341" s="1706"/>
      <c r="U341" s="1706"/>
      <c r="V341" s="1706"/>
      <c r="W341" s="1706"/>
      <c r="X341" s="1706"/>
      <c r="Y341" s="1706"/>
      <c r="Z341" s="1706"/>
      <c r="AA341" s="1706"/>
      <c r="AB341" s="1706"/>
      <c r="AC341" s="1706"/>
      <c r="AD341" s="1706"/>
      <c r="AE341" s="1706"/>
      <c r="AF341" s="1706"/>
      <c r="AG341" s="1706"/>
      <c r="AH341" s="1706"/>
      <c r="AI341" s="1706"/>
      <c r="AJ341" s="1706"/>
      <c r="AK341" s="27"/>
      <c r="AL341" s="27"/>
      <c r="AM341" s="27"/>
      <c r="AN341" s="281"/>
      <c r="AQ341"/>
    </row>
    <row r="342" spans="1:76" s="4" customFormat="1" ht="12.75" customHeight="1">
      <c r="A342" s="27"/>
      <c r="B342" s="26"/>
      <c r="C342" s="1706"/>
      <c r="D342" s="1706"/>
      <c r="E342" s="1706"/>
      <c r="F342" s="1706"/>
      <c r="G342" s="1706"/>
      <c r="H342" s="1706"/>
      <c r="I342" s="1706"/>
      <c r="J342" s="1706"/>
      <c r="K342" s="1706"/>
      <c r="L342" s="1706"/>
      <c r="M342" s="1706"/>
      <c r="N342" s="1706"/>
      <c r="O342" s="1706"/>
      <c r="P342" s="1706"/>
      <c r="Q342" s="1706"/>
      <c r="R342" s="1706"/>
      <c r="S342" s="1706"/>
      <c r="T342" s="1706"/>
      <c r="U342" s="1706"/>
      <c r="V342" s="1706"/>
      <c r="W342" s="1706"/>
      <c r="X342" s="1706"/>
      <c r="Y342" s="1706"/>
      <c r="Z342" s="1706"/>
      <c r="AA342" s="1706"/>
      <c r="AB342" s="1706"/>
      <c r="AC342" s="1706"/>
      <c r="AD342" s="1706"/>
      <c r="AE342" s="1706"/>
      <c r="AF342" s="1706"/>
      <c r="AG342" s="1706"/>
      <c r="AH342" s="1706"/>
      <c r="AI342" s="1706"/>
      <c r="AJ342" s="1706"/>
      <c r="AK342" s="27"/>
      <c r="AL342" s="27"/>
      <c r="AM342" s="27"/>
      <c r="AN342" s="281"/>
      <c r="AQ342"/>
    </row>
    <row r="343" spans="1:76" s="4" customFormat="1" ht="12.6" customHeight="1">
      <c r="A343" s="27"/>
      <c r="B343" s="26"/>
      <c r="C343" s="1706"/>
      <c r="D343" s="1706"/>
      <c r="E343" s="1706"/>
      <c r="F343" s="1706"/>
      <c r="G343" s="1706"/>
      <c r="H343" s="1706"/>
      <c r="I343" s="1706"/>
      <c r="J343" s="1706"/>
      <c r="K343" s="1706"/>
      <c r="L343" s="1706"/>
      <c r="M343" s="1706"/>
      <c r="N343" s="1706"/>
      <c r="O343" s="1706"/>
      <c r="P343" s="1706"/>
      <c r="Q343" s="1706"/>
      <c r="R343" s="1706"/>
      <c r="S343" s="1706"/>
      <c r="T343" s="1706"/>
      <c r="U343" s="1706"/>
      <c r="V343" s="1706"/>
      <c r="W343" s="1706"/>
      <c r="X343" s="1706"/>
      <c r="Y343" s="1706"/>
      <c r="Z343" s="1706"/>
      <c r="AA343" s="1706"/>
      <c r="AB343" s="1706"/>
      <c r="AC343" s="1706"/>
      <c r="AD343" s="1706"/>
      <c r="AE343" s="1706"/>
      <c r="AF343" s="1706"/>
      <c r="AG343" s="1706"/>
      <c r="AH343" s="1706"/>
      <c r="AI343" s="1706"/>
      <c r="AJ343" s="1706"/>
      <c r="AK343" s="27"/>
      <c r="AL343" s="27"/>
      <c r="AM343" s="27"/>
      <c r="AN343" s="281"/>
      <c r="AQ343"/>
      <c r="AR343"/>
    </row>
    <row r="344" spans="1:76" s="4" customFormat="1" ht="12.75" customHeight="1">
      <c r="A344" s="27"/>
      <c r="B344" s="26"/>
      <c r="C344" s="1706" t="s">
        <v>1918</v>
      </c>
      <c r="D344" s="1706"/>
      <c r="E344" s="1706"/>
      <c r="F344" s="1706"/>
      <c r="G344" s="1706"/>
      <c r="H344" s="1706"/>
      <c r="I344" s="1706"/>
      <c r="J344" s="1706"/>
      <c r="K344" s="1706"/>
      <c r="L344" s="1706"/>
      <c r="M344" s="1706"/>
      <c r="N344" s="1706"/>
      <c r="O344" s="1706"/>
      <c r="P344" s="1706"/>
      <c r="Q344" s="1706"/>
      <c r="R344" s="1706"/>
      <c r="S344" s="1706"/>
      <c r="T344" s="1706"/>
      <c r="U344" s="1706"/>
      <c r="V344" s="1706"/>
      <c r="W344" s="1706"/>
      <c r="X344" s="1706"/>
      <c r="Y344" s="1706"/>
      <c r="Z344" s="1706"/>
      <c r="AA344" s="1706"/>
      <c r="AB344" s="1706"/>
      <c r="AC344" s="1706"/>
      <c r="AD344" s="1706"/>
      <c r="AE344" s="1706"/>
      <c r="AF344" s="1706"/>
      <c r="AG344" s="1706"/>
      <c r="AH344" s="1706"/>
      <c r="AI344" s="1706"/>
      <c r="AJ344" s="1706"/>
      <c r="AK344" s="27"/>
      <c r="AL344" s="27"/>
      <c r="AM344" s="27"/>
      <c r="AN344" s="281"/>
      <c r="AQ344"/>
      <c r="AR344"/>
    </row>
    <row r="345" spans="1:76" s="4" customFormat="1" ht="12.75" customHeight="1">
      <c r="A345" s="27"/>
      <c r="B345" s="26"/>
      <c r="C345" s="1706"/>
      <c r="D345" s="1706"/>
      <c r="E345" s="1706"/>
      <c r="F345" s="1706"/>
      <c r="G345" s="1706"/>
      <c r="H345" s="1706"/>
      <c r="I345" s="1706"/>
      <c r="J345" s="1706"/>
      <c r="K345" s="1706"/>
      <c r="L345" s="1706"/>
      <c r="M345" s="1706"/>
      <c r="N345" s="1706"/>
      <c r="O345" s="1706"/>
      <c r="P345" s="1706"/>
      <c r="Q345" s="1706"/>
      <c r="R345" s="1706"/>
      <c r="S345" s="1706"/>
      <c r="T345" s="1706"/>
      <c r="U345" s="1706"/>
      <c r="V345" s="1706"/>
      <c r="W345" s="1706"/>
      <c r="X345" s="1706"/>
      <c r="Y345" s="1706"/>
      <c r="Z345" s="1706"/>
      <c r="AA345" s="1706"/>
      <c r="AB345" s="1706"/>
      <c r="AC345" s="1706"/>
      <c r="AD345" s="1706"/>
      <c r="AE345" s="1706"/>
      <c r="AF345" s="1706"/>
      <c r="AG345" s="1706"/>
      <c r="AH345" s="1706"/>
      <c r="AI345" s="1706"/>
      <c r="AJ345" s="1706"/>
      <c r="AK345" s="27"/>
      <c r="AL345" s="27"/>
      <c r="AM345" s="27"/>
      <c r="AN345" s="281"/>
      <c r="AR345"/>
    </row>
    <row r="346" spans="1:76" s="4" customFormat="1" ht="12.75" customHeight="1">
      <c r="A346" s="27"/>
      <c r="B346" s="26"/>
      <c r="C346" s="1706"/>
      <c r="D346" s="1706"/>
      <c r="E346" s="1706"/>
      <c r="F346" s="1706"/>
      <c r="G346" s="1706"/>
      <c r="H346" s="1706"/>
      <c r="I346" s="1706"/>
      <c r="J346" s="1706"/>
      <c r="K346" s="1706"/>
      <c r="L346" s="1706"/>
      <c r="M346" s="1706"/>
      <c r="N346" s="1706"/>
      <c r="O346" s="1706"/>
      <c r="P346" s="1706"/>
      <c r="Q346" s="1706"/>
      <c r="R346" s="1706"/>
      <c r="S346" s="1706"/>
      <c r="T346" s="1706"/>
      <c r="U346" s="1706"/>
      <c r="V346" s="1706"/>
      <c r="W346" s="1706"/>
      <c r="X346" s="1706"/>
      <c r="Y346" s="1706"/>
      <c r="Z346" s="1706"/>
      <c r="AA346" s="1706"/>
      <c r="AB346" s="1706"/>
      <c r="AC346" s="1706"/>
      <c r="AD346" s="1706"/>
      <c r="AE346" s="1706"/>
      <c r="AF346" s="1706"/>
      <c r="AG346" s="1706"/>
      <c r="AH346" s="1706"/>
      <c r="AI346" s="1706"/>
      <c r="AJ346" s="1706"/>
      <c r="AK346" s="27"/>
      <c r="AL346" s="27"/>
      <c r="AM346" s="27"/>
      <c r="AN346" s="281"/>
      <c r="AR346"/>
    </row>
    <row r="347" spans="1:76" s="4" customFormat="1" ht="12.75" customHeight="1">
      <c r="A347" s="27"/>
      <c r="B347" s="26"/>
      <c r="C347" s="1706" t="s">
        <v>1919</v>
      </c>
      <c r="D347" s="1706"/>
      <c r="E347" s="1706"/>
      <c r="F347" s="1706"/>
      <c r="G347" s="1706"/>
      <c r="H347" s="1706"/>
      <c r="I347" s="1706"/>
      <c r="J347" s="1706"/>
      <c r="K347" s="1706"/>
      <c r="L347" s="1706"/>
      <c r="M347" s="1706"/>
      <c r="N347" s="1706"/>
      <c r="O347" s="1706"/>
      <c r="P347" s="1706"/>
      <c r="Q347" s="1706"/>
      <c r="R347" s="1706"/>
      <c r="S347" s="1706"/>
      <c r="T347" s="1706"/>
      <c r="U347" s="1706"/>
      <c r="V347" s="1706"/>
      <c r="W347" s="1706"/>
      <c r="X347" s="1706"/>
      <c r="Y347" s="1706"/>
      <c r="Z347" s="1706"/>
      <c r="AA347" s="1706"/>
      <c r="AB347" s="1706"/>
      <c r="AC347" s="1706"/>
      <c r="AD347" s="1706"/>
      <c r="AE347" s="1706"/>
      <c r="AF347" s="1706"/>
      <c r="AG347" s="1706"/>
      <c r="AH347" s="1706"/>
      <c r="AI347" s="1706"/>
      <c r="AJ347" s="1706"/>
      <c r="AK347" s="27"/>
      <c r="AL347" s="27"/>
      <c r="AM347" s="27"/>
      <c r="AN347" s="281"/>
      <c r="AQ347"/>
      <c r="AR347"/>
    </row>
    <row r="348" spans="1:76" s="4" customFormat="1" ht="12.75" customHeight="1">
      <c r="A348" s="27"/>
      <c r="B348" s="26"/>
      <c r="C348" s="1706"/>
      <c r="D348" s="1706"/>
      <c r="E348" s="1706"/>
      <c r="F348" s="1706"/>
      <c r="G348" s="1706"/>
      <c r="H348" s="1706"/>
      <c r="I348" s="1706"/>
      <c r="J348" s="1706"/>
      <c r="K348" s="1706"/>
      <c r="L348" s="1706"/>
      <c r="M348" s="1706"/>
      <c r="N348" s="1706"/>
      <c r="O348" s="1706"/>
      <c r="P348" s="1706"/>
      <c r="Q348" s="1706"/>
      <c r="R348" s="1706"/>
      <c r="S348" s="1706"/>
      <c r="T348" s="1706"/>
      <c r="U348" s="1706"/>
      <c r="V348" s="1706"/>
      <c r="W348" s="1706"/>
      <c r="X348" s="1706"/>
      <c r="Y348" s="1706"/>
      <c r="Z348" s="1706"/>
      <c r="AA348" s="1706"/>
      <c r="AB348" s="1706"/>
      <c r="AC348" s="1706"/>
      <c r="AD348" s="1706"/>
      <c r="AE348" s="1706"/>
      <c r="AF348" s="1706"/>
      <c r="AG348" s="1706"/>
      <c r="AH348" s="1706"/>
      <c r="AI348" s="1706"/>
      <c r="AJ348" s="1706"/>
      <c r="AK348" s="27"/>
      <c r="AL348" s="27"/>
      <c r="AM348" s="27"/>
      <c r="AN348" s="281"/>
      <c r="AQ348"/>
      <c r="AR348"/>
    </row>
    <row r="349" spans="1:76" s="4" customFormat="1" ht="13.35" customHeight="1">
      <c r="A349" s="27"/>
      <c r="B349" s="26"/>
      <c r="C349" s="1706"/>
      <c r="D349" s="1706"/>
      <c r="E349" s="1706"/>
      <c r="F349" s="1706"/>
      <c r="G349" s="1706"/>
      <c r="H349" s="1706"/>
      <c r="I349" s="1706"/>
      <c r="J349" s="1706"/>
      <c r="K349" s="1706"/>
      <c r="L349" s="1706"/>
      <c r="M349" s="1706"/>
      <c r="N349" s="1706"/>
      <c r="O349" s="1706"/>
      <c r="P349" s="1706"/>
      <c r="Q349" s="1706"/>
      <c r="R349" s="1706"/>
      <c r="S349" s="1706"/>
      <c r="T349" s="1706"/>
      <c r="U349" s="1706"/>
      <c r="V349" s="1706"/>
      <c r="W349" s="1706"/>
      <c r="X349" s="1706"/>
      <c r="Y349" s="1706"/>
      <c r="Z349" s="1706"/>
      <c r="AA349" s="1706"/>
      <c r="AB349" s="1706"/>
      <c r="AC349" s="1706"/>
      <c r="AD349" s="1706"/>
      <c r="AE349" s="1706"/>
      <c r="AF349" s="1706"/>
      <c r="AG349" s="1706"/>
      <c r="AH349" s="1706"/>
      <c r="AI349" s="1706"/>
      <c r="AJ349" s="1706"/>
      <c r="AK349" s="27"/>
      <c r="AL349" s="27"/>
      <c r="AM349" s="27"/>
      <c r="AN349" s="281"/>
      <c r="AQ349"/>
      <c r="AR349"/>
    </row>
    <row r="350" spans="1:76" s="4" customFormat="1" ht="12.75" customHeight="1">
      <c r="A350" s="27"/>
      <c r="B350" s="26"/>
      <c r="C350" s="1706"/>
      <c r="D350" s="1706"/>
      <c r="E350" s="1706"/>
      <c r="F350" s="1706"/>
      <c r="G350" s="1706"/>
      <c r="H350" s="1706"/>
      <c r="I350" s="1706"/>
      <c r="J350" s="1706"/>
      <c r="K350" s="1706"/>
      <c r="L350" s="1706"/>
      <c r="M350" s="1706"/>
      <c r="N350" s="1706"/>
      <c r="O350" s="1706"/>
      <c r="P350" s="1706"/>
      <c r="Q350" s="1706"/>
      <c r="R350" s="1706"/>
      <c r="S350" s="1706"/>
      <c r="T350" s="1706"/>
      <c r="U350" s="1706"/>
      <c r="V350" s="1706"/>
      <c r="W350" s="1706"/>
      <c r="X350" s="1706"/>
      <c r="Y350" s="1706"/>
      <c r="Z350" s="1706"/>
      <c r="AA350" s="1706"/>
      <c r="AB350" s="1706"/>
      <c r="AC350" s="1706"/>
      <c r="AD350" s="1706"/>
      <c r="AE350" s="1706"/>
      <c r="AF350" s="1706"/>
      <c r="AG350" s="1706"/>
      <c r="AH350" s="1706"/>
      <c r="AI350" s="1706"/>
      <c r="AJ350" s="1706"/>
      <c r="AK350" s="27"/>
      <c r="AL350" s="27"/>
      <c r="AM350" s="27"/>
      <c r="AN350" s="281"/>
      <c r="AO350" s="170"/>
      <c r="AP350" s="170"/>
      <c r="AQ350"/>
    </row>
    <row r="351" spans="1:76" s="4" customFormat="1" ht="11.85" customHeight="1">
      <c r="A351" s="27"/>
      <c r="B351" s="26"/>
      <c r="C351" s="1706"/>
      <c r="D351" s="1706"/>
      <c r="E351" s="1706"/>
      <c r="F351" s="1706"/>
      <c r="G351" s="1706"/>
      <c r="H351" s="1706"/>
      <c r="I351" s="1706"/>
      <c r="J351" s="1706"/>
      <c r="K351" s="1706"/>
      <c r="L351" s="1706"/>
      <c r="M351" s="1706"/>
      <c r="N351" s="1706"/>
      <c r="O351" s="1706"/>
      <c r="P351" s="1706"/>
      <c r="Q351" s="1706"/>
      <c r="R351" s="1706"/>
      <c r="S351" s="1706"/>
      <c r="T351" s="1706"/>
      <c r="U351" s="1706"/>
      <c r="V351" s="1706"/>
      <c r="W351" s="1706"/>
      <c r="X351" s="1706"/>
      <c r="Y351" s="1706"/>
      <c r="Z351" s="1706"/>
      <c r="AA351" s="1706"/>
      <c r="AB351" s="1706"/>
      <c r="AC351" s="1706"/>
      <c r="AD351" s="1706"/>
      <c r="AE351" s="1706"/>
      <c r="AF351" s="1706"/>
      <c r="AG351" s="1706"/>
      <c r="AH351" s="1706"/>
      <c r="AI351" s="1706"/>
      <c r="AJ351" s="1706"/>
      <c r="AK351" s="27"/>
      <c r="AL351" s="27"/>
      <c r="AM351" s="27"/>
      <c r="AN351" s="281"/>
      <c r="AO351" s="695" t="s">
        <v>943</v>
      </c>
      <c r="AP351" s="71">
        <f>IF(C376="Yes",5,0)</f>
        <v>5</v>
      </c>
      <c r="AS351" s="3" t="s">
        <v>1850</v>
      </c>
    </row>
    <row r="352" spans="1:76" s="4" customFormat="1" ht="12.75" customHeight="1">
      <c r="A352" s="27"/>
      <c r="B352" s="26"/>
      <c r="C352" s="1706"/>
      <c r="D352" s="1706"/>
      <c r="E352" s="1706"/>
      <c r="F352" s="1706"/>
      <c r="G352" s="1706"/>
      <c r="H352" s="1706"/>
      <c r="I352" s="1706"/>
      <c r="J352" s="1706"/>
      <c r="K352" s="1706"/>
      <c r="L352" s="1706"/>
      <c r="M352" s="1706"/>
      <c r="N352" s="1706"/>
      <c r="O352" s="1706"/>
      <c r="P352" s="1706"/>
      <c r="Q352" s="1706"/>
      <c r="R352" s="1706"/>
      <c r="S352" s="1706"/>
      <c r="T352" s="1706"/>
      <c r="U352" s="1706"/>
      <c r="V352" s="1706"/>
      <c r="W352" s="1706"/>
      <c r="X352" s="1706"/>
      <c r="Y352" s="1706"/>
      <c r="Z352" s="1706"/>
      <c r="AA352" s="1706"/>
      <c r="AB352" s="1706"/>
      <c r="AC352" s="1706"/>
      <c r="AD352" s="1706"/>
      <c r="AE352" s="1706"/>
      <c r="AF352" s="1706"/>
      <c r="AG352" s="1706"/>
      <c r="AH352" s="1706"/>
      <c r="AI352" s="1706"/>
      <c r="AJ352" s="1706"/>
      <c r="AK352" s="27"/>
      <c r="AL352" s="27"/>
      <c r="AM352" s="27"/>
      <c r="AN352" s="281"/>
      <c r="AO352" s="695"/>
      <c r="AP352" s="71"/>
      <c r="AS352" s="1851">
        <f>IF(AQ365=0,AQ378,AQ365)</f>
        <v>10</v>
      </c>
      <c r="AT352" s="1851"/>
    </row>
    <row r="353" spans="1:46" s="4" customFormat="1" ht="12.75" customHeight="1">
      <c r="A353" s="27"/>
      <c r="B353" s="26"/>
      <c r="C353" s="1706"/>
      <c r="D353" s="1706"/>
      <c r="E353" s="1706"/>
      <c r="F353" s="1706"/>
      <c r="G353" s="1706"/>
      <c r="H353" s="1706"/>
      <c r="I353" s="1706"/>
      <c r="J353" s="1706"/>
      <c r="K353" s="1706"/>
      <c r="L353" s="1706"/>
      <c r="M353" s="1706"/>
      <c r="N353" s="1706"/>
      <c r="O353" s="1706"/>
      <c r="P353" s="1706"/>
      <c r="Q353" s="1706"/>
      <c r="R353" s="1706"/>
      <c r="S353" s="1706"/>
      <c r="T353" s="1706"/>
      <c r="U353" s="1706"/>
      <c r="V353" s="1706"/>
      <c r="W353" s="1706"/>
      <c r="X353" s="1706"/>
      <c r="Y353" s="1706"/>
      <c r="Z353" s="1706"/>
      <c r="AA353" s="1706"/>
      <c r="AB353" s="1706"/>
      <c r="AC353" s="1706"/>
      <c r="AD353" s="1706"/>
      <c r="AE353" s="1706"/>
      <c r="AF353" s="1706"/>
      <c r="AG353" s="1706"/>
      <c r="AH353" s="1706"/>
      <c r="AI353" s="1706"/>
      <c r="AJ353" s="1706"/>
      <c r="AK353" s="27"/>
      <c r="AL353" s="27"/>
      <c r="AM353" s="27"/>
      <c r="AN353" s="281"/>
      <c r="AO353" s="695" t="s">
        <v>944</v>
      </c>
      <c r="AP353" s="71">
        <f>IF(C386="Yes",5,0)</f>
        <v>0</v>
      </c>
      <c r="AS353" s="3" t="s">
        <v>1883</v>
      </c>
    </row>
    <row r="354" spans="1:46" s="4" customFormat="1" ht="12.75" customHeight="1">
      <c r="A354" s="27"/>
      <c r="B354" s="26"/>
      <c r="C354" s="1706"/>
      <c r="D354" s="1706"/>
      <c r="E354" s="1706"/>
      <c r="F354" s="1706"/>
      <c r="G354" s="1706"/>
      <c r="H354" s="1706"/>
      <c r="I354" s="1706"/>
      <c r="J354" s="1706"/>
      <c r="K354" s="1706"/>
      <c r="L354" s="1706"/>
      <c r="M354" s="1706"/>
      <c r="N354" s="1706"/>
      <c r="O354" s="1706"/>
      <c r="P354" s="1706"/>
      <c r="Q354" s="1706"/>
      <c r="R354" s="1706"/>
      <c r="S354" s="1706"/>
      <c r="T354" s="1706"/>
      <c r="U354" s="1706"/>
      <c r="V354" s="1706"/>
      <c r="W354" s="1706"/>
      <c r="X354" s="1706"/>
      <c r="Y354" s="1706"/>
      <c r="Z354" s="1706"/>
      <c r="AA354" s="1706"/>
      <c r="AB354" s="1706"/>
      <c r="AC354" s="1706"/>
      <c r="AD354" s="1706"/>
      <c r="AE354" s="1706"/>
      <c r="AF354" s="1706"/>
      <c r="AG354" s="1706"/>
      <c r="AH354" s="1706"/>
      <c r="AI354" s="1706"/>
      <c r="AJ354" s="1706"/>
      <c r="AK354" s="27"/>
      <c r="AL354" s="27"/>
      <c r="AM354" s="27"/>
      <c r="AN354" s="281"/>
      <c r="AO354" s="695"/>
      <c r="AP354" s="71"/>
      <c r="AS354" s="1851">
        <f>IF(AND(AQ365&gt;0,AQ378&gt;0),(AQ365+AQ378)/2,0)</f>
        <v>10</v>
      </c>
      <c r="AT354" s="1851"/>
    </row>
    <row r="355" spans="1:46" s="4" customFormat="1" ht="12.75" customHeight="1">
      <c r="A355" s="27"/>
      <c r="B355" s="26"/>
      <c r="C355" s="1706"/>
      <c r="D355" s="1706"/>
      <c r="E355" s="1706"/>
      <c r="F355" s="1706"/>
      <c r="G355" s="1706"/>
      <c r="H355" s="1706"/>
      <c r="I355" s="1706"/>
      <c r="J355" s="1706"/>
      <c r="K355" s="1706"/>
      <c r="L355" s="1706"/>
      <c r="M355" s="1706"/>
      <c r="N355" s="1706"/>
      <c r="O355" s="1706"/>
      <c r="P355" s="1706"/>
      <c r="Q355" s="1706"/>
      <c r="R355" s="1706"/>
      <c r="S355" s="1706"/>
      <c r="T355" s="1706"/>
      <c r="U355" s="1706"/>
      <c r="V355" s="1706"/>
      <c r="W355" s="1706"/>
      <c r="X355" s="1706"/>
      <c r="Y355" s="1706"/>
      <c r="Z355" s="1706"/>
      <c r="AA355" s="1706"/>
      <c r="AB355" s="1706"/>
      <c r="AC355" s="1706"/>
      <c r="AD355" s="1706"/>
      <c r="AE355" s="1706"/>
      <c r="AF355" s="1706"/>
      <c r="AG355" s="1706"/>
      <c r="AH355" s="1706"/>
      <c r="AI355" s="1706"/>
      <c r="AJ355" s="1706"/>
      <c r="AK355" s="27"/>
      <c r="AL355" s="27"/>
      <c r="AM355" s="27"/>
      <c r="AN355" s="281"/>
      <c r="AO355" s="695" t="s">
        <v>950</v>
      </c>
      <c r="AP355" s="71">
        <f>IF(C396="Yes",7,0)</f>
        <v>0</v>
      </c>
    </row>
    <row r="356" spans="1:46" s="4" customFormat="1" ht="12.75" customHeight="1">
      <c r="A356" s="27"/>
      <c r="B356" s="26"/>
      <c r="C356" s="1706" t="s">
        <v>1920</v>
      </c>
      <c r="D356" s="1706"/>
      <c r="E356" s="1706"/>
      <c r="F356" s="1706"/>
      <c r="G356" s="1706"/>
      <c r="H356" s="1706"/>
      <c r="I356" s="1706"/>
      <c r="J356" s="1706"/>
      <c r="K356" s="1706"/>
      <c r="L356" s="1706"/>
      <c r="M356" s="1706"/>
      <c r="N356" s="1706"/>
      <c r="O356" s="1706"/>
      <c r="P356" s="1706"/>
      <c r="Q356" s="1706"/>
      <c r="R356" s="1706"/>
      <c r="S356" s="1706"/>
      <c r="T356" s="1706"/>
      <c r="U356" s="1706"/>
      <c r="V356" s="1706"/>
      <c r="W356" s="1706"/>
      <c r="X356" s="1706"/>
      <c r="Y356" s="1706"/>
      <c r="Z356" s="1706"/>
      <c r="AA356" s="1706"/>
      <c r="AB356" s="1706"/>
      <c r="AC356" s="1706"/>
      <c r="AD356" s="1706"/>
      <c r="AE356" s="1706"/>
      <c r="AF356" s="1706"/>
      <c r="AG356" s="1706"/>
      <c r="AH356" s="1706"/>
      <c r="AI356" s="1706"/>
      <c r="AJ356" s="1706"/>
      <c r="AK356" s="27"/>
      <c r="AL356" s="27"/>
      <c r="AM356" s="27"/>
      <c r="AN356" s="281"/>
      <c r="AO356" s="281"/>
      <c r="AP356" s="71">
        <f>IF(C398="Yes",5,0)</f>
        <v>5</v>
      </c>
    </row>
    <row r="357" spans="1:46" s="4" customFormat="1" ht="12.75" customHeight="1">
      <c r="A357" s="27"/>
      <c r="B357" s="26"/>
      <c r="C357" s="1706"/>
      <c r="D357" s="1706"/>
      <c r="E357" s="1706"/>
      <c r="F357" s="1706"/>
      <c r="G357" s="1706"/>
      <c r="H357" s="1706"/>
      <c r="I357" s="1706"/>
      <c r="J357" s="1706"/>
      <c r="K357" s="1706"/>
      <c r="L357" s="1706"/>
      <c r="M357" s="1706"/>
      <c r="N357" s="1706"/>
      <c r="O357" s="1706"/>
      <c r="P357" s="1706"/>
      <c r="Q357" s="1706"/>
      <c r="R357" s="1706"/>
      <c r="S357" s="1706"/>
      <c r="T357" s="1706"/>
      <c r="U357" s="1706"/>
      <c r="V357" s="1706"/>
      <c r="W357" s="1706"/>
      <c r="X357" s="1706"/>
      <c r="Y357" s="1706"/>
      <c r="Z357" s="1706"/>
      <c r="AA357" s="1706"/>
      <c r="AB357" s="1706"/>
      <c r="AC357" s="1706"/>
      <c r="AD357" s="1706"/>
      <c r="AE357" s="1706"/>
      <c r="AF357" s="1706"/>
      <c r="AG357" s="1706"/>
      <c r="AH357" s="1706"/>
      <c r="AI357" s="1706"/>
      <c r="AJ357" s="1706"/>
      <c r="AK357" s="27"/>
      <c r="AL357" s="27"/>
      <c r="AM357" s="27"/>
      <c r="AN357" s="281"/>
      <c r="AO357" s="281"/>
      <c r="AP357" s="71"/>
    </row>
    <row r="358" spans="1:46" s="4" customFormat="1" ht="12.75" customHeight="1">
      <c r="A358" s="27"/>
      <c r="B358" s="26"/>
      <c r="C358" s="1706"/>
      <c r="D358" s="1706"/>
      <c r="E358" s="1706"/>
      <c r="F358" s="1706"/>
      <c r="G358" s="1706"/>
      <c r="H358" s="1706"/>
      <c r="I358" s="1706"/>
      <c r="J358" s="1706"/>
      <c r="K358" s="1706"/>
      <c r="L358" s="1706"/>
      <c r="M358" s="1706"/>
      <c r="N358" s="1706"/>
      <c r="O358" s="1706"/>
      <c r="P358" s="1706"/>
      <c r="Q358" s="1706"/>
      <c r="R358" s="1706"/>
      <c r="S358" s="1706"/>
      <c r="T358" s="1706"/>
      <c r="U358" s="1706"/>
      <c r="V358" s="1706"/>
      <c r="W358" s="1706"/>
      <c r="X358" s="1706"/>
      <c r="Y358" s="1706"/>
      <c r="Z358" s="1706"/>
      <c r="AA358" s="1706"/>
      <c r="AB358" s="1706"/>
      <c r="AC358" s="1706"/>
      <c r="AD358" s="1706"/>
      <c r="AE358" s="1706"/>
      <c r="AF358" s="1706"/>
      <c r="AG358" s="1706"/>
      <c r="AH358" s="1706"/>
      <c r="AI358" s="1706"/>
      <c r="AJ358" s="1706"/>
      <c r="AK358" s="27"/>
      <c r="AL358" s="27"/>
      <c r="AM358" s="27"/>
      <c r="AN358" s="281"/>
      <c r="AO358" s="695" t="s">
        <v>459</v>
      </c>
      <c r="AP358" s="71">
        <f>IF(C406="Yes",5,0)</f>
        <v>0</v>
      </c>
    </row>
    <row r="359" spans="1:46" s="4" customFormat="1" ht="11.85" customHeight="1">
      <c r="A359" s="27"/>
      <c r="B359" s="26"/>
      <c r="C359" s="1706"/>
      <c r="D359" s="1706"/>
      <c r="E359" s="1706"/>
      <c r="F359" s="1706"/>
      <c r="G359" s="1706"/>
      <c r="H359" s="1706"/>
      <c r="I359" s="1706"/>
      <c r="J359" s="1706"/>
      <c r="K359" s="1706"/>
      <c r="L359" s="1706"/>
      <c r="M359" s="1706"/>
      <c r="N359" s="1706"/>
      <c r="O359" s="1706"/>
      <c r="P359" s="1706"/>
      <c r="Q359" s="1706"/>
      <c r="R359" s="1706"/>
      <c r="S359" s="1706"/>
      <c r="T359" s="1706"/>
      <c r="U359" s="1706"/>
      <c r="V359" s="1706"/>
      <c r="W359" s="1706"/>
      <c r="X359" s="1706"/>
      <c r="Y359" s="1706"/>
      <c r="Z359" s="1706"/>
      <c r="AA359" s="1706"/>
      <c r="AB359" s="1706"/>
      <c r="AC359" s="1706"/>
      <c r="AD359" s="1706"/>
      <c r="AE359" s="1706"/>
      <c r="AF359" s="1706"/>
      <c r="AG359" s="1706"/>
      <c r="AH359" s="1706"/>
      <c r="AI359" s="1706"/>
      <c r="AJ359" s="1706"/>
      <c r="AK359" s="27"/>
      <c r="AL359" s="27"/>
      <c r="AM359" s="27"/>
      <c r="AN359" s="281"/>
      <c r="AO359" s="281"/>
      <c r="AP359" s="71">
        <f>IF(C408="Yes",3,0)</f>
        <v>0</v>
      </c>
    </row>
    <row r="360" spans="1:46" s="4" customFormat="1" ht="12.6" customHeight="1">
      <c r="A360" s="27"/>
      <c r="B360" s="26"/>
      <c r="C360" s="1706"/>
      <c r="D360" s="1706"/>
      <c r="E360" s="1706"/>
      <c r="F360" s="1706"/>
      <c r="G360" s="1706"/>
      <c r="H360" s="1706"/>
      <c r="I360" s="1706"/>
      <c r="J360" s="1706"/>
      <c r="K360" s="1706"/>
      <c r="L360" s="1706"/>
      <c r="M360" s="1706"/>
      <c r="N360" s="1706"/>
      <c r="O360" s="1706"/>
      <c r="P360" s="1706"/>
      <c r="Q360" s="1706"/>
      <c r="R360" s="1706"/>
      <c r="S360" s="1706"/>
      <c r="T360" s="1706"/>
      <c r="U360" s="1706"/>
      <c r="V360" s="1706"/>
      <c r="W360" s="1706"/>
      <c r="X360" s="1706"/>
      <c r="Y360" s="1706"/>
      <c r="Z360" s="1706"/>
      <c r="AA360" s="1706"/>
      <c r="AB360" s="1706"/>
      <c r="AC360" s="1706"/>
      <c r="AD360" s="1706"/>
      <c r="AE360" s="1706"/>
      <c r="AF360" s="1706"/>
      <c r="AG360" s="1706"/>
      <c r="AH360" s="1706"/>
      <c r="AI360" s="1706"/>
      <c r="AJ360" s="1706"/>
      <c r="AK360" s="27"/>
      <c r="AL360" s="27"/>
      <c r="AM360" s="27"/>
      <c r="AN360" s="281"/>
      <c r="AO360" s="281"/>
      <c r="AP360" s="71"/>
    </row>
    <row r="361" spans="1:46" s="4" customFormat="1" ht="12.75" customHeight="1">
      <c r="A361" s="27"/>
      <c r="B361" s="26"/>
      <c r="C361" s="1706"/>
      <c r="D361" s="1706"/>
      <c r="E361" s="1706"/>
      <c r="F361" s="1706"/>
      <c r="G361" s="1706"/>
      <c r="H361" s="1706"/>
      <c r="I361" s="1706"/>
      <c r="J361" s="1706"/>
      <c r="K361" s="1706"/>
      <c r="L361" s="1706"/>
      <c r="M361" s="1706"/>
      <c r="N361" s="1706"/>
      <c r="O361" s="1706"/>
      <c r="P361" s="1706"/>
      <c r="Q361" s="1706"/>
      <c r="R361" s="1706"/>
      <c r="S361" s="1706"/>
      <c r="T361" s="1706"/>
      <c r="U361" s="1706"/>
      <c r="V361" s="1706"/>
      <c r="W361" s="1706"/>
      <c r="X361" s="1706"/>
      <c r="Y361" s="1706"/>
      <c r="Z361" s="1706"/>
      <c r="AA361" s="1706"/>
      <c r="AB361" s="1706"/>
      <c r="AC361" s="1706"/>
      <c r="AD361" s="1706"/>
      <c r="AE361" s="1706"/>
      <c r="AF361" s="1706"/>
      <c r="AG361" s="1706"/>
      <c r="AH361" s="1706"/>
      <c r="AI361" s="1706"/>
      <c r="AJ361" s="1706"/>
      <c r="AK361" s="27"/>
      <c r="AL361" s="27"/>
      <c r="AM361" s="27"/>
      <c r="AN361" s="281"/>
      <c r="AO361" s="695" t="s">
        <v>182</v>
      </c>
      <c r="AP361" s="71">
        <f>IF(C411="Yes",5,0)</f>
        <v>0</v>
      </c>
    </row>
    <row r="362" spans="1:46" s="4" customFormat="1" ht="12.75" customHeight="1">
      <c r="A362" s="27"/>
      <c r="B362" s="26"/>
      <c r="C362" s="1706"/>
      <c r="D362" s="1706"/>
      <c r="E362" s="1706"/>
      <c r="F362" s="1706"/>
      <c r="G362" s="1706"/>
      <c r="H362" s="1706"/>
      <c r="I362" s="1706"/>
      <c r="J362" s="1706"/>
      <c r="K362" s="1706"/>
      <c r="L362" s="1706"/>
      <c r="M362" s="1706"/>
      <c r="N362" s="1706"/>
      <c r="O362" s="1706"/>
      <c r="P362" s="1706"/>
      <c r="Q362" s="1706"/>
      <c r="R362" s="1706"/>
      <c r="S362" s="1706"/>
      <c r="T362" s="1706"/>
      <c r="U362" s="1706"/>
      <c r="V362" s="1706"/>
      <c r="W362" s="1706"/>
      <c r="X362" s="1706"/>
      <c r="Y362" s="1706"/>
      <c r="Z362" s="1706"/>
      <c r="AA362" s="1706"/>
      <c r="AB362" s="1706"/>
      <c r="AC362" s="1706"/>
      <c r="AD362" s="1706"/>
      <c r="AE362" s="1706"/>
      <c r="AF362" s="1706"/>
      <c r="AG362" s="1706"/>
      <c r="AH362" s="1706"/>
      <c r="AI362" s="1706"/>
      <c r="AJ362" s="1706"/>
      <c r="AK362" s="27"/>
      <c r="AL362" s="27"/>
      <c r="AM362" s="27"/>
      <c r="AN362" s="281"/>
      <c r="AO362" s="695" t="s">
        <v>462</v>
      </c>
      <c r="AP362" s="71">
        <f>IF(C420="Yes",5,0)</f>
        <v>0</v>
      </c>
    </row>
    <row r="363" spans="1:46" s="4" customFormat="1" ht="12.75" customHeight="1">
      <c r="A363" s="27"/>
      <c r="B363" s="26"/>
      <c r="C363" s="1706" t="s">
        <v>1921</v>
      </c>
      <c r="D363" s="1706"/>
      <c r="E363" s="1706"/>
      <c r="F363" s="1706"/>
      <c r="G363" s="1706"/>
      <c r="H363" s="1706"/>
      <c r="I363" s="1706"/>
      <c r="J363" s="1706"/>
      <c r="K363" s="1706"/>
      <c r="L363" s="1706"/>
      <c r="M363" s="1706"/>
      <c r="N363" s="1706"/>
      <c r="O363" s="1706"/>
      <c r="P363" s="1706"/>
      <c r="Q363" s="1706"/>
      <c r="R363" s="1706"/>
      <c r="S363" s="1706"/>
      <c r="T363" s="1706"/>
      <c r="U363" s="1706"/>
      <c r="V363" s="1706"/>
      <c r="W363" s="1706"/>
      <c r="X363" s="1706"/>
      <c r="Y363" s="1706"/>
      <c r="Z363" s="1706"/>
      <c r="AA363" s="1706"/>
      <c r="AB363" s="1706"/>
      <c r="AC363" s="1706"/>
      <c r="AD363" s="1706"/>
      <c r="AE363" s="1706"/>
      <c r="AF363" s="1706"/>
      <c r="AG363" s="1706"/>
      <c r="AH363" s="1706"/>
      <c r="AI363" s="1706"/>
      <c r="AJ363" s="1706"/>
      <c r="AK363" s="27"/>
      <c r="AL363" s="27"/>
      <c r="AM363" s="27"/>
      <c r="AN363" s="281"/>
      <c r="AO363" s="281"/>
      <c r="AP363" s="71">
        <f>IF(C422="Yes",3,0)</f>
        <v>0</v>
      </c>
    </row>
    <row r="364" spans="1:46" s="4" customFormat="1" ht="12.75" customHeight="1">
      <c r="A364" s="27"/>
      <c r="B364" s="26"/>
      <c r="C364" s="1706"/>
      <c r="D364" s="1706"/>
      <c r="E364" s="1706"/>
      <c r="F364" s="1706"/>
      <c r="G364" s="1706"/>
      <c r="H364" s="1706"/>
      <c r="I364" s="1706"/>
      <c r="J364" s="1706"/>
      <c r="K364" s="1706"/>
      <c r="L364" s="1706"/>
      <c r="M364" s="1706"/>
      <c r="N364" s="1706"/>
      <c r="O364" s="1706"/>
      <c r="P364" s="1706"/>
      <c r="Q364" s="1706"/>
      <c r="R364" s="1706"/>
      <c r="S364" s="1706"/>
      <c r="T364" s="1706"/>
      <c r="U364" s="1706"/>
      <c r="V364" s="1706"/>
      <c r="W364" s="1706"/>
      <c r="X364" s="1706"/>
      <c r="Y364" s="1706"/>
      <c r="Z364" s="1706"/>
      <c r="AA364" s="1706"/>
      <c r="AB364" s="1706"/>
      <c r="AC364" s="1706"/>
      <c r="AD364" s="1706"/>
      <c r="AE364" s="1706"/>
      <c r="AF364" s="1706"/>
      <c r="AG364" s="1706"/>
      <c r="AH364" s="1706"/>
      <c r="AI364" s="1706"/>
      <c r="AJ364" s="1706"/>
      <c r="AK364" s="27"/>
      <c r="AL364" s="27"/>
      <c r="AM364" s="27"/>
      <c r="AN364" s="281"/>
      <c r="AO364" s="696"/>
      <c r="AP364" s="55"/>
    </row>
    <row r="365" spans="1:46" s="4" customFormat="1" ht="68.099999999999994" customHeight="1">
      <c r="A365" s="27"/>
      <c r="B365" s="26"/>
      <c r="C365" s="1706"/>
      <c r="D365" s="1706"/>
      <c r="E365" s="1706"/>
      <c r="F365" s="1706"/>
      <c r="G365" s="1706"/>
      <c r="H365" s="1706"/>
      <c r="I365" s="1706"/>
      <c r="J365" s="1706"/>
      <c r="K365" s="1706"/>
      <c r="L365" s="1706"/>
      <c r="M365" s="1706"/>
      <c r="N365" s="1706"/>
      <c r="O365" s="1706"/>
      <c r="P365" s="1706"/>
      <c r="Q365" s="1706"/>
      <c r="R365" s="1706"/>
      <c r="S365" s="1706"/>
      <c r="T365" s="1706"/>
      <c r="U365" s="1706"/>
      <c r="V365" s="1706"/>
      <c r="W365" s="1706"/>
      <c r="X365" s="1706"/>
      <c r="Y365" s="1706"/>
      <c r="Z365" s="1706"/>
      <c r="AA365" s="1706"/>
      <c r="AB365" s="1706"/>
      <c r="AC365" s="1706"/>
      <c r="AD365" s="1706"/>
      <c r="AE365" s="1706"/>
      <c r="AF365" s="1706"/>
      <c r="AG365" s="1706"/>
      <c r="AH365" s="1706"/>
      <c r="AI365" s="1706"/>
      <c r="AJ365" s="1706"/>
      <c r="AK365" s="27"/>
      <c r="AL365" s="27"/>
      <c r="AM365" s="27"/>
      <c r="AN365" s="281"/>
      <c r="AO365" s="697" t="s">
        <v>645</v>
      </c>
      <c r="AP365" s="168">
        <f>SUM(AP351:AP364)</f>
        <v>10</v>
      </c>
      <c r="AQ365" s="1225">
        <f>IF(AP365&gt;0,AP365,0)</f>
        <v>10</v>
      </c>
      <c r="AR365" s="1225"/>
    </row>
    <row r="366" spans="1:46" s="4" customFormat="1" ht="12.6" customHeight="1">
      <c r="A366" s="27"/>
      <c r="B366" s="26"/>
      <c r="C366" s="4" t="s">
        <v>1556</v>
      </c>
      <c r="AF366" s="27"/>
      <c r="AG366" s="27"/>
      <c r="AH366" s="27"/>
      <c r="AI366" s="27"/>
      <c r="AJ366" s="27"/>
      <c r="AK366" s="27"/>
      <c r="AL366" s="27"/>
      <c r="AM366" s="27"/>
      <c r="AN366" s="281"/>
      <c r="AO366" s="695" t="s">
        <v>777</v>
      </c>
      <c r="AP366" s="71">
        <f>IF(C429="Yes",5,0)</f>
        <v>0</v>
      </c>
    </row>
    <row r="367" spans="1:46" s="4" customFormat="1" ht="12.75" customHeight="1">
      <c r="A367" s="27"/>
      <c r="B367" s="26"/>
      <c r="C367" s="698" t="s">
        <v>2023</v>
      </c>
      <c r="D367" s="699"/>
      <c r="E367" s="699"/>
      <c r="F367" s="699"/>
      <c r="G367" s="699"/>
      <c r="H367" s="699"/>
      <c r="I367" s="699"/>
      <c r="J367" s="699"/>
      <c r="K367" s="699"/>
      <c r="L367" s="699"/>
      <c r="M367" s="218"/>
      <c r="N367" s="218"/>
      <c r="O367" s="700"/>
      <c r="P367" s="699"/>
      <c r="Q367" s="699"/>
      <c r="R367" s="218"/>
      <c r="S367" s="218"/>
      <c r="T367" s="699"/>
      <c r="U367" s="1692">
        <f>Application!CQ636-U368</f>
        <v>41</v>
      </c>
      <c r="V367" s="1692"/>
      <c r="W367" s="1692"/>
      <c r="X367" s="699"/>
      <c r="Y367" s="699"/>
      <c r="Z367" s="699"/>
      <c r="AA367" s="701"/>
      <c r="AB367" s="278"/>
      <c r="AC367" s="278"/>
      <c r="AD367" s="278"/>
      <c r="AE367" s="27"/>
      <c r="AF367" s="27"/>
      <c r="AG367" s="27"/>
      <c r="AH367" s="27"/>
      <c r="AI367" s="27"/>
      <c r="AJ367" s="27"/>
      <c r="AK367" s="27"/>
      <c r="AL367" s="27"/>
      <c r="AM367" s="27"/>
      <c r="AN367" s="281"/>
      <c r="AO367" s="281"/>
      <c r="AP367" s="71"/>
    </row>
    <row r="368" spans="1:46" s="4" customFormat="1" ht="12.75" customHeight="1">
      <c r="A368" s="27"/>
      <c r="B368" s="26"/>
      <c r="C368" s="702" t="s">
        <v>1849</v>
      </c>
      <c r="D368" s="170"/>
      <c r="E368" s="170"/>
      <c r="F368" s="170"/>
      <c r="G368" s="170"/>
      <c r="H368" s="170"/>
      <c r="I368" s="170"/>
      <c r="J368" s="170"/>
      <c r="K368" s="170"/>
      <c r="L368" s="170"/>
      <c r="M368" s="170"/>
      <c r="N368" s="170"/>
      <c r="O368" s="170"/>
      <c r="P368" s="170"/>
      <c r="Q368" s="170"/>
      <c r="R368" s="170"/>
      <c r="S368" s="170"/>
      <c r="T368" s="170"/>
      <c r="U368" s="1693">
        <f>Application!AG720</f>
        <v>25</v>
      </c>
      <c r="V368" s="1693"/>
      <c r="W368" s="1693"/>
      <c r="X368" s="170"/>
      <c r="Y368" s="170"/>
      <c r="Z368" s="170"/>
      <c r="AA368" s="172"/>
      <c r="AC368" s="277"/>
      <c r="AD368" s="277"/>
      <c r="AE368" s="27"/>
      <c r="AF368" s="27"/>
      <c r="AG368" s="27"/>
      <c r="AH368" s="27"/>
      <c r="AI368" s="27"/>
      <c r="AJ368" s="27"/>
      <c r="AK368" s="27"/>
      <c r="AL368" s="27"/>
      <c r="AM368" s="27"/>
      <c r="AN368" s="281"/>
      <c r="AO368" s="695" t="s">
        <v>778</v>
      </c>
      <c r="AP368" s="71">
        <f>IF(C441="Yes",5,0)</f>
        <v>5</v>
      </c>
    </row>
    <row r="369" spans="1:153" s="4" customFormat="1" ht="12.75" customHeight="1">
      <c r="A369" s="27"/>
      <c r="B369" s="26"/>
      <c r="C369" s="4" t="s">
        <v>704</v>
      </c>
      <c r="AC369" s="27"/>
      <c r="AD369" s="27"/>
      <c r="AE369" s="27"/>
      <c r="AF369" s="27"/>
      <c r="AG369" s="27"/>
      <c r="AH369" s="27"/>
      <c r="AI369" s="27"/>
      <c r="AJ369" s="27"/>
      <c r="AK369" s="27"/>
      <c r="AL369" s="27"/>
      <c r="AM369" s="27"/>
      <c r="AN369" s="281"/>
      <c r="AO369" s="281"/>
      <c r="AP369" s="71"/>
    </row>
    <row r="370" spans="1:153" s="4" customFormat="1" ht="12.75" customHeight="1">
      <c r="A370" s="27"/>
      <c r="B370" s="26"/>
      <c r="AC370" s="27"/>
      <c r="AD370" s="27"/>
      <c r="AE370" s="27"/>
      <c r="AF370" s="27"/>
      <c r="AG370" s="27"/>
      <c r="AH370" s="27"/>
      <c r="AI370" s="27"/>
      <c r="AJ370" s="27"/>
      <c r="AK370" s="27"/>
      <c r="AL370" s="27"/>
      <c r="AM370" s="27"/>
      <c r="AN370" s="281"/>
      <c r="AO370" s="695" t="s">
        <v>576</v>
      </c>
      <c r="AP370" s="71">
        <f>IF(C448="Yes",5,0)</f>
        <v>0</v>
      </c>
      <c r="BS370" s="38"/>
      <c r="BT370" s="38"/>
      <c r="BU370" s="21"/>
      <c r="BV370" s="21"/>
      <c r="BW370" s="21"/>
      <c r="DI370"/>
      <c r="DJ370"/>
      <c r="DK370"/>
      <c r="ED370"/>
      <c r="EE370"/>
      <c r="EF370"/>
      <c r="EG370"/>
      <c r="EH370"/>
      <c r="EI370"/>
      <c r="EJ370"/>
      <c r="EK370"/>
      <c r="EL370"/>
      <c r="EM370"/>
      <c r="EN370"/>
      <c r="EO370"/>
      <c r="EP370"/>
      <c r="EQ370"/>
      <c r="ER370"/>
      <c r="ES370"/>
      <c r="ET370"/>
      <c r="EU370"/>
      <c r="EV370"/>
      <c r="EW370"/>
    </row>
    <row r="371" spans="1:153" s="4" customFormat="1" ht="12.75" customHeight="1">
      <c r="A371" s="27"/>
      <c r="B371" s="21"/>
      <c r="C371" s="182" t="s">
        <v>2024</v>
      </c>
      <c r="D371" s="27"/>
      <c r="E371" s="27"/>
      <c r="F371" s="27"/>
      <c r="G371" s="27"/>
      <c r="H371" s="27"/>
      <c r="I371" s="27"/>
      <c r="J371" s="27"/>
      <c r="K371" s="27"/>
      <c r="L371" s="27"/>
      <c r="M371" s="27"/>
      <c r="N371" s="27"/>
      <c r="O371" s="27"/>
      <c r="P371" s="27"/>
      <c r="Q371" s="27"/>
      <c r="R371" s="27"/>
      <c r="S371" s="27"/>
      <c r="T371" s="27"/>
      <c r="U371" s="27"/>
      <c r="V371" s="27"/>
      <c r="W371" s="27"/>
      <c r="X371" s="27"/>
      <c r="Y371" s="27"/>
      <c r="Z371" s="27"/>
      <c r="AA371" s="27"/>
      <c r="AB371" s="27"/>
      <c r="AC371" s="27"/>
      <c r="AD371" s="27"/>
      <c r="AE371" s="27"/>
      <c r="AF371" s="27"/>
      <c r="AG371" s="27"/>
      <c r="AH371" s="27"/>
      <c r="AI371" s="27"/>
      <c r="AJ371" s="27"/>
      <c r="AK371" s="27"/>
      <c r="AL371" s="27"/>
      <c r="AM371" s="27"/>
      <c r="AN371" s="281"/>
      <c r="AO371" s="281"/>
      <c r="AP371" s="71"/>
      <c r="BS371" s="38"/>
      <c r="BT371" s="38"/>
      <c r="BU371" s="21"/>
      <c r="BV371" s="21"/>
      <c r="BW371" s="21"/>
      <c r="DI371"/>
      <c r="DJ371"/>
      <c r="DK371"/>
      <c r="ED371"/>
      <c r="EE371"/>
      <c r="EF371"/>
      <c r="EG371"/>
      <c r="EH371"/>
      <c r="EI371"/>
      <c r="EJ371"/>
      <c r="EK371"/>
      <c r="EL371"/>
      <c r="EM371"/>
      <c r="EN371"/>
      <c r="EO371"/>
      <c r="EP371"/>
      <c r="EQ371"/>
      <c r="ER371"/>
      <c r="ES371"/>
      <c r="ET371"/>
      <c r="EU371"/>
      <c r="EV371"/>
      <c r="EW371"/>
    </row>
    <row r="372" spans="1:153" s="4" customFormat="1" ht="12.75" customHeight="1">
      <c r="A372" s="5"/>
      <c r="B372" s="21"/>
      <c r="C372" s="703"/>
      <c r="D372" s="704"/>
      <c r="E372" s="705" t="s">
        <v>763</v>
      </c>
      <c r="F372" s="1690" t="s">
        <v>1859</v>
      </c>
      <c r="G372" s="1690"/>
      <c r="H372" s="1690"/>
      <c r="I372" s="1690"/>
      <c r="J372" s="1690"/>
      <c r="K372" s="1690"/>
      <c r="L372" s="1690"/>
      <c r="M372" s="1690"/>
      <c r="N372" s="1690"/>
      <c r="O372" s="1690"/>
      <c r="P372" s="1690"/>
      <c r="Q372" s="1690"/>
      <c r="R372" s="1690"/>
      <c r="S372" s="1690"/>
      <c r="T372" s="1690"/>
      <c r="U372" s="1690"/>
      <c r="V372" s="1690"/>
      <c r="W372" s="1690"/>
      <c r="X372" s="1690"/>
      <c r="Y372" s="1690"/>
      <c r="Z372" s="1690"/>
      <c r="AA372" s="1690"/>
      <c r="AB372" s="1690"/>
      <c r="AC372" s="1690"/>
      <c r="AD372" s="1690"/>
      <c r="AE372" s="1690"/>
      <c r="AF372" s="1690"/>
      <c r="AG372" s="750"/>
      <c r="AH372" s="750"/>
      <c r="AI372" s="750"/>
      <c r="AJ372" s="750"/>
      <c r="AK372" s="750"/>
      <c r="AL372" s="792"/>
      <c r="AM372"/>
      <c r="AN372" s="281"/>
      <c r="AO372" s="281"/>
      <c r="AP372" s="71"/>
      <c r="BS372" s="38"/>
      <c r="BT372" s="38"/>
      <c r="BU372" s="21"/>
      <c r="BV372" s="21"/>
      <c r="BW372" s="21"/>
      <c r="BX372" s="21"/>
      <c r="BY372" s="21"/>
      <c r="BZ372" s="21"/>
      <c r="CA372" s="21"/>
      <c r="CB372" s="21"/>
      <c r="CC372" s="21"/>
      <c r="CD372" s="21"/>
      <c r="CE372" s="21"/>
      <c r="CF372" s="21"/>
      <c r="CG372" s="21"/>
      <c r="CH372" s="21"/>
      <c r="CI372"/>
      <c r="CJ372"/>
      <c r="CK372"/>
      <c r="CL372"/>
      <c r="CM372"/>
      <c r="CN372"/>
      <c r="CO372"/>
      <c r="DA372"/>
      <c r="DB372"/>
      <c r="DC372"/>
      <c r="DD372"/>
      <c r="DE372"/>
      <c r="DF372"/>
      <c r="DG372"/>
      <c r="DH372"/>
      <c r="DI372"/>
      <c r="DJ372"/>
      <c r="DK372"/>
      <c r="DL372"/>
      <c r="DM372"/>
      <c r="DN372"/>
      <c r="DO372"/>
      <c r="DP372"/>
      <c r="DQ372"/>
      <c r="DR372"/>
      <c r="DS372"/>
      <c r="DT372"/>
      <c r="DU372"/>
      <c r="DV372"/>
      <c r="DW372"/>
      <c r="DX372"/>
      <c r="DY372"/>
      <c r="DZ372"/>
      <c r="EA372"/>
      <c r="EB372"/>
      <c r="EC372"/>
      <c r="ED372"/>
      <c r="EE372"/>
      <c r="EF372"/>
      <c r="EG372"/>
      <c r="EH372"/>
      <c r="EI372"/>
      <c r="EJ372"/>
      <c r="EK372"/>
      <c r="EL372"/>
      <c r="EM372"/>
      <c r="EN372"/>
      <c r="EO372"/>
      <c r="EP372"/>
      <c r="EQ372"/>
      <c r="ER372"/>
      <c r="ES372"/>
      <c r="ET372"/>
      <c r="EU372"/>
      <c r="EV372"/>
      <c r="EW372"/>
    </row>
    <row r="373" spans="1:153" s="4" customFormat="1" ht="12.75" customHeight="1">
      <c r="A373" s="5"/>
      <c r="B373" s="21"/>
      <c r="C373" s="706"/>
      <c r="D373" s="5"/>
      <c r="E373" s="225"/>
      <c r="F373" s="1664"/>
      <c r="G373" s="1664"/>
      <c r="H373" s="1664"/>
      <c r="I373" s="1664"/>
      <c r="J373" s="1664"/>
      <c r="K373" s="1664"/>
      <c r="L373" s="1664"/>
      <c r="M373" s="1664"/>
      <c r="N373" s="1664"/>
      <c r="O373" s="1664"/>
      <c r="P373" s="1664"/>
      <c r="Q373" s="1664"/>
      <c r="R373" s="1664"/>
      <c r="S373" s="1664"/>
      <c r="T373" s="1664"/>
      <c r="U373" s="1664"/>
      <c r="V373" s="1664"/>
      <c r="W373" s="1664"/>
      <c r="X373" s="1664"/>
      <c r="Y373" s="1664"/>
      <c r="Z373" s="1664"/>
      <c r="AA373" s="1664"/>
      <c r="AB373" s="1664"/>
      <c r="AC373" s="1664"/>
      <c r="AD373" s="1664"/>
      <c r="AE373" s="1664"/>
      <c r="AF373" s="1664"/>
      <c r="AG373" s="3"/>
      <c r="AH373" s="3"/>
      <c r="AI373" s="3"/>
      <c r="AJ373" s="3"/>
      <c r="AK373" s="3"/>
      <c r="AL373" s="788"/>
      <c r="AM373"/>
      <c r="AN373" s="281"/>
      <c r="AO373" s="695" t="s">
        <v>185</v>
      </c>
      <c r="AP373" s="71">
        <f>IF(C452="Yes",5,0)</f>
        <v>5</v>
      </c>
      <c r="BS373" s="38"/>
      <c r="BT373" s="38"/>
      <c r="BU373" s="21"/>
      <c r="BV373" s="21"/>
      <c r="BW373" s="21"/>
      <c r="BX373" s="21"/>
      <c r="BY373" s="21"/>
      <c r="BZ373" s="21"/>
      <c r="CA373" s="21"/>
      <c r="CB373" s="21"/>
      <c r="CC373" s="21"/>
      <c r="CD373" s="21"/>
      <c r="CE373" s="21"/>
      <c r="CF373" s="21"/>
      <c r="CG373" s="21"/>
      <c r="CH373" s="21"/>
      <c r="CI373"/>
      <c r="CJ373"/>
      <c r="CK373"/>
      <c r="CL373"/>
      <c r="CM373"/>
      <c r="CN373"/>
      <c r="CO373"/>
      <c r="DH373"/>
      <c r="DI373"/>
      <c r="DJ373"/>
      <c r="DK373"/>
      <c r="DL373"/>
      <c r="DW373"/>
      <c r="DX373"/>
      <c r="DY373"/>
      <c r="DZ373"/>
      <c r="EA373"/>
      <c r="EB373"/>
      <c r="EC373"/>
      <c r="ED373"/>
      <c r="EE373"/>
      <c r="EF373"/>
      <c r="EG373"/>
      <c r="EH373"/>
      <c r="EI373"/>
      <c r="EJ373"/>
      <c r="EK373"/>
      <c r="EL373"/>
      <c r="EM373"/>
      <c r="EN373"/>
      <c r="EO373"/>
      <c r="EP373"/>
      <c r="EQ373"/>
      <c r="ER373"/>
      <c r="ES373"/>
      <c r="ET373"/>
      <c r="EU373"/>
      <c r="EV373"/>
      <c r="EW373"/>
    </row>
    <row r="374" spans="1:153" s="4" customFormat="1" ht="12.75" customHeight="1">
      <c r="A374" s="5"/>
      <c r="B374" s="21"/>
      <c r="C374" s="706"/>
      <c r="D374" s="5"/>
      <c r="E374" s="225"/>
      <c r="F374" s="1664"/>
      <c r="G374" s="1664"/>
      <c r="H374" s="1664"/>
      <c r="I374" s="1664"/>
      <c r="J374" s="1664"/>
      <c r="K374" s="1664"/>
      <c r="L374" s="1664"/>
      <c r="M374" s="1664"/>
      <c r="N374" s="1664"/>
      <c r="O374" s="1664"/>
      <c r="P374" s="1664"/>
      <c r="Q374" s="1664"/>
      <c r="R374" s="1664"/>
      <c r="S374" s="1664"/>
      <c r="T374" s="1664"/>
      <c r="U374" s="1664"/>
      <c r="V374" s="1664"/>
      <c r="W374" s="1664"/>
      <c r="X374" s="1664"/>
      <c r="Y374" s="1664"/>
      <c r="Z374" s="1664"/>
      <c r="AA374" s="1664"/>
      <c r="AB374" s="1664"/>
      <c r="AC374" s="1664"/>
      <c r="AD374" s="1664"/>
      <c r="AE374" s="1664"/>
      <c r="AF374" s="1664"/>
      <c r="AG374" s="3"/>
      <c r="AH374" s="3"/>
      <c r="AI374" s="3"/>
      <c r="AJ374" s="3"/>
      <c r="AK374" s="3"/>
      <c r="AL374" s="788"/>
      <c r="AM374"/>
      <c r="AN374" s="281"/>
      <c r="AO374" s="695" t="s">
        <v>36</v>
      </c>
      <c r="AP374" s="71">
        <f>IF(C456="Yes",5,0)</f>
        <v>0</v>
      </c>
      <c r="BS374" s="38"/>
      <c r="BT374" s="38"/>
      <c r="BU374" s="21"/>
      <c r="BV374" s="21"/>
      <c r="BW374" s="21"/>
      <c r="BX374" s="21"/>
      <c r="BY374" s="21"/>
      <c r="BZ374" s="21"/>
      <c r="CA374" s="21"/>
      <c r="CB374" s="21"/>
      <c r="CC374" s="21"/>
      <c r="CD374" s="21"/>
      <c r="CE374" s="21"/>
      <c r="CF374" s="21"/>
      <c r="CG374" s="21"/>
      <c r="CH374" s="21"/>
      <c r="CI374"/>
      <c r="CJ374"/>
      <c r="CK374"/>
      <c r="CL374"/>
      <c r="CM374"/>
      <c r="CN374"/>
      <c r="CO374"/>
      <c r="DH374"/>
      <c r="DI374"/>
      <c r="DJ374"/>
      <c r="DK374"/>
      <c r="DL374"/>
      <c r="DM374"/>
      <c r="DN374"/>
      <c r="DO374"/>
      <c r="DP374"/>
      <c r="DQ374"/>
      <c r="DR374"/>
      <c r="DS374"/>
      <c r="DT374"/>
      <c r="DU374"/>
      <c r="DV374"/>
      <c r="DW374"/>
      <c r="EG374"/>
      <c r="EH374"/>
      <c r="EI374"/>
      <c r="EJ374"/>
      <c r="EK374"/>
      <c r="EL374"/>
      <c r="EM374"/>
      <c r="EN374"/>
      <c r="EO374"/>
      <c r="EP374"/>
      <c r="EQ374"/>
      <c r="ER374"/>
      <c r="ES374"/>
      <c r="ET374"/>
      <c r="EU374"/>
      <c r="EV374"/>
      <c r="EW374"/>
    </row>
    <row r="375" spans="1:153" s="4" customFormat="1" ht="12.75" customHeight="1">
      <c r="A375" s="5"/>
      <c r="B375" s="21"/>
      <c r="C375" s="706"/>
      <c r="D375" s="5"/>
      <c r="E375" s="225"/>
      <c r="F375" s="1664"/>
      <c r="G375" s="1664"/>
      <c r="H375" s="1664"/>
      <c r="I375" s="1664"/>
      <c r="J375" s="1664"/>
      <c r="K375" s="1664"/>
      <c r="L375" s="1664"/>
      <c r="M375" s="1664"/>
      <c r="N375" s="1664"/>
      <c r="O375" s="1664"/>
      <c r="P375" s="1664"/>
      <c r="Q375" s="1664"/>
      <c r="R375" s="1664"/>
      <c r="S375" s="1664"/>
      <c r="T375" s="1664"/>
      <c r="U375" s="1664"/>
      <c r="V375" s="1664"/>
      <c r="W375" s="1664"/>
      <c r="X375" s="1664"/>
      <c r="Y375" s="1664"/>
      <c r="Z375" s="1664"/>
      <c r="AA375" s="1664"/>
      <c r="AB375" s="1664"/>
      <c r="AC375" s="1664"/>
      <c r="AD375" s="1664"/>
      <c r="AE375" s="1664"/>
      <c r="AF375" s="1664"/>
      <c r="AG375" s="3"/>
      <c r="AH375" s="3"/>
      <c r="AI375" s="3"/>
      <c r="AJ375" s="3"/>
      <c r="AK375" s="3"/>
      <c r="AL375" s="788"/>
      <c r="AM375"/>
      <c r="AN375" s="281"/>
      <c r="AO375" s="695" t="s">
        <v>37</v>
      </c>
      <c r="AP375" s="71">
        <f>IF(C465="Yes",5,0)</f>
        <v>0</v>
      </c>
      <c r="BS375" s="38"/>
      <c r="BT375" s="38"/>
      <c r="BU375" s="21"/>
      <c r="BV375" s="21"/>
      <c r="BW375" s="21"/>
      <c r="BX375" s="21"/>
      <c r="BY375" s="21"/>
      <c r="BZ375" s="21"/>
      <c r="CA375" s="21"/>
      <c r="CB375" s="21"/>
      <c r="CC375" s="21"/>
      <c r="CD375" s="21"/>
      <c r="CE375" s="21"/>
      <c r="CF375" s="21"/>
      <c r="CG375" s="21"/>
      <c r="CH375" s="21"/>
      <c r="CI375" s="40"/>
      <c r="CJ375"/>
      <c r="CK375"/>
      <c r="CL375"/>
      <c r="CM375"/>
      <c r="CN375"/>
      <c r="CO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5"/>
      <c r="B376" s="21"/>
      <c r="C376" s="1694" t="s">
        <v>116</v>
      </c>
      <c r="D376" s="1113"/>
      <c r="E376" s="225"/>
      <c r="F376" s="347" t="s">
        <v>1851</v>
      </c>
      <c r="G376" s="27"/>
      <c r="H376" s="27"/>
      <c r="I376" s="27"/>
      <c r="J376" s="27"/>
      <c r="K376" s="27"/>
      <c r="L376" s="27"/>
      <c r="M376" s="27"/>
      <c r="N376" s="27"/>
      <c r="O376" s="27"/>
      <c r="P376" s="27"/>
      <c r="Q376" s="27"/>
      <c r="R376" s="27"/>
      <c r="S376" s="27"/>
      <c r="T376" s="27"/>
      <c r="U376" s="27"/>
      <c r="V376" s="27"/>
      <c r="W376" s="27"/>
      <c r="X376" s="27"/>
      <c r="Y376" s="27"/>
      <c r="Z376" s="27"/>
      <c r="AA376" s="27"/>
      <c r="AB376" s="27"/>
      <c r="AC376" s="27"/>
      <c r="AD376" s="27"/>
      <c r="AF376" s="1577" t="s">
        <v>339</v>
      </c>
      <c r="AG376" s="1577"/>
      <c r="AH376" s="1577"/>
      <c r="AI376" s="1577"/>
      <c r="AJ376" s="1577"/>
      <c r="AK376" s="1577"/>
      <c r="AL376" s="1689"/>
      <c r="AM376" s="836"/>
      <c r="AO376" s="281"/>
      <c r="AP376" s="71"/>
      <c r="BS376" s="38"/>
      <c r="BT376" s="38"/>
      <c r="BU376" s="21"/>
      <c r="BV376" s="21"/>
      <c r="BW376" s="21"/>
      <c r="BX376" s="21"/>
      <c r="BY376" s="21"/>
      <c r="BZ376" s="21"/>
      <c r="CA376" s="21"/>
      <c r="CB376" s="21"/>
      <c r="CC376" s="21"/>
      <c r="CD376" s="21"/>
      <c r="CE376" s="21"/>
      <c r="CF376" s="21"/>
      <c r="CG376" s="21"/>
      <c r="CH376" s="21"/>
      <c r="CI376" s="40"/>
      <c r="CJ376"/>
      <c r="CK376"/>
      <c r="CL376"/>
      <c r="CM376"/>
      <c r="CN376"/>
      <c r="CO376"/>
      <c r="CP376"/>
      <c r="CQ376"/>
      <c r="CR376"/>
      <c r="CS376"/>
      <c r="CT376"/>
      <c r="CU376"/>
      <c r="CV376"/>
      <c r="CW376"/>
      <c r="CX376"/>
      <c r="CY376"/>
      <c r="CZ376"/>
      <c r="DA376"/>
      <c r="DB376"/>
      <c r="DC376"/>
      <c r="DD376"/>
      <c r="DE376"/>
      <c r="DF376"/>
      <c r="DG376"/>
      <c r="DH376"/>
      <c r="DI376"/>
      <c r="DJ376"/>
      <c r="DK376"/>
      <c r="DL376"/>
      <c r="DM376"/>
      <c r="DN376"/>
      <c r="DO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5"/>
      <c r="B377" s="21"/>
      <c r="C377" s="754"/>
      <c r="D377" s="719"/>
      <c r="E377" s="709"/>
      <c r="F377" s="819"/>
      <c r="G377" s="819"/>
      <c r="H377" s="819"/>
      <c r="I377" s="819"/>
      <c r="J377" s="819"/>
      <c r="K377" s="819"/>
      <c r="L377" s="819"/>
      <c r="M377" s="819"/>
      <c r="N377" s="819"/>
      <c r="O377" s="819"/>
      <c r="P377" s="819"/>
      <c r="Q377" s="819"/>
      <c r="R377" s="819"/>
      <c r="S377" s="819"/>
      <c r="T377" s="819"/>
      <c r="U377" s="819"/>
      <c r="V377" s="819"/>
      <c r="W377" s="819"/>
      <c r="X377" s="819"/>
      <c r="Y377" s="819"/>
      <c r="Z377" s="819"/>
      <c r="AA377" s="819"/>
      <c r="AB377" s="819"/>
      <c r="AC377" s="819"/>
      <c r="AD377" s="819"/>
      <c r="AE377" s="789"/>
      <c r="AF377" s="789"/>
      <c r="AG377" s="789"/>
      <c r="AH377" s="789"/>
      <c r="AI377" s="789"/>
      <c r="AJ377" s="789"/>
      <c r="AK377" s="789"/>
      <c r="AL377" s="790"/>
      <c r="AM377"/>
      <c r="AN377" s="281"/>
      <c r="AO377" s="696"/>
      <c r="AP377" s="55"/>
      <c r="BS377" s="38"/>
      <c r="BT377" s="38"/>
      <c r="BU377" s="21"/>
      <c r="BV377" s="21"/>
      <c r="BW377" s="21"/>
      <c r="BX377" s="21"/>
      <c r="BY377" s="21"/>
      <c r="BZ377" s="21"/>
      <c r="CA377" s="21"/>
      <c r="CB377" s="21"/>
      <c r="CC377" s="21"/>
      <c r="CD377" s="21"/>
      <c r="CE377" s="21"/>
      <c r="CF377" s="21"/>
      <c r="CG377" s="21"/>
      <c r="CH377" s="21"/>
      <c r="CI377" s="40"/>
      <c r="CJ377"/>
      <c r="CK377"/>
      <c r="CL377"/>
      <c r="CM377"/>
      <c r="CN377"/>
      <c r="CO377"/>
      <c r="DI377"/>
      <c r="DJ377"/>
      <c r="DK377"/>
      <c r="DL377"/>
      <c r="DM377"/>
      <c r="DN377"/>
      <c r="DO377"/>
      <c r="EA377"/>
      <c r="EB377"/>
      <c r="EC377"/>
      <c r="ED377"/>
      <c r="EE377"/>
      <c r="EF377"/>
      <c r="EG377"/>
      <c r="EH377"/>
      <c r="EI377"/>
      <c r="EJ377"/>
      <c r="EK377"/>
      <c r="EL377"/>
      <c r="EM377"/>
      <c r="EN377"/>
      <c r="EO377"/>
      <c r="EP377"/>
      <c r="EQ377"/>
      <c r="ER377"/>
      <c r="ES377"/>
      <c r="ET377"/>
      <c r="EU377"/>
      <c r="EV377"/>
      <c r="EW377"/>
    </row>
    <row r="378" spans="1:153" s="4" customFormat="1" ht="12.75" customHeight="1">
      <c r="A378" s="5"/>
      <c r="B378" s="21"/>
      <c r="C378"/>
      <c r="D378"/>
      <c r="E378" s="225"/>
      <c r="F378" s="347"/>
      <c r="G378" s="27"/>
      <c r="H378" s="27"/>
      <c r="I378" s="27"/>
      <c r="J378" s="27"/>
      <c r="K378" s="27"/>
      <c r="L378" s="27"/>
      <c r="M378" s="27"/>
      <c r="N378" s="27"/>
      <c r="O378" s="27"/>
      <c r="P378" s="27"/>
      <c r="Q378" s="27"/>
      <c r="R378" s="27"/>
      <c r="S378" s="27"/>
      <c r="T378" s="27"/>
      <c r="U378" s="27"/>
      <c r="V378" s="27"/>
      <c r="W378" s="27"/>
      <c r="X378" s="27"/>
      <c r="Y378" s="27"/>
      <c r="Z378" s="27"/>
      <c r="AA378" s="27"/>
      <c r="AB378" s="27"/>
      <c r="AC378" s="27"/>
      <c r="AD378" s="27"/>
      <c r="AF378" s="3"/>
      <c r="AG378" s="3"/>
      <c r="AH378" s="3"/>
      <c r="AI378" s="3"/>
      <c r="AJ378" s="3"/>
      <c r="AK378" s="3"/>
      <c r="AL378" s="3"/>
      <c r="AM378"/>
      <c r="AN378" s="281"/>
      <c r="AO378" s="167" t="s">
        <v>645</v>
      </c>
      <c r="AP378" s="3">
        <f>SUM(AP366:AP377)</f>
        <v>10</v>
      </c>
      <c r="AQ378" s="1225">
        <f>IF(AP378&gt;0,AP378,0)</f>
        <v>10</v>
      </c>
      <c r="AR378" s="1225"/>
      <c r="BS378" s="38"/>
      <c r="BT378" s="38"/>
      <c r="BU378" s="21"/>
      <c r="BV378" s="21"/>
      <c r="BW378" s="21"/>
      <c r="BX378" s="21"/>
      <c r="BY378" s="21"/>
      <c r="BZ378" s="21"/>
      <c r="CA378" s="21"/>
      <c r="CB378" s="21"/>
      <c r="CC378" s="21"/>
      <c r="CD378" s="21"/>
      <c r="CE378" s="21"/>
      <c r="CF378" s="21"/>
      <c r="CG378" s="21"/>
      <c r="CH378" s="21"/>
      <c r="CI378" s="40"/>
      <c r="CJ378"/>
      <c r="CK378"/>
      <c r="CL378"/>
      <c r="CM378"/>
      <c r="CN378"/>
      <c r="CO378"/>
      <c r="CZ378"/>
      <c r="DA378"/>
      <c r="DB378"/>
      <c r="DC378"/>
      <c r="DD378"/>
      <c r="DE378"/>
      <c r="DF378"/>
      <c r="DG378"/>
      <c r="DH378"/>
      <c r="DI378"/>
      <c r="DJ378"/>
      <c r="DK378"/>
      <c r="DL378"/>
      <c r="DM378"/>
      <c r="DN378"/>
      <c r="DO378"/>
      <c r="EA378"/>
      <c r="EB378"/>
      <c r="EC378"/>
      <c r="ED378"/>
      <c r="EE378"/>
      <c r="EF378"/>
      <c r="EG378"/>
      <c r="EH378"/>
      <c r="EI378"/>
      <c r="EJ378"/>
      <c r="EK378"/>
      <c r="EL378"/>
      <c r="EM378"/>
      <c r="EN378"/>
      <c r="EO378"/>
      <c r="EP378"/>
      <c r="EQ378"/>
      <c r="ER378"/>
      <c r="ES378"/>
      <c r="ET378"/>
      <c r="EU378"/>
      <c r="EV378"/>
      <c r="EW378"/>
    </row>
    <row r="379" spans="1:153" s="4" customFormat="1" ht="12.75" hidden="1" customHeight="1">
      <c r="A379" s="5"/>
      <c r="B379" s="21"/>
      <c r="C379" s="1"/>
      <c r="D379" s="1"/>
      <c r="E379" s="225"/>
      <c r="F379" s="347"/>
      <c r="G379" s="27"/>
      <c r="H379" s="27"/>
      <c r="I379" s="27"/>
      <c r="J379" s="27"/>
      <c r="K379" s="27"/>
      <c r="L379" s="27"/>
      <c r="M379" s="27"/>
      <c r="N379" s="27"/>
      <c r="O379" s="27"/>
      <c r="P379" s="27"/>
      <c r="Q379" s="27"/>
      <c r="R379" s="27"/>
      <c r="S379" s="27"/>
      <c r="T379" s="27"/>
      <c r="U379" s="27"/>
      <c r="V379" s="27"/>
      <c r="W379" s="27"/>
      <c r="X379" s="27"/>
      <c r="Y379" s="27"/>
      <c r="Z379" s="27"/>
      <c r="AA379" s="27"/>
      <c r="AB379" s="27"/>
      <c r="AC379" s="27"/>
      <c r="AD379" s="27"/>
      <c r="AL379" s="18"/>
      <c r="AM379"/>
      <c r="AN379" s="281"/>
      <c r="CC379" s="21"/>
      <c r="CD379" s="21"/>
      <c r="CE379" s="21"/>
      <c r="CF379" s="21"/>
      <c r="CG379" s="21"/>
      <c r="CH379" s="21"/>
      <c r="CI379" s="40"/>
      <c r="CJ379"/>
      <c r="CK379"/>
      <c r="CL379"/>
      <c r="CM379"/>
      <c r="CN379"/>
      <c r="DI379"/>
      <c r="DJ379"/>
      <c r="DK379"/>
      <c r="DL379"/>
      <c r="DM379"/>
      <c r="DN379"/>
      <c r="DO379"/>
      <c r="DP379"/>
      <c r="DQ379"/>
      <c r="DR379"/>
      <c r="DS379"/>
      <c r="DT379"/>
      <c r="DU379"/>
      <c r="DV379"/>
      <c r="DW379"/>
      <c r="DX379"/>
      <c r="DY379"/>
      <c r="DZ379"/>
      <c r="EA379"/>
      <c r="EB379"/>
      <c r="EC379"/>
      <c r="ED379"/>
      <c r="EE379"/>
      <c r="EF379"/>
      <c r="EG379"/>
      <c r="EH379"/>
      <c r="EI379"/>
      <c r="EJ379"/>
      <c r="EK379"/>
      <c r="EL379"/>
      <c r="EM379"/>
      <c r="EN379"/>
      <c r="EO379"/>
      <c r="EP379"/>
      <c r="EQ379"/>
      <c r="ER379"/>
      <c r="ES379"/>
      <c r="ET379"/>
      <c r="EU379"/>
      <c r="EV379"/>
      <c r="EW379"/>
    </row>
    <row r="380" spans="1:153" s="4" customFormat="1" ht="12.75" hidden="1" customHeight="1">
      <c r="A380" s="5"/>
      <c r="B380" s="21"/>
      <c r="C380" s="1"/>
      <c r="D380" s="1"/>
      <c r="E380" s="225"/>
      <c r="F380" s="49"/>
      <c r="G380" s="49"/>
      <c r="H380" s="49"/>
      <c r="I380" s="49"/>
      <c r="J380" s="49"/>
      <c r="K380" s="49"/>
      <c r="L380" s="49"/>
      <c r="M380" s="49"/>
      <c r="N380" s="49"/>
      <c r="O380" s="49"/>
      <c r="P380" s="49"/>
      <c r="Q380" s="49"/>
      <c r="R380" s="49"/>
      <c r="S380" s="49"/>
      <c r="T380" s="49"/>
      <c r="U380" s="49"/>
      <c r="V380" s="49"/>
      <c r="W380" s="49"/>
      <c r="X380" s="49"/>
      <c r="Y380" s="49"/>
      <c r="Z380" s="49"/>
      <c r="AA380" s="49"/>
      <c r="AB380" s="49"/>
      <c r="AC380" s="49"/>
      <c r="AD380" s="49"/>
      <c r="AE380" s="18"/>
      <c r="AF380" s="18"/>
      <c r="AG380" s="18"/>
      <c r="AH380" s="18"/>
      <c r="AI380" s="18"/>
      <c r="AJ380" s="18"/>
      <c r="AK380" s="18"/>
      <c r="AL380" s="18"/>
      <c r="AM380"/>
      <c r="AN380" s="281"/>
      <c r="BS380" s="38"/>
      <c r="BT380" s="38"/>
      <c r="BU380" s="21"/>
      <c r="BV380" s="21"/>
      <c r="BW380" s="21"/>
      <c r="BX380" s="21"/>
      <c r="BY380" s="21"/>
      <c r="BZ380" s="21"/>
      <c r="CA380" s="21"/>
      <c r="CB380" s="21"/>
      <c r="CC380" s="21"/>
      <c r="CD380" s="21"/>
      <c r="CE380" s="21"/>
      <c r="CF380" s="21"/>
      <c r="CG380" s="21"/>
      <c r="CH380" s="21"/>
      <c r="CI380"/>
      <c r="CJ380"/>
      <c r="CK380"/>
      <c r="CL380"/>
      <c r="CM380"/>
      <c r="CN380"/>
      <c r="DI380"/>
      <c r="DJ380"/>
      <c r="DK380"/>
      <c r="DL380"/>
      <c r="DM380"/>
      <c r="DN380"/>
      <c r="DO380"/>
      <c r="DP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5"/>
      <c r="B381" s="21"/>
      <c r="C381" s="703"/>
      <c r="D381" s="704"/>
      <c r="E381" s="705" t="s">
        <v>201</v>
      </c>
      <c r="F381" s="1690" t="s">
        <v>1858</v>
      </c>
      <c r="G381" s="1690"/>
      <c r="H381" s="1690"/>
      <c r="I381" s="1690"/>
      <c r="J381" s="1690"/>
      <c r="K381" s="1690"/>
      <c r="L381" s="1690"/>
      <c r="M381" s="1690"/>
      <c r="N381" s="1690"/>
      <c r="O381" s="1690"/>
      <c r="P381" s="1690"/>
      <c r="Q381" s="1690"/>
      <c r="R381" s="1690"/>
      <c r="S381" s="1690"/>
      <c r="T381" s="1690"/>
      <c r="U381" s="1690"/>
      <c r="V381" s="1690"/>
      <c r="W381" s="1690"/>
      <c r="X381" s="1690"/>
      <c r="Y381" s="1690"/>
      <c r="Z381" s="1690"/>
      <c r="AA381" s="1690"/>
      <c r="AB381" s="1690"/>
      <c r="AC381" s="1690"/>
      <c r="AD381" s="1690"/>
      <c r="AE381" s="1690"/>
      <c r="AF381" s="1690"/>
      <c r="AG381" s="750"/>
      <c r="AH381" s="750"/>
      <c r="AI381" s="750"/>
      <c r="AJ381" s="750"/>
      <c r="AK381" s="750"/>
      <c r="AL381" s="792"/>
      <c r="AM381"/>
      <c r="AN381" s="281"/>
      <c r="BS381" s="38"/>
      <c r="BT381" s="38"/>
      <c r="BU381" s="21"/>
      <c r="BV381" s="21"/>
      <c r="BW381" s="21"/>
      <c r="BX381" s="21"/>
      <c r="BY381" s="21"/>
      <c r="BZ381" s="21"/>
      <c r="CA381" s="21"/>
      <c r="CB381" s="21"/>
      <c r="CC381" s="21"/>
      <c r="CD381" s="21"/>
      <c r="CE381" s="21"/>
      <c r="CF381" s="21"/>
      <c r="CG381" s="21"/>
      <c r="CH381" s="21"/>
      <c r="CI381"/>
      <c r="CJ381"/>
      <c r="CK381"/>
      <c r="CL381"/>
      <c r="CM381"/>
      <c r="CN381"/>
      <c r="DI381"/>
      <c r="DJ381"/>
      <c r="DK381"/>
      <c r="DL381"/>
      <c r="DM381"/>
      <c r="DN381"/>
      <c r="DO381"/>
      <c r="DP381"/>
      <c r="EA381"/>
      <c r="EB381"/>
      <c r="EC381"/>
      <c r="ED381"/>
      <c r="EE381"/>
      <c r="EF381"/>
      <c r="EG381"/>
      <c r="EH381"/>
      <c r="EI381"/>
      <c r="EJ381"/>
      <c r="EK381"/>
      <c r="EL381"/>
      <c r="EM381"/>
      <c r="EN381"/>
      <c r="EO381"/>
      <c r="EP381"/>
      <c r="EQ381"/>
      <c r="ER381"/>
      <c r="ES381"/>
      <c r="ET381"/>
      <c r="EU381"/>
      <c r="EV381"/>
      <c r="EW381"/>
    </row>
    <row r="382" spans="1:153" s="4" customFormat="1" ht="12.75" customHeight="1">
      <c r="A382" s="5"/>
      <c r="B382" s="21"/>
      <c r="C382" s="711"/>
      <c r="D382" s="21"/>
      <c r="E382" s="194"/>
      <c r="F382" s="1664"/>
      <c r="G382" s="1664"/>
      <c r="H382" s="1664"/>
      <c r="I382" s="1664"/>
      <c r="J382" s="1664"/>
      <c r="K382" s="1664"/>
      <c r="L382" s="1664"/>
      <c r="M382" s="1664"/>
      <c r="N382" s="1664"/>
      <c r="O382" s="1664"/>
      <c r="P382" s="1664"/>
      <c r="Q382" s="1664"/>
      <c r="R382" s="1664"/>
      <c r="S382" s="1664"/>
      <c r="T382" s="1664"/>
      <c r="U382" s="1664"/>
      <c r="V382" s="1664"/>
      <c r="W382" s="1664"/>
      <c r="X382" s="1664"/>
      <c r="Y382" s="1664"/>
      <c r="Z382" s="1664"/>
      <c r="AA382" s="1664"/>
      <c r="AB382" s="1664"/>
      <c r="AC382" s="1664"/>
      <c r="AD382" s="1664"/>
      <c r="AE382" s="1664"/>
      <c r="AF382" s="1664"/>
      <c r="AG382" s="3"/>
      <c r="AH382" s="3"/>
      <c r="AI382" s="3"/>
      <c r="AJ382" s="3"/>
      <c r="AK382" s="3"/>
      <c r="AL382" s="788"/>
      <c r="AM382"/>
      <c r="AN382" s="281"/>
      <c r="BS382" s="38"/>
      <c r="BT382" s="38"/>
      <c r="BU382" s="21"/>
      <c r="BV382" s="21"/>
      <c r="BW382" s="21"/>
      <c r="BX382" s="21"/>
      <c r="BY382" s="21"/>
      <c r="BZ382" s="21"/>
      <c r="CA382" s="21"/>
      <c r="CB382" s="21"/>
      <c r="CC382" s="21"/>
      <c r="CD382" s="21"/>
      <c r="CE382" s="21"/>
      <c r="CF382" s="21"/>
      <c r="CG382" s="21"/>
      <c r="CH382" s="21"/>
      <c r="CI382"/>
      <c r="CJ382"/>
      <c r="CK382"/>
      <c r="CL382"/>
      <c r="CM382"/>
      <c r="CN382"/>
      <c r="DI382"/>
      <c r="DJ382"/>
      <c r="DK382"/>
      <c r="DL382"/>
      <c r="DM382"/>
      <c r="DN382"/>
      <c r="DO382"/>
      <c r="DP382"/>
      <c r="EA382"/>
      <c r="EB382"/>
      <c r="EC382"/>
      <c r="ED382"/>
      <c r="EE382"/>
      <c r="EF382"/>
      <c r="EG382"/>
      <c r="EH382"/>
      <c r="EI382"/>
      <c r="EJ382"/>
      <c r="EK382"/>
      <c r="EL382"/>
      <c r="EM382"/>
      <c r="EN382"/>
      <c r="EO382"/>
      <c r="EP382"/>
      <c r="EQ382"/>
      <c r="ER382"/>
      <c r="ES382"/>
      <c r="ET382"/>
      <c r="EU382"/>
      <c r="EV382"/>
      <c r="EW382"/>
    </row>
    <row r="383" spans="1:153" s="4" customFormat="1" ht="12.75" customHeight="1">
      <c r="A383" s="5"/>
      <c r="B383" s="21"/>
      <c r="C383" s="711"/>
      <c r="D383" s="21"/>
      <c r="E383" s="194"/>
      <c r="F383" s="1664"/>
      <c r="G383" s="1664"/>
      <c r="H383" s="1664"/>
      <c r="I383" s="1664"/>
      <c r="J383" s="1664"/>
      <c r="K383" s="1664"/>
      <c r="L383" s="1664"/>
      <c r="M383" s="1664"/>
      <c r="N383" s="1664"/>
      <c r="O383" s="1664"/>
      <c r="P383" s="1664"/>
      <c r="Q383" s="1664"/>
      <c r="R383" s="1664"/>
      <c r="S383" s="1664"/>
      <c r="T383" s="1664"/>
      <c r="U383" s="1664"/>
      <c r="V383" s="1664"/>
      <c r="W383" s="1664"/>
      <c r="X383" s="1664"/>
      <c r="Y383" s="1664"/>
      <c r="Z383" s="1664"/>
      <c r="AA383" s="1664"/>
      <c r="AB383" s="1664"/>
      <c r="AC383" s="1664"/>
      <c r="AD383" s="1664"/>
      <c r="AE383" s="1664"/>
      <c r="AF383" s="1664"/>
      <c r="AG383" s="3"/>
      <c r="AH383" s="3"/>
      <c r="AI383" s="3"/>
      <c r="AJ383" s="3"/>
      <c r="AK383" s="3"/>
      <c r="AL383" s="788"/>
      <c r="AM383"/>
      <c r="AN383" s="281"/>
      <c r="BS383" s="38"/>
      <c r="BT383" s="38"/>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DQ383"/>
      <c r="DR383"/>
      <c r="DS383"/>
      <c r="DT383"/>
      <c r="DU383"/>
      <c r="DV383"/>
      <c r="DW383"/>
      <c r="DX383"/>
      <c r="DY383"/>
      <c r="DZ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5"/>
      <c r="B384" s="21"/>
      <c r="C384" s="711"/>
      <c r="D384" s="21"/>
      <c r="E384" s="194"/>
      <c r="F384" s="1664"/>
      <c r="G384" s="1664"/>
      <c r="H384" s="1664"/>
      <c r="I384" s="1664"/>
      <c r="J384" s="1664"/>
      <c r="K384" s="1664"/>
      <c r="L384" s="1664"/>
      <c r="M384" s="1664"/>
      <c r="N384" s="1664"/>
      <c r="O384" s="1664"/>
      <c r="P384" s="1664"/>
      <c r="Q384" s="1664"/>
      <c r="R384" s="1664"/>
      <c r="S384" s="1664"/>
      <c r="T384" s="1664"/>
      <c r="U384" s="1664"/>
      <c r="V384" s="1664"/>
      <c r="W384" s="1664"/>
      <c r="X384" s="1664"/>
      <c r="Y384" s="1664"/>
      <c r="Z384" s="1664"/>
      <c r="AA384" s="1664"/>
      <c r="AB384" s="1664"/>
      <c r="AC384" s="1664"/>
      <c r="AD384" s="1664"/>
      <c r="AE384" s="1664"/>
      <c r="AF384" s="1664"/>
      <c r="AG384" s="3"/>
      <c r="AH384" s="3"/>
      <c r="AI384" s="3"/>
      <c r="AJ384" s="3"/>
      <c r="AK384" s="3"/>
      <c r="AL384" s="788"/>
      <c r="AM384"/>
      <c r="AN384" s="281"/>
      <c r="BS384" s="38"/>
      <c r="BT384" s="38"/>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Y384"/>
      <c r="DZ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5"/>
      <c r="B385" s="21"/>
      <c r="C385" s="711"/>
      <c r="D385" s="21"/>
      <c r="E385" s="194"/>
      <c r="F385" s="1664"/>
      <c r="G385" s="1664"/>
      <c r="H385" s="1664"/>
      <c r="I385" s="1664"/>
      <c r="J385" s="1664"/>
      <c r="K385" s="1664"/>
      <c r="L385" s="1664"/>
      <c r="M385" s="1664"/>
      <c r="N385" s="1664"/>
      <c r="O385" s="1664"/>
      <c r="P385" s="1664"/>
      <c r="Q385" s="1664"/>
      <c r="R385" s="1664"/>
      <c r="S385" s="1664"/>
      <c r="T385" s="1664"/>
      <c r="U385" s="1664"/>
      <c r="V385" s="1664"/>
      <c r="W385" s="1664"/>
      <c r="X385" s="1664"/>
      <c r="Y385" s="1664"/>
      <c r="Z385" s="1664"/>
      <c r="AA385" s="1664"/>
      <c r="AB385" s="1664"/>
      <c r="AC385" s="1664"/>
      <c r="AD385" s="1664"/>
      <c r="AE385" s="1664"/>
      <c r="AF385" s="1664"/>
      <c r="AL385" s="712"/>
      <c r="AN385" s="281"/>
      <c r="BS385" s="38"/>
      <c r="BT385" s="38"/>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Y385"/>
      <c r="DZ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5"/>
      <c r="B386" s="21"/>
      <c r="C386" s="1694" t="s">
        <v>132</v>
      </c>
      <c r="D386" s="1113"/>
      <c r="E386" s="194"/>
      <c r="F386" s="347" t="s">
        <v>1852</v>
      </c>
      <c r="G386" s="27"/>
      <c r="H386" s="27"/>
      <c r="I386" s="27"/>
      <c r="J386" s="27"/>
      <c r="K386" s="27"/>
      <c r="L386" s="27"/>
      <c r="M386" s="27"/>
      <c r="N386" s="27"/>
      <c r="O386" s="27"/>
      <c r="P386" s="27"/>
      <c r="Q386" s="27"/>
      <c r="R386" s="27"/>
      <c r="S386" s="27"/>
      <c r="T386" s="27"/>
      <c r="U386" s="27"/>
      <c r="V386" s="27"/>
      <c r="W386" s="27"/>
      <c r="X386" s="27"/>
      <c r="Y386" s="27"/>
      <c r="Z386" s="27"/>
      <c r="AA386" s="27"/>
      <c r="AB386" s="27"/>
      <c r="AC386" s="27"/>
      <c r="AD386" s="27"/>
      <c r="AF386" s="1577" t="s">
        <v>339</v>
      </c>
      <c r="AG386" s="1577"/>
      <c r="AH386" s="1577"/>
      <c r="AI386" s="1577"/>
      <c r="AJ386" s="1577"/>
      <c r="AK386" s="1577"/>
      <c r="AL386" s="1689"/>
      <c r="AM386"/>
      <c r="AN386" s="281"/>
      <c r="BS386" s="38"/>
      <c r="BT386" s="38"/>
      <c r="BU386" s="21"/>
      <c r="BV386" s="21"/>
      <c r="BW386" s="21"/>
      <c r="BX386" s="21"/>
      <c r="BY386" s="21"/>
      <c r="BZ386" s="21"/>
      <c r="CA386" s="21"/>
      <c r="CB386" s="21"/>
      <c r="CC386" s="21"/>
      <c r="CD386" s="21"/>
      <c r="CE386" s="21"/>
      <c r="CF386" s="21"/>
      <c r="CG386" s="21"/>
      <c r="CH386" s="21"/>
      <c r="CI386"/>
      <c r="CJ386"/>
      <c r="CK386"/>
      <c r="CL386"/>
      <c r="CM386"/>
      <c r="CN386"/>
      <c r="EK386"/>
      <c r="EL386"/>
      <c r="EM386"/>
      <c r="EN386"/>
      <c r="EO386"/>
      <c r="EP386"/>
      <c r="EQ386"/>
      <c r="ER386"/>
      <c r="ES386"/>
      <c r="ET386"/>
      <c r="EU386"/>
      <c r="EV386"/>
      <c r="EW386"/>
    </row>
    <row r="387" spans="1:153" s="4" customFormat="1" ht="12.75" customHeight="1">
      <c r="A387" s="5"/>
      <c r="B387" s="21"/>
      <c r="C387" s="754"/>
      <c r="D387" s="719"/>
      <c r="E387" s="709"/>
      <c r="F387" s="819"/>
      <c r="G387" s="819"/>
      <c r="H387" s="819"/>
      <c r="I387" s="819"/>
      <c r="J387" s="819"/>
      <c r="K387" s="819"/>
      <c r="L387" s="819"/>
      <c r="M387" s="819"/>
      <c r="N387" s="819"/>
      <c r="O387" s="819"/>
      <c r="P387" s="819"/>
      <c r="Q387" s="819"/>
      <c r="R387" s="819"/>
      <c r="S387" s="819"/>
      <c r="T387" s="819"/>
      <c r="U387" s="819"/>
      <c r="V387" s="819"/>
      <c r="W387" s="819"/>
      <c r="X387" s="819"/>
      <c r="Y387" s="819"/>
      <c r="Z387" s="819"/>
      <c r="AA387" s="819"/>
      <c r="AB387" s="819"/>
      <c r="AC387" s="819"/>
      <c r="AD387" s="819"/>
      <c r="AE387" s="789"/>
      <c r="AF387" s="789"/>
      <c r="AG387" s="789"/>
      <c r="AH387" s="789"/>
      <c r="AI387" s="789"/>
      <c r="AJ387" s="789"/>
      <c r="AK387" s="789"/>
      <c r="AL387" s="790"/>
      <c r="AM387"/>
      <c r="AN387" s="281"/>
      <c r="BS387" s="38"/>
      <c r="BT387" s="38"/>
      <c r="BU387" s="21"/>
      <c r="BV387" s="21"/>
      <c r="BW387" s="21"/>
      <c r="BX387" s="21"/>
      <c r="BY387" s="21"/>
      <c r="BZ387" s="21"/>
      <c r="CA387" s="21"/>
      <c r="CB387" s="21"/>
      <c r="CC387" s="21"/>
      <c r="CD387" s="21"/>
      <c r="CE387" s="21"/>
      <c r="CF387" s="21"/>
      <c r="CG387" s="21"/>
      <c r="CH387" s="21"/>
      <c r="CI387"/>
      <c r="CJ387"/>
      <c r="CK387"/>
      <c r="CL387"/>
      <c r="CM387"/>
      <c r="CN387"/>
      <c r="EK387"/>
      <c r="EL387"/>
      <c r="EM387"/>
      <c r="EN387"/>
      <c r="EO387"/>
      <c r="EP387"/>
      <c r="EQ387"/>
      <c r="ER387"/>
      <c r="ES387"/>
      <c r="ET387"/>
      <c r="EU387"/>
      <c r="EV387"/>
      <c r="EW387"/>
    </row>
    <row r="388" spans="1:153" s="20" customFormat="1" ht="12.75" customHeight="1">
      <c r="A388" s="5"/>
      <c r="B388" s="21"/>
      <c r="C388" s="1278"/>
      <c r="D388" s="1278"/>
      <c r="E388" s="225"/>
      <c r="F388" s="348"/>
      <c r="G388" s="49"/>
      <c r="H388" s="49"/>
      <c r="I388" s="49"/>
      <c r="J388" s="49"/>
      <c r="K388" s="49"/>
      <c r="L388" s="49"/>
      <c r="M388" s="49"/>
      <c r="N388" s="49"/>
      <c r="O388" s="49"/>
      <c r="P388" s="49"/>
      <c r="Q388" s="49"/>
      <c r="R388" s="49"/>
      <c r="S388" s="49"/>
      <c r="T388" s="49"/>
      <c r="U388" s="49"/>
      <c r="V388" s="49"/>
      <c r="W388" s="49"/>
      <c r="X388" s="49"/>
      <c r="Y388" s="49"/>
      <c r="Z388" s="49"/>
      <c r="AA388" s="49"/>
      <c r="AB388" s="49"/>
      <c r="AC388" s="49"/>
      <c r="AD388" s="49"/>
      <c r="AF388" s="1577"/>
      <c r="AG388" s="1577"/>
      <c r="AH388" s="1577"/>
      <c r="AI388" s="1577"/>
      <c r="AJ388" s="1577"/>
      <c r="AK388" s="1577"/>
      <c r="AL388" s="1577"/>
      <c r="AM388"/>
      <c r="AN388" s="298"/>
      <c r="BS388" s="38"/>
      <c r="BT388" s="38"/>
      <c r="BU388" s="21"/>
      <c r="BV388" s="21"/>
      <c r="BW388" s="21"/>
      <c r="BX388" s="21"/>
      <c r="BY388" s="21"/>
      <c r="BZ388" s="21"/>
      <c r="CA388" s="21"/>
      <c r="CB388" s="21"/>
      <c r="CC388" s="21"/>
      <c r="CD388" s="21"/>
      <c r="CE388" s="21"/>
      <c r="CF388" s="21"/>
      <c r="CG388" s="21"/>
      <c r="CH388" s="21"/>
      <c r="CI388"/>
      <c r="CJ388"/>
      <c r="CK388"/>
      <c r="CL388"/>
      <c r="CM388"/>
      <c r="CN388"/>
      <c r="EK388"/>
      <c r="EL388"/>
      <c r="EM388"/>
      <c r="EN388"/>
      <c r="EO388"/>
      <c r="EP388"/>
      <c r="EQ388"/>
      <c r="ER388"/>
      <c r="ES388"/>
      <c r="ET388"/>
      <c r="EU388"/>
      <c r="EV388"/>
      <c r="EW388"/>
    </row>
    <row r="389" spans="1:153" s="4" customFormat="1" ht="12.75" hidden="1" customHeight="1">
      <c r="A389" s="5"/>
      <c r="B389" s="21"/>
      <c r="C389" s="21"/>
      <c r="D389" s="21"/>
      <c r="E389" s="194"/>
      <c r="F389" s="348"/>
      <c r="G389" s="49"/>
      <c r="H389" s="49"/>
      <c r="I389" s="49"/>
      <c r="J389" s="49"/>
      <c r="K389" s="49"/>
      <c r="L389" s="49"/>
      <c r="M389" s="49"/>
      <c r="N389" s="49"/>
      <c r="O389" s="49"/>
      <c r="P389" s="49"/>
      <c r="Q389" s="49"/>
      <c r="R389" s="49"/>
      <c r="S389" s="49"/>
      <c r="T389" s="49"/>
      <c r="U389" s="49"/>
      <c r="V389" s="49"/>
      <c r="W389" s="49"/>
      <c r="X389" s="49"/>
      <c r="Y389" s="49"/>
      <c r="Z389" s="49"/>
      <c r="AA389" s="49"/>
      <c r="AB389" s="49"/>
      <c r="AC389" s="49"/>
      <c r="AD389" s="49"/>
      <c r="AE389" s="5"/>
      <c r="AF389" s="3"/>
      <c r="AG389" s="5"/>
      <c r="AM389"/>
      <c r="AN389" s="281"/>
      <c r="BS389" s="38"/>
      <c r="BT389" s="38"/>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hidden="1" customHeight="1">
      <c r="A390" s="5"/>
      <c r="B390" s="21"/>
      <c r="C390" s="21"/>
      <c r="D390" s="21"/>
      <c r="E390" s="194"/>
      <c r="F390" s="49"/>
      <c r="G390" s="49"/>
      <c r="H390" s="49"/>
      <c r="I390" s="49"/>
      <c r="J390" s="49"/>
      <c r="K390" s="49"/>
      <c r="L390" s="49"/>
      <c r="M390" s="49"/>
      <c r="N390" s="49"/>
      <c r="O390" s="49"/>
      <c r="P390" s="49"/>
      <c r="Q390" s="49"/>
      <c r="R390" s="49"/>
      <c r="S390" s="49"/>
      <c r="T390" s="49"/>
      <c r="U390" s="49"/>
      <c r="V390" s="49"/>
      <c r="W390" s="49"/>
      <c r="X390" s="49"/>
      <c r="Y390" s="49"/>
      <c r="Z390" s="49"/>
      <c r="AA390" s="49"/>
      <c r="AB390" s="49"/>
      <c r="AC390" s="49"/>
      <c r="AD390" s="49"/>
      <c r="AE390" s="5"/>
      <c r="AF390" s="3"/>
      <c r="AG390" s="5"/>
      <c r="AM390"/>
      <c r="AN390" s="281"/>
      <c r="BS390" s="38"/>
      <c r="BT390" s="38"/>
      <c r="BU390" s="21"/>
      <c r="BV390" s="21"/>
      <c r="BW390" s="21"/>
      <c r="BX390" s="21"/>
      <c r="BY390" s="21"/>
      <c r="BZ390" s="21"/>
      <c r="CA390" s="21"/>
      <c r="CB390" s="21"/>
      <c r="CC390" s="21"/>
      <c r="CD390" s="21"/>
      <c r="CE390" s="21"/>
      <c r="CF390" s="21"/>
      <c r="CG390" s="21"/>
      <c r="CH390" s="21"/>
      <c r="CI390"/>
      <c r="CJ390"/>
      <c r="CK390"/>
      <c r="CL390"/>
      <c r="CM390"/>
      <c r="CN390"/>
      <c r="CO390"/>
      <c r="CP390"/>
      <c r="CQ390"/>
      <c r="CR390"/>
      <c r="CS390"/>
      <c r="CT390"/>
      <c r="CU390"/>
      <c r="CV390"/>
      <c r="CW390"/>
      <c r="CX390"/>
      <c r="DD390"/>
      <c r="DE390"/>
      <c r="DF390"/>
      <c r="EK390"/>
      <c r="EL390"/>
      <c r="EM390"/>
      <c r="EN390"/>
      <c r="EO390"/>
      <c r="EP390"/>
      <c r="EQ390"/>
      <c r="ER390"/>
      <c r="ES390"/>
      <c r="ET390"/>
      <c r="EU390"/>
      <c r="EV390"/>
      <c r="EW390"/>
    </row>
    <row r="391" spans="1:153" s="4" customFormat="1" ht="12.75" customHeight="1">
      <c r="A391" s="5"/>
      <c r="B391" s="21"/>
      <c r="C391" s="703"/>
      <c r="D391" s="704"/>
      <c r="E391" s="705" t="s">
        <v>202</v>
      </c>
      <c r="F391" s="1852" t="s">
        <v>2041</v>
      </c>
      <c r="G391" s="1852"/>
      <c r="H391" s="1852"/>
      <c r="I391" s="1852"/>
      <c r="J391" s="1852"/>
      <c r="K391" s="1852"/>
      <c r="L391" s="1852"/>
      <c r="M391" s="1852"/>
      <c r="N391" s="1852"/>
      <c r="O391" s="1852"/>
      <c r="P391" s="1852"/>
      <c r="Q391" s="1852"/>
      <c r="R391" s="1852"/>
      <c r="S391" s="1852"/>
      <c r="T391" s="1852"/>
      <c r="U391" s="1852"/>
      <c r="V391" s="1852"/>
      <c r="W391" s="1852"/>
      <c r="X391" s="1852"/>
      <c r="Y391" s="1852"/>
      <c r="Z391" s="1852"/>
      <c r="AA391" s="1852"/>
      <c r="AB391" s="1852"/>
      <c r="AC391" s="1852"/>
      <c r="AD391" s="1852"/>
      <c r="AE391" s="1852"/>
      <c r="AF391" s="1852"/>
      <c r="AG391" s="750"/>
      <c r="AH391" s="750"/>
      <c r="AI391" s="750"/>
      <c r="AJ391" s="750"/>
      <c r="AK391" s="750"/>
      <c r="AL391" s="792"/>
      <c r="AM391"/>
      <c r="AN391" s="281"/>
      <c r="BS391"/>
      <c r="BT391"/>
      <c r="BU391"/>
      <c r="BV391"/>
      <c r="BW391"/>
      <c r="BX391"/>
      <c r="BY391"/>
      <c r="BZ391"/>
      <c r="CA391"/>
      <c r="CB391"/>
      <c r="CC391"/>
      <c r="CD391"/>
      <c r="CE391"/>
      <c r="CF391"/>
      <c r="CG391"/>
      <c r="CH391"/>
      <c r="CI391"/>
      <c r="CJ391"/>
      <c r="CK391"/>
      <c r="CL391"/>
      <c r="CM391"/>
      <c r="CN391"/>
      <c r="CO391"/>
      <c r="CP391"/>
      <c r="CQ391"/>
      <c r="CR391"/>
      <c r="CS391"/>
      <c r="CT391"/>
      <c r="CU391"/>
      <c r="CV391"/>
      <c r="CW391"/>
      <c r="CX391"/>
      <c r="CY391"/>
      <c r="CZ391"/>
      <c r="DA391"/>
      <c r="DB391"/>
      <c r="DC391"/>
      <c r="DD391"/>
      <c r="DE391"/>
      <c r="DF391"/>
      <c r="EK391"/>
      <c r="EL391"/>
      <c r="EM391"/>
      <c r="EN391"/>
      <c r="EO391"/>
      <c r="EP391"/>
      <c r="EQ391"/>
      <c r="ER391"/>
      <c r="ES391"/>
      <c r="ET391"/>
      <c r="EU391"/>
      <c r="EV391"/>
      <c r="EW391"/>
    </row>
    <row r="392" spans="1:153" s="4" customFormat="1" ht="12.75" customHeight="1">
      <c r="A392" s="5"/>
      <c r="B392" s="21"/>
      <c r="C392" s="711"/>
      <c r="D392" s="21"/>
      <c r="E392" s="194"/>
      <c r="F392" s="1677"/>
      <c r="G392" s="1677"/>
      <c r="H392" s="1677"/>
      <c r="I392" s="1677"/>
      <c r="J392" s="1677"/>
      <c r="K392" s="1677"/>
      <c r="L392" s="1677"/>
      <c r="M392" s="1677"/>
      <c r="N392" s="1677"/>
      <c r="O392" s="1677"/>
      <c r="P392" s="1677"/>
      <c r="Q392" s="1677"/>
      <c r="R392" s="1677"/>
      <c r="S392" s="1677"/>
      <c r="T392" s="1677"/>
      <c r="U392" s="1677"/>
      <c r="V392" s="1677"/>
      <c r="W392" s="1677"/>
      <c r="X392" s="1677"/>
      <c r="Y392" s="1677"/>
      <c r="Z392" s="1677"/>
      <c r="AA392" s="1677"/>
      <c r="AB392" s="1677"/>
      <c r="AC392" s="1677"/>
      <c r="AD392" s="1677"/>
      <c r="AE392" s="1677"/>
      <c r="AF392" s="1677"/>
      <c r="AG392" s="3"/>
      <c r="AH392" s="3"/>
      <c r="AI392" s="3"/>
      <c r="AJ392" s="3"/>
      <c r="AK392" s="3"/>
      <c r="AL392" s="788"/>
      <c r="AM392"/>
      <c r="AN392" s="281"/>
      <c r="BS392"/>
      <c r="BT392"/>
      <c r="BU392"/>
      <c r="BV392"/>
      <c r="BW392"/>
      <c r="BX392"/>
      <c r="BY392"/>
      <c r="BZ392"/>
      <c r="CA392"/>
      <c r="CB392"/>
      <c r="CC392"/>
      <c r="CD392"/>
      <c r="CE392"/>
      <c r="CF392"/>
      <c r="CG392"/>
      <c r="CH392"/>
      <c r="CI392"/>
      <c r="CJ392"/>
      <c r="CK392"/>
      <c r="CL392"/>
      <c r="CM392"/>
      <c r="CN392"/>
      <c r="CO392"/>
      <c r="CP392"/>
      <c r="CQ392"/>
      <c r="CR392"/>
      <c r="CS392"/>
      <c r="CT392"/>
      <c r="CU392"/>
      <c r="CV392"/>
      <c r="CW392"/>
      <c r="CX392"/>
      <c r="CY392"/>
      <c r="CZ392"/>
      <c r="DA392"/>
      <c r="DB392"/>
      <c r="DC392"/>
      <c r="DD392"/>
      <c r="DE392"/>
      <c r="DF392"/>
      <c r="EK392"/>
      <c r="EL392"/>
      <c r="EM392"/>
      <c r="EN392"/>
      <c r="EO392"/>
      <c r="EP392"/>
      <c r="EQ392"/>
      <c r="ER392"/>
      <c r="ES392"/>
      <c r="ET392"/>
      <c r="EU392"/>
      <c r="EV392"/>
      <c r="EW392"/>
    </row>
    <row r="393" spans="1:153" s="4" customFormat="1" ht="12.75" customHeight="1">
      <c r="A393" s="5"/>
      <c r="B393" s="21"/>
      <c r="C393" s="711"/>
      <c r="D393" s="21"/>
      <c r="E393" s="194"/>
      <c r="F393" s="1677"/>
      <c r="G393" s="1677"/>
      <c r="H393" s="1677"/>
      <c r="I393" s="1677"/>
      <c r="J393" s="1677"/>
      <c r="K393" s="1677"/>
      <c r="L393" s="1677"/>
      <c r="M393" s="1677"/>
      <c r="N393" s="1677"/>
      <c r="O393" s="1677"/>
      <c r="P393" s="1677"/>
      <c r="Q393" s="1677"/>
      <c r="R393" s="1677"/>
      <c r="S393" s="1677"/>
      <c r="T393" s="1677"/>
      <c r="U393" s="1677"/>
      <c r="V393" s="1677"/>
      <c r="W393" s="1677"/>
      <c r="X393" s="1677"/>
      <c r="Y393" s="1677"/>
      <c r="Z393" s="1677"/>
      <c r="AA393" s="1677"/>
      <c r="AB393" s="1677"/>
      <c r="AC393" s="1677"/>
      <c r="AD393" s="1677"/>
      <c r="AE393" s="1677"/>
      <c r="AF393" s="1677"/>
      <c r="AG393" s="3"/>
      <c r="AH393" s="3"/>
      <c r="AI393" s="3"/>
      <c r="AJ393" s="3"/>
      <c r="AK393" s="3"/>
      <c r="AL393" s="788"/>
      <c r="AM393"/>
      <c r="AN393" s="281"/>
      <c r="BS393"/>
      <c r="BT393"/>
      <c r="BU393"/>
      <c r="BV393"/>
      <c r="BW393"/>
      <c r="BX393"/>
      <c r="BY393"/>
      <c r="BZ393"/>
      <c r="CA393"/>
      <c r="CB393"/>
      <c r="CC393"/>
      <c r="CD393"/>
      <c r="CE393"/>
      <c r="CF393"/>
      <c r="CG393"/>
      <c r="CH393"/>
      <c r="CI393"/>
      <c r="CJ393"/>
      <c r="CK393"/>
      <c r="CL393"/>
      <c r="CM393"/>
      <c r="CN393"/>
      <c r="CO393"/>
      <c r="CP393"/>
      <c r="CQ393"/>
      <c r="CR393"/>
      <c r="CS393"/>
      <c r="CT393"/>
      <c r="CU393"/>
      <c r="CV393"/>
      <c r="CW393"/>
      <c r="CX393"/>
      <c r="CY393"/>
      <c r="CZ393"/>
      <c r="DA393"/>
      <c r="DB393"/>
      <c r="DC393"/>
      <c r="DD393"/>
      <c r="DE393"/>
      <c r="DF393"/>
      <c r="EK393"/>
      <c r="EL393"/>
      <c r="EM393"/>
      <c r="EN393"/>
      <c r="EO393"/>
      <c r="EP393"/>
      <c r="EQ393"/>
      <c r="ER393"/>
      <c r="ES393"/>
      <c r="ET393"/>
      <c r="EU393"/>
      <c r="EV393"/>
      <c r="EW393"/>
    </row>
    <row r="394" spans="1:153" s="4" customFormat="1" ht="12.75" customHeight="1">
      <c r="A394" s="5"/>
      <c r="B394" s="21"/>
      <c r="C394" s="711"/>
      <c r="D394" s="21"/>
      <c r="E394" s="194"/>
      <c r="F394" s="1677"/>
      <c r="G394" s="1677"/>
      <c r="H394" s="1677"/>
      <c r="I394" s="1677"/>
      <c r="J394" s="1677"/>
      <c r="K394" s="1677"/>
      <c r="L394" s="1677"/>
      <c r="M394" s="1677"/>
      <c r="N394" s="1677"/>
      <c r="O394" s="1677"/>
      <c r="P394" s="1677"/>
      <c r="Q394" s="1677"/>
      <c r="R394" s="1677"/>
      <c r="S394" s="1677"/>
      <c r="T394" s="1677"/>
      <c r="U394" s="1677"/>
      <c r="V394" s="1677"/>
      <c r="W394" s="1677"/>
      <c r="X394" s="1677"/>
      <c r="Y394" s="1677"/>
      <c r="Z394" s="1677"/>
      <c r="AA394" s="1677"/>
      <c r="AB394" s="1677"/>
      <c r="AC394" s="1677"/>
      <c r="AD394" s="1677"/>
      <c r="AE394" s="1677"/>
      <c r="AF394" s="1677"/>
      <c r="AG394" s="3"/>
      <c r="AH394" s="3"/>
      <c r="AI394" s="3"/>
      <c r="AJ394" s="3"/>
      <c r="AK394" s="3"/>
      <c r="AL394" s="788"/>
      <c r="AM394"/>
      <c r="AN394" s="281"/>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5"/>
      <c r="B395" s="21"/>
      <c r="C395" s="711"/>
      <c r="D395" s="21"/>
      <c r="E395" s="194"/>
      <c r="F395" s="1677"/>
      <c r="G395" s="1677"/>
      <c r="H395" s="1677"/>
      <c r="I395" s="1677"/>
      <c r="J395" s="1677"/>
      <c r="K395" s="1677"/>
      <c r="L395" s="1677"/>
      <c r="M395" s="1677"/>
      <c r="N395" s="1677"/>
      <c r="O395" s="1677"/>
      <c r="P395" s="1677"/>
      <c r="Q395" s="1677"/>
      <c r="R395" s="1677"/>
      <c r="S395" s="1677"/>
      <c r="T395" s="1677"/>
      <c r="U395" s="1677"/>
      <c r="V395" s="1677"/>
      <c r="W395" s="1677"/>
      <c r="X395" s="1677"/>
      <c r="Y395" s="1677"/>
      <c r="Z395" s="1677"/>
      <c r="AA395" s="1677"/>
      <c r="AB395" s="1677"/>
      <c r="AC395" s="1677"/>
      <c r="AD395" s="1677"/>
      <c r="AE395" s="1677"/>
      <c r="AF395" s="1677"/>
      <c r="AG395" s="3"/>
      <c r="AH395" s="3"/>
      <c r="AI395" s="3"/>
      <c r="AJ395" s="3"/>
      <c r="AK395" s="3"/>
      <c r="AL395" s="788"/>
      <c r="AM395"/>
      <c r="AN395" s="281"/>
      <c r="BS395"/>
      <c r="BT395"/>
      <c r="BU395"/>
      <c r="BV395"/>
      <c r="BW395"/>
      <c r="BX395"/>
      <c r="BY395"/>
      <c r="BZ395"/>
      <c r="CA395"/>
      <c r="CB395"/>
      <c r="CC395"/>
      <c r="CD395"/>
      <c r="CE395"/>
      <c r="CF395"/>
      <c r="CG395"/>
      <c r="CH395"/>
      <c r="EK395"/>
      <c r="EL395"/>
      <c r="EM395"/>
      <c r="EN395"/>
      <c r="EO395"/>
      <c r="EP395"/>
      <c r="EQ395"/>
      <c r="ER395"/>
      <c r="ES395"/>
      <c r="ET395"/>
      <c r="EU395"/>
      <c r="EV395"/>
      <c r="EW395"/>
    </row>
    <row r="396" spans="1:153" s="4" customFormat="1" ht="12.75" customHeight="1">
      <c r="A396" s="5"/>
      <c r="B396" s="21"/>
      <c r="C396" s="1694" t="s">
        <v>132</v>
      </c>
      <c r="D396" s="1113"/>
      <c r="E396" s="194"/>
      <c r="F396" s="347" t="s">
        <v>1854</v>
      </c>
      <c r="G396" s="27"/>
      <c r="H396" s="27"/>
      <c r="I396" s="27"/>
      <c r="J396" s="27"/>
      <c r="K396" s="27"/>
      <c r="L396" s="27"/>
      <c r="M396" s="27"/>
      <c r="N396" s="27"/>
      <c r="O396" s="27"/>
      <c r="P396" s="27"/>
      <c r="Q396" s="27"/>
      <c r="R396" s="27"/>
      <c r="S396" s="27"/>
      <c r="T396" s="27"/>
      <c r="U396" s="27"/>
      <c r="V396" s="27"/>
      <c r="W396" s="27"/>
      <c r="X396" s="27"/>
      <c r="Y396" s="27"/>
      <c r="Z396" s="27"/>
      <c r="AA396" s="27"/>
      <c r="AB396" s="27"/>
      <c r="AC396" s="27"/>
      <c r="AD396" s="27"/>
      <c r="AF396" s="1577" t="s">
        <v>1006</v>
      </c>
      <c r="AG396" s="1577"/>
      <c r="AH396" s="1577"/>
      <c r="AI396" s="1577"/>
      <c r="AJ396" s="1577"/>
      <c r="AK396" s="1577"/>
      <c r="AL396" s="1689"/>
      <c r="AM396" s="836"/>
      <c r="BS396"/>
      <c r="BT396"/>
      <c r="BU396"/>
      <c r="BV396"/>
      <c r="BW396"/>
      <c r="BX396"/>
      <c r="BY396"/>
      <c r="BZ396"/>
      <c r="CA396"/>
      <c r="CB396"/>
      <c r="CC396"/>
      <c r="CD396"/>
      <c r="CE396"/>
      <c r="CF396"/>
      <c r="CG396"/>
      <c r="CH396"/>
      <c r="EK396"/>
      <c r="EL396"/>
      <c r="EM396"/>
      <c r="EN396"/>
      <c r="EO396"/>
      <c r="EP396"/>
      <c r="EQ396"/>
      <c r="ER396"/>
      <c r="ES396"/>
      <c r="ET396"/>
      <c r="EU396"/>
      <c r="EV396"/>
      <c r="EW396"/>
    </row>
    <row r="397" spans="1:153" s="4" customFormat="1" ht="12.75" customHeight="1">
      <c r="A397" s="5"/>
      <c r="B397" s="21"/>
      <c r="C397" s="711"/>
      <c r="D397" s="21"/>
      <c r="E397" s="194"/>
      <c r="F397" s="103"/>
      <c r="G397" s="103"/>
      <c r="H397" s="103"/>
      <c r="I397" s="103"/>
      <c r="J397" s="103"/>
      <c r="K397" s="103"/>
      <c r="L397" s="103"/>
      <c r="M397" s="103"/>
      <c r="N397" s="103"/>
      <c r="O397" s="103"/>
      <c r="P397" s="103"/>
      <c r="Q397" s="103"/>
      <c r="R397" s="103"/>
      <c r="S397" s="103"/>
      <c r="T397" s="103"/>
      <c r="U397" s="103"/>
      <c r="V397" s="103"/>
      <c r="W397" s="103"/>
      <c r="X397" s="103"/>
      <c r="Y397" s="103"/>
      <c r="Z397" s="103"/>
      <c r="AA397" s="103"/>
      <c r="AB397" s="103"/>
      <c r="AC397" s="103"/>
      <c r="AD397" s="103"/>
      <c r="AL397" s="712"/>
      <c r="AM397"/>
      <c r="AN397" s="281"/>
      <c r="BS397"/>
      <c r="BT397"/>
      <c r="BU397"/>
      <c r="BV397"/>
      <c r="BW397"/>
      <c r="BX397"/>
      <c r="BY397"/>
      <c r="BZ397"/>
      <c r="CA397"/>
      <c r="CB397"/>
      <c r="CC397"/>
      <c r="CD397"/>
      <c r="CE397"/>
      <c r="CF397"/>
      <c r="CG397"/>
      <c r="CH397"/>
      <c r="EK397"/>
      <c r="EL397"/>
      <c r="EM397"/>
      <c r="EN397"/>
      <c r="EO397"/>
      <c r="EP397"/>
      <c r="EQ397"/>
      <c r="ER397"/>
      <c r="ES397"/>
      <c r="ET397"/>
      <c r="EU397"/>
      <c r="EV397"/>
      <c r="EW397"/>
    </row>
    <row r="398" spans="1:153" s="4" customFormat="1" ht="12.75" customHeight="1">
      <c r="A398" s="5"/>
      <c r="B398" s="21"/>
      <c r="C398" s="1694" t="s">
        <v>116</v>
      </c>
      <c r="D398" s="1113"/>
      <c r="E398" s="194"/>
      <c r="F398" s="348" t="s">
        <v>1855</v>
      </c>
      <c r="G398" s="103"/>
      <c r="H398" s="103"/>
      <c r="I398" s="103"/>
      <c r="J398" s="103"/>
      <c r="K398" s="103"/>
      <c r="L398" s="103"/>
      <c r="M398" s="103"/>
      <c r="N398" s="103"/>
      <c r="O398" s="103"/>
      <c r="P398" s="103"/>
      <c r="Q398" s="103"/>
      <c r="R398" s="103"/>
      <c r="S398" s="103"/>
      <c r="T398" s="103"/>
      <c r="U398" s="103"/>
      <c r="V398" s="103"/>
      <c r="W398" s="103"/>
      <c r="X398" s="103"/>
      <c r="Y398" s="103"/>
      <c r="Z398" s="103"/>
      <c r="AA398" s="103"/>
      <c r="AB398" s="103"/>
      <c r="AC398" s="103"/>
      <c r="AD398" s="103"/>
      <c r="AF398" s="1577" t="s">
        <v>339</v>
      </c>
      <c r="AG398" s="1577"/>
      <c r="AH398" s="1577"/>
      <c r="AI398" s="1577"/>
      <c r="AJ398" s="1577"/>
      <c r="AK398" s="1577"/>
      <c r="AL398" s="1689"/>
      <c r="AM398"/>
      <c r="AN398" s="281"/>
      <c r="BS398"/>
      <c r="BT398"/>
      <c r="BU398"/>
      <c r="CF398"/>
      <c r="CG398"/>
      <c r="CH398"/>
      <c r="EK398"/>
      <c r="EL398"/>
      <c r="EM398"/>
      <c r="EN398"/>
      <c r="EO398"/>
      <c r="EP398"/>
      <c r="EQ398"/>
      <c r="ER398"/>
      <c r="ES398"/>
      <c r="ET398"/>
      <c r="EU398"/>
      <c r="EV398"/>
      <c r="EW398"/>
    </row>
    <row r="399" spans="1:153" s="4" customFormat="1" ht="12.75" customHeight="1">
      <c r="A399" s="5"/>
      <c r="B399" s="21"/>
      <c r="C399" s="711"/>
      <c r="D399" s="21"/>
      <c r="E399" s="194"/>
      <c r="F399" s="348"/>
      <c r="G399" s="348"/>
      <c r="H399" s="348"/>
      <c r="I399" s="348"/>
      <c r="J399" s="348"/>
      <c r="K399" s="348"/>
      <c r="L399" s="348"/>
      <c r="M399" s="348"/>
      <c r="N399" s="348"/>
      <c r="O399" s="348"/>
      <c r="P399" s="348"/>
      <c r="Q399" s="348"/>
      <c r="R399" s="348"/>
      <c r="S399" s="348"/>
      <c r="T399" s="348"/>
      <c r="U399" s="348"/>
      <c r="V399" s="348"/>
      <c r="W399" s="348"/>
      <c r="X399" s="348"/>
      <c r="Y399" s="348"/>
      <c r="Z399" s="348"/>
      <c r="AA399" s="348"/>
      <c r="AB399" s="348"/>
      <c r="AC399" s="348"/>
      <c r="AD399" s="348"/>
      <c r="AE399" s="5"/>
      <c r="AL399" s="712"/>
      <c r="AM399"/>
      <c r="AN399" s="281"/>
      <c r="BS399"/>
      <c r="BT399"/>
      <c r="BU399"/>
      <c r="CF399"/>
      <c r="CG399"/>
      <c r="CH399"/>
      <c r="DG399"/>
      <c r="DH399"/>
      <c r="DI399"/>
      <c r="DJ399"/>
      <c r="DK399"/>
      <c r="DL399"/>
      <c r="DM399"/>
      <c r="DN399"/>
      <c r="DO399"/>
      <c r="DP399"/>
      <c r="DQ399"/>
      <c r="DR399"/>
      <c r="DS399"/>
      <c r="DT399"/>
      <c r="DU399"/>
      <c r="DV399"/>
      <c r="DW399"/>
      <c r="DX399"/>
      <c r="DY399"/>
      <c r="DZ399"/>
      <c r="EA399"/>
      <c r="EB399"/>
      <c r="EC399"/>
      <c r="ED399"/>
      <c r="EE399"/>
      <c r="EF399"/>
      <c r="EG399"/>
      <c r="EH399"/>
      <c r="EI399"/>
      <c r="EJ399"/>
      <c r="EK399"/>
      <c r="EL399"/>
      <c r="EM399"/>
      <c r="EN399"/>
      <c r="EO399"/>
      <c r="EP399"/>
      <c r="EQ399"/>
      <c r="ER399"/>
      <c r="ES399"/>
      <c r="ET399"/>
      <c r="EU399"/>
      <c r="EV399"/>
      <c r="EW399"/>
    </row>
    <row r="400" spans="1:153" s="4" customFormat="1" ht="12.75" customHeight="1">
      <c r="A400" s="5"/>
      <c r="B400" s="21"/>
      <c r="C400" s="715"/>
      <c r="D400" s="716"/>
      <c r="E400" s="717"/>
      <c r="F400" s="718" t="s">
        <v>1853</v>
      </c>
      <c r="G400" s="713"/>
      <c r="H400" s="713"/>
      <c r="I400" s="713"/>
      <c r="J400" s="713"/>
      <c r="K400" s="713"/>
      <c r="L400" s="713"/>
      <c r="M400" s="713"/>
      <c r="N400" s="713"/>
      <c r="O400" s="713"/>
      <c r="P400" s="713"/>
      <c r="Q400" s="713"/>
      <c r="R400" s="713"/>
      <c r="S400" s="713"/>
      <c r="T400" s="713"/>
      <c r="U400" s="713"/>
      <c r="V400" s="713"/>
      <c r="W400" s="713"/>
      <c r="X400" s="713"/>
      <c r="Y400" s="713"/>
      <c r="Z400" s="713"/>
      <c r="AA400" s="713"/>
      <c r="AB400" s="713"/>
      <c r="AC400" s="713"/>
      <c r="AD400" s="713"/>
      <c r="AE400" s="719"/>
      <c r="AF400" s="720"/>
      <c r="AG400" s="719"/>
      <c r="AH400" s="721"/>
      <c r="AI400" s="721"/>
      <c r="AJ400" s="721"/>
      <c r="AK400" s="721"/>
      <c r="AL400" s="722"/>
      <c r="AM400"/>
      <c r="AN400" s="281"/>
      <c r="BS400"/>
      <c r="BT400"/>
      <c r="BU400"/>
      <c r="CF400"/>
      <c r="CG400"/>
      <c r="CH400"/>
      <c r="DG400"/>
      <c r="DH400"/>
      <c r="DQ400"/>
      <c r="DR400"/>
      <c r="DS400"/>
      <c r="DT400"/>
      <c r="DU400"/>
      <c r="DV400"/>
      <c r="DW400"/>
      <c r="DX400"/>
      <c r="DY400"/>
      <c r="DZ400"/>
      <c r="EA400"/>
      <c r="EB400"/>
      <c r="EC400"/>
      <c r="ED400"/>
      <c r="EE400"/>
      <c r="EF400"/>
      <c r="EG400"/>
      <c r="EH400"/>
      <c r="EI400"/>
      <c r="EJ400"/>
      <c r="EK400"/>
      <c r="EL400"/>
      <c r="EM400"/>
      <c r="EN400"/>
      <c r="EO400"/>
      <c r="EP400"/>
      <c r="EQ400"/>
      <c r="ER400"/>
      <c r="ES400"/>
      <c r="ET400"/>
      <c r="EU400"/>
      <c r="EV400"/>
      <c r="EW400"/>
    </row>
    <row r="401" spans="1:153" s="4" customFormat="1" ht="12.75" customHeight="1">
      <c r="A401" s="5"/>
      <c r="B401" s="21"/>
      <c r="C401" s="21"/>
      <c r="D401" s="21"/>
      <c r="E401" s="194"/>
      <c r="F401" s="49"/>
      <c r="G401" s="49"/>
      <c r="H401" s="49"/>
      <c r="I401" s="49"/>
      <c r="J401" s="49"/>
      <c r="K401" s="49"/>
      <c r="L401" s="49"/>
      <c r="M401" s="49"/>
      <c r="N401" s="49"/>
      <c r="O401" s="49"/>
      <c r="P401" s="49"/>
      <c r="Q401" s="49"/>
      <c r="R401" s="49"/>
      <c r="S401" s="49"/>
      <c r="T401" s="49"/>
      <c r="U401" s="49"/>
      <c r="V401" s="49"/>
      <c r="W401" s="49"/>
      <c r="X401" s="49"/>
      <c r="Y401" s="49"/>
      <c r="Z401" s="49"/>
      <c r="AA401" s="49"/>
      <c r="AB401" s="49"/>
      <c r="AC401" s="49"/>
      <c r="AD401" s="49"/>
      <c r="AE401" s="5"/>
      <c r="AF401" s="3"/>
      <c r="AG401" s="5"/>
      <c r="AM401"/>
      <c r="AN401" s="281"/>
      <c r="BS401"/>
      <c r="BT401"/>
      <c r="BU401"/>
      <c r="CF401"/>
      <c r="CG401"/>
      <c r="CH401"/>
      <c r="DG401"/>
      <c r="DH401"/>
      <c r="DQ401"/>
      <c r="DR401"/>
      <c r="DS401"/>
      <c r="DT401"/>
      <c r="DU401"/>
      <c r="DV401"/>
      <c r="DW401"/>
      <c r="DX401"/>
      <c r="DY401"/>
      <c r="DZ401"/>
      <c r="EA401"/>
      <c r="EB401"/>
      <c r="EC401"/>
      <c r="ED401"/>
      <c r="EE401"/>
      <c r="EF401"/>
      <c r="EG401"/>
      <c r="EH401"/>
      <c r="EI401"/>
      <c r="EJ401"/>
      <c r="EK401"/>
      <c r="EL401"/>
      <c r="EM401"/>
      <c r="EN401"/>
      <c r="EO401"/>
      <c r="EP401"/>
      <c r="EQ401"/>
      <c r="ER401"/>
      <c r="ES401"/>
      <c r="ET401"/>
      <c r="EU401"/>
      <c r="EV401"/>
      <c r="EW401"/>
    </row>
    <row r="402" spans="1:153" s="4" customFormat="1" ht="12.75" customHeight="1">
      <c r="A402" s="5"/>
      <c r="B402" s="21"/>
      <c r="C402" s="703"/>
      <c r="D402" s="704"/>
      <c r="E402" s="705" t="s">
        <v>203</v>
      </c>
      <c r="F402" s="1690" t="s">
        <v>1857</v>
      </c>
      <c r="G402" s="1690"/>
      <c r="H402" s="1690"/>
      <c r="I402" s="1690"/>
      <c r="J402" s="1690"/>
      <c r="K402" s="1690"/>
      <c r="L402" s="1690"/>
      <c r="M402" s="1690"/>
      <c r="N402" s="1690"/>
      <c r="O402" s="1690"/>
      <c r="P402" s="1690"/>
      <c r="Q402" s="1690"/>
      <c r="R402" s="1690"/>
      <c r="S402" s="1690"/>
      <c r="T402" s="1690"/>
      <c r="U402" s="1690"/>
      <c r="V402" s="1690"/>
      <c r="W402" s="1690"/>
      <c r="X402" s="1690"/>
      <c r="Y402" s="1690"/>
      <c r="Z402" s="1690"/>
      <c r="AA402" s="1690"/>
      <c r="AB402" s="1690"/>
      <c r="AC402" s="1690"/>
      <c r="AD402" s="1690"/>
      <c r="AE402" s="1690"/>
      <c r="AF402" s="1690"/>
      <c r="AG402" s="750"/>
      <c r="AH402" s="750"/>
      <c r="AI402" s="750"/>
      <c r="AJ402" s="750"/>
      <c r="AK402" s="750"/>
      <c r="AL402" s="792"/>
      <c r="AM402"/>
      <c r="AN402" s="281"/>
      <c r="BS402"/>
      <c r="BT402"/>
      <c r="BU402"/>
      <c r="BV402"/>
      <c r="BW402"/>
      <c r="BX402"/>
      <c r="BY402"/>
      <c r="BZ402"/>
      <c r="CA402"/>
      <c r="CB402"/>
      <c r="CC402"/>
      <c r="CD402"/>
      <c r="CE402"/>
      <c r="CF402"/>
      <c r="CG402"/>
      <c r="CH402"/>
      <c r="DG402"/>
      <c r="DH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5"/>
      <c r="B403" s="21"/>
      <c r="C403" s="711"/>
      <c r="D403" s="21"/>
      <c r="E403" s="194"/>
      <c r="F403" s="1664"/>
      <c r="G403" s="1664"/>
      <c r="H403" s="1664"/>
      <c r="I403" s="1664"/>
      <c r="J403" s="1664"/>
      <c r="K403" s="1664"/>
      <c r="L403" s="1664"/>
      <c r="M403" s="1664"/>
      <c r="N403" s="1664"/>
      <c r="O403" s="1664"/>
      <c r="P403" s="1664"/>
      <c r="Q403" s="1664"/>
      <c r="R403" s="1664"/>
      <c r="S403" s="1664"/>
      <c r="T403" s="1664"/>
      <c r="U403" s="1664"/>
      <c r="V403" s="1664"/>
      <c r="W403" s="1664"/>
      <c r="X403" s="1664"/>
      <c r="Y403" s="1664"/>
      <c r="Z403" s="1664"/>
      <c r="AA403" s="1664"/>
      <c r="AB403" s="1664"/>
      <c r="AC403" s="1664"/>
      <c r="AD403" s="1664"/>
      <c r="AE403" s="1664"/>
      <c r="AF403" s="1664"/>
      <c r="AG403" s="3"/>
      <c r="AH403" s="3"/>
      <c r="AI403" s="3"/>
      <c r="AJ403" s="3"/>
      <c r="AK403" s="3"/>
      <c r="AL403" s="788"/>
      <c r="AM403"/>
      <c r="AN403" s="281"/>
      <c r="BS403"/>
      <c r="BT403"/>
      <c r="BU403"/>
      <c r="BV403"/>
      <c r="BW403"/>
      <c r="BX403"/>
      <c r="BY403"/>
      <c r="BZ403"/>
      <c r="CA403"/>
      <c r="CB403"/>
      <c r="CC403"/>
      <c r="CD403"/>
      <c r="CE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c r="A404" s="5"/>
      <c r="C404" s="711"/>
      <c r="E404" s="194"/>
      <c r="F404" s="1664"/>
      <c r="G404" s="1664"/>
      <c r="H404" s="1664"/>
      <c r="I404" s="1664"/>
      <c r="J404" s="1664"/>
      <c r="K404" s="1664"/>
      <c r="L404" s="1664"/>
      <c r="M404" s="1664"/>
      <c r="N404" s="1664"/>
      <c r="O404" s="1664"/>
      <c r="P404" s="1664"/>
      <c r="Q404" s="1664"/>
      <c r="R404" s="1664"/>
      <c r="S404" s="1664"/>
      <c r="T404" s="1664"/>
      <c r="U404" s="1664"/>
      <c r="V404" s="1664"/>
      <c r="W404" s="1664"/>
      <c r="X404" s="1664"/>
      <c r="Y404" s="1664"/>
      <c r="Z404" s="1664"/>
      <c r="AA404" s="1664"/>
      <c r="AB404" s="1664"/>
      <c r="AC404" s="1664"/>
      <c r="AD404" s="1664"/>
      <c r="AE404" s="1664"/>
      <c r="AF404" s="1664"/>
      <c r="AG404" s="3"/>
      <c r="AH404" s="3"/>
      <c r="AI404" s="3"/>
      <c r="AJ404" s="3"/>
      <c r="AK404" s="3"/>
      <c r="AL404" s="788"/>
      <c r="AM404"/>
      <c r="BS404"/>
      <c r="BT404"/>
      <c r="BU404"/>
      <c r="BV404"/>
      <c r="BW404"/>
      <c r="BX404"/>
      <c r="BY404"/>
      <c r="BZ404"/>
      <c r="CA404"/>
      <c r="CB404"/>
      <c r="CC404"/>
      <c r="CD404"/>
      <c r="CE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5"/>
      <c r="B405" s="21"/>
      <c r="C405" s="711"/>
      <c r="D405" s="21"/>
      <c r="E405" s="194"/>
      <c r="F405" s="1664"/>
      <c r="G405" s="1664"/>
      <c r="H405" s="1664"/>
      <c r="I405" s="1664"/>
      <c r="J405" s="1664"/>
      <c r="K405" s="1664"/>
      <c r="L405" s="1664"/>
      <c r="M405" s="1664"/>
      <c r="N405" s="1664"/>
      <c r="O405" s="1664"/>
      <c r="P405" s="1664"/>
      <c r="Q405" s="1664"/>
      <c r="R405" s="1664"/>
      <c r="S405" s="1664"/>
      <c r="T405" s="1664"/>
      <c r="U405" s="1664"/>
      <c r="V405" s="1664"/>
      <c r="W405" s="1664"/>
      <c r="X405" s="1664"/>
      <c r="Y405" s="1664"/>
      <c r="Z405" s="1664"/>
      <c r="AA405" s="1664"/>
      <c r="AB405" s="1664"/>
      <c r="AC405" s="1664"/>
      <c r="AD405" s="1664"/>
      <c r="AE405" s="1664"/>
      <c r="AF405" s="1664"/>
      <c r="AG405" s="3"/>
      <c r="AH405" s="3"/>
      <c r="AI405" s="3"/>
      <c r="AJ405" s="3"/>
      <c r="AK405" s="3"/>
      <c r="AL405" s="788"/>
      <c r="AM405"/>
      <c r="AN405" s="281"/>
      <c r="BS405"/>
      <c r="BT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5"/>
      <c r="B406" s="21"/>
      <c r="C406" s="1694" t="s">
        <v>132</v>
      </c>
      <c r="D406" s="1113"/>
      <c r="E406" s="194"/>
      <c r="F406" s="347" t="s">
        <v>1856</v>
      </c>
      <c r="G406" s="27"/>
      <c r="H406" s="27"/>
      <c r="I406" s="27"/>
      <c r="J406" s="27"/>
      <c r="K406" s="27"/>
      <c r="L406" s="27"/>
      <c r="M406" s="27"/>
      <c r="N406" s="27"/>
      <c r="O406" s="27"/>
      <c r="P406" s="27"/>
      <c r="Q406" s="27"/>
      <c r="R406" s="27"/>
      <c r="S406" s="27"/>
      <c r="T406" s="27"/>
      <c r="U406" s="27"/>
      <c r="V406" s="27"/>
      <c r="W406" s="27"/>
      <c r="X406" s="27"/>
      <c r="Y406" s="27"/>
      <c r="Z406" s="27"/>
      <c r="AA406" s="27"/>
      <c r="AB406" s="27"/>
      <c r="AC406" s="27"/>
      <c r="AD406" s="27"/>
      <c r="AF406" s="1577" t="s">
        <v>339</v>
      </c>
      <c r="AG406" s="1577"/>
      <c r="AH406" s="1577"/>
      <c r="AI406" s="1577"/>
      <c r="AJ406" s="1577"/>
      <c r="AK406" s="1577"/>
      <c r="AL406" s="1689"/>
      <c r="AM406"/>
      <c r="AN406" s="281"/>
      <c r="BS406"/>
      <c r="BT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s="4" customFormat="1" ht="12.75" customHeight="1">
      <c r="A407" s="5"/>
      <c r="B407" s="21"/>
      <c r="C407" s="711"/>
      <c r="D407" s="21"/>
      <c r="E407" s="194"/>
      <c r="G407" s="27"/>
      <c r="H407" s="27"/>
      <c r="I407" s="27"/>
      <c r="J407" s="27"/>
      <c r="K407" s="27"/>
      <c r="L407" s="27"/>
      <c r="M407" s="27"/>
      <c r="N407" s="27"/>
      <c r="O407" s="27"/>
      <c r="P407" s="27"/>
      <c r="Q407" s="27"/>
      <c r="R407" s="27"/>
      <c r="S407" s="27"/>
      <c r="T407" s="27"/>
      <c r="U407" s="27"/>
      <c r="V407" s="27"/>
      <c r="W407" s="27"/>
      <c r="X407" s="27"/>
      <c r="Y407" s="27"/>
      <c r="Z407" s="27"/>
      <c r="AA407" s="27"/>
      <c r="AB407" s="27"/>
      <c r="AC407" s="27"/>
      <c r="AD407" s="27"/>
      <c r="AL407" s="712"/>
      <c r="AM407"/>
      <c r="AN407" s="281"/>
      <c r="BS407"/>
      <c r="BT407"/>
      <c r="BY407"/>
      <c r="BZ407"/>
      <c r="CA407"/>
      <c r="CB407"/>
      <c r="CC407"/>
      <c r="CD407"/>
      <c r="CE407"/>
      <c r="CF407"/>
      <c r="CG407"/>
      <c r="CH407"/>
      <c r="CI407"/>
      <c r="CJ407"/>
      <c r="CK407"/>
      <c r="CL407"/>
      <c r="CM407"/>
      <c r="CN407"/>
      <c r="CO407"/>
      <c r="CP407"/>
      <c r="CQ407"/>
      <c r="CR407"/>
      <c r="CS407"/>
      <c r="CT407"/>
      <c r="CU407"/>
      <c r="CV407"/>
      <c r="CW407"/>
      <c r="CX407"/>
      <c r="CY407"/>
      <c r="CZ407"/>
      <c r="DA407"/>
      <c r="DB407"/>
      <c r="DC407"/>
      <c r="DD407"/>
      <c r="DE407"/>
      <c r="DF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5"/>
      <c r="B408" s="21"/>
      <c r="C408" s="1694" t="s">
        <v>132</v>
      </c>
      <c r="D408" s="1113"/>
      <c r="E408" s="225"/>
      <c r="F408" s="347" t="s">
        <v>1007</v>
      </c>
      <c r="G408" s="27"/>
      <c r="H408" s="27"/>
      <c r="I408" s="27"/>
      <c r="J408" s="27"/>
      <c r="K408" s="27"/>
      <c r="L408" s="27"/>
      <c r="M408" s="27"/>
      <c r="N408" s="27"/>
      <c r="O408" s="27"/>
      <c r="P408" s="27"/>
      <c r="Q408" s="27"/>
      <c r="R408" s="27"/>
      <c r="S408" s="27"/>
      <c r="T408" s="27"/>
      <c r="U408" s="27"/>
      <c r="V408" s="27"/>
      <c r="W408" s="27"/>
      <c r="X408" s="27"/>
      <c r="Y408" s="27"/>
      <c r="Z408" s="27"/>
      <c r="AA408" s="27"/>
      <c r="AB408" s="27"/>
      <c r="AC408" s="27"/>
      <c r="AD408" s="27"/>
      <c r="AF408" s="1577" t="s">
        <v>1005</v>
      </c>
      <c r="AG408" s="1577"/>
      <c r="AH408" s="1577"/>
      <c r="AI408" s="1577"/>
      <c r="AJ408" s="1577"/>
      <c r="AK408" s="1577"/>
      <c r="AL408" s="1689"/>
      <c r="AM408"/>
      <c r="AN408" s="281"/>
      <c r="BS408"/>
      <c r="BT408"/>
      <c r="BY408"/>
      <c r="BZ408"/>
      <c r="CA408"/>
      <c r="CB408"/>
      <c r="CC408"/>
      <c r="CD408"/>
      <c r="CE408"/>
      <c r="CF408"/>
      <c r="CG408"/>
      <c r="CH408"/>
      <c r="CI408"/>
      <c r="CJ408"/>
      <c r="CK408"/>
      <c r="CL408"/>
      <c r="CM408"/>
      <c r="CN408"/>
      <c r="CO408"/>
      <c r="CP408"/>
      <c r="CQ408"/>
      <c r="CR408"/>
      <c r="CS408"/>
      <c r="CT408"/>
      <c r="CU408"/>
      <c r="CV408"/>
      <c r="CW408"/>
      <c r="CX408"/>
      <c r="CY408"/>
      <c r="CZ408"/>
      <c r="DA408"/>
      <c r="DB408"/>
      <c r="DC408"/>
      <c r="DD408"/>
      <c r="DE408"/>
      <c r="DF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5"/>
      <c r="B409" s="21"/>
      <c r="C409" s="723"/>
      <c r="D409" s="721"/>
      <c r="E409" s="709"/>
      <c r="F409" s="721"/>
      <c r="G409" s="710"/>
      <c r="H409" s="710"/>
      <c r="I409" s="710"/>
      <c r="J409" s="710"/>
      <c r="K409" s="710"/>
      <c r="L409" s="710"/>
      <c r="M409" s="710"/>
      <c r="N409" s="710"/>
      <c r="O409" s="710"/>
      <c r="P409" s="710"/>
      <c r="Q409" s="710"/>
      <c r="R409" s="710"/>
      <c r="S409" s="710"/>
      <c r="T409" s="710"/>
      <c r="U409" s="710"/>
      <c r="V409" s="710"/>
      <c r="W409" s="710"/>
      <c r="X409" s="710"/>
      <c r="Y409" s="710"/>
      <c r="Z409" s="710"/>
      <c r="AA409" s="710"/>
      <c r="AB409" s="710"/>
      <c r="AC409" s="710"/>
      <c r="AD409" s="710"/>
      <c r="AE409" s="721"/>
      <c r="AF409" s="721"/>
      <c r="AG409" s="721"/>
      <c r="AH409" s="721"/>
      <c r="AI409" s="721"/>
      <c r="AJ409" s="721"/>
      <c r="AK409" s="721"/>
      <c r="AL409" s="722"/>
      <c r="AM409"/>
      <c r="AN409" s="281"/>
      <c r="BS409"/>
      <c r="BT409"/>
      <c r="BY409"/>
      <c r="BZ409"/>
      <c r="CA409"/>
      <c r="CB409"/>
      <c r="CC409"/>
      <c r="CD409"/>
      <c r="CE409"/>
      <c r="CF409"/>
      <c r="CG409"/>
      <c r="CH409"/>
      <c r="DM409"/>
      <c r="DN409"/>
      <c r="DO409"/>
      <c r="DP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5"/>
      <c r="B410" s="21"/>
      <c r="C410" s="21"/>
      <c r="D410" s="21"/>
      <c r="E410" s="194"/>
      <c r="G410" s="27"/>
      <c r="H410" s="27"/>
      <c r="I410" s="27"/>
      <c r="J410" s="27"/>
      <c r="K410" s="27"/>
      <c r="L410" s="27"/>
      <c r="M410" s="27"/>
      <c r="N410" s="27"/>
      <c r="O410" s="27"/>
      <c r="P410" s="27"/>
      <c r="Q410" s="27"/>
      <c r="R410" s="27"/>
      <c r="S410" s="27"/>
      <c r="T410" s="27"/>
      <c r="U410" s="27"/>
      <c r="V410" s="27"/>
      <c r="W410" s="27"/>
      <c r="X410" s="27"/>
      <c r="Y410" s="27"/>
      <c r="Z410" s="27"/>
      <c r="AA410" s="27"/>
      <c r="AB410" s="27"/>
      <c r="AC410" s="27"/>
      <c r="AD410" s="27"/>
      <c r="AE410" s="5"/>
      <c r="AF410" s="3"/>
      <c r="AG410" s="5"/>
      <c r="AM410"/>
      <c r="AN410" s="281"/>
      <c r="BS410"/>
      <c r="BT410"/>
      <c r="BY410"/>
      <c r="BZ410"/>
      <c r="CA410"/>
      <c r="CB410"/>
      <c r="CC410"/>
      <c r="CD410"/>
      <c r="CE410"/>
      <c r="CF410"/>
      <c r="CG410"/>
      <c r="CH410"/>
      <c r="DM410"/>
      <c r="DN410"/>
      <c r="DO410"/>
      <c r="DP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5"/>
      <c r="B411" s="21"/>
      <c r="C411" s="1694" t="s">
        <v>132</v>
      </c>
      <c r="D411" s="1113"/>
      <c r="E411" s="705" t="s">
        <v>204</v>
      </c>
      <c r="F411" s="1690" t="s">
        <v>1861</v>
      </c>
      <c r="G411" s="1690"/>
      <c r="H411" s="1690"/>
      <c r="I411" s="1690"/>
      <c r="J411" s="1690"/>
      <c r="K411" s="1690"/>
      <c r="L411" s="1690"/>
      <c r="M411" s="1690"/>
      <c r="N411" s="1690"/>
      <c r="O411" s="1690"/>
      <c r="P411" s="1690"/>
      <c r="Q411" s="1690"/>
      <c r="R411" s="1690"/>
      <c r="S411" s="1690"/>
      <c r="T411" s="1690"/>
      <c r="U411" s="1690"/>
      <c r="V411" s="1690"/>
      <c r="W411" s="1690"/>
      <c r="X411" s="1690"/>
      <c r="Y411" s="1690"/>
      <c r="Z411" s="1690"/>
      <c r="AA411" s="1690"/>
      <c r="AB411" s="1690"/>
      <c r="AC411" s="1690"/>
      <c r="AD411" s="1690"/>
      <c r="AE411" s="1690"/>
      <c r="AF411" s="750"/>
      <c r="AG411" s="794"/>
      <c r="AH411" s="704"/>
      <c r="AI411" s="704"/>
      <c r="AJ411" s="704"/>
      <c r="AK411" s="704"/>
      <c r="AL411" s="728"/>
      <c r="AM411"/>
      <c r="AN411" s="281"/>
      <c r="BS411"/>
      <c r="BT411"/>
      <c r="BY411"/>
      <c r="BZ411"/>
      <c r="CA411"/>
      <c r="CB411"/>
      <c r="CC411"/>
      <c r="CD411"/>
      <c r="CE411"/>
      <c r="CF411"/>
      <c r="CG411"/>
      <c r="CH411"/>
      <c r="DM411"/>
      <c r="DN411"/>
      <c r="DO411"/>
      <c r="DP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5"/>
      <c r="B412" s="21"/>
      <c r="C412" s="714"/>
      <c r="F412" s="1664"/>
      <c r="G412" s="1664"/>
      <c r="H412" s="1664"/>
      <c r="I412" s="1664"/>
      <c r="J412" s="1664"/>
      <c r="K412" s="1664"/>
      <c r="L412" s="1664"/>
      <c r="M412" s="1664"/>
      <c r="N412" s="1664"/>
      <c r="O412" s="1664"/>
      <c r="P412" s="1664"/>
      <c r="Q412" s="1664"/>
      <c r="R412" s="1664"/>
      <c r="S412" s="1664"/>
      <c r="T412" s="1664"/>
      <c r="U412" s="1664"/>
      <c r="V412" s="1664"/>
      <c r="W412" s="1664"/>
      <c r="X412" s="1664"/>
      <c r="Y412" s="1664"/>
      <c r="Z412" s="1664"/>
      <c r="AA412" s="1664"/>
      <c r="AB412" s="1664"/>
      <c r="AC412" s="1664"/>
      <c r="AD412" s="1664"/>
      <c r="AE412" s="1664"/>
      <c r="AF412" s="1675" t="s">
        <v>339</v>
      </c>
      <c r="AG412" s="1675"/>
      <c r="AH412" s="1675"/>
      <c r="AI412" s="1675"/>
      <c r="AJ412" s="1675"/>
      <c r="AK412" s="1675"/>
      <c r="AL412" s="1700"/>
      <c r="AM412"/>
      <c r="AN412" s="281"/>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5"/>
      <c r="B413" s="21"/>
      <c r="C413" s="711"/>
      <c r="D413" s="21"/>
      <c r="E413" s="194"/>
      <c r="F413" s="1664"/>
      <c r="G413" s="1664"/>
      <c r="H413" s="1664"/>
      <c r="I413" s="1664"/>
      <c r="J413" s="1664"/>
      <c r="K413" s="1664"/>
      <c r="L413" s="1664"/>
      <c r="M413" s="1664"/>
      <c r="N413" s="1664"/>
      <c r="O413" s="1664"/>
      <c r="P413" s="1664"/>
      <c r="Q413" s="1664"/>
      <c r="R413" s="1664"/>
      <c r="S413" s="1664"/>
      <c r="T413" s="1664"/>
      <c r="U413" s="1664"/>
      <c r="V413" s="1664"/>
      <c r="W413" s="1664"/>
      <c r="X413" s="1664"/>
      <c r="Y413" s="1664"/>
      <c r="Z413" s="1664"/>
      <c r="AA413" s="1664"/>
      <c r="AB413" s="1664"/>
      <c r="AC413" s="1664"/>
      <c r="AD413" s="1664"/>
      <c r="AE413" s="1664"/>
      <c r="AL413" s="712"/>
      <c r="AM413"/>
      <c r="AN413" s="281"/>
      <c r="BS413"/>
      <c r="BT413"/>
      <c r="BU413"/>
      <c r="BV413"/>
      <c r="BW413"/>
      <c r="BX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5"/>
      <c r="B414" s="21"/>
      <c r="C414" s="715"/>
      <c r="D414" s="716"/>
      <c r="E414" s="717"/>
      <c r="F414" s="1691"/>
      <c r="G414" s="1691"/>
      <c r="H414" s="1691"/>
      <c r="I414" s="1691"/>
      <c r="J414" s="1691"/>
      <c r="K414" s="1691"/>
      <c r="L414" s="1691"/>
      <c r="M414" s="1691"/>
      <c r="N414" s="1691"/>
      <c r="O414" s="1691"/>
      <c r="P414" s="1691"/>
      <c r="Q414" s="1691"/>
      <c r="R414" s="1691"/>
      <c r="S414" s="1691"/>
      <c r="T414" s="1691"/>
      <c r="U414" s="1691"/>
      <c r="V414" s="1691"/>
      <c r="W414" s="1691"/>
      <c r="X414" s="1691"/>
      <c r="Y414" s="1691"/>
      <c r="Z414" s="1691"/>
      <c r="AA414" s="1691"/>
      <c r="AB414" s="1691"/>
      <c r="AC414" s="1691"/>
      <c r="AD414" s="1691"/>
      <c r="AE414" s="1691"/>
      <c r="AF414" s="720"/>
      <c r="AG414" s="719"/>
      <c r="AH414" s="721"/>
      <c r="AI414" s="721"/>
      <c r="AJ414" s="721"/>
      <c r="AK414" s="721"/>
      <c r="AL414" s="722"/>
      <c r="AM414"/>
      <c r="AN414" s="281"/>
    </row>
    <row r="415" spans="1:153">
      <c r="A415" s="5"/>
      <c r="E415" s="194"/>
      <c r="F415" s="27"/>
      <c r="G415" s="27"/>
      <c r="H415" s="27"/>
      <c r="I415" s="27"/>
      <c r="J415" s="27"/>
      <c r="K415" s="27"/>
      <c r="L415" s="27"/>
      <c r="M415" s="27"/>
      <c r="N415" s="27"/>
      <c r="O415" s="27"/>
      <c r="P415" s="27"/>
      <c r="Q415" s="27"/>
      <c r="R415" s="27"/>
      <c r="S415" s="27"/>
      <c r="T415" s="27"/>
      <c r="U415" s="27"/>
      <c r="V415" s="27"/>
      <c r="W415" s="27"/>
      <c r="X415" s="27"/>
      <c r="Y415" s="27"/>
      <c r="Z415" s="27"/>
      <c r="AA415" s="27"/>
      <c r="AB415" s="27"/>
      <c r="AC415" s="27"/>
      <c r="AD415" s="27"/>
      <c r="AE415" s="5"/>
      <c r="AF415" s="3"/>
      <c r="AG415" s="5"/>
      <c r="AH415" s="4"/>
      <c r="AI415" s="4"/>
      <c r="AJ415" s="4"/>
      <c r="AK415" s="4"/>
      <c r="AL415" s="4"/>
      <c r="AM415"/>
    </row>
    <row r="416" spans="1:153" ht="12.75" customHeight="1">
      <c r="A416" s="5"/>
      <c r="C416" s="724"/>
      <c r="D416" s="725"/>
      <c r="E416" s="705" t="s">
        <v>205</v>
      </c>
      <c r="F416" s="1690" t="s">
        <v>1863</v>
      </c>
      <c r="G416" s="1690"/>
      <c r="H416" s="1690"/>
      <c r="I416" s="1690"/>
      <c r="J416" s="1690"/>
      <c r="K416" s="1690"/>
      <c r="L416" s="1690"/>
      <c r="M416" s="1690"/>
      <c r="N416" s="1690"/>
      <c r="O416" s="1690"/>
      <c r="P416" s="1690"/>
      <c r="Q416" s="1690"/>
      <c r="R416" s="1690"/>
      <c r="S416" s="1690"/>
      <c r="T416" s="1690"/>
      <c r="U416" s="1690"/>
      <c r="V416" s="1690"/>
      <c r="W416" s="1690"/>
      <c r="X416" s="1690"/>
      <c r="Y416" s="1690"/>
      <c r="Z416" s="1690"/>
      <c r="AA416" s="1690"/>
      <c r="AB416" s="1690"/>
      <c r="AC416" s="1690"/>
      <c r="AD416" s="1690"/>
      <c r="AE416" s="1690"/>
      <c r="AF416" s="725"/>
      <c r="AG416" s="725"/>
      <c r="AH416" s="725"/>
      <c r="AI416" s="725"/>
      <c r="AJ416" s="725"/>
      <c r="AK416" s="725"/>
      <c r="AL416" s="726"/>
      <c r="AM416"/>
    </row>
    <row r="417" spans="1:60">
      <c r="A417" s="5"/>
      <c r="C417" s="711"/>
      <c r="E417" s="194"/>
      <c r="F417" s="1664"/>
      <c r="G417" s="1664"/>
      <c r="H417" s="1664"/>
      <c r="I417" s="1664"/>
      <c r="J417" s="1664"/>
      <c r="K417" s="1664"/>
      <c r="L417" s="1664"/>
      <c r="M417" s="1664"/>
      <c r="N417" s="1664"/>
      <c r="O417" s="1664"/>
      <c r="P417" s="1664"/>
      <c r="Q417" s="1664"/>
      <c r="R417" s="1664"/>
      <c r="S417" s="1664"/>
      <c r="T417" s="1664"/>
      <c r="U417" s="1664"/>
      <c r="V417" s="1664"/>
      <c r="W417" s="1664"/>
      <c r="X417" s="1664"/>
      <c r="Y417" s="1664"/>
      <c r="Z417" s="1664"/>
      <c r="AA417" s="1664"/>
      <c r="AB417" s="1664"/>
      <c r="AC417" s="1664"/>
      <c r="AD417" s="1664"/>
      <c r="AE417" s="1664"/>
      <c r="AF417" s="3"/>
      <c r="AG417" s="5"/>
      <c r="AH417" s="4"/>
      <c r="AI417" s="4"/>
      <c r="AJ417" s="4"/>
      <c r="AK417" s="4"/>
      <c r="AL417" s="712"/>
      <c r="AM417"/>
    </row>
    <row r="418" spans="1:60" s="4" customFormat="1" ht="12.75" customHeight="1">
      <c r="A418" s="5"/>
      <c r="B418" s="21"/>
      <c r="C418" s="711"/>
      <c r="D418" s="21"/>
      <c r="E418" s="194"/>
      <c r="F418" s="1664"/>
      <c r="G418" s="1664"/>
      <c r="H418" s="1664"/>
      <c r="I418" s="1664"/>
      <c r="J418" s="1664"/>
      <c r="K418" s="1664"/>
      <c r="L418" s="1664"/>
      <c r="M418" s="1664"/>
      <c r="N418" s="1664"/>
      <c r="O418" s="1664"/>
      <c r="P418" s="1664"/>
      <c r="Q418" s="1664"/>
      <c r="R418" s="1664"/>
      <c r="S418" s="1664"/>
      <c r="T418" s="1664"/>
      <c r="U418" s="1664"/>
      <c r="V418" s="1664"/>
      <c r="W418" s="1664"/>
      <c r="X418" s="1664"/>
      <c r="Y418" s="1664"/>
      <c r="Z418" s="1664"/>
      <c r="AA418" s="1664"/>
      <c r="AB418" s="1664"/>
      <c r="AC418" s="1664"/>
      <c r="AD418" s="1664"/>
      <c r="AE418" s="1664"/>
      <c r="AL418" s="712"/>
      <c r="AM418"/>
      <c r="AN418" s="281"/>
    </row>
    <row r="419" spans="1:60" s="4" customFormat="1" ht="12.75" customHeight="1">
      <c r="A419" s="5"/>
      <c r="B419" s="21"/>
      <c r="C419" s="714"/>
      <c r="F419" s="1664"/>
      <c r="G419" s="1664"/>
      <c r="H419" s="1664"/>
      <c r="I419" s="1664"/>
      <c r="J419" s="1664"/>
      <c r="K419" s="1664"/>
      <c r="L419" s="1664"/>
      <c r="M419" s="1664"/>
      <c r="N419" s="1664"/>
      <c r="O419" s="1664"/>
      <c r="P419" s="1664"/>
      <c r="Q419" s="1664"/>
      <c r="R419" s="1664"/>
      <c r="S419" s="1664"/>
      <c r="T419" s="1664"/>
      <c r="U419" s="1664"/>
      <c r="V419" s="1664"/>
      <c r="W419" s="1664"/>
      <c r="X419" s="1664"/>
      <c r="Y419" s="1664"/>
      <c r="Z419" s="1664"/>
      <c r="AA419" s="1664"/>
      <c r="AB419" s="1664"/>
      <c r="AC419" s="1664"/>
      <c r="AD419" s="1664"/>
      <c r="AE419" s="1664"/>
      <c r="AL419" s="712"/>
      <c r="AM419"/>
      <c r="AN419" s="281"/>
    </row>
    <row r="420" spans="1:60" s="4" customFormat="1" ht="12.75" customHeight="1">
      <c r="A420" s="5"/>
      <c r="B420" s="21"/>
      <c r="C420" s="1694" t="s">
        <v>132</v>
      </c>
      <c r="D420" s="1113"/>
      <c r="E420" s="194"/>
      <c r="F420" s="347" t="s">
        <v>1860</v>
      </c>
      <c r="G420" s="27"/>
      <c r="H420" s="27"/>
      <c r="I420" s="27"/>
      <c r="J420" s="27"/>
      <c r="K420" s="27"/>
      <c r="L420" s="27"/>
      <c r="M420" s="27"/>
      <c r="N420" s="27"/>
      <c r="O420" s="27"/>
      <c r="P420" s="27"/>
      <c r="Q420" s="27"/>
      <c r="R420" s="27"/>
      <c r="S420" s="27"/>
      <c r="T420" s="27"/>
      <c r="U420" s="27"/>
      <c r="V420" s="27"/>
      <c r="W420" s="27"/>
      <c r="X420" s="27"/>
      <c r="Y420" s="27"/>
      <c r="Z420" s="27"/>
      <c r="AA420" s="27"/>
      <c r="AB420" s="27"/>
      <c r="AC420" s="27"/>
      <c r="AD420" s="27"/>
      <c r="AF420" s="1675" t="s">
        <v>339</v>
      </c>
      <c r="AG420" s="1675"/>
      <c r="AH420" s="1675"/>
      <c r="AI420" s="1675"/>
      <c r="AJ420" s="1675"/>
      <c r="AK420" s="1675"/>
      <c r="AL420" s="1700"/>
      <c r="AM420"/>
      <c r="AN420" s="281"/>
    </row>
    <row r="421" spans="1:60" s="4" customFormat="1" ht="12.75" customHeight="1">
      <c r="A421" s="5"/>
      <c r="B421" s="21"/>
      <c r="C421" s="714"/>
      <c r="AL421" s="712"/>
      <c r="AM421"/>
      <c r="AN421" s="281"/>
    </row>
    <row r="422" spans="1:60" s="4" customFormat="1" ht="12.75" customHeight="1">
      <c r="A422" s="5"/>
      <c r="B422" s="21"/>
      <c r="C422" s="1694" t="s">
        <v>132</v>
      </c>
      <c r="D422" s="1113"/>
      <c r="E422" s="225"/>
      <c r="F422" s="347" t="s">
        <v>1008</v>
      </c>
      <c r="G422" s="27"/>
      <c r="H422" s="27"/>
      <c r="I422" s="27"/>
      <c r="J422" s="27"/>
      <c r="K422" s="27"/>
      <c r="L422" s="27"/>
      <c r="M422" s="27"/>
      <c r="N422" s="27"/>
      <c r="O422" s="27"/>
      <c r="P422" s="27"/>
      <c r="Q422" s="27"/>
      <c r="R422" s="27"/>
      <c r="S422" s="27"/>
      <c r="T422" s="27"/>
      <c r="U422" s="27"/>
      <c r="V422" s="27"/>
      <c r="W422" s="27"/>
      <c r="X422" s="27"/>
      <c r="Y422" s="27"/>
      <c r="Z422" s="27"/>
      <c r="AA422" s="27"/>
      <c r="AB422" s="27"/>
      <c r="AC422" s="27"/>
      <c r="AD422" s="27"/>
      <c r="AF422" s="1675" t="s">
        <v>1005</v>
      </c>
      <c r="AG422" s="1675"/>
      <c r="AH422" s="1675"/>
      <c r="AI422" s="1675"/>
      <c r="AJ422" s="1675"/>
      <c r="AK422" s="1675"/>
      <c r="AL422" s="1700"/>
      <c r="AM422"/>
      <c r="AN422" s="281"/>
      <c r="AO422" s="20"/>
      <c r="AP422" s="20"/>
      <c r="BC422" s="21"/>
    </row>
    <row r="423" spans="1:60" s="4" customFormat="1" ht="12.75" customHeight="1">
      <c r="A423" s="5"/>
      <c r="B423" s="21"/>
      <c r="C423" s="715"/>
      <c r="D423" s="716"/>
      <c r="E423" s="717"/>
      <c r="F423" s="727"/>
      <c r="G423" s="710"/>
      <c r="H423" s="710"/>
      <c r="I423" s="710"/>
      <c r="J423" s="710"/>
      <c r="K423" s="710"/>
      <c r="L423" s="710"/>
      <c r="M423" s="710"/>
      <c r="N423" s="710"/>
      <c r="O423" s="710"/>
      <c r="P423" s="710"/>
      <c r="Q423" s="710"/>
      <c r="R423" s="710"/>
      <c r="S423" s="710"/>
      <c r="T423" s="710"/>
      <c r="U423" s="710"/>
      <c r="V423" s="710"/>
      <c r="W423" s="710"/>
      <c r="X423" s="710"/>
      <c r="Y423" s="710"/>
      <c r="Z423" s="710"/>
      <c r="AA423" s="710"/>
      <c r="AB423" s="710"/>
      <c r="AC423" s="710"/>
      <c r="AD423" s="710"/>
      <c r="AE423" s="719"/>
      <c r="AF423" s="720"/>
      <c r="AG423" s="719"/>
      <c r="AH423" s="721"/>
      <c r="AI423" s="721"/>
      <c r="AJ423" s="721"/>
      <c r="AK423" s="721"/>
      <c r="AL423" s="722"/>
      <c r="AM423"/>
      <c r="AN423" s="281"/>
    </row>
    <row r="424" spans="1:60" s="4" customFormat="1" ht="12.75" customHeight="1">
      <c r="A424" s="5"/>
      <c r="B424" s="21"/>
      <c r="C424" s="21"/>
      <c r="D424" s="21"/>
      <c r="E424" s="194"/>
      <c r="F424" s="347"/>
      <c r="G424" s="27"/>
      <c r="H424" s="27"/>
      <c r="I424" s="27"/>
      <c r="J424" s="27"/>
      <c r="K424" s="27"/>
      <c r="L424" s="27"/>
      <c r="M424" s="27"/>
      <c r="N424" s="27"/>
      <c r="O424" s="27"/>
      <c r="P424" s="27"/>
      <c r="Q424" s="27"/>
      <c r="R424" s="27"/>
      <c r="S424" s="27"/>
      <c r="T424" s="27"/>
      <c r="U424" s="27"/>
      <c r="V424" s="27"/>
      <c r="W424" s="27"/>
      <c r="X424" s="27"/>
      <c r="Y424" s="27"/>
      <c r="Z424" s="27"/>
      <c r="AA424" s="27"/>
      <c r="AB424" s="27"/>
      <c r="AC424" s="27"/>
      <c r="AD424" s="27"/>
      <c r="AE424" s="5"/>
      <c r="AF424" s="3"/>
      <c r="AG424" s="5"/>
      <c r="AM424"/>
      <c r="AN424" s="281"/>
    </row>
    <row r="425" spans="1:60" s="4" customFormat="1" ht="12.75" customHeight="1">
      <c r="A425" s="5"/>
      <c r="B425" s="21"/>
      <c r="C425" s="182" t="s">
        <v>1558</v>
      </c>
      <c r="D425" s="21"/>
      <c r="E425" s="194"/>
      <c r="F425" s="27"/>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E425" s="5"/>
      <c r="AF425" s="3"/>
      <c r="AG425" s="5"/>
      <c r="AM425"/>
      <c r="AN425" s="281"/>
    </row>
    <row r="426" spans="1:60" s="4" customFormat="1" ht="12.75" customHeight="1">
      <c r="A426" s="5"/>
      <c r="B426" s="73"/>
      <c r="C426" s="703"/>
      <c r="D426" s="704"/>
      <c r="E426" s="705" t="s">
        <v>705</v>
      </c>
      <c r="F426" s="1690" t="s">
        <v>1864</v>
      </c>
      <c r="G426" s="1690"/>
      <c r="H426" s="1690"/>
      <c r="I426" s="1690"/>
      <c r="J426" s="1690"/>
      <c r="K426" s="1690"/>
      <c r="L426" s="1690"/>
      <c r="M426" s="1690"/>
      <c r="N426" s="1690"/>
      <c r="O426" s="1690"/>
      <c r="P426" s="1690"/>
      <c r="Q426" s="1690"/>
      <c r="R426" s="1690"/>
      <c r="S426" s="1690"/>
      <c r="T426" s="1690"/>
      <c r="U426" s="1690"/>
      <c r="V426" s="1690"/>
      <c r="W426" s="1690"/>
      <c r="X426" s="1690"/>
      <c r="Y426" s="1690"/>
      <c r="Z426" s="1690"/>
      <c r="AA426" s="1690"/>
      <c r="AB426" s="1690"/>
      <c r="AC426" s="1690"/>
      <c r="AD426" s="1690"/>
      <c r="AE426" s="1690"/>
      <c r="AF426" s="704"/>
      <c r="AG426" s="704"/>
      <c r="AH426" s="704"/>
      <c r="AI426" s="704"/>
      <c r="AJ426" s="704"/>
      <c r="AK426" s="704"/>
      <c r="AL426" s="728"/>
      <c r="AM426"/>
      <c r="AN426" s="281"/>
    </row>
    <row r="427" spans="1:60" s="4" customFormat="1" ht="12.75" customHeight="1">
      <c r="A427" s="5"/>
      <c r="B427" s="73"/>
      <c r="C427" s="729"/>
      <c r="D427" s="73"/>
      <c r="E427" s="194"/>
      <c r="F427" s="1664"/>
      <c r="G427" s="1664"/>
      <c r="H427" s="1664"/>
      <c r="I427" s="1664"/>
      <c r="J427" s="1664"/>
      <c r="K427" s="1664"/>
      <c r="L427" s="1664"/>
      <c r="M427" s="1664"/>
      <c r="N427" s="1664"/>
      <c r="O427" s="1664"/>
      <c r="P427" s="1664"/>
      <c r="Q427" s="1664"/>
      <c r="R427" s="1664"/>
      <c r="S427" s="1664"/>
      <c r="T427" s="1664"/>
      <c r="U427" s="1664"/>
      <c r="V427" s="1664"/>
      <c r="W427" s="1664"/>
      <c r="X427" s="1664"/>
      <c r="Y427" s="1664"/>
      <c r="Z427" s="1664"/>
      <c r="AA427" s="1664"/>
      <c r="AB427" s="1664"/>
      <c r="AC427" s="1664"/>
      <c r="AD427" s="1664"/>
      <c r="AE427" s="1664"/>
      <c r="AF427" s="3"/>
      <c r="AG427" s="5"/>
      <c r="AL427" s="712"/>
      <c r="AM427"/>
      <c r="AN427" s="281"/>
    </row>
    <row r="428" spans="1:60" s="4" customFormat="1" ht="12.6" customHeight="1">
      <c r="A428" s="5"/>
      <c r="B428" s="73"/>
      <c r="C428" s="729"/>
      <c r="D428" s="73"/>
      <c r="E428" s="194"/>
      <c r="F428" s="1664"/>
      <c r="G428" s="1664"/>
      <c r="H428" s="1664"/>
      <c r="I428" s="1664"/>
      <c r="J428" s="1664"/>
      <c r="K428" s="1664"/>
      <c r="L428" s="1664"/>
      <c r="M428" s="1664"/>
      <c r="N428" s="1664"/>
      <c r="O428" s="1664"/>
      <c r="P428" s="1664"/>
      <c r="Q428" s="1664"/>
      <c r="R428" s="1664"/>
      <c r="S428" s="1664"/>
      <c r="T428" s="1664"/>
      <c r="U428" s="1664"/>
      <c r="V428" s="1664"/>
      <c r="W428" s="1664"/>
      <c r="X428" s="1664"/>
      <c r="Y428" s="1664"/>
      <c r="Z428" s="1664"/>
      <c r="AA428" s="1664"/>
      <c r="AB428" s="1664"/>
      <c r="AC428" s="1664"/>
      <c r="AD428" s="1664"/>
      <c r="AE428" s="1664"/>
      <c r="AL428" s="712"/>
      <c r="AM428"/>
      <c r="AN428" s="281"/>
    </row>
    <row r="429" spans="1:60" s="4" customFormat="1" ht="12.75" customHeight="1">
      <c r="A429" s="5"/>
      <c r="B429" s="73"/>
      <c r="C429" s="1694" t="s">
        <v>132</v>
      </c>
      <c r="D429" s="1113"/>
      <c r="E429" s="194"/>
      <c r="F429" s="347" t="s">
        <v>1862</v>
      </c>
      <c r="G429" s="176"/>
      <c r="H429" s="176"/>
      <c r="I429" s="176"/>
      <c r="J429" s="176"/>
      <c r="K429" s="176"/>
      <c r="L429" s="176"/>
      <c r="M429" s="176"/>
      <c r="N429" s="176"/>
      <c r="O429" s="176"/>
      <c r="P429" s="176"/>
      <c r="Q429" s="176"/>
      <c r="R429" s="176"/>
      <c r="S429" s="176"/>
      <c r="T429" s="176"/>
      <c r="U429" s="176"/>
      <c r="V429" s="176"/>
      <c r="W429" s="176"/>
      <c r="X429" s="176"/>
      <c r="Y429" s="176"/>
      <c r="Z429" s="176"/>
      <c r="AA429" s="176"/>
      <c r="AB429" s="176"/>
      <c r="AC429" s="176"/>
      <c r="AD429" s="176"/>
      <c r="AF429" s="1675" t="s">
        <v>339</v>
      </c>
      <c r="AG429" s="1675"/>
      <c r="AH429" s="1675"/>
      <c r="AI429" s="1675"/>
      <c r="AJ429" s="1675"/>
      <c r="AK429" s="1675"/>
      <c r="AL429" s="1700"/>
      <c r="AM429"/>
      <c r="AN429" s="281"/>
    </row>
    <row r="430" spans="1:60" s="4" customFormat="1" ht="12.75" customHeight="1">
      <c r="A430" s="5"/>
      <c r="B430" s="73"/>
      <c r="C430" s="838"/>
      <c r="D430" s="736"/>
      <c r="E430" s="709"/>
      <c r="F430" s="727"/>
      <c r="G430" s="710"/>
      <c r="H430" s="710"/>
      <c r="I430" s="710"/>
      <c r="J430" s="710"/>
      <c r="K430" s="710"/>
      <c r="L430" s="710"/>
      <c r="M430" s="710"/>
      <c r="N430" s="710"/>
      <c r="O430" s="710"/>
      <c r="P430" s="710"/>
      <c r="Q430" s="710"/>
      <c r="R430" s="710"/>
      <c r="S430" s="710"/>
      <c r="T430" s="710"/>
      <c r="U430" s="710"/>
      <c r="V430" s="710"/>
      <c r="W430" s="710"/>
      <c r="X430" s="710"/>
      <c r="Y430" s="710"/>
      <c r="Z430" s="710"/>
      <c r="AA430" s="710"/>
      <c r="AB430" s="710"/>
      <c r="AC430" s="710"/>
      <c r="AD430" s="710"/>
      <c r="AE430" s="721"/>
      <c r="AF430" s="738"/>
      <c r="AG430" s="738"/>
      <c r="AH430" s="738"/>
      <c r="AI430" s="738"/>
      <c r="AJ430" s="738"/>
      <c r="AK430" s="738"/>
      <c r="AL430" s="837"/>
      <c r="AM430"/>
      <c r="AN430" s="281"/>
    </row>
    <row r="431" spans="1:60" s="4" customFormat="1" ht="12.75" customHeight="1">
      <c r="A431" s="5"/>
      <c r="B431" s="73"/>
      <c r="C431" s="1"/>
      <c r="D431" s="1"/>
      <c r="E431" s="225"/>
      <c r="F431" s="347"/>
      <c r="G431" s="27"/>
      <c r="H431" s="27"/>
      <c r="I431" s="27"/>
      <c r="J431" s="27"/>
      <c r="K431" s="27"/>
      <c r="L431" s="27"/>
      <c r="M431" s="27"/>
      <c r="N431" s="27"/>
      <c r="O431" s="27"/>
      <c r="P431" s="27"/>
      <c r="Q431" s="27"/>
      <c r="R431" s="27"/>
      <c r="S431" s="27"/>
      <c r="T431" s="27"/>
      <c r="U431" s="27"/>
      <c r="V431" s="27"/>
      <c r="W431" s="27"/>
      <c r="X431" s="27"/>
      <c r="Y431" s="27"/>
      <c r="Z431" s="27"/>
      <c r="AA431" s="27"/>
      <c r="AB431" s="27"/>
      <c r="AC431" s="27"/>
      <c r="AD431" s="27"/>
      <c r="AE431" s="5"/>
      <c r="AM431"/>
      <c r="AN431" s="281"/>
    </row>
    <row r="432" spans="1:60" ht="13.35" customHeight="1">
      <c r="A432" s="5"/>
      <c r="B432" s="73"/>
      <c r="C432" s="724"/>
      <c r="D432" s="725"/>
      <c r="E432" s="705" t="s">
        <v>702</v>
      </c>
      <c r="F432" s="1690" t="s">
        <v>1865</v>
      </c>
      <c r="G432" s="1690"/>
      <c r="H432" s="1690"/>
      <c r="I432" s="1690"/>
      <c r="J432" s="1690"/>
      <c r="K432" s="1690"/>
      <c r="L432" s="1690"/>
      <c r="M432" s="1690"/>
      <c r="N432" s="1690"/>
      <c r="O432" s="1690"/>
      <c r="P432" s="1690"/>
      <c r="Q432" s="1690"/>
      <c r="R432" s="1690"/>
      <c r="S432" s="1690"/>
      <c r="T432" s="1690"/>
      <c r="U432" s="1690"/>
      <c r="V432" s="1690"/>
      <c r="W432" s="1690"/>
      <c r="X432" s="1690"/>
      <c r="Y432" s="1690"/>
      <c r="Z432" s="1690"/>
      <c r="AA432" s="1690"/>
      <c r="AB432" s="1690"/>
      <c r="AC432" s="1690"/>
      <c r="AD432" s="1690"/>
      <c r="AE432" s="1690"/>
      <c r="AF432" s="725"/>
      <c r="AG432" s="725"/>
      <c r="AH432" s="725"/>
      <c r="AI432" s="725"/>
      <c r="AJ432" s="725"/>
      <c r="AK432" s="725"/>
      <c r="AL432" s="726"/>
      <c r="AM432"/>
      <c r="AO432" s="4"/>
      <c r="AP432" s="4"/>
      <c r="BD432" s="21"/>
      <c r="BE432" s="21"/>
      <c r="BF432" s="21"/>
      <c r="BG432" s="21"/>
      <c r="BH432" s="21"/>
    </row>
    <row r="433" spans="1:49">
      <c r="A433" s="5"/>
      <c r="B433" s="73"/>
      <c r="C433" s="729"/>
      <c r="D433" s="73"/>
      <c r="E433" s="194"/>
      <c r="F433" s="1664"/>
      <c r="G433" s="1664"/>
      <c r="H433" s="1664"/>
      <c r="I433" s="1664"/>
      <c r="J433" s="1664"/>
      <c r="K433" s="1664"/>
      <c r="L433" s="1664"/>
      <c r="M433" s="1664"/>
      <c r="N433" s="1664"/>
      <c r="O433" s="1664"/>
      <c r="P433" s="1664"/>
      <c r="Q433" s="1664"/>
      <c r="R433" s="1664"/>
      <c r="S433" s="1664"/>
      <c r="T433" s="1664"/>
      <c r="U433" s="1664"/>
      <c r="V433" s="1664"/>
      <c r="W433" s="1664"/>
      <c r="X433" s="1664"/>
      <c r="Y433" s="1664"/>
      <c r="Z433" s="1664"/>
      <c r="AA433" s="1664"/>
      <c r="AB433" s="1664"/>
      <c r="AC433" s="1664"/>
      <c r="AD433" s="1664"/>
      <c r="AE433" s="1664"/>
      <c r="AF433" s="108"/>
      <c r="AG433" s="108"/>
      <c r="AH433" s="108"/>
      <c r="AI433" s="108"/>
      <c r="AJ433" s="108"/>
      <c r="AK433" s="108"/>
      <c r="AL433" s="791"/>
      <c r="AM433"/>
      <c r="AO433" s="4"/>
      <c r="AP433" s="4"/>
    </row>
    <row r="434" spans="1:49" s="4" customFormat="1" ht="12.75" customHeight="1">
      <c r="A434" s="5"/>
      <c r="B434" s="73"/>
      <c r="C434" s="729"/>
      <c r="D434" s="73"/>
      <c r="E434" s="194"/>
      <c r="F434" s="1664"/>
      <c r="G434" s="1664"/>
      <c r="H434" s="1664"/>
      <c r="I434" s="1664"/>
      <c r="J434" s="1664"/>
      <c r="K434" s="1664"/>
      <c r="L434" s="1664"/>
      <c r="M434" s="1664"/>
      <c r="N434" s="1664"/>
      <c r="O434" s="1664"/>
      <c r="P434" s="1664"/>
      <c r="Q434" s="1664"/>
      <c r="R434" s="1664"/>
      <c r="S434" s="1664"/>
      <c r="T434" s="1664"/>
      <c r="U434" s="1664"/>
      <c r="V434" s="1664"/>
      <c r="W434" s="1664"/>
      <c r="X434" s="1664"/>
      <c r="Y434" s="1664"/>
      <c r="Z434" s="1664"/>
      <c r="AA434" s="1664"/>
      <c r="AB434" s="1664"/>
      <c r="AC434" s="1664"/>
      <c r="AD434" s="1664"/>
      <c r="AE434" s="1664"/>
      <c r="AF434" s="108"/>
      <c r="AG434" s="108"/>
      <c r="AH434" s="108"/>
      <c r="AI434" s="108"/>
      <c r="AJ434" s="108"/>
      <c r="AK434" s="108"/>
      <c r="AL434" s="791"/>
      <c r="AM434"/>
      <c r="AN434" s="281"/>
    </row>
    <row r="435" spans="1:49" s="4" customFormat="1" ht="12.75" customHeight="1">
      <c r="A435" s="5"/>
      <c r="B435" s="73"/>
      <c r="C435" s="730"/>
      <c r="D435" s="1"/>
      <c r="E435" s="225"/>
      <c r="F435" s="1664"/>
      <c r="G435" s="1664"/>
      <c r="H435" s="1664"/>
      <c r="I435" s="1664"/>
      <c r="J435" s="1664"/>
      <c r="K435" s="1664"/>
      <c r="L435" s="1664"/>
      <c r="M435" s="1664"/>
      <c r="N435" s="1664"/>
      <c r="O435" s="1664"/>
      <c r="P435" s="1664"/>
      <c r="Q435" s="1664"/>
      <c r="R435" s="1664"/>
      <c r="S435" s="1664"/>
      <c r="T435" s="1664"/>
      <c r="U435" s="1664"/>
      <c r="V435" s="1664"/>
      <c r="W435" s="1664"/>
      <c r="X435" s="1664"/>
      <c r="Y435" s="1664"/>
      <c r="Z435" s="1664"/>
      <c r="AA435" s="1664"/>
      <c r="AB435" s="1664"/>
      <c r="AC435" s="1664"/>
      <c r="AD435" s="1664"/>
      <c r="AE435" s="1664"/>
      <c r="AF435" s="108"/>
      <c r="AG435" s="108"/>
      <c r="AH435" s="108"/>
      <c r="AI435" s="108"/>
      <c r="AJ435" s="108"/>
      <c r="AK435" s="108"/>
      <c r="AL435" s="791"/>
      <c r="AM435"/>
      <c r="AN435" s="281"/>
      <c r="AO435" s="38"/>
      <c r="AP435" s="21"/>
    </row>
    <row r="436" spans="1:49" s="4" customFormat="1" ht="12.75" customHeight="1">
      <c r="A436" s="5"/>
      <c r="B436" s="73"/>
      <c r="C436" s="730"/>
      <c r="D436" s="1"/>
      <c r="E436" s="225"/>
      <c r="F436" s="1664"/>
      <c r="G436" s="1664"/>
      <c r="H436" s="1664"/>
      <c r="I436" s="1664"/>
      <c r="J436" s="1664"/>
      <c r="K436" s="1664"/>
      <c r="L436" s="1664"/>
      <c r="M436" s="1664"/>
      <c r="N436" s="1664"/>
      <c r="O436" s="1664"/>
      <c r="P436" s="1664"/>
      <c r="Q436" s="1664"/>
      <c r="R436" s="1664"/>
      <c r="S436" s="1664"/>
      <c r="T436" s="1664"/>
      <c r="U436" s="1664"/>
      <c r="V436" s="1664"/>
      <c r="W436" s="1664"/>
      <c r="X436" s="1664"/>
      <c r="Y436" s="1664"/>
      <c r="Z436" s="1664"/>
      <c r="AA436" s="1664"/>
      <c r="AB436" s="1664"/>
      <c r="AC436" s="1664"/>
      <c r="AD436" s="1664"/>
      <c r="AE436" s="1664"/>
      <c r="AF436" s="108"/>
      <c r="AG436" s="108"/>
      <c r="AH436" s="108"/>
      <c r="AI436" s="108"/>
      <c r="AJ436" s="108"/>
      <c r="AK436" s="108"/>
      <c r="AL436" s="791"/>
      <c r="AM436"/>
      <c r="AN436" s="281"/>
    </row>
    <row r="437" spans="1:49" s="4" customFormat="1" ht="12.75" customHeight="1">
      <c r="A437" s="5"/>
      <c r="B437" s="73"/>
      <c r="C437" s="730"/>
      <c r="D437" s="1"/>
      <c r="E437" s="225"/>
      <c r="F437" s="1664"/>
      <c r="G437" s="1664"/>
      <c r="H437" s="1664"/>
      <c r="I437" s="1664"/>
      <c r="J437" s="1664"/>
      <c r="K437" s="1664"/>
      <c r="L437" s="1664"/>
      <c r="M437" s="1664"/>
      <c r="N437" s="1664"/>
      <c r="O437" s="1664"/>
      <c r="P437" s="1664"/>
      <c r="Q437" s="1664"/>
      <c r="R437" s="1664"/>
      <c r="S437" s="1664"/>
      <c r="T437" s="1664"/>
      <c r="U437" s="1664"/>
      <c r="V437" s="1664"/>
      <c r="W437" s="1664"/>
      <c r="X437" s="1664"/>
      <c r="Y437" s="1664"/>
      <c r="Z437" s="1664"/>
      <c r="AA437" s="1664"/>
      <c r="AB437" s="1664"/>
      <c r="AC437" s="1664"/>
      <c r="AD437" s="1664"/>
      <c r="AE437" s="1664"/>
      <c r="AF437" s="108"/>
      <c r="AG437" s="108"/>
      <c r="AH437" s="108"/>
      <c r="AI437" s="108"/>
      <c r="AJ437" s="108"/>
      <c r="AK437" s="108"/>
      <c r="AL437" s="791"/>
      <c r="AM437"/>
      <c r="AN437" s="281"/>
    </row>
    <row r="438" spans="1:49" s="4" customFormat="1" ht="12.75" customHeight="1">
      <c r="A438" s="5"/>
      <c r="B438" s="73"/>
      <c r="C438" s="730"/>
      <c r="D438" s="1"/>
      <c r="E438" s="225"/>
      <c r="F438" s="1664"/>
      <c r="G438" s="1664"/>
      <c r="H438" s="1664"/>
      <c r="I438" s="1664"/>
      <c r="J438" s="1664"/>
      <c r="K438" s="1664"/>
      <c r="L438" s="1664"/>
      <c r="M438" s="1664"/>
      <c r="N438" s="1664"/>
      <c r="O438" s="1664"/>
      <c r="P438" s="1664"/>
      <c r="Q438" s="1664"/>
      <c r="R438" s="1664"/>
      <c r="S438" s="1664"/>
      <c r="T438" s="1664"/>
      <c r="U438" s="1664"/>
      <c r="V438" s="1664"/>
      <c r="W438" s="1664"/>
      <c r="X438" s="1664"/>
      <c r="Y438" s="1664"/>
      <c r="Z438" s="1664"/>
      <c r="AA438" s="1664"/>
      <c r="AB438" s="1664"/>
      <c r="AC438" s="1664"/>
      <c r="AD438" s="1664"/>
      <c r="AE438" s="1664"/>
      <c r="AF438" s="108"/>
      <c r="AG438" s="108"/>
      <c r="AH438" s="108"/>
      <c r="AI438" s="108"/>
      <c r="AJ438" s="108"/>
      <c r="AK438" s="108"/>
      <c r="AL438" s="791"/>
      <c r="AM438"/>
      <c r="AN438" s="281"/>
    </row>
    <row r="439" spans="1:49" s="4" customFormat="1" ht="12.75" customHeight="1">
      <c r="A439" s="5"/>
      <c r="B439" s="73"/>
      <c r="C439" s="730"/>
      <c r="D439" s="1"/>
      <c r="E439" s="225"/>
      <c r="F439" s="1664"/>
      <c r="G439" s="1664"/>
      <c r="H439" s="1664"/>
      <c r="I439" s="1664"/>
      <c r="J439" s="1664"/>
      <c r="K439" s="1664"/>
      <c r="L439" s="1664"/>
      <c r="M439" s="1664"/>
      <c r="N439" s="1664"/>
      <c r="O439" s="1664"/>
      <c r="P439" s="1664"/>
      <c r="Q439" s="1664"/>
      <c r="R439" s="1664"/>
      <c r="S439" s="1664"/>
      <c r="T439" s="1664"/>
      <c r="U439" s="1664"/>
      <c r="V439" s="1664"/>
      <c r="W439" s="1664"/>
      <c r="X439" s="1664"/>
      <c r="Y439" s="1664"/>
      <c r="Z439" s="1664"/>
      <c r="AA439" s="1664"/>
      <c r="AB439" s="1664"/>
      <c r="AC439" s="1664"/>
      <c r="AD439" s="1664"/>
      <c r="AE439" s="1664"/>
      <c r="AF439" s="108"/>
      <c r="AG439" s="108"/>
      <c r="AH439" s="108"/>
      <c r="AI439" s="108"/>
      <c r="AJ439" s="108"/>
      <c r="AK439" s="108"/>
      <c r="AL439" s="791"/>
      <c r="AM439"/>
      <c r="AN439" s="281"/>
    </row>
    <row r="440" spans="1:49" s="4" customFormat="1" ht="17.25" customHeight="1">
      <c r="A440" s="5"/>
      <c r="B440" s="73"/>
      <c r="C440" s="730"/>
      <c r="D440" s="1"/>
      <c r="E440" s="225"/>
      <c r="F440" s="1664"/>
      <c r="G440" s="1664"/>
      <c r="H440" s="1664"/>
      <c r="I440" s="1664"/>
      <c r="J440" s="1664"/>
      <c r="K440" s="1664"/>
      <c r="L440" s="1664"/>
      <c r="M440" s="1664"/>
      <c r="N440" s="1664"/>
      <c r="O440" s="1664"/>
      <c r="P440" s="1664"/>
      <c r="Q440" s="1664"/>
      <c r="R440" s="1664"/>
      <c r="S440" s="1664"/>
      <c r="T440" s="1664"/>
      <c r="U440" s="1664"/>
      <c r="V440" s="1664"/>
      <c r="W440" s="1664"/>
      <c r="X440" s="1664"/>
      <c r="Y440" s="1664"/>
      <c r="Z440" s="1664"/>
      <c r="AA440" s="1664"/>
      <c r="AB440" s="1664"/>
      <c r="AC440" s="1664"/>
      <c r="AD440" s="1664"/>
      <c r="AE440" s="1664"/>
      <c r="AL440" s="712"/>
      <c r="AM440"/>
      <c r="AN440" s="281"/>
    </row>
    <row r="441" spans="1:49" s="4" customFormat="1" ht="12.75" customHeight="1">
      <c r="A441" s="5"/>
      <c r="B441" s="21"/>
      <c r="C441" s="1694" t="s">
        <v>116</v>
      </c>
      <c r="D441" s="1113"/>
      <c r="E441" s="225"/>
      <c r="F441" s="20" t="s">
        <v>1866</v>
      </c>
      <c r="G441" s="49"/>
      <c r="H441" s="49"/>
      <c r="I441" s="49"/>
      <c r="J441" s="49"/>
      <c r="K441" s="49"/>
      <c r="L441" s="49"/>
      <c r="M441" s="49"/>
      <c r="N441" s="49"/>
      <c r="O441" s="49"/>
      <c r="P441" s="49"/>
      <c r="Q441" s="49"/>
      <c r="R441" s="49"/>
      <c r="S441" s="49"/>
      <c r="T441" s="49"/>
      <c r="U441" s="49"/>
      <c r="V441" s="49"/>
      <c r="W441" s="49"/>
      <c r="X441" s="49"/>
      <c r="Y441" s="49"/>
      <c r="Z441" s="49"/>
      <c r="AA441" s="49"/>
      <c r="AB441" s="49"/>
      <c r="AC441" s="49"/>
      <c r="AD441" s="49"/>
      <c r="AF441" s="1675" t="s">
        <v>339</v>
      </c>
      <c r="AG441" s="1675"/>
      <c r="AH441" s="1675"/>
      <c r="AI441" s="1675"/>
      <c r="AJ441" s="1675"/>
      <c r="AK441" s="1675"/>
      <c r="AL441" s="1700"/>
      <c r="AM441"/>
      <c r="AN441" s="281"/>
    </row>
    <row r="442" spans="1:49" s="4" customFormat="1" ht="12.75" customHeight="1">
      <c r="A442" s="5"/>
      <c r="B442" s="73"/>
      <c r="C442" s="723"/>
      <c r="D442" s="721"/>
      <c r="E442" s="709"/>
      <c r="F442" s="718"/>
      <c r="G442" s="710"/>
      <c r="H442" s="710"/>
      <c r="I442" s="710"/>
      <c r="J442" s="710"/>
      <c r="K442" s="710"/>
      <c r="L442" s="710"/>
      <c r="M442" s="710"/>
      <c r="N442" s="710"/>
      <c r="O442" s="710"/>
      <c r="P442" s="710"/>
      <c r="Q442" s="710"/>
      <c r="R442" s="710"/>
      <c r="S442" s="710"/>
      <c r="T442" s="710"/>
      <c r="U442" s="710"/>
      <c r="V442" s="710"/>
      <c r="W442" s="710"/>
      <c r="X442" s="710"/>
      <c r="Y442" s="710"/>
      <c r="Z442" s="710"/>
      <c r="AA442" s="710"/>
      <c r="AB442" s="710"/>
      <c r="AC442" s="710"/>
      <c r="AD442" s="710"/>
      <c r="AE442" s="721"/>
      <c r="AF442" s="721"/>
      <c r="AG442" s="721"/>
      <c r="AH442" s="721"/>
      <c r="AI442" s="721"/>
      <c r="AJ442" s="721"/>
      <c r="AK442" s="721"/>
      <c r="AL442" s="722"/>
      <c r="AM442"/>
      <c r="AN442" s="281"/>
    </row>
    <row r="443" spans="1:49" s="4" customFormat="1" ht="12.75" customHeight="1">
      <c r="A443" s="5"/>
      <c r="B443" s="73"/>
      <c r="C443" s="1"/>
      <c r="D443" s="1"/>
      <c r="E443" s="225"/>
      <c r="F443" s="347"/>
      <c r="G443" s="27"/>
      <c r="H443" s="27"/>
      <c r="I443" s="27"/>
      <c r="J443" s="27"/>
      <c r="K443" s="27"/>
      <c r="L443" s="27"/>
      <c r="M443" s="27"/>
      <c r="N443" s="27"/>
      <c r="O443" s="27"/>
      <c r="P443" s="27"/>
      <c r="Q443" s="27"/>
      <c r="R443" s="27"/>
      <c r="S443" s="27"/>
      <c r="T443" s="27"/>
      <c r="U443" s="27"/>
      <c r="V443" s="27"/>
      <c r="W443" s="27"/>
      <c r="X443" s="27"/>
      <c r="Y443" s="27"/>
      <c r="Z443" s="27"/>
      <c r="AA443" s="27"/>
      <c r="AB443" s="27"/>
      <c r="AC443" s="27"/>
      <c r="AD443" s="27"/>
      <c r="AE443" s="18"/>
      <c r="AF443" s="18"/>
      <c r="AG443" s="18"/>
      <c r="AH443" s="18"/>
      <c r="AI443" s="18"/>
      <c r="AJ443" s="18"/>
      <c r="AK443" s="18"/>
      <c r="AL443" s="18"/>
      <c r="AM443"/>
      <c r="AN443" s="281"/>
    </row>
    <row r="444" spans="1:49" s="4" customFormat="1" ht="12.75" customHeight="1">
      <c r="A444" s="5"/>
      <c r="B444" s="73"/>
      <c r="C444" s="703"/>
      <c r="D444" s="704"/>
      <c r="E444" s="705" t="s">
        <v>703</v>
      </c>
      <c r="F444" s="1690" t="s">
        <v>1868</v>
      </c>
      <c r="G444" s="1690"/>
      <c r="H444" s="1690"/>
      <c r="I444" s="1690"/>
      <c r="J444" s="1690"/>
      <c r="K444" s="1690"/>
      <c r="L444" s="1690"/>
      <c r="M444" s="1690"/>
      <c r="N444" s="1690"/>
      <c r="O444" s="1690"/>
      <c r="P444" s="1690"/>
      <c r="Q444" s="1690"/>
      <c r="R444" s="1690"/>
      <c r="S444" s="1690"/>
      <c r="T444" s="1690"/>
      <c r="U444" s="1690"/>
      <c r="V444" s="1690"/>
      <c r="W444" s="1690"/>
      <c r="X444" s="1690"/>
      <c r="Y444" s="1690"/>
      <c r="Z444" s="1690"/>
      <c r="AA444" s="1690"/>
      <c r="AB444" s="1690"/>
      <c r="AC444" s="1690"/>
      <c r="AD444" s="1690"/>
      <c r="AE444" s="1690"/>
      <c r="AF444" s="704"/>
      <c r="AG444" s="704"/>
      <c r="AH444" s="704"/>
      <c r="AI444" s="704"/>
      <c r="AJ444" s="704"/>
      <c r="AK444" s="704"/>
      <c r="AL444" s="728"/>
      <c r="AM444"/>
      <c r="AN444" s="281"/>
    </row>
    <row r="445" spans="1:49" s="4" customFormat="1" ht="12.75" customHeight="1">
      <c r="A445" s="5"/>
      <c r="B445" s="73"/>
      <c r="C445" s="730"/>
      <c r="D445" s="1"/>
      <c r="E445" s="225"/>
      <c r="F445" s="1664"/>
      <c r="G445" s="1664"/>
      <c r="H445" s="1664"/>
      <c r="I445" s="1664"/>
      <c r="J445" s="1664"/>
      <c r="K445" s="1664"/>
      <c r="L445" s="1664"/>
      <c r="M445" s="1664"/>
      <c r="N445" s="1664"/>
      <c r="O445" s="1664"/>
      <c r="P445" s="1664"/>
      <c r="Q445" s="1664"/>
      <c r="R445" s="1664"/>
      <c r="S445" s="1664"/>
      <c r="T445" s="1664"/>
      <c r="U445" s="1664"/>
      <c r="V445" s="1664"/>
      <c r="W445" s="1664"/>
      <c r="X445" s="1664"/>
      <c r="Y445" s="1664"/>
      <c r="Z445" s="1664"/>
      <c r="AA445" s="1664"/>
      <c r="AB445" s="1664"/>
      <c r="AC445" s="1664"/>
      <c r="AD445" s="1664"/>
      <c r="AE445" s="1664"/>
      <c r="AF445" s="18"/>
      <c r="AG445" s="18"/>
      <c r="AH445" s="18"/>
      <c r="AI445" s="18"/>
      <c r="AJ445" s="18"/>
      <c r="AK445" s="18"/>
      <c r="AL445" s="788"/>
      <c r="AM445"/>
      <c r="AN445" s="281"/>
    </row>
    <row r="446" spans="1:49" s="4" customFormat="1" ht="12.75" customHeight="1">
      <c r="A446" s="5"/>
      <c r="B446" s="73"/>
      <c r="C446" s="730"/>
      <c r="D446" s="1"/>
      <c r="E446" s="225"/>
      <c r="F446" s="1664"/>
      <c r="G446" s="1664"/>
      <c r="H446" s="1664"/>
      <c r="I446" s="1664"/>
      <c r="J446" s="1664"/>
      <c r="K446" s="1664"/>
      <c r="L446" s="1664"/>
      <c r="M446" s="1664"/>
      <c r="N446" s="1664"/>
      <c r="O446" s="1664"/>
      <c r="P446" s="1664"/>
      <c r="Q446" s="1664"/>
      <c r="R446" s="1664"/>
      <c r="S446" s="1664"/>
      <c r="T446" s="1664"/>
      <c r="U446" s="1664"/>
      <c r="V446" s="1664"/>
      <c r="W446" s="1664"/>
      <c r="X446" s="1664"/>
      <c r="Y446" s="1664"/>
      <c r="Z446" s="1664"/>
      <c r="AA446" s="1664"/>
      <c r="AB446" s="1664"/>
      <c r="AC446" s="1664"/>
      <c r="AD446" s="1664"/>
      <c r="AE446" s="1664"/>
      <c r="AF446" s="18"/>
      <c r="AG446" s="18"/>
      <c r="AH446" s="18"/>
      <c r="AI446" s="18"/>
      <c r="AJ446" s="18"/>
      <c r="AK446" s="18"/>
      <c r="AL446" s="788"/>
      <c r="AM446"/>
      <c r="AN446" s="281"/>
    </row>
    <row r="447" spans="1:49" s="4" customFormat="1" ht="12.75" customHeight="1">
      <c r="A447" s="5"/>
      <c r="B447" s="73"/>
      <c r="C447" s="730"/>
      <c r="D447" s="1"/>
      <c r="E447" s="225"/>
      <c r="F447" s="1664"/>
      <c r="G447" s="1664"/>
      <c r="H447" s="1664"/>
      <c r="I447" s="1664"/>
      <c r="J447" s="1664"/>
      <c r="K447" s="1664"/>
      <c r="L447" s="1664"/>
      <c r="M447" s="1664"/>
      <c r="N447" s="1664"/>
      <c r="O447" s="1664"/>
      <c r="P447" s="1664"/>
      <c r="Q447" s="1664"/>
      <c r="R447" s="1664"/>
      <c r="S447" s="1664"/>
      <c r="T447" s="1664"/>
      <c r="U447" s="1664"/>
      <c r="V447" s="1664"/>
      <c r="W447" s="1664"/>
      <c r="X447" s="1664"/>
      <c r="Y447" s="1664"/>
      <c r="Z447" s="1664"/>
      <c r="AA447" s="1664"/>
      <c r="AB447" s="1664"/>
      <c r="AC447" s="1664"/>
      <c r="AD447" s="1664"/>
      <c r="AE447" s="1664"/>
      <c r="AL447" s="712"/>
      <c r="AM447"/>
      <c r="AN447" s="281"/>
    </row>
    <row r="448" spans="1:49" s="4" customFormat="1" ht="12.75" customHeight="1">
      <c r="A448" s="5"/>
      <c r="B448" s="73"/>
      <c r="C448" s="1694" t="s">
        <v>132</v>
      </c>
      <c r="D448" s="1113"/>
      <c r="E448" s="225"/>
      <c r="F448" s="347" t="s">
        <v>1867</v>
      </c>
      <c r="G448" s="27"/>
      <c r="H448" s="27"/>
      <c r="I448" s="27"/>
      <c r="J448" s="27"/>
      <c r="K448" s="27"/>
      <c r="L448" s="27"/>
      <c r="M448" s="27"/>
      <c r="N448" s="27"/>
      <c r="O448" s="27"/>
      <c r="P448" s="27"/>
      <c r="Q448" s="27"/>
      <c r="R448" s="27"/>
      <c r="S448" s="27"/>
      <c r="T448" s="27"/>
      <c r="U448" s="27"/>
      <c r="V448" s="27"/>
      <c r="W448" s="27"/>
      <c r="X448" s="27"/>
      <c r="Y448" s="27"/>
      <c r="Z448" s="27"/>
      <c r="AA448" s="27"/>
      <c r="AB448" s="27"/>
      <c r="AC448" s="27"/>
      <c r="AD448" s="27"/>
      <c r="AF448" s="1675" t="s">
        <v>339</v>
      </c>
      <c r="AG448" s="1675"/>
      <c r="AH448" s="1675"/>
      <c r="AI448" s="1675"/>
      <c r="AJ448" s="1675"/>
      <c r="AK448" s="1675"/>
      <c r="AL448" s="1700"/>
      <c r="AM448"/>
      <c r="AN448" s="681"/>
      <c r="AP448" s="21"/>
      <c r="AQ448" s="166"/>
      <c r="AR448" s="166"/>
      <c r="AS448" s="166"/>
      <c r="AT448" s="166"/>
      <c r="AU448" s="166"/>
      <c r="AV448" s="166"/>
      <c r="AW448" s="166"/>
    </row>
    <row r="449" spans="1:54" s="4" customFormat="1" ht="12.75" customHeight="1">
      <c r="A449" s="5"/>
      <c r="B449" s="73"/>
      <c r="C449" s="714"/>
      <c r="E449" s="194"/>
      <c r="F449" s="343"/>
      <c r="G449" s="103"/>
      <c r="H449" s="103"/>
      <c r="I449" s="103"/>
      <c r="J449" s="103"/>
      <c r="K449" s="103"/>
      <c r="L449" s="103"/>
      <c r="M449" s="103"/>
      <c r="N449" s="103"/>
      <c r="O449" s="103"/>
      <c r="P449" s="103"/>
      <c r="Q449" s="103"/>
      <c r="R449" s="103"/>
      <c r="S449" s="103"/>
      <c r="T449" s="103"/>
      <c r="U449" s="103"/>
      <c r="V449" s="103"/>
      <c r="W449" s="103"/>
      <c r="X449" s="103"/>
      <c r="Y449" s="103"/>
      <c r="Z449" s="103"/>
      <c r="AA449" s="103"/>
      <c r="AB449" s="103"/>
      <c r="AC449" s="103"/>
      <c r="AD449" s="103"/>
      <c r="AL449" s="712"/>
      <c r="AM449"/>
      <c r="AN449" s="681"/>
      <c r="AQ449" s="166"/>
      <c r="AR449" s="166"/>
      <c r="AS449" s="166"/>
      <c r="AT449" s="166"/>
      <c r="AU449" s="166"/>
      <c r="AV449" s="166"/>
      <c r="AW449" s="166"/>
    </row>
    <row r="450" spans="1:54" s="4" customFormat="1" ht="12.75" customHeight="1">
      <c r="A450" s="5"/>
      <c r="B450" s="73"/>
      <c r="C450" s="731"/>
      <c r="D450" s="732"/>
      <c r="E450" s="717"/>
      <c r="F450" s="721" t="s">
        <v>1853</v>
      </c>
      <c r="G450" s="713"/>
      <c r="H450" s="713"/>
      <c r="I450" s="713"/>
      <c r="J450" s="713"/>
      <c r="K450" s="713"/>
      <c r="L450" s="713"/>
      <c r="M450" s="713"/>
      <c r="N450" s="713"/>
      <c r="O450" s="713"/>
      <c r="P450" s="713"/>
      <c r="Q450" s="713"/>
      <c r="R450" s="713"/>
      <c r="S450" s="713"/>
      <c r="T450" s="713"/>
      <c r="U450" s="713"/>
      <c r="V450" s="713"/>
      <c r="W450" s="713"/>
      <c r="X450" s="713"/>
      <c r="Y450" s="713"/>
      <c r="Z450" s="713"/>
      <c r="AA450" s="713"/>
      <c r="AB450" s="713"/>
      <c r="AC450" s="713"/>
      <c r="AD450" s="713"/>
      <c r="AE450" s="719"/>
      <c r="AF450" s="720"/>
      <c r="AG450" s="719"/>
      <c r="AH450" s="721"/>
      <c r="AI450" s="721"/>
      <c r="AJ450" s="721"/>
      <c r="AK450" s="721"/>
      <c r="AL450" s="722"/>
      <c r="AM450"/>
      <c r="AN450" s="681"/>
      <c r="AQ450" s="166"/>
      <c r="AR450" s="166"/>
      <c r="AS450" s="166"/>
      <c r="AT450" s="166"/>
      <c r="AU450" s="166"/>
      <c r="AV450" s="166"/>
      <c r="AW450" s="166"/>
    </row>
    <row r="451" spans="1:54" s="4" customFormat="1" ht="12.75" customHeight="1">
      <c r="A451" s="5"/>
      <c r="B451" s="73"/>
      <c r="C451" s="1"/>
      <c r="D451" s="1"/>
      <c r="E451" s="225"/>
      <c r="F451" s="347"/>
      <c r="G451" s="27"/>
      <c r="H451" s="27"/>
      <c r="I451" s="27"/>
      <c r="J451" s="27"/>
      <c r="K451" s="27"/>
      <c r="L451" s="27"/>
      <c r="M451" s="27"/>
      <c r="N451" s="27"/>
      <c r="O451" s="27"/>
      <c r="P451" s="27"/>
      <c r="Q451" s="27"/>
      <c r="R451" s="27"/>
      <c r="S451" s="27"/>
      <c r="T451" s="27"/>
      <c r="U451" s="27"/>
      <c r="V451" s="27"/>
      <c r="W451" s="27"/>
      <c r="X451" s="27"/>
      <c r="Y451" s="27"/>
      <c r="Z451" s="27"/>
      <c r="AA451" s="27"/>
      <c r="AB451" s="27"/>
      <c r="AC451" s="27"/>
      <c r="AD451" s="27"/>
      <c r="AE451" s="18"/>
      <c r="AM451"/>
      <c r="AN451" s="681"/>
      <c r="AQ451" s="166"/>
      <c r="AR451" s="166"/>
      <c r="AS451" s="166"/>
      <c r="AT451" s="166"/>
      <c r="AU451" s="166"/>
      <c r="AV451" s="166"/>
      <c r="AW451" s="166"/>
    </row>
    <row r="452" spans="1:54" s="4" customFormat="1" ht="12.75" customHeight="1">
      <c r="A452" s="5"/>
      <c r="B452" s="73"/>
      <c r="C452" s="1679" t="s">
        <v>116</v>
      </c>
      <c r="D452" s="1680"/>
      <c r="E452" s="705" t="s">
        <v>1010</v>
      </c>
      <c r="F452" s="1690" t="s">
        <v>1012</v>
      </c>
      <c r="G452" s="1690"/>
      <c r="H452" s="1690"/>
      <c r="I452" s="1690"/>
      <c r="J452" s="1690"/>
      <c r="K452" s="1690"/>
      <c r="L452" s="1690"/>
      <c r="M452" s="1690"/>
      <c r="N452" s="1690"/>
      <c r="O452" s="1690"/>
      <c r="P452" s="1690"/>
      <c r="Q452" s="1690"/>
      <c r="R452" s="1690"/>
      <c r="S452" s="1690"/>
      <c r="T452" s="1690"/>
      <c r="U452" s="1690"/>
      <c r="V452" s="1690"/>
      <c r="W452" s="1690"/>
      <c r="X452" s="1690"/>
      <c r="Y452" s="1690"/>
      <c r="Z452" s="1690"/>
      <c r="AA452" s="1690"/>
      <c r="AB452" s="1690"/>
      <c r="AC452" s="1690"/>
      <c r="AD452" s="1690"/>
      <c r="AE452" s="1690"/>
      <c r="AF452" s="1695" t="s">
        <v>339</v>
      </c>
      <c r="AG452" s="1695"/>
      <c r="AH452" s="1695"/>
      <c r="AI452" s="1695"/>
      <c r="AJ452" s="1695"/>
      <c r="AK452" s="1695"/>
      <c r="AL452" s="1696"/>
      <c r="AM452"/>
      <c r="AN452" s="681"/>
      <c r="AQ452" s="166"/>
    </row>
    <row r="453" spans="1:54" s="4" customFormat="1" ht="12.75" customHeight="1">
      <c r="A453" s="5"/>
      <c r="B453" s="73"/>
      <c r="C453" s="730"/>
      <c r="D453" s="1"/>
      <c r="E453" s="225"/>
      <c r="F453" s="1664"/>
      <c r="G453" s="1664"/>
      <c r="H453" s="1664"/>
      <c r="I453" s="1664"/>
      <c r="J453" s="1664"/>
      <c r="K453" s="1664"/>
      <c r="L453" s="1664"/>
      <c r="M453" s="1664"/>
      <c r="N453" s="1664"/>
      <c r="O453" s="1664"/>
      <c r="P453" s="1664"/>
      <c r="Q453" s="1664"/>
      <c r="R453" s="1664"/>
      <c r="S453" s="1664"/>
      <c r="T453" s="1664"/>
      <c r="U453" s="1664"/>
      <c r="V453" s="1664"/>
      <c r="W453" s="1664"/>
      <c r="X453" s="1664"/>
      <c r="Y453" s="1664"/>
      <c r="Z453" s="1664"/>
      <c r="AA453" s="1664"/>
      <c r="AB453" s="1664"/>
      <c r="AC453" s="1664"/>
      <c r="AD453" s="1664"/>
      <c r="AE453" s="1664"/>
      <c r="AF453" s="18"/>
      <c r="AG453" s="18"/>
      <c r="AH453" s="18"/>
      <c r="AI453" s="18"/>
      <c r="AJ453" s="18"/>
      <c r="AK453" s="18"/>
      <c r="AL453" s="788"/>
      <c r="AM453"/>
      <c r="AN453" s="682"/>
      <c r="AO453" s="4" t="s">
        <v>132</v>
      </c>
      <c r="AP453" s="4">
        <v>0</v>
      </c>
      <c r="AQ453" s="166"/>
    </row>
    <row r="454" spans="1:54" s="4" customFormat="1" ht="21.75" customHeight="1">
      <c r="A454" s="5"/>
      <c r="B454" s="73"/>
      <c r="C454" s="707"/>
      <c r="D454" s="708"/>
      <c r="E454" s="709"/>
      <c r="F454" s="1691"/>
      <c r="G454" s="1691"/>
      <c r="H454" s="1691"/>
      <c r="I454" s="1691"/>
      <c r="J454" s="1691"/>
      <c r="K454" s="1691"/>
      <c r="L454" s="1691"/>
      <c r="M454" s="1691"/>
      <c r="N454" s="1691"/>
      <c r="O454" s="1691"/>
      <c r="P454" s="1691"/>
      <c r="Q454" s="1691"/>
      <c r="R454" s="1691"/>
      <c r="S454" s="1691"/>
      <c r="T454" s="1691"/>
      <c r="U454" s="1691"/>
      <c r="V454" s="1691"/>
      <c r="W454" s="1691"/>
      <c r="X454" s="1691"/>
      <c r="Y454" s="1691"/>
      <c r="Z454" s="1691"/>
      <c r="AA454" s="1691"/>
      <c r="AB454" s="1691"/>
      <c r="AC454" s="1691"/>
      <c r="AD454" s="1691"/>
      <c r="AE454" s="1691"/>
      <c r="AF454" s="789"/>
      <c r="AG454" s="789"/>
      <c r="AH454" s="789"/>
      <c r="AI454" s="789"/>
      <c r="AJ454" s="789"/>
      <c r="AK454" s="789"/>
      <c r="AL454" s="790"/>
      <c r="AM454"/>
      <c r="AN454" s="677"/>
      <c r="AO454" s="4" t="s">
        <v>1013</v>
      </c>
      <c r="AP454" s="4">
        <v>5</v>
      </c>
      <c r="AQ454" s="166"/>
    </row>
    <row r="455" spans="1:54" s="4" customFormat="1" ht="12.75" customHeight="1">
      <c r="A455" s="5"/>
      <c r="B455" s="73"/>
      <c r="C455" s="1"/>
      <c r="D455" s="1"/>
      <c r="E455" s="225"/>
      <c r="F455" s="347"/>
      <c r="G455" s="27"/>
      <c r="H455" s="27"/>
      <c r="I455" s="27"/>
      <c r="J455" s="27"/>
      <c r="K455" s="27"/>
      <c r="L455" s="27"/>
      <c r="M455" s="27"/>
      <c r="N455" s="27"/>
      <c r="O455" s="27"/>
      <c r="P455" s="27"/>
      <c r="Q455" s="27"/>
      <c r="R455" s="27"/>
      <c r="S455" s="27"/>
      <c r="T455" s="27"/>
      <c r="U455" s="27"/>
      <c r="V455" s="27"/>
      <c r="W455" s="27"/>
      <c r="X455" s="27"/>
      <c r="Y455" s="27"/>
      <c r="Z455" s="27"/>
      <c r="AA455" s="27"/>
      <c r="AB455" s="27"/>
      <c r="AC455" s="27"/>
      <c r="AD455" s="27"/>
      <c r="AE455" s="18"/>
      <c r="AM455"/>
      <c r="AN455" s="677"/>
      <c r="AO455" s="4" t="s">
        <v>1014</v>
      </c>
      <c r="AP455" s="4">
        <v>5</v>
      </c>
      <c r="AQ455" s="166"/>
    </row>
    <row r="456" spans="1:54" s="4" customFormat="1" ht="12.75" customHeight="1">
      <c r="A456" s="5"/>
      <c r="B456" s="21"/>
      <c r="C456" s="1679" t="s">
        <v>132</v>
      </c>
      <c r="D456" s="1680"/>
      <c r="E456" s="705" t="s">
        <v>1011</v>
      </c>
      <c r="F456" s="1690" t="s">
        <v>1905</v>
      </c>
      <c r="G456" s="1690"/>
      <c r="H456" s="1690"/>
      <c r="I456" s="1690"/>
      <c r="J456" s="1690"/>
      <c r="K456" s="1690"/>
      <c r="L456" s="1690"/>
      <c r="M456" s="1690"/>
      <c r="N456" s="1690"/>
      <c r="O456" s="1690"/>
      <c r="P456" s="1690"/>
      <c r="Q456" s="1690"/>
      <c r="R456" s="1690"/>
      <c r="S456" s="1690"/>
      <c r="T456" s="1690"/>
      <c r="U456" s="1690"/>
      <c r="V456" s="1690"/>
      <c r="W456" s="1690"/>
      <c r="X456" s="1690"/>
      <c r="Y456" s="1690"/>
      <c r="Z456" s="1690"/>
      <c r="AA456" s="1690"/>
      <c r="AB456" s="1690"/>
      <c r="AC456" s="1690"/>
      <c r="AD456" s="1690"/>
      <c r="AE456" s="1690"/>
      <c r="AF456" s="1695" t="s">
        <v>339</v>
      </c>
      <c r="AG456" s="1695"/>
      <c r="AH456" s="1695"/>
      <c r="AI456" s="1695"/>
      <c r="AJ456" s="1695"/>
      <c r="AK456" s="1695"/>
      <c r="AL456" s="1696"/>
      <c r="AM456"/>
      <c r="AN456" s="677"/>
      <c r="AO456" s="4" t="s">
        <v>1386</v>
      </c>
      <c r="AP456" s="4">
        <v>5</v>
      </c>
      <c r="AQ456" s="5"/>
    </row>
    <row r="457" spans="1:54" s="4" customFormat="1" ht="12.75" customHeight="1">
      <c r="A457" s="5"/>
      <c r="B457" s="21"/>
      <c r="C457" s="711"/>
      <c r="D457" s="21"/>
      <c r="E457" s="194"/>
      <c r="F457" s="1664"/>
      <c r="G457" s="1664"/>
      <c r="H457" s="1664"/>
      <c r="I457" s="1664"/>
      <c r="J457" s="1664"/>
      <c r="K457" s="1664"/>
      <c r="L457" s="1664"/>
      <c r="M457" s="1664"/>
      <c r="N457" s="1664"/>
      <c r="O457" s="1664"/>
      <c r="P457" s="1664"/>
      <c r="Q457" s="1664"/>
      <c r="R457" s="1664"/>
      <c r="S457" s="1664"/>
      <c r="T457" s="1664"/>
      <c r="U457" s="1664"/>
      <c r="V457" s="1664"/>
      <c r="W457" s="1664"/>
      <c r="X457" s="1664"/>
      <c r="Y457" s="1664"/>
      <c r="Z457" s="1664"/>
      <c r="AA457" s="1664"/>
      <c r="AB457" s="1664"/>
      <c r="AC457" s="1664"/>
      <c r="AD457" s="1664"/>
      <c r="AE457" s="1664"/>
      <c r="AF457" s="3"/>
      <c r="AG457" s="5"/>
      <c r="AL457" s="712"/>
      <c r="AM457"/>
      <c r="AN457" s="677"/>
      <c r="AO457" s="4" t="s">
        <v>1382</v>
      </c>
      <c r="AP457" s="4">
        <v>5</v>
      </c>
    </row>
    <row r="458" spans="1:54" s="4" customFormat="1" ht="12.75" customHeight="1">
      <c r="A458" s="5"/>
      <c r="B458" s="21"/>
      <c r="C458" s="711"/>
      <c r="D458" s="21"/>
      <c r="E458" s="194"/>
      <c r="F458" s="1664"/>
      <c r="G458" s="1664"/>
      <c r="H458" s="1664"/>
      <c r="I458" s="1664"/>
      <c r="J458" s="1664"/>
      <c r="K458" s="1664"/>
      <c r="L458" s="1664"/>
      <c r="M458" s="1664"/>
      <c r="N458" s="1664"/>
      <c r="O458" s="1664"/>
      <c r="P458" s="1664"/>
      <c r="Q458" s="1664"/>
      <c r="R458" s="1664"/>
      <c r="S458" s="1664"/>
      <c r="T458" s="1664"/>
      <c r="U458" s="1664"/>
      <c r="V458" s="1664"/>
      <c r="W458" s="1664"/>
      <c r="X458" s="1664"/>
      <c r="Y458" s="1664"/>
      <c r="Z458" s="1664"/>
      <c r="AA458" s="1664"/>
      <c r="AB458" s="1664"/>
      <c r="AC458" s="1664"/>
      <c r="AD458" s="1664"/>
      <c r="AE458" s="1664"/>
      <c r="AF458" s="3"/>
      <c r="AG458" s="5"/>
      <c r="AL458" s="712"/>
      <c r="AM458"/>
      <c r="AN458" s="677"/>
      <c r="AO458" s="4" t="s">
        <v>1383</v>
      </c>
      <c r="AP458" s="4">
        <v>5</v>
      </c>
    </row>
    <row r="459" spans="1:54" s="4" customFormat="1" ht="4.5" customHeight="1">
      <c r="A459" s="5"/>
      <c r="B459" s="73"/>
      <c r="C459" s="707"/>
      <c r="D459" s="708"/>
      <c r="E459" s="709"/>
      <c r="F459" s="1691"/>
      <c r="G459" s="1691"/>
      <c r="H459" s="1691"/>
      <c r="I459" s="1691"/>
      <c r="J459" s="1691"/>
      <c r="K459" s="1691"/>
      <c r="L459" s="1691"/>
      <c r="M459" s="1691"/>
      <c r="N459" s="1691"/>
      <c r="O459" s="1691"/>
      <c r="P459" s="1691"/>
      <c r="Q459" s="1691"/>
      <c r="R459" s="1691"/>
      <c r="S459" s="1691"/>
      <c r="T459" s="1691"/>
      <c r="U459" s="1691"/>
      <c r="V459" s="1691"/>
      <c r="W459" s="1691"/>
      <c r="X459" s="1691"/>
      <c r="Y459" s="1691"/>
      <c r="Z459" s="1691"/>
      <c r="AA459" s="1691"/>
      <c r="AB459" s="1691"/>
      <c r="AC459" s="1691"/>
      <c r="AD459" s="1691"/>
      <c r="AE459" s="1691"/>
      <c r="AF459" s="789"/>
      <c r="AG459" s="789"/>
      <c r="AH459" s="789"/>
      <c r="AI459" s="789"/>
      <c r="AJ459" s="789"/>
      <c r="AK459" s="789"/>
      <c r="AL459" s="790"/>
      <c r="AM459"/>
      <c r="AN459" s="281"/>
      <c r="AO459" s="4" t="s">
        <v>1384</v>
      </c>
      <c r="AP459" s="4">
        <v>5</v>
      </c>
    </row>
    <row r="460" spans="1:54" s="4" customFormat="1" ht="12.75" customHeight="1">
      <c r="A460" s="5"/>
      <c r="B460" s="21"/>
      <c r="G460" s="27"/>
      <c r="H460" s="27"/>
      <c r="I460" s="27"/>
      <c r="J460" s="27"/>
      <c r="K460" s="27"/>
      <c r="L460" s="27"/>
      <c r="M460" s="27"/>
      <c r="N460" s="27"/>
      <c r="O460" s="27"/>
      <c r="P460" s="27"/>
      <c r="Q460" s="27"/>
      <c r="R460" s="27"/>
      <c r="S460" s="27"/>
      <c r="T460" s="27"/>
      <c r="U460" s="27"/>
      <c r="V460" s="27"/>
      <c r="W460" s="27"/>
      <c r="X460" s="27"/>
      <c r="Y460" s="27"/>
      <c r="Z460" s="27"/>
      <c r="AA460" s="27"/>
      <c r="AB460" s="27"/>
      <c r="AC460" s="27"/>
      <c r="AD460" s="27"/>
      <c r="AM460"/>
      <c r="AN460" s="281"/>
      <c r="AO460" s="4" t="s">
        <v>1270</v>
      </c>
      <c r="AP460" s="4">
        <v>5</v>
      </c>
    </row>
    <row r="461" spans="1:54" s="4" customFormat="1" ht="12.75" customHeight="1">
      <c r="A461" s="5"/>
      <c r="B461" s="21"/>
      <c r="C461" s="703"/>
      <c r="D461" s="704"/>
      <c r="E461" s="705" t="s">
        <v>1009</v>
      </c>
      <c r="F461" s="1690" t="s">
        <v>1906</v>
      </c>
      <c r="G461" s="1690"/>
      <c r="H461" s="1690"/>
      <c r="I461" s="1690"/>
      <c r="J461" s="1690"/>
      <c r="K461" s="1690"/>
      <c r="L461" s="1690"/>
      <c r="M461" s="1690"/>
      <c r="N461" s="1690"/>
      <c r="O461" s="1690"/>
      <c r="P461" s="1690"/>
      <c r="Q461" s="1690"/>
      <c r="R461" s="1690"/>
      <c r="S461" s="1690"/>
      <c r="T461" s="1690"/>
      <c r="U461" s="1690"/>
      <c r="V461" s="1690"/>
      <c r="W461" s="1690"/>
      <c r="X461" s="1690"/>
      <c r="Y461" s="1690"/>
      <c r="Z461" s="1690"/>
      <c r="AA461" s="1690"/>
      <c r="AB461" s="1690"/>
      <c r="AC461" s="1690"/>
      <c r="AD461" s="1690"/>
      <c r="AE461" s="1690"/>
      <c r="AF461" s="1690"/>
      <c r="AG461" s="794"/>
      <c r="AH461" s="704"/>
      <c r="AI461" s="704"/>
      <c r="AJ461" s="704"/>
      <c r="AK461" s="704"/>
      <c r="AL461" s="728"/>
      <c r="AM461"/>
      <c r="AN461" s="281"/>
      <c r="AO461" s="4" t="s">
        <v>1385</v>
      </c>
      <c r="AP461" s="4">
        <v>1</v>
      </c>
    </row>
    <row r="462" spans="1:54" s="4" customFormat="1" ht="12.75" customHeight="1">
      <c r="A462" s="5"/>
      <c r="B462" s="21"/>
      <c r="C462" s="711"/>
      <c r="D462" s="21"/>
      <c r="E462" s="194"/>
      <c r="F462" s="1664"/>
      <c r="G462" s="1664"/>
      <c r="H462" s="1664"/>
      <c r="I462" s="1664"/>
      <c r="J462" s="1664"/>
      <c r="K462" s="1664"/>
      <c r="L462" s="1664"/>
      <c r="M462" s="1664"/>
      <c r="N462" s="1664"/>
      <c r="O462" s="1664"/>
      <c r="P462" s="1664"/>
      <c r="Q462" s="1664"/>
      <c r="R462" s="1664"/>
      <c r="S462" s="1664"/>
      <c r="T462" s="1664"/>
      <c r="U462" s="1664"/>
      <c r="V462" s="1664"/>
      <c r="W462" s="1664"/>
      <c r="X462" s="1664"/>
      <c r="Y462" s="1664"/>
      <c r="Z462" s="1664"/>
      <c r="AA462" s="1664"/>
      <c r="AB462" s="1664"/>
      <c r="AC462" s="1664"/>
      <c r="AD462" s="1664"/>
      <c r="AE462" s="1664"/>
      <c r="AF462" s="1664"/>
      <c r="AL462" s="712"/>
      <c r="AM462"/>
      <c r="AN462" s="281"/>
      <c r="AS462" s="346"/>
      <c r="AW462" s="346" t="s">
        <v>1018</v>
      </c>
      <c r="BA462" s="346" t="s">
        <v>1019</v>
      </c>
    </row>
    <row r="463" spans="1:54" s="4" customFormat="1" ht="12.75" customHeight="1">
      <c r="A463" s="5"/>
      <c r="B463" s="21"/>
      <c r="C463" s="714"/>
      <c r="F463" s="1664"/>
      <c r="G463" s="1664"/>
      <c r="H463" s="1664"/>
      <c r="I463" s="1664"/>
      <c r="J463" s="1664"/>
      <c r="K463" s="1664"/>
      <c r="L463" s="1664"/>
      <c r="M463" s="1664"/>
      <c r="N463" s="1664"/>
      <c r="O463" s="1664"/>
      <c r="P463" s="1664"/>
      <c r="Q463" s="1664"/>
      <c r="R463" s="1664"/>
      <c r="S463" s="1664"/>
      <c r="T463" s="1664"/>
      <c r="U463" s="1664"/>
      <c r="V463" s="1664"/>
      <c r="W463" s="1664"/>
      <c r="X463" s="1664"/>
      <c r="Y463" s="1664"/>
      <c r="Z463" s="1664"/>
      <c r="AA463" s="1664"/>
      <c r="AB463" s="1664"/>
      <c r="AC463" s="1664"/>
      <c r="AD463" s="1664"/>
      <c r="AE463" s="1664"/>
      <c r="AF463" s="1664"/>
      <c r="AL463" s="712"/>
      <c r="AM463"/>
      <c r="AN463" s="281"/>
      <c r="AO463" s="4" t="s">
        <v>132</v>
      </c>
      <c r="AP463" s="35">
        <v>0</v>
      </c>
      <c r="AR463" s="4" t="s">
        <v>132</v>
      </c>
      <c r="AS463" s="35">
        <v>0</v>
      </c>
      <c r="AT463" s="29"/>
      <c r="AW463" s="4" t="s">
        <v>132</v>
      </c>
      <c r="AX463" s="29">
        <v>0</v>
      </c>
      <c r="BA463" s="4" t="s">
        <v>132</v>
      </c>
      <c r="BB463" s="29">
        <v>0</v>
      </c>
    </row>
    <row r="464" spans="1:54" s="4" customFormat="1" ht="6" customHeight="1">
      <c r="A464" s="5"/>
      <c r="B464" s="21"/>
      <c r="C464" s="714"/>
      <c r="F464" s="1664"/>
      <c r="G464" s="1664"/>
      <c r="H464" s="1664"/>
      <c r="I464" s="1664"/>
      <c r="J464" s="1664"/>
      <c r="K464" s="1664"/>
      <c r="L464" s="1664"/>
      <c r="M464" s="1664"/>
      <c r="N464" s="1664"/>
      <c r="O464" s="1664"/>
      <c r="P464" s="1664"/>
      <c r="Q464" s="1664"/>
      <c r="R464" s="1664"/>
      <c r="S464" s="1664"/>
      <c r="T464" s="1664"/>
      <c r="U464" s="1664"/>
      <c r="V464" s="1664"/>
      <c r="W464" s="1664"/>
      <c r="X464" s="1664"/>
      <c r="Y464" s="1664"/>
      <c r="Z464" s="1664"/>
      <c r="AA464" s="1664"/>
      <c r="AB464" s="1664"/>
      <c r="AC464" s="1664"/>
      <c r="AD464" s="1664"/>
      <c r="AE464" s="1664"/>
      <c r="AF464" s="1664"/>
      <c r="AL464" s="712"/>
      <c r="AM464"/>
      <c r="AN464" s="281"/>
      <c r="AO464" s="349">
        <v>7.0000000000000007E-2</v>
      </c>
      <c r="AP464" s="35">
        <v>3</v>
      </c>
      <c r="AR464" s="4" t="s">
        <v>2002</v>
      </c>
      <c r="AS464" s="35">
        <v>3</v>
      </c>
      <c r="AT464" s="29"/>
      <c r="AW464" s="349">
        <v>0.4</v>
      </c>
      <c r="AX464" s="29">
        <v>3</v>
      </c>
      <c r="BA464" s="349">
        <v>0.4</v>
      </c>
      <c r="BB464" s="29">
        <v>4</v>
      </c>
    </row>
    <row r="465" spans="1:54" s="4" customFormat="1" ht="12.75" customHeight="1">
      <c r="A465" s="5"/>
      <c r="B465" s="21"/>
      <c r="C465" s="1694" t="s">
        <v>132</v>
      </c>
      <c r="D465" s="1113"/>
      <c r="E465" s="225"/>
      <c r="F465" s="347" t="s">
        <v>1860</v>
      </c>
      <c r="G465" s="27"/>
      <c r="H465" s="27"/>
      <c r="I465" s="27"/>
      <c r="J465" s="27"/>
      <c r="K465" s="27"/>
      <c r="L465" s="27"/>
      <c r="M465" s="27"/>
      <c r="N465" s="27"/>
      <c r="O465" s="27"/>
      <c r="P465" s="27"/>
      <c r="Q465" s="27"/>
      <c r="R465" s="27"/>
      <c r="S465" s="27"/>
      <c r="T465" s="27"/>
      <c r="U465" s="27"/>
      <c r="V465" s="27"/>
      <c r="W465" s="27"/>
      <c r="X465" s="27"/>
      <c r="Y465" s="27"/>
      <c r="Z465" s="27"/>
      <c r="AA465" s="27"/>
      <c r="AB465" s="27"/>
      <c r="AC465" s="27"/>
      <c r="AD465" s="27"/>
      <c r="AF465" s="1577" t="s">
        <v>339</v>
      </c>
      <c r="AG465" s="1577"/>
      <c r="AH465" s="1577"/>
      <c r="AI465" s="1577"/>
      <c r="AJ465" s="1577"/>
      <c r="AK465" s="1577"/>
      <c r="AL465" s="1689"/>
      <c r="AM465"/>
      <c r="AN465" s="281"/>
      <c r="AO465" s="349">
        <v>0.12</v>
      </c>
      <c r="AP465" s="35">
        <v>5</v>
      </c>
      <c r="AR465" s="4" t="s">
        <v>2003</v>
      </c>
      <c r="AS465" s="35">
        <v>5</v>
      </c>
      <c r="AT465" s="29"/>
      <c r="AW465" s="349">
        <v>0.6</v>
      </c>
      <c r="AX465" s="29">
        <v>4</v>
      </c>
      <c r="BA465" s="349">
        <v>0.6</v>
      </c>
      <c r="BB465" s="29">
        <v>5</v>
      </c>
    </row>
    <row r="466" spans="1:54" s="4" customFormat="1" ht="12.75" customHeight="1">
      <c r="A466" s="5"/>
      <c r="B466" s="21"/>
      <c r="C466" s="715"/>
      <c r="D466" s="716"/>
      <c r="E466" s="717"/>
      <c r="F466" s="721"/>
      <c r="G466" s="721"/>
      <c r="H466" s="721"/>
      <c r="I466" s="721"/>
      <c r="J466" s="721"/>
      <c r="K466" s="721"/>
      <c r="L466" s="721"/>
      <c r="M466" s="721"/>
      <c r="N466" s="721"/>
      <c r="O466" s="721"/>
      <c r="P466" s="721"/>
      <c r="Q466" s="721"/>
      <c r="R466" s="721"/>
      <c r="S466" s="721"/>
      <c r="T466" s="721"/>
      <c r="U466" s="721"/>
      <c r="V466" s="721"/>
      <c r="W466" s="721"/>
      <c r="X466" s="721"/>
      <c r="Y466" s="721"/>
      <c r="Z466" s="721"/>
      <c r="AA466" s="721"/>
      <c r="AB466" s="721"/>
      <c r="AC466" s="721"/>
      <c r="AD466" s="721"/>
      <c r="AE466" s="721"/>
      <c r="AF466" s="721"/>
      <c r="AG466" s="721"/>
      <c r="AH466" s="721"/>
      <c r="AI466" s="721"/>
      <c r="AJ466" s="721"/>
      <c r="AK466" s="721"/>
      <c r="AL466" s="722"/>
      <c r="AN466" s="281"/>
      <c r="AO466" s="349"/>
      <c r="AP466" s="29"/>
      <c r="AS466" s="349"/>
      <c r="AT466" s="29"/>
      <c r="AW466" s="349">
        <v>0.8</v>
      </c>
      <c r="AX466" s="29">
        <v>5</v>
      </c>
      <c r="BA466" s="349"/>
      <c r="BB466" s="29"/>
    </row>
    <row r="467" spans="1:54" s="4" customFormat="1" ht="12.75" customHeight="1">
      <c r="A467" s="5"/>
      <c r="B467" s="21"/>
      <c r="C467"/>
      <c r="D467"/>
      <c r="F467" s="347"/>
      <c r="G467" s="27"/>
      <c r="H467" s="27"/>
      <c r="I467" s="27"/>
      <c r="J467" s="27"/>
      <c r="K467" s="27"/>
      <c r="L467" s="27"/>
      <c r="M467" s="27"/>
      <c r="N467" s="27"/>
      <c r="O467" s="27"/>
      <c r="P467" s="27"/>
      <c r="Q467" s="27"/>
      <c r="R467" s="27"/>
      <c r="S467" s="27"/>
      <c r="T467" s="27"/>
      <c r="U467" s="27"/>
      <c r="V467" s="27"/>
      <c r="W467" s="27"/>
      <c r="X467" s="27"/>
      <c r="Y467" s="27"/>
      <c r="Z467" s="27"/>
      <c r="AA467" s="27"/>
      <c r="AB467" s="27"/>
      <c r="AC467" s="27"/>
      <c r="AD467" s="27"/>
      <c r="AF467" s="104"/>
      <c r="AG467" s="104"/>
      <c r="AH467" s="104"/>
      <c r="AI467" s="104"/>
      <c r="AJ467" s="104"/>
      <c r="AK467" s="104"/>
      <c r="AL467" s="104"/>
      <c r="AN467" s="281"/>
      <c r="AO467" s="4" t="s">
        <v>132</v>
      </c>
      <c r="AP467" s="35">
        <v>0</v>
      </c>
      <c r="AW467" s="349"/>
      <c r="AX467" s="29"/>
    </row>
    <row r="468" spans="1:54" s="4" customFormat="1" ht="12.75" customHeight="1">
      <c r="A468" s="5"/>
      <c r="B468" s="21"/>
      <c r="E468" s="225"/>
      <c r="G468" s="27"/>
      <c r="H468" s="27"/>
      <c r="I468" s="27"/>
      <c r="J468" s="27"/>
      <c r="K468" s="27"/>
      <c r="L468" s="27"/>
      <c r="M468" s="27"/>
      <c r="N468" s="27"/>
      <c r="O468" s="27"/>
      <c r="P468" s="27"/>
      <c r="Q468" s="27"/>
      <c r="R468" s="27"/>
      <c r="S468" s="27"/>
      <c r="T468" s="27"/>
      <c r="U468" s="27"/>
      <c r="V468" s="27"/>
      <c r="W468" s="27"/>
      <c r="X468" s="27"/>
      <c r="Y468" s="27"/>
      <c r="Z468" s="27"/>
      <c r="AA468" s="27"/>
      <c r="AB468" s="27"/>
      <c r="AC468" s="27"/>
      <c r="AD468" s="27"/>
      <c r="AM468"/>
      <c r="AN468" s="281"/>
      <c r="AO468" s="349">
        <v>0.09</v>
      </c>
      <c r="AP468" s="35">
        <v>3</v>
      </c>
      <c r="AS468" s="346"/>
    </row>
    <row r="469" spans="1:54" s="4" customFormat="1" ht="12.75" customHeight="1">
      <c r="A469" s="5"/>
      <c r="B469" s="21"/>
      <c r="C469"/>
      <c r="D469"/>
      <c r="E469" s="194"/>
      <c r="F469" s="347"/>
      <c r="G469" s="27"/>
      <c r="H469" s="27"/>
      <c r="I469" s="27"/>
      <c r="J469" s="27"/>
      <c r="K469" s="27"/>
      <c r="L469" s="27"/>
      <c r="M469" s="27"/>
      <c r="N469" s="27"/>
      <c r="O469" s="27"/>
      <c r="P469" s="27"/>
      <c r="Q469" s="27"/>
      <c r="R469" s="27"/>
      <c r="S469" s="27"/>
      <c r="T469" s="27"/>
      <c r="U469" s="27"/>
      <c r="V469" s="27"/>
      <c r="W469" s="27"/>
      <c r="X469" s="27"/>
      <c r="Y469" s="27"/>
      <c r="Z469" s="27"/>
      <c r="AA469" s="27"/>
      <c r="AB469" s="27"/>
      <c r="AC469" s="27"/>
      <c r="AD469" s="27"/>
      <c r="AF469" s="104"/>
      <c r="AG469" s="104"/>
      <c r="AH469" s="104"/>
      <c r="AI469" s="104"/>
      <c r="AJ469" s="104"/>
      <c r="AK469" s="104"/>
      <c r="AL469" s="104"/>
      <c r="AM469"/>
      <c r="AN469" s="281"/>
      <c r="AO469" s="349">
        <v>0.15</v>
      </c>
      <c r="AP469" s="35">
        <v>5</v>
      </c>
    </row>
    <row r="470" spans="1:54" s="4" customFormat="1" ht="12.75" customHeight="1">
      <c r="A470" s="5"/>
      <c r="B470" s="21"/>
      <c r="C470" s="11"/>
      <c r="D470" s="21"/>
      <c r="E470" s="194"/>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E470" s="5"/>
      <c r="AF470" s="3"/>
      <c r="AG470" s="5"/>
      <c r="AM470"/>
      <c r="AN470" s="281"/>
    </row>
    <row r="471" spans="1:54" s="4" customFormat="1" ht="12.75" customHeight="1">
      <c r="A471" s="72"/>
      <c r="B471" s="627" t="s">
        <v>1924</v>
      </c>
      <c r="D471" s="118"/>
      <c r="E471" s="89"/>
      <c r="F471" s="89"/>
      <c r="G471" s="89"/>
      <c r="H471" s="89"/>
      <c r="I471" s="89"/>
      <c r="J471" s="89"/>
      <c r="K471" s="89"/>
      <c r="L471" s="89"/>
      <c r="M471" s="89"/>
      <c r="N471" s="89"/>
      <c r="O471" s="89"/>
      <c r="P471" s="89"/>
      <c r="Q471" s="89"/>
      <c r="R471" s="89"/>
      <c r="S471" s="89"/>
      <c r="T471" s="89"/>
      <c r="U471" s="89"/>
      <c r="V471" s="89"/>
      <c r="W471" s="89"/>
      <c r="X471" s="89"/>
      <c r="Y471" s="89"/>
      <c r="Z471" s="89"/>
      <c r="AA471" s="89"/>
      <c r="AB471" s="89"/>
      <c r="AC471" s="89"/>
      <c r="AD471" s="89"/>
      <c r="AE471" s="93"/>
      <c r="AF471" s="93"/>
      <c r="AG471" s="93"/>
      <c r="AH471" s="93"/>
      <c r="AI471" s="60"/>
      <c r="AJ471" s="60" t="s">
        <v>758</v>
      </c>
      <c r="AK471" s="1240">
        <f>IF(AS354=0,AS352,AS354)</f>
        <v>10</v>
      </c>
      <c r="AL471" s="1241"/>
      <c r="AM471" s="1243"/>
      <c r="AN471" s="281"/>
    </row>
    <row r="472" spans="1:54" s="4" customFormat="1" ht="12.75" customHeight="1" thickBot="1">
      <c r="A472" s="141"/>
      <c r="B472" s="141"/>
      <c r="C472" s="141"/>
      <c r="D472" s="141"/>
      <c r="E472" s="141"/>
      <c r="F472" s="141"/>
      <c r="G472" s="141"/>
      <c r="H472" s="141"/>
      <c r="I472" s="141"/>
      <c r="J472" s="141"/>
      <c r="K472" s="141"/>
      <c r="L472" s="141"/>
      <c r="M472" s="141"/>
      <c r="N472" s="141"/>
      <c r="O472" s="141"/>
      <c r="P472" s="141"/>
      <c r="Q472" s="141"/>
      <c r="R472" s="141"/>
      <c r="S472" s="141"/>
      <c r="T472" s="141"/>
      <c r="U472" s="141"/>
      <c r="V472" s="141"/>
      <c r="W472" s="141"/>
      <c r="X472" s="141"/>
      <c r="Y472" s="141"/>
      <c r="Z472" s="141"/>
      <c r="AA472" s="141"/>
      <c r="AB472" s="141"/>
      <c r="AC472" s="141"/>
      <c r="AD472" s="141"/>
      <c r="AE472" s="141"/>
      <c r="AF472" s="141"/>
      <c r="AG472" s="141"/>
      <c r="AH472" s="141"/>
      <c r="AI472" s="141"/>
      <c r="AJ472" s="141"/>
      <c r="AK472" s="141"/>
      <c r="AL472" s="141"/>
      <c r="AM472" s="142"/>
      <c r="AN472" s="281"/>
    </row>
    <row r="473" spans="1:54" s="4" customFormat="1" ht="12.75" hidden="1" customHeight="1" thickTop="1">
      <c r="A473" s="84"/>
      <c r="B473" s="186"/>
      <c r="C473" s="187"/>
      <c r="D473" s="187"/>
      <c r="E473" s="187"/>
      <c r="F473" s="187"/>
      <c r="G473" s="187"/>
      <c r="H473" s="187"/>
      <c r="I473" s="103"/>
      <c r="J473" s="103"/>
      <c r="K473" s="103"/>
      <c r="L473" s="103"/>
      <c r="M473" s="103"/>
      <c r="N473" s="103"/>
      <c r="O473" s="103"/>
      <c r="P473" s="103"/>
      <c r="Q473" s="103"/>
      <c r="R473"/>
      <c r="S473" s="3"/>
      <c r="T473" s="3"/>
      <c r="U473" s="3"/>
      <c r="V473" s="3"/>
      <c r="W473" s="3"/>
      <c r="X473" s="3"/>
      <c r="Y473" s="3"/>
      <c r="Z473" s="3"/>
      <c r="AA473" s="3"/>
      <c r="AB473" s="3"/>
      <c r="AC473" s="3"/>
      <c r="AD473" s="3"/>
      <c r="AE473" s="3"/>
      <c r="AF473"/>
      <c r="AG473" s="3"/>
      <c r="AH473" s="3"/>
      <c r="AI473" s="3"/>
      <c r="AJ473" s="3"/>
      <c r="AM473" s="21"/>
      <c r="AN473" s="281"/>
      <c r="AO473" s="4" t="s">
        <v>132</v>
      </c>
      <c r="AP473" s="4">
        <v>0</v>
      </c>
    </row>
    <row r="474" spans="1:54" s="4" customFormat="1" ht="12.75" hidden="1" customHeight="1">
      <c r="A474" s="3" t="s">
        <v>1530</v>
      </c>
      <c r="C474" s="3"/>
      <c r="E474" s="20"/>
      <c r="AE474" s="1577" t="s">
        <v>1308</v>
      </c>
      <c r="AF474" s="1577"/>
      <c r="AG474" s="1577"/>
      <c r="AH474" s="1577"/>
      <c r="AI474" s="1577"/>
      <c r="AJ474" s="1577"/>
      <c r="AK474" s="1577"/>
      <c r="AL474" s="18"/>
      <c r="AN474" s="281"/>
      <c r="AO474" s="4" t="s">
        <v>1013</v>
      </c>
      <c r="AP474" s="4">
        <v>5</v>
      </c>
    </row>
    <row r="475" spans="1:54" s="4" customFormat="1" ht="12.75" hidden="1" customHeight="1">
      <c r="A475" s="3"/>
      <c r="B475" s="5" t="s">
        <v>1559</v>
      </c>
      <c r="C475" s="3"/>
      <c r="E475" s="20"/>
      <c r="AE475" s="18"/>
      <c r="AF475" s="18"/>
      <c r="AG475" s="18"/>
      <c r="AH475" s="18"/>
      <c r="AI475" s="18"/>
      <c r="AJ475" s="18"/>
      <c r="AK475" s="18"/>
      <c r="AL475" s="18"/>
      <c r="AN475" s="281"/>
      <c r="AO475" s="4" t="s">
        <v>1204</v>
      </c>
      <c r="AP475" s="4">
        <v>5</v>
      </c>
    </row>
    <row r="476" spans="1:54" s="4" customFormat="1" ht="12.75" hidden="1" customHeight="1">
      <c r="A476" s="3"/>
      <c r="B476" s="3" t="s">
        <v>1059</v>
      </c>
      <c r="C476" s="3"/>
      <c r="E476" s="20"/>
      <c r="AE476" s="18"/>
      <c r="AF476" s="18"/>
      <c r="AG476" s="18"/>
      <c r="AH476" s="18"/>
      <c r="AI476" s="18"/>
      <c r="AJ476" s="18"/>
      <c r="AK476" s="18"/>
      <c r="AL476" s="18"/>
      <c r="AN476" s="281"/>
      <c r="AO476" s="4" t="s">
        <v>1386</v>
      </c>
      <c r="AP476" s="4">
        <v>5</v>
      </c>
      <c r="AQ476" s="3"/>
      <c r="AR476" s="3"/>
      <c r="AS476" s="346"/>
      <c r="AW476" s="346"/>
    </row>
    <row r="477" spans="1:54" s="4" customFormat="1" ht="12.75" hidden="1" customHeight="1">
      <c r="A477" s="3"/>
      <c r="B477" s="3" t="s">
        <v>1023</v>
      </c>
      <c r="C477" s="3"/>
      <c r="E477" s="20"/>
      <c r="AE477" s="18"/>
      <c r="AF477" s="18"/>
      <c r="AG477" s="18"/>
      <c r="AH477" s="18"/>
      <c r="AI477" s="18"/>
      <c r="AJ477" s="18"/>
      <c r="AK477" s="18"/>
      <c r="AL477" s="18"/>
      <c r="AN477" s="281"/>
      <c r="AO477" s="4" t="s">
        <v>1382</v>
      </c>
      <c r="AP477" s="4">
        <v>5</v>
      </c>
      <c r="AQ477" s="3"/>
      <c r="AR477" s="3"/>
      <c r="AW477" s="120"/>
    </row>
    <row r="478" spans="1:54" s="4" customFormat="1" ht="12.75" hidden="1" customHeight="1">
      <c r="A478" s="3"/>
      <c r="C478" s="3"/>
      <c r="E478" s="20"/>
      <c r="AE478" s="18"/>
      <c r="AF478" s="18"/>
      <c r="AG478" s="18"/>
      <c r="AH478" s="18"/>
      <c r="AI478" s="18"/>
      <c r="AJ478" s="18"/>
      <c r="AK478" s="18"/>
      <c r="AL478" s="18"/>
      <c r="AN478" s="281"/>
      <c r="AO478" s="4" t="s">
        <v>1383</v>
      </c>
      <c r="AP478" s="4">
        <v>5</v>
      </c>
      <c r="AQ478" s="3"/>
      <c r="AR478" s="3"/>
      <c r="AW478" s="120"/>
    </row>
    <row r="479" spans="1:54" s="4" customFormat="1" ht="12.75" hidden="1" customHeight="1">
      <c r="A479" s="3"/>
      <c r="C479" s="182" t="s">
        <v>1531</v>
      </c>
      <c r="D479"/>
      <c r="AE479" s="18"/>
      <c r="AF479" s="18"/>
      <c r="AG479" s="20"/>
      <c r="AH479" s="20"/>
      <c r="AI479" s="20"/>
      <c r="AJ479" s="20"/>
      <c r="AK479" s="20"/>
      <c r="AL479" s="20"/>
      <c r="AN479" s="281"/>
      <c r="AO479" s="4" t="s">
        <v>1384</v>
      </c>
      <c r="AP479" s="4">
        <v>5</v>
      </c>
      <c r="AW479" s="120"/>
    </row>
    <row r="480" spans="1:54" s="4" customFormat="1" ht="12.75" hidden="1" customHeight="1">
      <c r="A480" s="3"/>
      <c r="C480" s="1697" t="s">
        <v>132</v>
      </c>
      <c r="D480" s="1698"/>
      <c r="E480" s="756" t="s">
        <v>206</v>
      </c>
      <c r="F480" s="1687" t="s">
        <v>1015</v>
      </c>
      <c r="G480" s="1687"/>
      <c r="H480" s="1687"/>
      <c r="I480" s="1687"/>
      <c r="J480" s="1687"/>
      <c r="K480" s="1687"/>
      <c r="L480" s="1687"/>
      <c r="M480" s="1687"/>
      <c r="N480" s="1687"/>
      <c r="O480" s="1687"/>
      <c r="P480" s="1687"/>
      <c r="Q480" s="1687"/>
      <c r="R480" s="1687"/>
      <c r="S480" s="1687"/>
      <c r="T480" s="1687"/>
      <c r="U480" s="1687"/>
      <c r="V480" s="1687"/>
      <c r="W480" s="1687"/>
      <c r="X480" s="1687"/>
      <c r="Y480" s="1687"/>
      <c r="Z480" s="1687"/>
      <c r="AA480" s="1687"/>
      <c r="AB480" s="1687"/>
      <c r="AC480" s="1687"/>
      <c r="AD480" s="1687"/>
      <c r="AE480" s="1687"/>
      <c r="AF480" s="704"/>
      <c r="AG480" s="704"/>
      <c r="AH480" s="704"/>
      <c r="AI480" s="704"/>
      <c r="AJ480" s="704"/>
      <c r="AK480" s="728"/>
      <c r="AN480" s="281"/>
      <c r="AO480" s="4" t="s">
        <v>2004</v>
      </c>
      <c r="AP480" s="4">
        <v>5</v>
      </c>
      <c r="AS480" s="349"/>
      <c r="AT480" s="29"/>
      <c r="AW480" s="120"/>
      <c r="AX480" s="35"/>
    </row>
    <row r="481" spans="1:49" s="4" customFormat="1" ht="12.75" hidden="1" customHeight="1">
      <c r="C481" s="733"/>
      <c r="E481" s="143"/>
      <c r="F481" s="1688"/>
      <c r="G481" s="1688"/>
      <c r="H481" s="1688"/>
      <c r="I481" s="1688"/>
      <c r="J481" s="1688"/>
      <c r="K481" s="1688"/>
      <c r="L481" s="1688"/>
      <c r="M481" s="1688"/>
      <c r="N481" s="1688"/>
      <c r="O481" s="1688"/>
      <c r="P481" s="1688"/>
      <c r="Q481" s="1688"/>
      <c r="R481" s="1688"/>
      <c r="S481" s="1688"/>
      <c r="T481" s="1688"/>
      <c r="U481" s="1688"/>
      <c r="V481" s="1688"/>
      <c r="W481" s="1688"/>
      <c r="X481" s="1688"/>
      <c r="Y481" s="1688"/>
      <c r="Z481" s="1688"/>
      <c r="AA481" s="1688"/>
      <c r="AB481" s="1688"/>
      <c r="AC481" s="1688"/>
      <c r="AD481" s="1688"/>
      <c r="AE481" s="1688"/>
      <c r="AG481" s="19"/>
      <c r="AH481" s="19"/>
      <c r="AI481" s="19"/>
      <c r="AJ481" s="19"/>
      <c r="AK481" s="712"/>
      <c r="AN481" s="281"/>
      <c r="AO481" s="4" t="s">
        <v>1385</v>
      </c>
      <c r="AP481" s="4">
        <v>1</v>
      </c>
    </row>
    <row r="482" spans="1:49" s="4" customFormat="1" ht="12.75" hidden="1" customHeight="1">
      <c r="C482" s="734"/>
      <c r="D482" s="721"/>
      <c r="E482" s="735"/>
      <c r="F482" s="1699" t="s">
        <v>132</v>
      </c>
      <c r="G482" s="1699"/>
      <c r="H482" s="1699"/>
      <c r="I482" s="1699"/>
      <c r="J482" s="1699"/>
      <c r="K482" s="1699"/>
      <c r="L482" s="1699"/>
      <c r="M482" s="1699"/>
      <c r="N482" s="1699"/>
      <c r="O482" s="1699"/>
      <c r="P482" s="1699"/>
      <c r="Q482" s="1699"/>
      <c r="R482" s="1699"/>
      <c r="S482" s="1699"/>
      <c r="T482" s="1699"/>
      <c r="U482" s="1699"/>
      <c r="V482" s="1699"/>
      <c r="W482" s="1699"/>
      <c r="X482" s="1699"/>
      <c r="Y482" s="1699"/>
      <c r="Z482" s="1699"/>
      <c r="AA482" s="736"/>
      <c r="AB482" s="737"/>
      <c r="AC482" s="737"/>
      <c r="AD482" s="721"/>
      <c r="AE482" s="721"/>
      <c r="AF482" s="721"/>
      <c r="AG482" s="738">
        <f>IF($C$480="Yes",(VLOOKUP($F$482,$AO$453:$AP$461,2,FALSE)),0)</f>
        <v>0</v>
      </c>
      <c r="AH482" s="739" t="s">
        <v>1017</v>
      </c>
      <c r="AI482" s="738"/>
      <c r="AJ482" s="738"/>
      <c r="AK482" s="722"/>
      <c r="AN482" s="281"/>
      <c r="AS482" s="346"/>
      <c r="AW482" s="346"/>
    </row>
    <row r="483" spans="1:49" s="4" customFormat="1" ht="12.75" hidden="1" customHeight="1">
      <c r="C483" s="19"/>
      <c r="E483" s="143"/>
      <c r="F483" s="29"/>
      <c r="G483" s="29"/>
      <c r="H483" s="29"/>
      <c r="I483" s="29"/>
      <c r="J483" s="29"/>
      <c r="K483" s="29"/>
      <c r="L483" s="29"/>
      <c r="M483" s="29"/>
      <c r="N483" s="29"/>
      <c r="O483" s="29"/>
      <c r="P483" s="29"/>
      <c r="Q483" s="29"/>
      <c r="R483" s="29"/>
      <c r="S483" s="29"/>
      <c r="T483" s="29"/>
      <c r="U483" s="29"/>
      <c r="V483" s="29"/>
      <c r="W483" s="29"/>
      <c r="X483" s="29"/>
      <c r="Y483" s="29"/>
      <c r="Z483" s="29"/>
      <c r="AA483"/>
      <c r="AB483" s="19"/>
      <c r="AC483" s="19"/>
      <c r="AG483" s="19"/>
      <c r="AH483" s="19"/>
      <c r="AI483" s="19"/>
      <c r="AJ483" s="19"/>
      <c r="AN483" s="281"/>
      <c r="AO483" s="4" t="s">
        <v>132</v>
      </c>
      <c r="AP483" s="35">
        <v>0</v>
      </c>
    </row>
    <row r="484" spans="1:49" s="4" customFormat="1" ht="12.75" hidden="1" customHeight="1">
      <c r="C484" s="1679" t="s">
        <v>116</v>
      </c>
      <c r="D484" s="1680"/>
      <c r="E484" s="756" t="s">
        <v>320</v>
      </c>
      <c r="F484" s="740" t="s">
        <v>1390</v>
      </c>
      <c r="G484" s="741"/>
      <c r="H484" s="741"/>
      <c r="I484" s="741"/>
      <c r="J484" s="741"/>
      <c r="K484" s="741"/>
      <c r="L484" s="741"/>
      <c r="M484" s="741"/>
      <c r="N484" s="741"/>
      <c r="O484" s="741"/>
      <c r="P484" s="741"/>
      <c r="Q484" s="741"/>
      <c r="R484" s="741"/>
      <c r="S484" s="741"/>
      <c r="T484" s="741"/>
      <c r="U484" s="741"/>
      <c r="V484" s="741"/>
      <c r="W484" s="741"/>
      <c r="X484" s="741"/>
      <c r="Y484" s="741"/>
      <c r="Z484" s="741"/>
      <c r="AA484" s="741"/>
      <c r="AB484" s="741"/>
      <c r="AC484" s="741"/>
      <c r="AD484" s="704"/>
      <c r="AE484" s="704"/>
      <c r="AF484" s="704"/>
      <c r="AG484" s="741"/>
      <c r="AH484" s="741"/>
      <c r="AI484" s="741"/>
      <c r="AJ484" s="741"/>
      <c r="AK484" s="728"/>
      <c r="AN484" s="281"/>
      <c r="AO484" s="349">
        <v>0.15</v>
      </c>
      <c r="AP484" s="35">
        <v>3</v>
      </c>
    </row>
    <row r="485" spans="1:49" s="4" customFormat="1" ht="12.75" hidden="1" customHeight="1">
      <c r="C485" s="742" t="s">
        <v>1271</v>
      </c>
      <c r="F485" s="252" t="s">
        <v>1560</v>
      </c>
      <c r="G485" s="19"/>
      <c r="H485" s="19"/>
      <c r="I485" s="19"/>
      <c r="J485" s="19"/>
      <c r="K485" s="19"/>
      <c r="L485" s="19"/>
      <c r="M485" s="19"/>
      <c r="N485" s="19"/>
      <c r="O485" s="19"/>
      <c r="P485" s="19"/>
      <c r="Q485" s="19"/>
      <c r="R485" s="19"/>
      <c r="S485" s="19"/>
      <c r="T485" s="19"/>
      <c r="U485" s="19"/>
      <c r="V485" s="19"/>
      <c r="W485" s="19"/>
      <c r="X485" s="19"/>
      <c r="Y485" s="19"/>
      <c r="Z485" s="19"/>
      <c r="AA485" s="19"/>
      <c r="AB485" s="19"/>
      <c r="AC485" s="18"/>
      <c r="AG485" s="104"/>
      <c r="AH485" s="104"/>
      <c r="AI485" s="104"/>
      <c r="AJ485" s="104"/>
      <c r="AK485" s="712"/>
      <c r="AN485" s="281"/>
      <c r="AO485" s="349">
        <v>0.2</v>
      </c>
      <c r="AP485" s="35">
        <v>5</v>
      </c>
    </row>
    <row r="486" spans="1:49" s="4" customFormat="1" ht="12.75" hidden="1" customHeight="1">
      <c r="C486" s="730"/>
      <c r="D486" s="1"/>
      <c r="E486" s="189"/>
      <c r="F486" s="252" t="s">
        <v>2014</v>
      </c>
      <c r="G486" s="252"/>
      <c r="H486" s="252"/>
      <c r="I486" s="252"/>
      <c r="J486" s="252"/>
      <c r="K486" s="252"/>
      <c r="L486" s="252"/>
      <c r="M486" s="252"/>
      <c r="N486" s="252"/>
      <c r="O486" s="252"/>
      <c r="P486" s="252"/>
      <c r="Q486" s="252"/>
      <c r="R486" s="252"/>
      <c r="S486" s="252"/>
      <c r="T486" s="252"/>
      <c r="U486" s="252"/>
      <c r="V486" s="252"/>
      <c r="W486" s="252"/>
      <c r="X486" s="252"/>
      <c r="Y486" s="252"/>
      <c r="Z486" s="252"/>
      <c r="AA486" s="252"/>
      <c r="AB486" s="252"/>
      <c r="AC486" s="569"/>
      <c r="AD486" s="90"/>
      <c r="AE486" s="90"/>
      <c r="AF486" s="90"/>
      <c r="AG486" s="257"/>
      <c r="AH486" s="104"/>
      <c r="AI486" s="104"/>
      <c r="AJ486" s="104"/>
      <c r="AK486" s="712"/>
      <c r="AN486" s="298"/>
      <c r="AO486" s="349"/>
      <c r="AP486" s="29"/>
    </row>
    <row r="487" spans="1:49" s="20" customFormat="1" ht="12.75" hidden="1" customHeight="1">
      <c r="A487" s="35"/>
      <c r="B487" s="4"/>
      <c r="C487" s="733"/>
      <c r="D487" s="4"/>
      <c r="E487" s="143"/>
      <c r="F487" s="743" t="s">
        <v>1016</v>
      </c>
      <c r="G487" s="4"/>
      <c r="H487" s="4"/>
      <c r="I487" s="252"/>
      <c r="J487" s="252"/>
      <c r="K487" s="252"/>
      <c r="L487" s="252"/>
      <c r="M487" s="252"/>
      <c r="N487" s="252"/>
      <c r="O487" s="252"/>
      <c r="P487" s="252"/>
      <c r="Q487" s="252"/>
      <c r="R487" s="252"/>
      <c r="S487" s="252"/>
      <c r="T487" s="252"/>
      <c r="U487" s="252"/>
      <c r="V487" s="1660" t="s">
        <v>132</v>
      </c>
      <c r="W487" s="1660"/>
      <c r="X487" s="1660"/>
      <c r="Y487" s="252"/>
      <c r="Z487" s="252"/>
      <c r="AA487" s="252"/>
      <c r="AB487" s="252"/>
      <c r="AC487" s="252"/>
      <c r="AD487" s="90"/>
      <c r="AE487" s="90"/>
      <c r="AF487" s="90"/>
      <c r="AG487" s="104">
        <f>IF(AND($C$484="Yes",$V$489="N/A",$V$494="N/A",$V$498="N/A",$V$500="N/A"),(VLOOKUP(V487,$AR$463:$AS$465,2,FALSE)),0)</f>
        <v>0</v>
      </c>
      <c r="AH487" s="128" t="s">
        <v>1017</v>
      </c>
      <c r="AI487" s="19"/>
      <c r="AJ487" s="19"/>
      <c r="AK487" s="712"/>
      <c r="AL487" s="4"/>
      <c r="AM487" s="4"/>
      <c r="AN487" s="281"/>
    </row>
    <row r="488" spans="1:49" s="20" customFormat="1" ht="12.75" hidden="1" customHeight="1">
      <c r="A488" s="35"/>
      <c r="B488" s="4"/>
      <c r="C488" s="733"/>
      <c r="D488" s="4"/>
      <c r="E488" s="143"/>
      <c r="F488" s="743"/>
      <c r="G488" s="4"/>
      <c r="H488" s="4"/>
      <c r="I488" s="252"/>
      <c r="J488" s="252"/>
      <c r="K488" s="252"/>
      <c r="L488" s="252"/>
      <c r="M488" s="252"/>
      <c r="N488" s="252"/>
      <c r="O488" s="252"/>
      <c r="P488" s="252"/>
      <c r="Q488" s="252"/>
      <c r="R488" s="252"/>
      <c r="S488" s="252"/>
      <c r="T488" s="252"/>
      <c r="U488" s="252"/>
      <c r="V488" s="252"/>
      <c r="W488" s="252"/>
      <c r="X488" s="252"/>
      <c r="Y488" s="252"/>
      <c r="Z488" s="252"/>
      <c r="AA488" s="252"/>
      <c r="AB488" s="252"/>
      <c r="AC488" s="252"/>
      <c r="AD488" s="90"/>
      <c r="AE488" s="90"/>
      <c r="AF488" s="90"/>
      <c r="AG488" s="104"/>
      <c r="AH488" s="128"/>
      <c r="AI488" s="19"/>
      <c r="AJ488" s="19"/>
      <c r="AK488" s="712"/>
      <c r="AL488" s="4"/>
      <c r="AM488" s="4"/>
      <c r="AN488" s="281"/>
    </row>
    <row r="489" spans="1:49" s="20" customFormat="1" ht="12.75" hidden="1" customHeight="1">
      <c r="A489" s="35"/>
      <c r="B489" s="4"/>
      <c r="C489" s="733"/>
      <c r="D489" s="4"/>
      <c r="E489" s="143"/>
      <c r="F489" s="743" t="s">
        <v>2018</v>
      </c>
      <c r="G489" s="4"/>
      <c r="H489" s="4"/>
      <c r="I489" s="252"/>
      <c r="J489" s="252"/>
      <c r="K489" s="252"/>
      <c r="L489" s="252"/>
      <c r="M489" s="252"/>
      <c r="N489" s="252"/>
      <c r="O489" s="252"/>
      <c r="P489" s="252"/>
      <c r="Q489" s="252"/>
      <c r="R489" s="252"/>
      <c r="S489" s="252"/>
      <c r="T489" s="252"/>
      <c r="U489" s="252"/>
      <c r="V489" s="1660" t="s">
        <v>132</v>
      </c>
      <c r="W489" s="1660"/>
      <c r="X489" s="1660"/>
      <c r="Y489" s="252"/>
      <c r="Z489" s="252"/>
      <c r="AA489" s="252"/>
      <c r="AB489" s="252"/>
      <c r="AC489" s="252"/>
      <c r="AD489" s="90"/>
      <c r="AE489" s="90"/>
      <c r="AF489" s="90"/>
      <c r="AG489" s="104">
        <f>IF(AND($C$484="Yes",$V$487="N/A", $V$494="N/A",$V$498="N/A",$V$500="N/A"),(VLOOKUP(V489,$AO$463:$AP$465,2,FALSE)),0)</f>
        <v>0</v>
      </c>
      <c r="AH489" s="128" t="s">
        <v>1017</v>
      </c>
      <c r="AI489" s="19"/>
      <c r="AJ489" s="19"/>
      <c r="AK489" s="712"/>
      <c r="AL489" s="4"/>
      <c r="AM489" s="4"/>
      <c r="AN489" s="281"/>
    </row>
    <row r="490" spans="1:49" s="4" customFormat="1" ht="12.75" hidden="1" customHeight="1">
      <c r="C490" s="733"/>
      <c r="E490" s="143"/>
      <c r="F490" s="20"/>
      <c r="G490" s="254"/>
      <c r="H490" s="254"/>
      <c r="I490" s="254"/>
      <c r="J490" s="254"/>
      <c r="K490" s="254"/>
      <c r="L490" s="254"/>
      <c r="M490" s="254"/>
      <c r="N490" s="254"/>
      <c r="O490" s="254"/>
      <c r="P490" s="254"/>
      <c r="Q490" s="19"/>
      <c r="R490" s="19"/>
      <c r="S490" s="19"/>
      <c r="T490" s="19"/>
      <c r="U490" s="19"/>
      <c r="V490" s="19"/>
      <c r="W490" s="19"/>
      <c r="X490" s="19"/>
      <c r="Y490" s="19"/>
      <c r="Z490" s="19"/>
      <c r="AA490" s="19"/>
      <c r="AB490" s="19"/>
      <c r="AC490" s="19"/>
      <c r="AG490" s="20"/>
      <c r="AH490" s="20"/>
      <c r="AI490" s="20"/>
      <c r="AJ490" s="20"/>
      <c r="AK490" s="712"/>
      <c r="AN490" s="281"/>
      <c r="AO490" s="4" t="s">
        <v>132</v>
      </c>
      <c r="AP490" s="4">
        <v>0</v>
      </c>
    </row>
    <row r="491" spans="1:49" s="4" customFormat="1" ht="12.75" hidden="1" customHeight="1">
      <c r="C491" s="733"/>
      <c r="E491" s="143"/>
      <c r="F491" s="254" t="s">
        <v>1389</v>
      </c>
      <c r="I491" s="143"/>
      <c r="J491" s="143"/>
      <c r="K491" s="143"/>
      <c r="L491" s="143"/>
      <c r="M491" s="143"/>
      <c r="N491" s="143"/>
      <c r="O491" s="143"/>
      <c r="P491" s="143"/>
      <c r="Q491" s="19"/>
      <c r="R491" s="19"/>
      <c r="S491" s="19"/>
      <c r="T491" s="19"/>
      <c r="U491" s="19"/>
      <c r="V491" s="19"/>
      <c r="W491" s="19"/>
      <c r="X491" s="19"/>
      <c r="Y491" s="19"/>
      <c r="Z491" s="19"/>
      <c r="AA491" s="19"/>
      <c r="AB491" s="19"/>
      <c r="AC491" s="19"/>
      <c r="AJ491" s="19"/>
      <c r="AK491" s="712"/>
      <c r="AN491" s="281"/>
      <c r="AO491" s="4" t="s">
        <v>1392</v>
      </c>
      <c r="AP491" s="35">
        <v>2</v>
      </c>
    </row>
    <row r="492" spans="1:49" s="4" customFormat="1" ht="12.75" hidden="1" customHeight="1">
      <c r="C492" s="733"/>
      <c r="F492" s="90" t="s">
        <v>2000</v>
      </c>
      <c r="M492" s="143"/>
      <c r="N492" s="143"/>
      <c r="O492" s="143"/>
      <c r="P492" s="143"/>
      <c r="Q492" s="19"/>
      <c r="R492" s="19"/>
      <c r="S492" s="19"/>
      <c r="T492" s="19"/>
      <c r="U492" s="19"/>
      <c r="V492" s="19"/>
      <c r="W492" s="19"/>
      <c r="X492" s="19"/>
      <c r="Y492" s="19"/>
      <c r="Z492" s="19"/>
      <c r="AA492" s="19"/>
      <c r="AB492" s="19"/>
      <c r="AC492" s="19"/>
      <c r="AG492" s="104"/>
      <c r="AH492" s="128"/>
      <c r="AI492" s="19"/>
      <c r="AJ492" s="19"/>
      <c r="AK492" s="712"/>
      <c r="AN492" s="281"/>
      <c r="AO492" s="4" t="s">
        <v>1024</v>
      </c>
      <c r="AP492" s="4">
        <v>2</v>
      </c>
    </row>
    <row r="493" spans="1:49" s="20" customFormat="1" ht="12.75" hidden="1" customHeight="1">
      <c r="A493" s="4"/>
      <c r="B493" s="4"/>
      <c r="C493" s="714"/>
      <c r="D493"/>
      <c r="E493"/>
      <c r="F493" s="90" t="s">
        <v>2001</v>
      </c>
      <c r="G493" s="4"/>
      <c r="H493" s="4"/>
      <c r="I493" s="4"/>
      <c r="J493" s="4"/>
      <c r="K493" s="4"/>
      <c r="L493" s="4"/>
      <c r="M493" s="143"/>
      <c r="N493" s="143"/>
      <c r="O493" s="143"/>
      <c r="P493" s="143"/>
      <c r="Q493" s="19"/>
      <c r="R493" s="19"/>
      <c r="S493" s="19"/>
      <c r="T493" s="19"/>
      <c r="U493" s="19"/>
      <c r="V493" s="19"/>
      <c r="W493" s="19"/>
      <c r="X493" s="19"/>
      <c r="Y493" s="19"/>
      <c r="Z493" s="19"/>
      <c r="AA493" s="19"/>
      <c r="AB493" s="19"/>
      <c r="AC493" s="19"/>
      <c r="AD493" s="4"/>
      <c r="AE493" s="4"/>
      <c r="AF493" s="4"/>
      <c r="AG493" s="104"/>
      <c r="AH493" s="128"/>
      <c r="AI493" s="19"/>
      <c r="AJ493" s="19"/>
      <c r="AK493" s="712"/>
      <c r="AL493" s="4"/>
      <c r="AM493" s="4"/>
      <c r="AN493" s="298"/>
      <c r="AO493" s="4" t="s">
        <v>1025</v>
      </c>
      <c r="AP493" s="4">
        <v>2</v>
      </c>
    </row>
    <row r="494" spans="1:49" s="4" customFormat="1" ht="12.75" hidden="1" customHeight="1">
      <c r="C494" s="744"/>
      <c r="F494" s="743" t="s">
        <v>1391</v>
      </c>
      <c r="M494" s="143"/>
      <c r="N494" s="143"/>
      <c r="O494" s="143"/>
      <c r="P494" s="143"/>
      <c r="Q494" s="19"/>
      <c r="R494" s="19"/>
      <c r="S494" s="19"/>
      <c r="T494" s="19"/>
      <c r="U494" s="19"/>
      <c r="V494" s="1660" t="s">
        <v>132</v>
      </c>
      <c r="W494" s="1660"/>
      <c r="X494" s="1660"/>
      <c r="Y494" s="19"/>
      <c r="Z494" s="19"/>
      <c r="AA494" s="19"/>
      <c r="AB494" s="19"/>
      <c r="AC494" s="19"/>
      <c r="AG494" s="104">
        <f>IF(AND($C$484="Yes",$V$487="N/A",$V$489="N/A", $V$498="N/A",$V$500="N/A"),(VLOOKUP($V$494,$AO$467:$AP$469,2,FALSE)),0)</f>
        <v>0</v>
      </c>
      <c r="AH494" s="128" t="s">
        <v>1017</v>
      </c>
      <c r="AI494" s="19"/>
      <c r="AJ494" s="19"/>
      <c r="AK494" s="712"/>
      <c r="AN494" s="677"/>
    </row>
    <row r="495" spans="1:49" s="4" customFormat="1" ht="12.75" hidden="1" customHeight="1">
      <c r="C495" s="733"/>
      <c r="M495" s="143"/>
      <c r="N495" s="143"/>
      <c r="O495" s="143"/>
      <c r="P495" s="143"/>
      <c r="Q495" s="19"/>
      <c r="R495" s="19"/>
      <c r="S495" s="19"/>
      <c r="T495" s="19"/>
      <c r="U495" s="19"/>
      <c r="V495" s="19"/>
      <c r="W495" s="19"/>
      <c r="X495" s="19"/>
      <c r="Y495" s="19"/>
      <c r="Z495" s="19"/>
      <c r="AA495" s="19"/>
      <c r="AB495" s="19"/>
      <c r="AC495" s="19"/>
      <c r="AJ495" s="19"/>
      <c r="AK495" s="712"/>
      <c r="AN495" s="683"/>
    </row>
    <row r="496" spans="1:49" s="20" customFormat="1" ht="12.75" hidden="1" customHeight="1">
      <c r="A496" s="4"/>
      <c r="B496" s="4"/>
      <c r="C496" s="747" t="s">
        <v>1272</v>
      </c>
      <c r="D496" s="704"/>
      <c r="E496" s="704"/>
      <c r="F496" s="748" t="s">
        <v>1388</v>
      </c>
      <c r="G496" s="704"/>
      <c r="H496" s="704"/>
      <c r="I496" s="704"/>
      <c r="J496" s="704"/>
      <c r="K496" s="704"/>
      <c r="L496" s="704"/>
      <c r="M496" s="704"/>
      <c r="N496" s="704"/>
      <c r="O496" s="704"/>
      <c r="P496" s="704"/>
      <c r="Q496" s="704"/>
      <c r="R496" s="704"/>
      <c r="S496" s="704"/>
      <c r="T496" s="704"/>
      <c r="U496" s="704"/>
      <c r="V496" s="704"/>
      <c r="W496" s="704"/>
      <c r="X496" s="704"/>
      <c r="Y496" s="704"/>
      <c r="Z496" s="704"/>
      <c r="AA496" s="704"/>
      <c r="AB496" s="704"/>
      <c r="AC496" s="704"/>
      <c r="AD496" s="704"/>
      <c r="AE496" s="704"/>
      <c r="AF496" s="704"/>
      <c r="AG496" s="704"/>
      <c r="AH496" s="704"/>
      <c r="AI496" s="704"/>
      <c r="AJ496" s="704"/>
      <c r="AK496" s="728"/>
      <c r="AL496" s="4"/>
      <c r="AM496" s="4"/>
      <c r="AN496" s="678"/>
      <c r="AO496" s="4" t="s">
        <v>132</v>
      </c>
      <c r="AP496" s="4">
        <v>0</v>
      </c>
      <c r="AQ496" s="3"/>
    </row>
    <row r="497" spans="1:147" s="20" customFormat="1" ht="12.75" hidden="1" customHeight="1">
      <c r="A497" s="4"/>
      <c r="B497" s="4"/>
      <c r="C497" s="745"/>
      <c r="D497" s="1018"/>
      <c r="E497" s="1018"/>
      <c r="F497" s="252" t="s">
        <v>1387</v>
      </c>
      <c r="I497" s="4"/>
      <c r="J497" s="4"/>
      <c r="K497" s="4"/>
      <c r="L497" s="4"/>
      <c r="M497" s="4"/>
      <c r="N497" s="4"/>
      <c r="O497" s="4"/>
      <c r="P497" s="4"/>
      <c r="Q497" s="4"/>
      <c r="R497" s="4"/>
      <c r="S497" s="4"/>
      <c r="T497" s="4"/>
      <c r="U497" s="4"/>
      <c r="Y497" s="4"/>
      <c r="Z497" s="4"/>
      <c r="AA497" s="4"/>
      <c r="AB497" s="4"/>
      <c r="AC497" s="4"/>
      <c r="AD497" s="4"/>
      <c r="AE497" s="4"/>
      <c r="AF497" s="4"/>
      <c r="AK497" s="712"/>
      <c r="AL497" s="4"/>
      <c r="AM497" s="4"/>
      <c r="AN497" s="678"/>
      <c r="AO497" s="4" t="s">
        <v>1398</v>
      </c>
      <c r="AP497" s="35">
        <v>5</v>
      </c>
      <c r="AQ497" s="3"/>
    </row>
    <row r="498" spans="1:147" customFormat="1" ht="12.75" hidden="1" customHeight="1">
      <c r="A498" s="120"/>
      <c r="B498" s="4"/>
      <c r="C498" s="733"/>
      <c r="D498" s="4"/>
      <c r="E498" s="4"/>
      <c r="F498" s="570" t="s">
        <v>1016</v>
      </c>
      <c r="G498" s="4"/>
      <c r="H498" s="4"/>
      <c r="I498" s="4"/>
      <c r="J498" s="4"/>
      <c r="K498" s="4"/>
      <c r="L498" s="4"/>
      <c r="M498" s="4"/>
      <c r="N498" s="4"/>
      <c r="O498" s="4"/>
      <c r="P498" s="4"/>
      <c r="Q498" s="4"/>
      <c r="R498" s="4"/>
      <c r="S498" s="4"/>
      <c r="T498" s="4"/>
      <c r="U498" s="4"/>
      <c r="V498" s="1660" t="s">
        <v>132</v>
      </c>
      <c r="W498" s="1660"/>
      <c r="X498" s="1660"/>
      <c r="Y498" s="4"/>
      <c r="Z498" s="4"/>
      <c r="AA498" s="4"/>
      <c r="AB498" s="4"/>
      <c r="AC498" s="4"/>
      <c r="AD498" s="4"/>
      <c r="AE498" s="4"/>
      <c r="AF498" s="4"/>
      <c r="AG498" s="104">
        <f>IF(AND($C$484="Yes",$V$487="N/A",V489="N/A",$V$494="N/A",$V$500="N/A"),(VLOOKUP($V$498,$AW$463:$AX$466,2,FALSE)),0)</f>
        <v>0</v>
      </c>
      <c r="AH498" s="128" t="s">
        <v>1017</v>
      </c>
      <c r="AI498" s="19"/>
      <c r="AJ498" s="4"/>
      <c r="AK498" s="712"/>
      <c r="AL498" s="4"/>
      <c r="AM498" s="4"/>
      <c r="AN498" s="204"/>
      <c r="AO498" s="4" t="s">
        <v>1399</v>
      </c>
      <c r="AP498" s="4">
        <v>5</v>
      </c>
      <c r="AS498" s="4"/>
      <c r="AT498" s="4"/>
      <c r="AU498" s="4"/>
      <c r="AV498" s="4"/>
      <c r="AW498" s="4"/>
      <c r="AX498" s="4"/>
      <c r="AY498" s="4"/>
      <c r="AZ498" s="4"/>
      <c r="BA498" s="4"/>
      <c r="BB498" s="4"/>
      <c r="BO498" s="4"/>
      <c r="BP498" s="4"/>
      <c r="BQ498" s="4"/>
      <c r="BR498" s="4"/>
      <c r="BS498" s="4"/>
      <c r="BT498" s="4"/>
      <c r="BU498" s="4"/>
      <c r="BV498" s="4"/>
      <c r="BW498" s="4"/>
      <c r="BX498" s="4"/>
      <c r="BY498" s="4"/>
      <c r="BZ498" s="4"/>
      <c r="CA498" s="4"/>
      <c r="CB498" s="4"/>
      <c r="CC498" s="4"/>
      <c r="DN498" s="21"/>
      <c r="DO498" s="21"/>
      <c r="DP498" s="21"/>
      <c r="DQ498" s="21"/>
      <c r="DR498" s="21"/>
      <c r="DS498" s="21"/>
      <c r="DT498" s="21"/>
      <c r="DU498" s="21"/>
      <c r="DV498" s="21"/>
      <c r="DW498" s="21"/>
      <c r="DX498" s="21"/>
      <c r="DY498" s="21"/>
      <c r="DZ498" s="21"/>
      <c r="EA498" s="21"/>
      <c r="EB498" s="21"/>
      <c r="EC498" s="21"/>
      <c r="ED498" s="21"/>
      <c r="EE498" s="21"/>
      <c r="EF498" s="21"/>
      <c r="EG498" s="21"/>
      <c r="EH498" s="21"/>
      <c r="EI498" s="21"/>
      <c r="EJ498" s="21"/>
      <c r="EK498" s="21"/>
      <c r="EL498" s="21"/>
      <c r="EM498" s="21"/>
      <c r="EN498" s="21"/>
      <c r="EO498" s="21"/>
      <c r="EP498" s="21"/>
      <c r="EQ498" s="21"/>
    </row>
    <row r="499" spans="1:147" customFormat="1" ht="12.75" hidden="1" customHeight="1">
      <c r="A499" s="120"/>
      <c r="B499" s="4"/>
      <c r="C499" s="733"/>
      <c r="D499" s="4"/>
      <c r="E499" s="4"/>
      <c r="I499" s="4"/>
      <c r="J499" s="4"/>
      <c r="K499" s="4"/>
      <c r="L499" s="4"/>
      <c r="M499" s="4"/>
      <c r="N499" s="4"/>
      <c r="O499" s="4"/>
      <c r="P499" s="4"/>
      <c r="Q499" s="4"/>
      <c r="R499" s="4"/>
      <c r="S499" s="4"/>
      <c r="T499" s="4"/>
      <c r="U499" s="4"/>
      <c r="V499" s="4"/>
      <c r="W499" s="4"/>
      <c r="X499" s="4"/>
      <c r="Y499" s="4"/>
      <c r="Z499" s="4"/>
      <c r="AA499" s="4"/>
      <c r="AB499" s="4"/>
      <c r="AC499" s="4"/>
      <c r="AD499" s="4"/>
      <c r="AE499" s="4"/>
      <c r="AF499" s="4"/>
      <c r="AK499" s="712"/>
      <c r="AL499" s="4"/>
      <c r="AM499" s="4"/>
      <c r="AN499" s="204"/>
      <c r="AO499" s="4" t="s">
        <v>1401</v>
      </c>
      <c r="AP499" s="4">
        <v>5</v>
      </c>
      <c r="AS499" s="4"/>
      <c r="AT499" s="4"/>
      <c r="AU499" s="4"/>
      <c r="AV499" s="4"/>
      <c r="AW499" s="4"/>
      <c r="AX499" s="4"/>
      <c r="AY499" s="4"/>
      <c r="AZ499" s="4"/>
      <c r="BA499" s="4"/>
      <c r="BB499" s="4"/>
      <c r="BC499" s="4"/>
      <c r="BD499" s="4"/>
      <c r="BE499" s="4"/>
      <c r="BF499" s="4"/>
      <c r="BG499" s="4"/>
      <c r="BH499" s="4"/>
      <c r="BI499" s="4"/>
      <c r="BJ499" s="4"/>
      <c r="BK499" s="4"/>
      <c r="BL499" s="4"/>
      <c r="BM499" s="4"/>
      <c r="BN499" s="4"/>
      <c r="BO499" s="4"/>
      <c r="BP499" s="4"/>
      <c r="BQ499" s="4"/>
      <c r="BR499" s="4"/>
      <c r="BS499" s="4"/>
      <c r="BT499" s="4"/>
      <c r="BU499" s="4"/>
      <c r="BV499" s="4"/>
      <c r="BW499" s="4"/>
      <c r="BX499" s="4"/>
      <c r="BY499" s="4"/>
      <c r="BZ499" s="4"/>
      <c r="CA499" s="4"/>
      <c r="CB499" s="4"/>
      <c r="CC499" s="4"/>
      <c r="DN499" s="21"/>
      <c r="DO499" s="21"/>
      <c r="DP499" s="21"/>
      <c r="DQ499" s="21"/>
      <c r="DR499" s="21"/>
      <c r="DS499" s="21"/>
      <c r="DT499" s="21"/>
      <c r="DU499" s="21"/>
      <c r="DV499" s="21"/>
      <c r="DW499" s="21"/>
      <c r="DX499" s="21"/>
      <c r="DY499" s="21"/>
      <c r="DZ499" s="21"/>
      <c r="EA499" s="21"/>
      <c r="EB499" s="21"/>
      <c r="EC499" s="21"/>
      <c r="ED499" s="21"/>
      <c r="EE499" s="21"/>
      <c r="EF499" s="21"/>
      <c r="EG499" s="21"/>
      <c r="EH499" s="21"/>
      <c r="EI499" s="21"/>
      <c r="EJ499" s="21"/>
      <c r="EK499" s="21"/>
      <c r="EL499" s="21"/>
      <c r="EM499" s="21"/>
      <c r="EN499" s="21"/>
      <c r="EO499" s="21"/>
      <c r="EP499" s="21"/>
      <c r="EQ499" s="21"/>
    </row>
    <row r="500" spans="1:147" s="3" customFormat="1" ht="12.75" hidden="1" customHeight="1">
      <c r="A500" s="120"/>
      <c r="B500" s="4"/>
      <c r="C500" s="734"/>
      <c r="D500" s="721"/>
      <c r="E500" s="721"/>
      <c r="F500" s="743" t="s">
        <v>2018</v>
      </c>
      <c r="G500" s="736"/>
      <c r="H500" s="736"/>
      <c r="I500" s="721"/>
      <c r="J500" s="721"/>
      <c r="K500" s="721"/>
      <c r="L500" s="721"/>
      <c r="M500" s="721"/>
      <c r="N500" s="721"/>
      <c r="O500" s="721"/>
      <c r="P500" s="721"/>
      <c r="Q500" s="721"/>
      <c r="R500" s="721"/>
      <c r="S500" s="721"/>
      <c r="T500" s="721"/>
      <c r="U500" s="721"/>
      <c r="V500" s="1660" t="s">
        <v>132</v>
      </c>
      <c r="W500" s="1660"/>
      <c r="X500" s="1660"/>
      <c r="Y500" s="721"/>
      <c r="Z500" s="721"/>
      <c r="AA500" s="721"/>
      <c r="AB500" s="721"/>
      <c r="AC500" s="721"/>
      <c r="AD500" s="721"/>
      <c r="AE500" s="721"/>
      <c r="AF500" s="721"/>
      <c r="AG500" s="746">
        <f>IF(AND($C$484="Yes",$V$487="N/A",$V$489="N/A",$V$494="N/A",$V$498="N/A"),(VLOOKUP($V$500,$BA$463:$BB$465,2,FALSE)),0)</f>
        <v>0</v>
      </c>
      <c r="AH500" s="739" t="s">
        <v>1017</v>
      </c>
      <c r="AI500" s="721"/>
      <c r="AJ500" s="721"/>
      <c r="AK500" s="722"/>
      <c r="AL500" s="4"/>
      <c r="AM500" s="4"/>
      <c r="AN500" s="684"/>
      <c r="AP500" s="20"/>
      <c r="AQ500" s="20"/>
      <c r="AR500" s="20"/>
      <c r="AS500" s="20"/>
      <c r="AT500" s="20"/>
      <c r="AU500" s="20"/>
      <c r="AV500" s="20"/>
      <c r="AW500" s="20"/>
      <c r="AX500" s="20"/>
      <c r="AY500" s="20"/>
      <c r="AZ500" s="20"/>
      <c r="BA500" s="20"/>
      <c r="BB500" s="20"/>
      <c r="BC500" s="20"/>
      <c r="BE500" s="20"/>
      <c r="BF500" s="20"/>
      <c r="BG500" s="20"/>
      <c r="BH500" s="20"/>
      <c r="BI500" s="20"/>
      <c r="BJ500" s="20"/>
      <c r="BK500" s="20"/>
      <c r="BL500" s="20"/>
      <c r="BM500" s="20"/>
      <c r="BN500" s="20"/>
      <c r="BO500" s="20"/>
      <c r="BP500" s="20"/>
      <c r="BQ500" s="20"/>
      <c r="BR500" s="20"/>
      <c r="DN500" s="266"/>
      <c r="DO500" s="266"/>
      <c r="DP500" s="266"/>
      <c r="DQ500" s="266"/>
      <c r="DR500" s="266"/>
      <c r="DS500" s="266"/>
      <c r="DT500" s="266"/>
      <c r="DU500" s="266"/>
      <c r="DV500" s="266"/>
      <c r="DW500" s="266"/>
      <c r="DX500" s="266"/>
      <c r="DY500" s="266"/>
      <c r="DZ500" s="266"/>
      <c r="EA500" s="266"/>
      <c r="EB500" s="266"/>
      <c r="EC500" s="266"/>
      <c r="ED500" s="266"/>
      <c r="EE500" s="266"/>
      <c r="EF500" s="266"/>
      <c r="EG500" s="266"/>
      <c r="EH500" s="266"/>
      <c r="EI500" s="266"/>
      <c r="EJ500" s="266"/>
      <c r="EK500" s="266"/>
      <c r="EL500" s="266"/>
      <c r="EM500" s="266"/>
      <c r="EN500" s="266"/>
      <c r="EO500" s="266"/>
      <c r="EP500" s="266"/>
      <c r="EQ500" s="266"/>
    </row>
    <row r="501" spans="1:147" s="3" customFormat="1" ht="12.75" hidden="1" customHeight="1">
      <c r="A501" s="120"/>
      <c r="B501" s="4"/>
      <c r="C501" s="19"/>
      <c r="D501" s="4"/>
      <c r="E501" s="143"/>
      <c r="F501" s="4"/>
      <c r="G501" s="4"/>
      <c r="H501" s="4"/>
      <c r="I501" s="4"/>
      <c r="J501" s="4"/>
      <c r="K501" s="4"/>
      <c r="L501" s="4"/>
      <c r="M501" s="4"/>
      <c r="N501" s="4"/>
      <c r="O501" s="4"/>
      <c r="P501" s="4"/>
      <c r="Q501" s="4"/>
      <c r="R501" s="4"/>
      <c r="S501" s="4"/>
      <c r="T501" s="4"/>
      <c r="U501" s="4"/>
      <c r="V501" s="4"/>
      <c r="W501" s="4"/>
      <c r="X501" s="4"/>
      <c r="Y501" s="4"/>
      <c r="Z501" s="4"/>
      <c r="AA501" s="4"/>
      <c r="AB501" s="4"/>
      <c r="AC501" s="4"/>
      <c r="AD501" s="4"/>
      <c r="AE501" s="4"/>
      <c r="AF501" s="4"/>
      <c r="AG501" s="4"/>
      <c r="AH501" s="4"/>
      <c r="AI501" s="4"/>
      <c r="AJ501" s="4"/>
      <c r="AK501" s="4"/>
      <c r="AL501" s="4"/>
      <c r="AM501" s="4"/>
      <c r="AN501" s="684"/>
      <c r="AO501" s="265"/>
      <c r="AP501" s="4"/>
      <c r="AQ501" s="4"/>
      <c r="AR501" s="4"/>
      <c r="AS501" s="4"/>
      <c r="AT501" s="4"/>
      <c r="AU501" s="1853" t="s">
        <v>692</v>
      </c>
      <c r="AV501" s="1854"/>
      <c r="AW501" s="1854"/>
      <c r="AX501" s="1854"/>
      <c r="AY501" s="1854"/>
      <c r="AZ501" s="1854"/>
      <c r="BA501" s="1854"/>
      <c r="BB501" s="20"/>
      <c r="BC501" s="20"/>
      <c r="BE501" s="4"/>
      <c r="BF501" s="4"/>
      <c r="BG501" s="4"/>
      <c r="BH501" s="4"/>
      <c r="BI501" s="4"/>
      <c r="BJ501" s="1796" t="s">
        <v>34</v>
      </c>
      <c r="BK501" s="1797"/>
      <c r="BL501" s="1797"/>
      <c r="BM501" s="1797"/>
      <c r="BN501" s="1797"/>
      <c r="BO501" s="1797"/>
      <c r="BP501" s="1797"/>
      <c r="BQ501" s="20"/>
      <c r="BR501" s="4"/>
      <c r="DN501" s="266"/>
      <c r="DO501" s="266"/>
      <c r="DP501" s="266"/>
      <c r="DQ501" s="266"/>
      <c r="DR501" s="266"/>
      <c r="DS501" s="266"/>
      <c r="DT501" s="266"/>
      <c r="DU501" s="266"/>
      <c r="DV501" s="266"/>
      <c r="DW501" s="266"/>
      <c r="DX501" s="266"/>
      <c r="DY501" s="266"/>
      <c r="DZ501" s="266"/>
      <c r="EA501" s="266"/>
      <c r="EB501" s="266"/>
      <c r="EC501" s="266"/>
      <c r="ED501" s="266"/>
      <c r="EE501" s="266"/>
      <c r="EF501" s="266"/>
      <c r="EG501" s="266"/>
      <c r="EH501" s="266"/>
      <c r="EI501" s="266"/>
      <c r="EJ501" s="266"/>
      <c r="EK501" s="266"/>
      <c r="EL501" s="266"/>
      <c r="EM501" s="266"/>
      <c r="EN501" s="266"/>
      <c r="EO501" s="266"/>
      <c r="EP501" s="266"/>
      <c r="EQ501" s="266"/>
    </row>
    <row r="502" spans="1:147" s="3" customFormat="1" ht="12.75" hidden="1" customHeight="1">
      <c r="A502" s="120"/>
      <c r="B502" s="4"/>
      <c r="C502" s="182" t="s">
        <v>1532</v>
      </c>
      <c r="D502" s="4"/>
      <c r="E502" s="143"/>
      <c r="F502" s="19"/>
      <c r="G502" s="19"/>
      <c r="H502" s="19"/>
      <c r="I502" s="19"/>
      <c r="J502" s="19"/>
      <c r="K502" s="19"/>
      <c r="L502" s="19"/>
      <c r="M502" s="19"/>
      <c r="N502" s="19"/>
      <c r="O502" s="19"/>
      <c r="P502" s="19"/>
      <c r="Q502" s="19"/>
      <c r="R502" s="19"/>
      <c r="S502" s="19"/>
      <c r="T502" s="19"/>
      <c r="U502" s="19"/>
      <c r="V502" s="19"/>
      <c r="W502" s="19"/>
      <c r="X502" s="19"/>
      <c r="Y502" s="19"/>
      <c r="Z502" s="19"/>
      <c r="AA502" s="19"/>
      <c r="AB502" s="19"/>
      <c r="AC502" s="19"/>
      <c r="AD502" s="4"/>
      <c r="AE502" s="4"/>
      <c r="AF502" s="4"/>
      <c r="AG502" s="19"/>
      <c r="AH502" s="19"/>
      <c r="AI502" s="19"/>
      <c r="AJ502" s="19"/>
      <c r="AK502" s="4"/>
      <c r="AL502" s="4"/>
      <c r="AM502" s="4"/>
      <c r="AN502" s="684"/>
      <c r="AO502" s="265"/>
      <c r="AP502" s="4"/>
      <c r="AQ502" s="4"/>
      <c r="AR502" s="4"/>
      <c r="AS502" s="4"/>
      <c r="AT502" s="4"/>
      <c r="AU502" s="1853"/>
      <c r="AV502" s="1854"/>
      <c r="AW502" s="1854"/>
      <c r="AX502" s="1854"/>
      <c r="AY502" s="1854"/>
      <c r="AZ502" s="1854"/>
      <c r="BA502" s="1854"/>
      <c r="BB502" s="20"/>
      <c r="BC502" s="20"/>
      <c r="BE502" s="4"/>
      <c r="BF502" s="4"/>
      <c r="BG502" s="4"/>
      <c r="BH502" s="4"/>
      <c r="BI502" s="4"/>
      <c r="BJ502" s="1796"/>
      <c r="BK502" s="1797"/>
      <c r="BL502" s="1797"/>
      <c r="BM502" s="1797"/>
      <c r="BN502" s="1797"/>
      <c r="BO502" s="1797"/>
      <c r="BP502" s="1797"/>
      <c r="BQ502" s="20"/>
      <c r="BR502" s="4"/>
    </row>
    <row r="503" spans="1:147" customFormat="1" ht="12.75" hidden="1" customHeight="1">
      <c r="A503" s="120"/>
      <c r="B503" s="4"/>
      <c r="C503" s="1697" t="s">
        <v>132</v>
      </c>
      <c r="D503" s="1698"/>
      <c r="E503" s="749" t="s">
        <v>206</v>
      </c>
      <c r="F503" s="1687" t="s">
        <v>1015</v>
      </c>
      <c r="G503" s="1687"/>
      <c r="H503" s="1687"/>
      <c r="I503" s="1687"/>
      <c r="J503" s="1687"/>
      <c r="K503" s="1687"/>
      <c r="L503" s="1687"/>
      <c r="M503" s="1687"/>
      <c r="N503" s="1687"/>
      <c r="O503" s="1687"/>
      <c r="P503" s="1687"/>
      <c r="Q503" s="1687"/>
      <c r="R503" s="1687"/>
      <c r="S503" s="1687"/>
      <c r="T503" s="1687"/>
      <c r="U503" s="1687"/>
      <c r="V503" s="1687"/>
      <c r="W503" s="1687"/>
      <c r="X503" s="1687"/>
      <c r="Y503" s="1687"/>
      <c r="Z503" s="1687"/>
      <c r="AA503" s="1687"/>
      <c r="AB503" s="1687"/>
      <c r="AC503" s="1687"/>
      <c r="AD503" s="1687"/>
      <c r="AE503" s="1687"/>
      <c r="AF503" s="704"/>
      <c r="AG503" s="750"/>
      <c r="AH503" s="750"/>
      <c r="AI503" s="750"/>
      <c r="AJ503" s="750"/>
      <c r="AK503" s="728"/>
      <c r="AL503" s="4"/>
      <c r="AM503" s="4"/>
      <c r="AN503" s="676"/>
      <c r="AO503" s="38"/>
      <c r="AP503" s="4"/>
      <c r="AQ503" s="4"/>
      <c r="AR503" s="4"/>
      <c r="AS503" s="4"/>
      <c r="AT503" s="4">
        <v>60</v>
      </c>
      <c r="AU503" s="159">
        <v>55</v>
      </c>
      <c r="AV503" s="159">
        <v>50</v>
      </c>
      <c r="AW503" s="159">
        <v>45</v>
      </c>
      <c r="AX503" s="159">
        <v>40</v>
      </c>
      <c r="AY503" s="159">
        <v>35</v>
      </c>
      <c r="AZ503" s="159">
        <v>30</v>
      </c>
      <c r="BA503" s="159">
        <v>20</v>
      </c>
      <c r="BB503" s="4"/>
      <c r="BC503" s="4"/>
      <c r="BE503" s="4"/>
      <c r="BF503" s="4"/>
      <c r="BG503" s="4"/>
      <c r="BH503" s="4"/>
      <c r="BI503" s="4">
        <v>60</v>
      </c>
      <c r="BJ503" s="159">
        <v>55</v>
      </c>
      <c r="BK503" s="159">
        <v>50</v>
      </c>
      <c r="BL503" s="159">
        <v>45</v>
      </c>
      <c r="BM503" s="159">
        <v>40</v>
      </c>
      <c r="BN503" s="159">
        <v>35</v>
      </c>
      <c r="BO503" s="159">
        <v>30</v>
      </c>
      <c r="BP503" s="159">
        <v>20</v>
      </c>
      <c r="BQ503" s="4"/>
      <c r="BR503" s="4"/>
    </row>
    <row r="504" spans="1:147" customFormat="1" ht="12.75" hidden="1" customHeight="1">
      <c r="A504" s="120"/>
      <c r="B504" s="4"/>
      <c r="C504" s="733"/>
      <c r="D504" s="4"/>
      <c r="E504" s="143"/>
      <c r="F504" s="1688"/>
      <c r="G504" s="1688"/>
      <c r="H504" s="1688"/>
      <c r="I504" s="1688"/>
      <c r="J504" s="1688"/>
      <c r="K504" s="1688"/>
      <c r="L504" s="1688"/>
      <c r="M504" s="1688"/>
      <c r="N504" s="1688"/>
      <c r="O504" s="1688"/>
      <c r="P504" s="1688"/>
      <c r="Q504" s="1688"/>
      <c r="R504" s="1688"/>
      <c r="S504" s="1688"/>
      <c r="T504" s="1688"/>
      <c r="U504" s="1688"/>
      <c r="V504" s="1688"/>
      <c r="W504" s="1688"/>
      <c r="X504" s="1688"/>
      <c r="Y504" s="1688"/>
      <c r="Z504" s="1688"/>
      <c r="AA504" s="1688"/>
      <c r="AB504" s="1688"/>
      <c r="AC504" s="1688"/>
      <c r="AD504" s="1688"/>
      <c r="AE504" s="1688"/>
      <c r="AF504" s="4"/>
      <c r="AG504" s="19"/>
      <c r="AH504" s="19"/>
      <c r="AI504" s="19"/>
      <c r="AJ504" s="19"/>
      <c r="AK504" s="712"/>
      <c r="AL504" s="4"/>
      <c r="AM504" s="4"/>
      <c r="AN504" s="676"/>
      <c r="AO504" s="38"/>
      <c r="AP504" s="1124" t="s">
        <v>1564</v>
      </c>
      <c r="AQ504" s="1125"/>
      <c r="AR504" s="1126"/>
      <c r="AS504" s="631">
        <v>80</v>
      </c>
      <c r="AT504" s="4">
        <v>0</v>
      </c>
      <c r="AU504" s="160">
        <v>10</v>
      </c>
      <c r="AV504" s="160">
        <v>25</v>
      </c>
      <c r="AW504" s="160">
        <v>37.5</v>
      </c>
      <c r="AX504" s="160">
        <v>35</v>
      </c>
      <c r="AY504" s="160">
        <v>37.5</v>
      </c>
      <c r="AZ504" s="160">
        <v>50</v>
      </c>
      <c r="BA504" s="160">
        <v>50</v>
      </c>
      <c r="BB504" s="21"/>
      <c r="BC504" s="21"/>
      <c r="BE504" s="1124" t="s">
        <v>1564</v>
      </c>
      <c r="BF504" s="1125"/>
      <c r="BG504" s="1126"/>
      <c r="BH504" s="631">
        <v>80</v>
      </c>
      <c r="BI504" s="4">
        <v>0</v>
      </c>
      <c r="BJ504" s="161">
        <v>0</v>
      </c>
      <c r="BK504" s="160">
        <v>25</v>
      </c>
      <c r="BL504" s="160">
        <v>37.5</v>
      </c>
      <c r="BM504" s="160">
        <v>35</v>
      </c>
      <c r="BN504" s="160">
        <v>37.5</v>
      </c>
      <c r="BO504" s="160">
        <v>50</v>
      </c>
      <c r="BP504" s="160">
        <v>50</v>
      </c>
      <c r="BQ504" s="21"/>
      <c r="BR504" s="4"/>
      <c r="CD504" s="21"/>
      <c r="CE504" s="21"/>
      <c r="CF504" s="21"/>
      <c r="CG504" s="21"/>
      <c r="CH504" s="21"/>
      <c r="CI504" s="21"/>
      <c r="CJ504" s="21"/>
      <c r="CK504" s="21"/>
      <c r="CL504" s="21"/>
      <c r="CM504" s="21"/>
      <c r="CN504" s="21"/>
      <c r="CO504" s="21"/>
      <c r="CP504" s="21"/>
      <c r="CQ504" s="21"/>
      <c r="CR504" s="21"/>
      <c r="CS504" s="21"/>
      <c r="CT504" s="21"/>
      <c r="CU504" s="21"/>
      <c r="CV504" s="21"/>
      <c r="CW504" s="21"/>
      <c r="CX504" s="21"/>
      <c r="CY504" s="21"/>
      <c r="CZ504" s="21"/>
      <c r="DA504" s="21"/>
      <c r="DB504" s="21"/>
      <c r="DC504" s="21"/>
      <c r="DD504" s="21"/>
      <c r="DE504" s="21"/>
      <c r="DF504" s="21"/>
      <c r="DG504" s="21"/>
      <c r="DH504" s="21"/>
      <c r="DI504" s="21"/>
      <c r="DJ504" s="21"/>
      <c r="DK504" s="21"/>
      <c r="DL504" s="21"/>
      <c r="DM504" s="21"/>
      <c r="DN504" s="21"/>
      <c r="DO504" s="21"/>
      <c r="DP504" s="21"/>
      <c r="DQ504" s="21"/>
      <c r="DR504" s="21"/>
    </row>
    <row r="505" spans="1:147" customFormat="1" ht="12.75" hidden="1" customHeight="1">
      <c r="A505" s="120"/>
      <c r="B505" s="4"/>
      <c r="C505" s="734"/>
      <c r="D505" s="721"/>
      <c r="E505" s="735"/>
      <c r="F505" s="1685" t="s">
        <v>132</v>
      </c>
      <c r="G505" s="1685"/>
      <c r="H505" s="1685"/>
      <c r="I505" s="1685"/>
      <c r="J505" s="1685"/>
      <c r="K505" s="1685"/>
      <c r="L505" s="1685"/>
      <c r="M505" s="1685"/>
      <c r="N505" s="1685"/>
      <c r="O505" s="1685"/>
      <c r="P505" s="1685"/>
      <c r="Q505" s="1685"/>
      <c r="R505" s="1685"/>
      <c r="S505" s="1685"/>
      <c r="T505" s="1685"/>
      <c r="U505" s="1685"/>
      <c r="V505" s="1685"/>
      <c r="W505" s="1685"/>
      <c r="X505" s="1685"/>
      <c r="Y505" s="1685"/>
      <c r="Z505" s="1685"/>
      <c r="AA505" s="736"/>
      <c r="AB505" s="737"/>
      <c r="AC505" s="737"/>
      <c r="AD505" s="721"/>
      <c r="AE505" s="721"/>
      <c r="AF505" s="721"/>
      <c r="AG505" s="738">
        <f>IF($C$503="Yes",(VLOOKUP($F$505,$AO$473:$AP$481,2,FALSE)),0)</f>
        <v>0</v>
      </c>
      <c r="AH505" s="739" t="s">
        <v>1017</v>
      </c>
      <c r="AI505" s="738"/>
      <c r="AJ505" s="737"/>
      <c r="AK505" s="722"/>
      <c r="AL505" s="4"/>
      <c r="AM505" s="4"/>
      <c r="AN505" s="676"/>
      <c r="AO505" s="38"/>
      <c r="AP505" s="1127"/>
      <c r="AQ505" s="1128"/>
      <c r="AR505" s="1129"/>
      <c r="AS505" s="631">
        <v>75</v>
      </c>
      <c r="AT505" s="4">
        <v>0</v>
      </c>
      <c r="AU505" s="160">
        <v>10</v>
      </c>
      <c r="AV505" s="160">
        <v>25</v>
      </c>
      <c r="AW505" s="160">
        <v>37.5</v>
      </c>
      <c r="AX505" s="160">
        <v>35</v>
      </c>
      <c r="AY505" s="160">
        <v>37.5</v>
      </c>
      <c r="AZ505" s="160">
        <v>50</v>
      </c>
      <c r="BA505" s="160">
        <v>50</v>
      </c>
      <c r="BB505" s="21"/>
      <c r="BC505" s="21"/>
      <c r="BE505" s="1127"/>
      <c r="BF505" s="1128"/>
      <c r="BG505" s="1129"/>
      <c r="BH505" s="631">
        <v>75</v>
      </c>
      <c r="BI505" s="4">
        <v>0</v>
      </c>
      <c r="BJ505" s="161">
        <v>0</v>
      </c>
      <c r="BK505" s="160">
        <v>25</v>
      </c>
      <c r="BL505" s="160">
        <v>37.5</v>
      </c>
      <c r="BM505" s="160">
        <v>35</v>
      </c>
      <c r="BN505" s="160">
        <v>37.5</v>
      </c>
      <c r="BO505" s="160">
        <v>50</v>
      </c>
      <c r="BP505" s="160">
        <v>50</v>
      </c>
      <c r="BQ505" s="21"/>
      <c r="BR505" s="4"/>
      <c r="CD505" s="21"/>
      <c r="CE505" s="21"/>
      <c r="CF505" s="21"/>
      <c r="CG505" s="21"/>
      <c r="CH505" s="21"/>
      <c r="CI505" s="21"/>
      <c r="CJ505" s="21"/>
      <c r="CK505" s="21"/>
      <c r="CL505" s="21"/>
      <c r="CM505" s="21"/>
      <c r="CN505" s="21"/>
      <c r="CO505" s="21"/>
      <c r="CP505" s="21"/>
      <c r="CQ505" s="21"/>
      <c r="CR505" s="21"/>
      <c r="CS505" s="21"/>
      <c r="CT505" s="21"/>
      <c r="CU505" s="21"/>
      <c r="CV505" s="21"/>
      <c r="CW505" s="21"/>
      <c r="CX505" s="21"/>
      <c r="CY505" s="21"/>
      <c r="CZ505" s="21"/>
      <c r="DA505" s="21"/>
      <c r="DB505" s="21"/>
      <c r="DC505" s="21"/>
      <c r="DD505" s="21"/>
      <c r="DE505" s="21"/>
      <c r="DF505" s="21"/>
      <c r="DG505" s="21"/>
      <c r="DH505" s="21"/>
      <c r="DI505" s="21"/>
      <c r="DJ505" s="21"/>
      <c r="DK505" s="21"/>
      <c r="DL505" s="21"/>
      <c r="DM505" s="21"/>
      <c r="DN505" s="21"/>
      <c r="DO505" s="21"/>
      <c r="DP505" s="21"/>
      <c r="DQ505" s="21"/>
      <c r="DR505" s="21"/>
    </row>
    <row r="506" spans="1:147" customFormat="1" ht="12.75" hidden="1" customHeight="1">
      <c r="A506" s="120"/>
      <c r="B506" s="4"/>
      <c r="C506" s="182"/>
      <c r="D506" s="4"/>
      <c r="E506" s="143"/>
      <c r="F506" s="19"/>
      <c r="G506" s="19"/>
      <c r="H506" s="19"/>
      <c r="I506" s="19"/>
      <c r="J506" s="19"/>
      <c r="K506" s="19"/>
      <c r="L506" s="19"/>
      <c r="M506" s="19"/>
      <c r="N506" s="19"/>
      <c r="O506" s="19"/>
      <c r="P506" s="19"/>
      <c r="Q506" s="19"/>
      <c r="R506" s="19"/>
      <c r="S506" s="19"/>
      <c r="T506" s="19"/>
      <c r="U506" s="19"/>
      <c r="V506" s="19"/>
      <c r="W506" s="19"/>
      <c r="X506" s="19"/>
      <c r="Y506" s="19"/>
      <c r="Z506" s="19"/>
      <c r="AA506" s="19"/>
      <c r="AB506" s="19"/>
      <c r="AC506" s="19"/>
      <c r="AD506" s="4"/>
      <c r="AE506" s="4"/>
      <c r="AF506" s="4"/>
      <c r="AG506" s="19"/>
      <c r="AH506" s="19"/>
      <c r="AI506" s="19"/>
      <c r="AJ506" s="19"/>
      <c r="AK506" s="4"/>
      <c r="AL506" s="4"/>
      <c r="AM506" s="4"/>
      <c r="AN506" s="676"/>
      <c r="AO506" s="38"/>
      <c r="AP506" s="1127"/>
      <c r="AQ506" s="1128"/>
      <c r="AR506" s="1129"/>
      <c r="AS506" s="631">
        <v>70</v>
      </c>
      <c r="AT506" s="4">
        <v>0</v>
      </c>
      <c r="AU506" s="160">
        <v>10</v>
      </c>
      <c r="AV506" s="160">
        <v>25</v>
      </c>
      <c r="AW506" s="160">
        <v>37.5</v>
      </c>
      <c r="AX506" s="160">
        <v>35</v>
      </c>
      <c r="AY506" s="160">
        <v>37.5</v>
      </c>
      <c r="AZ506" s="160">
        <v>50</v>
      </c>
      <c r="BA506" s="160">
        <v>50</v>
      </c>
      <c r="BB506" s="21"/>
      <c r="BC506" s="21"/>
      <c r="BE506" s="1127"/>
      <c r="BF506" s="1128"/>
      <c r="BG506" s="1129"/>
      <c r="BH506" s="631">
        <v>70</v>
      </c>
      <c r="BI506" s="4">
        <v>0</v>
      </c>
      <c r="BJ506" s="161">
        <v>0</v>
      </c>
      <c r="BK506" s="160">
        <v>25</v>
      </c>
      <c r="BL506" s="160">
        <v>37.5</v>
      </c>
      <c r="BM506" s="160">
        <v>35</v>
      </c>
      <c r="BN506" s="160">
        <v>37.5</v>
      </c>
      <c r="BO506" s="160">
        <v>50</v>
      </c>
      <c r="BP506" s="160">
        <v>50</v>
      </c>
      <c r="BQ506" s="21"/>
      <c r="BR506" s="4"/>
      <c r="CD506" s="21"/>
      <c r="CE506" s="21"/>
      <c r="CF506" s="21"/>
      <c r="CG506" s="21"/>
      <c r="CH506" s="21"/>
      <c r="CI506" s="21"/>
      <c r="CJ506" s="21"/>
      <c r="CK506" s="21"/>
      <c r="CL506" s="21"/>
      <c r="CM506" s="21"/>
      <c r="CN506" s="21"/>
      <c r="CO506" s="21"/>
      <c r="CP506" s="21"/>
      <c r="CQ506" s="21"/>
      <c r="CR506" s="21"/>
      <c r="CS506" s="21"/>
      <c r="CT506" s="21"/>
      <c r="CU506" s="21"/>
      <c r="CV506" s="21"/>
      <c r="CW506" s="21"/>
      <c r="CX506" s="21"/>
      <c r="CY506" s="21"/>
      <c r="CZ506" s="21"/>
      <c r="DA506" s="21"/>
      <c r="DB506" s="21"/>
      <c r="DC506" s="21"/>
      <c r="DD506" s="21"/>
      <c r="DE506" s="21"/>
      <c r="DF506" s="21"/>
      <c r="DG506" s="21"/>
      <c r="DH506" s="21"/>
      <c r="DI506" s="21"/>
      <c r="DJ506" s="21"/>
      <c r="DK506" s="21"/>
      <c r="DL506" s="21"/>
      <c r="DM506" s="21"/>
      <c r="DN506" s="21"/>
      <c r="DO506" s="21"/>
      <c r="DP506" s="21"/>
      <c r="DQ506" s="21"/>
      <c r="DR506" s="21"/>
    </row>
    <row r="507" spans="1:147" customFormat="1" ht="12.75" hidden="1" customHeight="1">
      <c r="A507" s="4"/>
      <c r="B507" s="4"/>
      <c r="C507" s="1697" t="s">
        <v>132</v>
      </c>
      <c r="D507" s="1698"/>
      <c r="E507" s="749" t="s">
        <v>320</v>
      </c>
      <c r="F507" s="1681" t="s">
        <v>1205</v>
      </c>
      <c r="G507" s="1681"/>
      <c r="H507" s="1681"/>
      <c r="I507" s="1681"/>
      <c r="J507" s="1681"/>
      <c r="K507" s="1681"/>
      <c r="L507" s="1681"/>
      <c r="M507" s="1681"/>
      <c r="N507" s="1681"/>
      <c r="O507" s="1681"/>
      <c r="P507" s="1681"/>
      <c r="Q507" s="1681"/>
      <c r="R507" s="1681"/>
      <c r="S507" s="1681"/>
      <c r="T507" s="1681"/>
      <c r="U507" s="1681"/>
      <c r="V507" s="1681"/>
      <c r="W507" s="1681"/>
      <c r="X507" s="1681"/>
      <c r="Y507" s="1681"/>
      <c r="Z507" s="1681"/>
      <c r="AA507" s="1681"/>
      <c r="AB507" s="1681"/>
      <c r="AC507" s="1681"/>
      <c r="AD507" s="1681"/>
      <c r="AE507" s="1681"/>
      <c r="AF507" s="704"/>
      <c r="AG507" s="741"/>
      <c r="AH507" s="741"/>
      <c r="AI507" s="741"/>
      <c r="AJ507" s="741"/>
      <c r="AK507" s="728"/>
      <c r="AL507" s="4"/>
      <c r="AM507" s="4"/>
      <c r="AN507" s="676"/>
      <c r="AO507" s="38"/>
      <c r="AP507" s="1127"/>
      <c r="AQ507" s="1128"/>
      <c r="AR507" s="1129"/>
      <c r="AS507" s="631">
        <v>65</v>
      </c>
      <c r="AT507" s="4">
        <v>0</v>
      </c>
      <c r="AU507" s="160">
        <v>10</v>
      </c>
      <c r="AV507" s="160">
        <v>25</v>
      </c>
      <c r="AW507" s="160">
        <v>37.5</v>
      </c>
      <c r="AX507" s="160">
        <v>35</v>
      </c>
      <c r="AY507" s="160">
        <v>37.5</v>
      </c>
      <c r="AZ507" s="160">
        <v>50</v>
      </c>
      <c r="BA507" s="160">
        <v>50</v>
      </c>
      <c r="BB507" s="21"/>
      <c r="BC507" s="21"/>
      <c r="BE507" s="1127"/>
      <c r="BF507" s="1128"/>
      <c r="BG507" s="1129"/>
      <c r="BH507" s="631">
        <v>65</v>
      </c>
      <c r="BI507" s="4">
        <v>0</v>
      </c>
      <c r="BJ507" s="161">
        <v>0</v>
      </c>
      <c r="BK507" s="160">
        <v>25</v>
      </c>
      <c r="BL507" s="160">
        <v>37.5</v>
      </c>
      <c r="BM507" s="160">
        <v>35</v>
      </c>
      <c r="BN507" s="160">
        <v>37.5</v>
      </c>
      <c r="BO507" s="160">
        <v>50</v>
      </c>
      <c r="BP507" s="160">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4"/>
      <c r="B508" s="4"/>
      <c r="C508" s="733"/>
      <c r="D508" s="4"/>
      <c r="E508" s="143"/>
      <c r="F508" s="1682"/>
      <c r="G508" s="1682"/>
      <c r="H508" s="1682"/>
      <c r="I508" s="1682"/>
      <c r="J508" s="1682"/>
      <c r="K508" s="1682"/>
      <c r="L508" s="1682"/>
      <c r="M508" s="1682"/>
      <c r="N508" s="1682"/>
      <c r="O508" s="1682"/>
      <c r="P508" s="1682"/>
      <c r="Q508" s="1682"/>
      <c r="R508" s="1682"/>
      <c r="S508" s="1682"/>
      <c r="T508" s="1682"/>
      <c r="U508" s="1682"/>
      <c r="V508" s="1682"/>
      <c r="W508" s="1682"/>
      <c r="X508" s="1682"/>
      <c r="Y508" s="1682"/>
      <c r="Z508" s="1682"/>
      <c r="AA508" s="1682"/>
      <c r="AB508" s="1682"/>
      <c r="AC508" s="1682"/>
      <c r="AD508" s="1682"/>
      <c r="AE508" s="1682"/>
      <c r="AF508" s="4"/>
      <c r="AG508" s="19"/>
      <c r="AH508" s="19"/>
      <c r="AI508" s="19"/>
      <c r="AJ508" s="19"/>
      <c r="AK508" s="712"/>
      <c r="AL508" s="4"/>
      <c r="AM508" s="4"/>
      <c r="AN508" s="676"/>
      <c r="AO508" s="38"/>
      <c r="AP508" s="1127"/>
      <c r="AQ508" s="1128"/>
      <c r="AR508" s="1129"/>
      <c r="AS508" s="631">
        <v>60</v>
      </c>
      <c r="AT508" s="4">
        <v>0</v>
      </c>
      <c r="AU508" s="160">
        <v>10</v>
      </c>
      <c r="AV508" s="160">
        <v>25</v>
      </c>
      <c r="AW508" s="160">
        <v>37.5</v>
      </c>
      <c r="AX508" s="160">
        <v>35</v>
      </c>
      <c r="AY508" s="160">
        <v>37.5</v>
      </c>
      <c r="AZ508" s="160">
        <v>50</v>
      </c>
      <c r="BA508" s="160">
        <v>50</v>
      </c>
      <c r="BB508" s="21"/>
      <c r="BC508" s="21"/>
      <c r="BE508" s="1127"/>
      <c r="BF508" s="1128"/>
      <c r="BG508" s="1129"/>
      <c r="BH508" s="631">
        <v>60</v>
      </c>
      <c r="BI508" s="4">
        <v>0</v>
      </c>
      <c r="BJ508" s="161">
        <v>0</v>
      </c>
      <c r="BK508" s="160">
        <v>25</v>
      </c>
      <c r="BL508" s="160">
        <v>37.5</v>
      </c>
      <c r="BM508" s="160">
        <v>35</v>
      </c>
      <c r="BN508" s="160">
        <v>37.5</v>
      </c>
      <c r="BO508" s="160">
        <v>50</v>
      </c>
      <c r="BP508" s="160">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4"/>
      <c r="B509" s="4"/>
      <c r="C509" s="714"/>
      <c r="D509" s="4"/>
      <c r="E509" s="4"/>
      <c r="F509" s="570" t="s">
        <v>1021</v>
      </c>
      <c r="G509" s="19"/>
      <c r="H509" s="19"/>
      <c r="I509" s="19"/>
      <c r="J509" s="19"/>
      <c r="K509" s="19"/>
      <c r="L509" s="19"/>
      <c r="M509" s="19"/>
      <c r="N509" s="19"/>
      <c r="O509" s="19"/>
      <c r="P509" s="19"/>
      <c r="Q509" s="19"/>
      <c r="R509" s="19"/>
      <c r="S509" s="19"/>
      <c r="T509" s="19"/>
      <c r="U509" s="19"/>
      <c r="V509" s="19"/>
      <c r="W509" s="19"/>
      <c r="X509" s="19"/>
      <c r="Y509" s="19"/>
      <c r="Z509" s="19"/>
      <c r="AA509" s="19"/>
      <c r="AB509" s="19"/>
      <c r="AC509" s="18"/>
      <c r="AD509" s="4"/>
      <c r="AE509" s="4"/>
      <c r="AF509" s="4"/>
      <c r="AG509" s="104"/>
      <c r="AH509" s="104"/>
      <c r="AI509" s="104"/>
      <c r="AJ509" s="104"/>
      <c r="AK509" s="712"/>
      <c r="AL509" s="4"/>
      <c r="AM509" s="4"/>
      <c r="AN509" s="676"/>
      <c r="AP509" s="1127"/>
      <c r="AQ509" s="1128"/>
      <c r="AR509" s="1129"/>
      <c r="AS509" s="631">
        <v>55</v>
      </c>
      <c r="AT509" s="4">
        <v>0</v>
      </c>
      <c r="AU509" s="160">
        <v>10</v>
      </c>
      <c r="AV509" s="160">
        <v>25</v>
      </c>
      <c r="AW509" s="160">
        <v>37.5</v>
      </c>
      <c r="AX509" s="160">
        <v>35</v>
      </c>
      <c r="AY509" s="160">
        <v>37.5</v>
      </c>
      <c r="AZ509" s="160">
        <v>50</v>
      </c>
      <c r="BA509" s="160">
        <v>50</v>
      </c>
      <c r="BE509" s="1127"/>
      <c r="BF509" s="1128"/>
      <c r="BG509" s="1129"/>
      <c r="BH509" s="631">
        <v>55</v>
      </c>
      <c r="BI509" s="4">
        <v>0</v>
      </c>
      <c r="BJ509" s="161">
        <v>0</v>
      </c>
      <c r="BK509" s="160">
        <v>25</v>
      </c>
      <c r="BL509" s="160">
        <v>37.5</v>
      </c>
      <c r="BM509" s="160">
        <v>35</v>
      </c>
      <c r="BN509" s="160">
        <v>37.5</v>
      </c>
      <c r="BO509" s="160">
        <v>50</v>
      </c>
      <c r="BP509" s="160">
        <v>50</v>
      </c>
      <c r="BR509" s="4"/>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idden="1">
      <c r="A510" s="4"/>
      <c r="B510" s="4"/>
      <c r="C510" s="734"/>
      <c r="D510" s="721"/>
      <c r="E510" s="735"/>
      <c r="F510" s="1686" t="s">
        <v>132</v>
      </c>
      <c r="G510" s="1686"/>
      <c r="H510" s="1686"/>
      <c r="I510" s="737"/>
      <c r="J510" s="737"/>
      <c r="K510" s="737"/>
      <c r="L510" s="737"/>
      <c r="M510" s="737"/>
      <c r="N510" s="737"/>
      <c r="O510" s="737"/>
      <c r="P510" s="737"/>
      <c r="Q510" s="737"/>
      <c r="R510" s="737"/>
      <c r="S510" s="737"/>
      <c r="T510" s="737"/>
      <c r="U510" s="737"/>
      <c r="V510" s="737"/>
      <c r="W510" s="737"/>
      <c r="X510" s="737"/>
      <c r="Y510" s="737"/>
      <c r="Z510" s="737"/>
      <c r="AA510" s="737"/>
      <c r="AB510" s="737"/>
      <c r="AC510" s="737"/>
      <c r="AD510" s="721"/>
      <c r="AE510" s="721"/>
      <c r="AF510" s="721"/>
      <c r="AG510" s="738">
        <f>IF($C$507="Yes",(VLOOKUP($F$510,$AO$483:$AP$485,2,FALSE)),0)</f>
        <v>0</v>
      </c>
      <c r="AH510" s="739" t="s">
        <v>1017</v>
      </c>
      <c r="AI510" s="737"/>
      <c r="AJ510" s="737"/>
      <c r="AK510" s="722"/>
      <c r="AL510" s="4"/>
      <c r="AM510" s="4"/>
      <c r="AN510" s="676"/>
      <c r="AP510" s="1127"/>
      <c r="AQ510" s="1128"/>
      <c r="AR510" s="1129"/>
      <c r="AS510" s="159">
        <v>50</v>
      </c>
      <c r="AT510" s="4">
        <v>0</v>
      </c>
      <c r="AU510" s="160">
        <v>10</v>
      </c>
      <c r="AV510" s="160">
        <v>25</v>
      </c>
      <c r="AW510" s="160">
        <v>37.5</v>
      </c>
      <c r="AX510" s="160">
        <v>35</v>
      </c>
      <c r="AY510" s="160">
        <v>37.5</v>
      </c>
      <c r="AZ510" s="160">
        <v>50</v>
      </c>
      <c r="BA510" s="160">
        <v>50</v>
      </c>
      <c r="BE510" s="1127"/>
      <c r="BF510" s="1128"/>
      <c r="BG510" s="1129"/>
      <c r="BH510" s="159">
        <v>50</v>
      </c>
      <c r="BI510" s="4">
        <v>0</v>
      </c>
      <c r="BJ510" s="161">
        <v>0</v>
      </c>
      <c r="BK510" s="160">
        <v>25</v>
      </c>
      <c r="BL510" s="160">
        <v>37.5</v>
      </c>
      <c r="BM510" s="160">
        <v>35</v>
      </c>
      <c r="BN510" s="160">
        <v>37.5</v>
      </c>
      <c r="BO510" s="160">
        <v>50</v>
      </c>
      <c r="BP510" s="160">
        <v>50</v>
      </c>
      <c r="BR510" s="4"/>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idden="1">
      <c r="A511" s="19"/>
      <c r="B511" s="19"/>
      <c r="C511" s="19"/>
      <c r="D511" s="19"/>
      <c r="E511" s="19"/>
      <c r="F511" s="19"/>
      <c r="G511" s="19"/>
      <c r="H511" s="19"/>
      <c r="I511" s="19"/>
      <c r="J511" s="19"/>
      <c r="K511" s="19"/>
      <c r="L511" s="19"/>
      <c r="M511" s="19"/>
      <c r="N511" s="19"/>
      <c r="O511" s="19"/>
      <c r="P511" s="19"/>
      <c r="Q511" s="19"/>
      <c r="R511" s="19"/>
      <c r="S511" s="19"/>
      <c r="T511" s="19"/>
      <c r="U511" s="19"/>
      <c r="V511" s="19"/>
      <c r="W511" s="19"/>
      <c r="X511" s="19"/>
      <c r="Y511" s="19"/>
      <c r="Z511" s="19"/>
      <c r="AA511" s="19"/>
      <c r="AB511" s="19"/>
      <c r="AC511" s="19"/>
      <c r="AD511" s="19"/>
      <c r="AE511" s="4"/>
      <c r="AF511" s="4"/>
      <c r="AG511" s="104"/>
      <c r="AH511" s="128"/>
      <c r="AI511" s="19"/>
      <c r="AJ511" s="19"/>
      <c r="AK511" s="4"/>
      <c r="AL511" s="4"/>
      <c r="AM511" s="4"/>
      <c r="AN511" s="676"/>
      <c r="AP511" s="1127"/>
      <c r="AQ511" s="1128"/>
      <c r="AR511" s="1129"/>
      <c r="AS511" s="159">
        <v>45</v>
      </c>
      <c r="AT511" s="4">
        <v>0</v>
      </c>
      <c r="AU511" s="160">
        <v>10</v>
      </c>
      <c r="AV511" s="160">
        <v>22.5</v>
      </c>
      <c r="AW511" s="160">
        <v>33.799999999999997</v>
      </c>
      <c r="AX511" s="160">
        <v>35</v>
      </c>
      <c r="AY511" s="160">
        <v>37.5</v>
      </c>
      <c r="AZ511" s="160">
        <v>50</v>
      </c>
      <c r="BA511" s="160">
        <v>50</v>
      </c>
      <c r="BE511" s="1127"/>
      <c r="BF511" s="1128"/>
      <c r="BG511" s="1129"/>
      <c r="BH511" s="159">
        <v>45</v>
      </c>
      <c r="BI511" s="4">
        <v>0</v>
      </c>
      <c r="BJ511" s="161">
        <v>0</v>
      </c>
      <c r="BK511" s="160">
        <v>22.5</v>
      </c>
      <c r="BL511" s="160">
        <v>33.799999999999997</v>
      </c>
      <c r="BM511" s="160">
        <v>35</v>
      </c>
      <c r="BN511" s="160">
        <v>37.5</v>
      </c>
      <c r="BO511" s="160">
        <v>50</v>
      </c>
      <c r="BP511" s="160">
        <v>50</v>
      </c>
      <c r="BR511" s="4"/>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idden="1">
      <c r="A512" s="4"/>
      <c r="B512" s="4"/>
      <c r="C512" s="1697" t="s">
        <v>132</v>
      </c>
      <c r="D512" s="1698"/>
      <c r="E512" s="749" t="s">
        <v>1311</v>
      </c>
      <c r="F512" s="748" t="s">
        <v>1022</v>
      </c>
      <c r="G512" s="741"/>
      <c r="H512" s="741"/>
      <c r="I512" s="741"/>
      <c r="J512" s="741"/>
      <c r="K512" s="741"/>
      <c r="L512" s="741"/>
      <c r="M512" s="741"/>
      <c r="N512" s="741"/>
      <c r="O512" s="741"/>
      <c r="P512" s="741"/>
      <c r="Q512" s="741"/>
      <c r="R512" s="741"/>
      <c r="S512" s="741"/>
      <c r="T512" s="741"/>
      <c r="U512" s="741"/>
      <c r="V512" s="741"/>
      <c r="W512" s="741"/>
      <c r="X512" s="741"/>
      <c r="Y512" s="741"/>
      <c r="Z512" s="741"/>
      <c r="AA512" s="741"/>
      <c r="AB512" s="741"/>
      <c r="AC512" s="751"/>
      <c r="AD512" s="704"/>
      <c r="AE512" s="704"/>
      <c r="AF512" s="704"/>
      <c r="AG512" s="752"/>
      <c r="AH512" s="752"/>
      <c r="AI512" s="752"/>
      <c r="AJ512" s="752"/>
      <c r="AK512" s="728"/>
      <c r="AL512" s="4"/>
      <c r="AM512" s="4"/>
      <c r="AN512" s="676"/>
      <c r="AP512" s="1127"/>
      <c r="AQ512" s="1128"/>
      <c r="AR512" s="1129"/>
      <c r="AS512" s="159">
        <v>40</v>
      </c>
      <c r="AT512" s="4">
        <v>0</v>
      </c>
      <c r="AU512" s="160">
        <v>10</v>
      </c>
      <c r="AV512" s="160">
        <v>20</v>
      </c>
      <c r="AW512" s="160">
        <v>30</v>
      </c>
      <c r="AX512" s="160">
        <v>35</v>
      </c>
      <c r="AY512" s="160">
        <v>37.5</v>
      </c>
      <c r="AZ512" s="160">
        <v>50</v>
      </c>
      <c r="BA512" s="160">
        <v>50</v>
      </c>
      <c r="BE512" s="1127"/>
      <c r="BF512" s="1128"/>
      <c r="BG512" s="1129"/>
      <c r="BH512" s="159">
        <v>40</v>
      </c>
      <c r="BI512" s="4">
        <v>0</v>
      </c>
      <c r="BJ512" s="161">
        <v>0</v>
      </c>
      <c r="BK512" s="160">
        <v>20</v>
      </c>
      <c r="BL512" s="160">
        <v>30</v>
      </c>
      <c r="BM512" s="160">
        <v>35</v>
      </c>
      <c r="BN512" s="160">
        <v>37.5</v>
      </c>
      <c r="BO512" s="160">
        <v>50</v>
      </c>
      <c r="BP512" s="160">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idden="1">
      <c r="A513" s="4"/>
      <c r="B513" s="4"/>
      <c r="C513" s="733"/>
      <c r="D513" s="4"/>
      <c r="E513" s="143"/>
      <c r="F513" s="19"/>
      <c r="G513" s="19"/>
      <c r="H513" s="19"/>
      <c r="I513" s="19"/>
      <c r="J513" s="19"/>
      <c r="K513" s="19"/>
      <c r="L513" s="19"/>
      <c r="M513" s="19"/>
      <c r="N513" s="19"/>
      <c r="O513" s="19"/>
      <c r="P513" s="19"/>
      <c r="Q513" s="19"/>
      <c r="R513" s="19"/>
      <c r="S513" s="19"/>
      <c r="T513" s="19"/>
      <c r="U513" s="19"/>
      <c r="V513" s="19"/>
      <c r="W513" s="19"/>
      <c r="X513" s="19"/>
      <c r="Y513" s="19"/>
      <c r="Z513" s="19"/>
      <c r="AA513" s="19"/>
      <c r="AB513" s="19"/>
      <c r="AC513" s="19"/>
      <c r="AD513" s="4"/>
      <c r="AE513" s="4"/>
      <c r="AF513" s="4"/>
      <c r="AG513" s="19"/>
      <c r="AH513" s="19"/>
      <c r="AI513" s="19"/>
      <c r="AJ513" s="19"/>
      <c r="AK513" s="712"/>
      <c r="AL513" s="4"/>
      <c r="AM513" s="4"/>
      <c r="AN513" s="676"/>
      <c r="AP513" s="1127"/>
      <c r="AQ513" s="1128"/>
      <c r="AR513" s="1129"/>
      <c r="AS513" s="159">
        <v>35</v>
      </c>
      <c r="AT513" s="4">
        <v>0</v>
      </c>
      <c r="AU513" s="160">
        <v>8.8000000000000007</v>
      </c>
      <c r="AV513" s="160">
        <v>17.5</v>
      </c>
      <c r="AW513" s="160">
        <v>26.3</v>
      </c>
      <c r="AX513" s="160">
        <v>35</v>
      </c>
      <c r="AY513" s="160">
        <v>37.5</v>
      </c>
      <c r="AZ513" s="160">
        <v>50</v>
      </c>
      <c r="BA513" s="160">
        <v>50</v>
      </c>
      <c r="BE513" s="1127"/>
      <c r="BF513" s="1128"/>
      <c r="BG513" s="1129"/>
      <c r="BH513" s="159">
        <v>35</v>
      </c>
      <c r="BI513" s="4">
        <v>0</v>
      </c>
      <c r="BJ513" s="161">
        <v>0</v>
      </c>
      <c r="BK513" s="160">
        <v>17.5</v>
      </c>
      <c r="BL513" s="160">
        <v>26.3</v>
      </c>
      <c r="BM513" s="160">
        <v>35</v>
      </c>
      <c r="BN513" s="160">
        <v>37.5</v>
      </c>
      <c r="BO513" s="160">
        <v>50</v>
      </c>
      <c r="BP513" s="160">
        <v>50</v>
      </c>
      <c r="BR513" s="21"/>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idden="1">
      <c r="A514" s="4"/>
      <c r="B514" s="4"/>
      <c r="C514" s="1859"/>
      <c r="D514" s="1018"/>
      <c r="E514" s="189"/>
      <c r="F514" s="19" t="s">
        <v>1313</v>
      </c>
      <c r="G514" s="19"/>
      <c r="H514" s="19"/>
      <c r="I514" s="19"/>
      <c r="J514" s="19"/>
      <c r="K514" s="19"/>
      <c r="L514" s="19"/>
      <c r="M514" s="19"/>
      <c r="N514" s="19"/>
      <c r="O514" s="19"/>
      <c r="P514" s="19"/>
      <c r="Q514" s="19"/>
      <c r="R514" s="19"/>
      <c r="S514" s="19"/>
      <c r="T514" s="19"/>
      <c r="U514" s="19"/>
      <c r="V514" s="19"/>
      <c r="W514" s="19"/>
      <c r="X514" s="19"/>
      <c r="Y514" s="19"/>
      <c r="Z514" s="19"/>
      <c r="AA514" s="19"/>
      <c r="AB514" s="19"/>
      <c r="AC514" s="18"/>
      <c r="AD514" s="4"/>
      <c r="AE514" s="4"/>
      <c r="AF514" s="4"/>
      <c r="AG514" s="104">
        <f>IF($C$512="Yes",(VLOOKUP($G$515,$AO$490:$AP$493,2,FALSE)),0)</f>
        <v>0</v>
      </c>
      <c r="AH514" s="128" t="s">
        <v>1017</v>
      </c>
      <c r="AI514" s="19"/>
      <c r="AJ514" s="104"/>
      <c r="AK514" s="712"/>
      <c r="AL514" s="4"/>
      <c r="AM514" s="4"/>
      <c r="AN514" s="676"/>
      <c r="AP514" s="1127"/>
      <c r="AQ514" s="1128"/>
      <c r="AR514" s="1129"/>
      <c r="AS514" s="159">
        <v>30</v>
      </c>
      <c r="AT514" s="4">
        <v>0</v>
      </c>
      <c r="AU514" s="160">
        <v>7.5</v>
      </c>
      <c r="AV514" s="160">
        <v>15</v>
      </c>
      <c r="AW514" s="160">
        <v>22.5</v>
      </c>
      <c r="AX514" s="160">
        <v>30</v>
      </c>
      <c r="AY514" s="160">
        <v>37.5</v>
      </c>
      <c r="AZ514" s="160">
        <v>45</v>
      </c>
      <c r="BA514" s="160">
        <v>50</v>
      </c>
      <c r="BE514" s="1127"/>
      <c r="BF514" s="1128"/>
      <c r="BG514" s="1129"/>
      <c r="BH514" s="159">
        <v>30</v>
      </c>
      <c r="BI514" s="4">
        <v>0</v>
      </c>
      <c r="BJ514" s="161">
        <v>0</v>
      </c>
      <c r="BK514" s="160">
        <v>15</v>
      </c>
      <c r="BL514" s="160">
        <v>22.5</v>
      </c>
      <c r="BM514" s="160">
        <v>30</v>
      </c>
      <c r="BN514" s="160">
        <v>37.5</v>
      </c>
      <c r="BO514" s="160">
        <v>45</v>
      </c>
      <c r="BP514" s="160">
        <v>50</v>
      </c>
      <c r="BR514" s="4"/>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idden="1">
      <c r="A515" s="4"/>
      <c r="B515" s="4"/>
      <c r="C515" s="733"/>
      <c r="D515" s="4"/>
      <c r="E515" s="143"/>
      <c r="F515" s="19"/>
      <c r="G515" s="1856" t="s">
        <v>132</v>
      </c>
      <c r="H515" s="1856"/>
      <c r="I515" s="1856"/>
      <c r="J515" s="1856"/>
      <c r="K515" s="1856"/>
      <c r="L515" s="1856"/>
      <c r="M515" s="1856"/>
      <c r="N515" s="1856"/>
      <c r="O515" s="1856"/>
      <c r="P515" s="1856"/>
      <c r="Q515" s="1856"/>
      <c r="R515" s="1856"/>
      <c r="S515" s="1856"/>
      <c r="T515" s="1856"/>
      <c r="U515" s="1856"/>
      <c r="V515" s="1856"/>
      <c r="W515" s="1856"/>
      <c r="X515" s="1856"/>
      <c r="Y515" s="1856"/>
      <c r="Z515" s="1856"/>
      <c r="AA515" s="1856"/>
      <c r="AB515" s="1856"/>
      <c r="AC515" s="1856"/>
      <c r="AD515" s="1856"/>
      <c r="AE515" s="1856"/>
      <c r="AF515" s="1856"/>
      <c r="AG515" s="4"/>
      <c r="AH515" s="4"/>
      <c r="AI515" s="4"/>
      <c r="AJ515" s="19"/>
      <c r="AK515" s="712"/>
      <c r="AL515" s="4"/>
      <c r="AM515" s="4"/>
      <c r="AN515" s="676"/>
      <c r="AP515" s="1127"/>
      <c r="AQ515" s="1128"/>
      <c r="AR515" s="1129"/>
      <c r="AS515" s="159">
        <v>25</v>
      </c>
      <c r="AT515" s="4">
        <v>0</v>
      </c>
      <c r="AU515" s="160">
        <v>6.3</v>
      </c>
      <c r="AV515" s="160">
        <v>12.5</v>
      </c>
      <c r="AW515" s="160">
        <v>18.8</v>
      </c>
      <c r="AX515" s="160">
        <v>25</v>
      </c>
      <c r="AY515" s="160">
        <v>31.3</v>
      </c>
      <c r="AZ515" s="160">
        <v>37.5</v>
      </c>
      <c r="BA515" s="160">
        <v>50</v>
      </c>
      <c r="BE515" s="1127"/>
      <c r="BF515" s="1128"/>
      <c r="BG515" s="1129"/>
      <c r="BH515" s="159">
        <v>25</v>
      </c>
      <c r="BI515" s="4">
        <v>0</v>
      </c>
      <c r="BJ515" s="161">
        <v>0</v>
      </c>
      <c r="BK515" s="160">
        <v>12.5</v>
      </c>
      <c r="BL515" s="160">
        <v>18.8</v>
      </c>
      <c r="BM515" s="160">
        <v>25</v>
      </c>
      <c r="BN515" s="160">
        <v>31.3</v>
      </c>
      <c r="BO515" s="160">
        <v>37.5</v>
      </c>
      <c r="BP515" s="160">
        <v>50</v>
      </c>
      <c r="BR515" s="4"/>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711"/>
      <c r="F516" s="21"/>
      <c r="G516" s="21"/>
      <c r="H516" s="21"/>
      <c r="I516" s="21"/>
      <c r="J516" s="21"/>
      <c r="K516" s="21"/>
      <c r="L516" s="21"/>
      <c r="M516" s="21"/>
      <c r="N516" s="21"/>
      <c r="O516" s="21"/>
      <c r="P516" s="21"/>
      <c r="Q516" s="21"/>
      <c r="R516" s="21"/>
      <c r="S516" s="21"/>
      <c r="T516" s="21"/>
      <c r="U516" s="21"/>
      <c r="V516" s="21"/>
      <c r="W516" s="21"/>
      <c r="X516" s="21"/>
      <c r="Y516" s="21"/>
      <c r="Z516" s="21"/>
      <c r="AA516" s="21"/>
      <c r="AB516" s="21"/>
      <c r="AC516" s="21"/>
      <c r="AD516" s="4"/>
      <c r="AE516" s="4"/>
      <c r="AF516" s="4"/>
      <c r="AG516" s="21"/>
      <c r="AH516" s="21"/>
      <c r="AI516" s="21"/>
      <c r="AJ516" s="21"/>
      <c r="AK516" s="712"/>
      <c r="AL516" s="4"/>
      <c r="AM516" s="4"/>
      <c r="AN516" s="676"/>
      <c r="AP516" s="1127"/>
      <c r="AQ516" s="1128"/>
      <c r="AR516" s="1129"/>
      <c r="AS516" s="159">
        <v>20</v>
      </c>
      <c r="AT516" s="4">
        <v>0</v>
      </c>
      <c r="AU516" s="160">
        <v>5</v>
      </c>
      <c r="AV516" s="160">
        <v>10</v>
      </c>
      <c r="AW516" s="160">
        <v>15</v>
      </c>
      <c r="AX516" s="160">
        <v>20</v>
      </c>
      <c r="AY516" s="160">
        <v>25</v>
      </c>
      <c r="AZ516" s="160">
        <v>30</v>
      </c>
      <c r="BA516" s="160">
        <v>40</v>
      </c>
      <c r="BE516" s="1127"/>
      <c r="BF516" s="1128"/>
      <c r="BG516" s="1129"/>
      <c r="BH516" s="159">
        <v>20</v>
      </c>
      <c r="BI516" s="4">
        <v>0</v>
      </c>
      <c r="BJ516" s="161">
        <v>0</v>
      </c>
      <c r="BK516" s="160">
        <v>10</v>
      </c>
      <c r="BL516" s="160">
        <v>15</v>
      </c>
      <c r="BM516" s="160">
        <v>20</v>
      </c>
      <c r="BN516" s="160">
        <v>25</v>
      </c>
      <c r="BO516" s="160">
        <v>30</v>
      </c>
      <c r="BP516" s="160">
        <v>40</v>
      </c>
      <c r="BR516" s="4"/>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t="12.75" hidden="1" customHeight="1">
      <c r="A517" s="21"/>
      <c r="B517" s="4"/>
      <c r="C517" s="1857" t="s">
        <v>132</v>
      </c>
      <c r="D517" s="1858"/>
      <c r="F517" s="19" t="s">
        <v>1314</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104">
        <f>IF(AND($C$517="Yes",$C$512="Yes"),2,0)</f>
        <v>0</v>
      </c>
      <c r="AH517" s="128" t="s">
        <v>1017</v>
      </c>
      <c r="AI517" s="19"/>
      <c r="AJ517" s="108"/>
      <c r="AK517" s="712"/>
      <c r="AL517" s="4"/>
      <c r="AM517" s="4"/>
      <c r="AN517" s="676"/>
      <c r="AP517" s="1127"/>
      <c r="AQ517" s="1128"/>
      <c r="AR517" s="1129"/>
      <c r="AS517" s="159">
        <v>15</v>
      </c>
      <c r="AT517" s="4">
        <v>0</v>
      </c>
      <c r="AU517" s="160">
        <v>3.8</v>
      </c>
      <c r="AV517" s="160">
        <v>7.5</v>
      </c>
      <c r="AW517" s="160">
        <v>11.3</v>
      </c>
      <c r="AX517" s="160">
        <v>15</v>
      </c>
      <c r="AY517" s="160">
        <v>18.8</v>
      </c>
      <c r="AZ517" s="160">
        <v>22.5</v>
      </c>
      <c r="BA517" s="160">
        <v>30</v>
      </c>
      <c r="BE517" s="1127"/>
      <c r="BF517" s="1128"/>
      <c r="BG517" s="1129"/>
      <c r="BH517" s="159">
        <v>15</v>
      </c>
      <c r="BI517" s="4">
        <v>0</v>
      </c>
      <c r="BJ517" s="161">
        <v>0</v>
      </c>
      <c r="BK517" s="160">
        <v>7.5</v>
      </c>
      <c r="BL517" s="160">
        <v>11.3</v>
      </c>
      <c r="BM517" s="160">
        <v>15</v>
      </c>
      <c r="BN517" s="160">
        <v>18.8</v>
      </c>
      <c r="BO517" s="160">
        <v>22.5</v>
      </c>
      <c r="BP517" s="160">
        <v>30</v>
      </c>
      <c r="BR517" s="4"/>
      <c r="CM517" s="4"/>
      <c r="CN517" s="4"/>
      <c r="CO517" s="4"/>
      <c r="CP517" s="4"/>
      <c r="CQ517" s="4"/>
      <c r="CR517" s="4"/>
      <c r="CS517" s="4"/>
      <c r="CT517" s="4"/>
      <c r="CU517" s="4"/>
      <c r="CV517" s="4"/>
      <c r="CW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idden="1">
      <c r="A518" s="21"/>
      <c r="B518" s="4"/>
      <c r="C518" s="745"/>
      <c r="D518" s="1"/>
      <c r="E518" s="1"/>
      <c r="F518" s="19"/>
      <c r="G518" s="19" t="s">
        <v>1310</v>
      </c>
      <c r="H518" s="19"/>
      <c r="I518" s="19"/>
      <c r="J518" s="19"/>
      <c r="K518" s="19"/>
      <c r="L518" s="19"/>
      <c r="M518" s="19"/>
      <c r="N518" s="19"/>
      <c r="O518" s="19"/>
      <c r="P518" s="19"/>
      <c r="Q518" s="19"/>
      <c r="R518" s="19"/>
      <c r="S518" s="19"/>
      <c r="T518" s="19"/>
      <c r="U518" s="19"/>
      <c r="V518" s="19"/>
      <c r="W518" s="19"/>
      <c r="X518" s="19"/>
      <c r="Y518" s="19"/>
      <c r="Z518" s="19"/>
      <c r="AA518" s="19"/>
      <c r="AB518" s="19"/>
      <c r="AC518" s="18"/>
      <c r="AD518" s="4"/>
      <c r="AE518" s="4"/>
      <c r="AF518" s="4"/>
      <c r="AG518" s="108"/>
      <c r="AH518" s="108"/>
      <c r="AI518" s="108"/>
      <c r="AJ518" s="108"/>
      <c r="AK518" s="712"/>
      <c r="AL518" s="4"/>
      <c r="AM518" s="4"/>
      <c r="AN518" s="281"/>
      <c r="AP518" s="1130"/>
      <c r="AQ518" s="1131"/>
      <c r="AR518" s="1132"/>
      <c r="AS518" s="159">
        <v>10</v>
      </c>
      <c r="AT518" s="4">
        <v>0</v>
      </c>
      <c r="AU518" s="160">
        <v>2.5</v>
      </c>
      <c r="AV518" s="160">
        <v>5</v>
      </c>
      <c r="AW518" s="160">
        <v>7.5</v>
      </c>
      <c r="AX518" s="160">
        <v>10</v>
      </c>
      <c r="AY518" s="160">
        <v>12.5</v>
      </c>
      <c r="AZ518" s="160">
        <v>15</v>
      </c>
      <c r="BA518" s="160">
        <v>20</v>
      </c>
      <c r="BE518" s="1130"/>
      <c r="BF518" s="1131"/>
      <c r="BG518" s="1132"/>
      <c r="BH518" s="159">
        <v>10</v>
      </c>
      <c r="BI518" s="4">
        <v>0</v>
      </c>
      <c r="BJ518" s="161">
        <v>0</v>
      </c>
      <c r="BK518" s="160">
        <v>5</v>
      </c>
      <c r="BL518" s="160">
        <v>7.5</v>
      </c>
      <c r="BM518" s="160">
        <v>10</v>
      </c>
      <c r="BN518" s="160">
        <v>12.5</v>
      </c>
      <c r="BO518" s="160">
        <v>15</v>
      </c>
      <c r="BP518" s="160">
        <v>20</v>
      </c>
      <c r="BR518" s="4"/>
      <c r="CW518" s="4"/>
    </row>
    <row r="519" spans="1:122" s="4" customFormat="1" ht="12.75" hidden="1" customHeight="1">
      <c r="A519" s="21"/>
      <c r="C519" s="745"/>
      <c r="D519" s="1"/>
      <c r="E519" s="1"/>
      <c r="F519" s="19"/>
      <c r="G519" s="19" t="s">
        <v>1309</v>
      </c>
      <c r="H519" s="19"/>
      <c r="I519" s="19"/>
      <c r="J519" s="19"/>
      <c r="K519" s="19"/>
      <c r="L519" s="19"/>
      <c r="M519" s="19"/>
      <c r="N519" s="19"/>
      <c r="O519" s="19"/>
      <c r="P519" s="19"/>
      <c r="Q519" s="19"/>
      <c r="R519" s="19"/>
      <c r="S519" s="19"/>
      <c r="T519" s="19"/>
      <c r="U519" s="19"/>
      <c r="V519" s="19"/>
      <c r="W519" s="19"/>
      <c r="X519" s="19"/>
      <c r="Y519" s="19"/>
      <c r="Z519" s="19"/>
      <c r="AA519" s="19"/>
      <c r="AB519" s="19"/>
      <c r="AC519" s="18"/>
      <c r="AG519" s="108"/>
      <c r="AH519" s="108"/>
      <c r="AI519" s="108"/>
      <c r="AJ519" s="108"/>
      <c r="AK519" s="712"/>
      <c r="AN519" s="677"/>
      <c r="AP519" s="5"/>
      <c r="AQ519" s="5"/>
      <c r="AR519" s="5"/>
    </row>
    <row r="520" spans="1:122" s="4" customFormat="1" ht="12.75" hidden="1" customHeight="1">
      <c r="A520" s="35"/>
      <c r="B520" s="21"/>
      <c r="C520" s="753"/>
      <c r="D520" s="21"/>
      <c r="G520" s="26"/>
      <c r="H520" s="26"/>
      <c r="I520" s="26"/>
      <c r="J520" s="26"/>
      <c r="K520" s="26"/>
      <c r="L520" s="26"/>
      <c r="M520" s="26"/>
      <c r="N520" s="26"/>
      <c r="O520" s="26"/>
      <c r="P520" s="26"/>
      <c r="Q520" s="26"/>
      <c r="R520" s="26"/>
      <c r="S520" s="26"/>
      <c r="T520" s="26"/>
      <c r="U520" s="26"/>
      <c r="V520" s="26"/>
      <c r="W520" s="26"/>
      <c r="X520" s="26"/>
      <c r="Y520" s="26"/>
      <c r="Z520" s="26"/>
      <c r="AA520" s="26"/>
      <c r="AB520" s="26"/>
      <c r="AC520" s="26"/>
      <c r="AD520" s="26"/>
      <c r="AE520" s="26"/>
      <c r="AF520" s="26"/>
      <c r="AG520" s="18"/>
      <c r="AH520" s="18"/>
      <c r="AI520" s="18"/>
      <c r="AJ520" s="18"/>
      <c r="AK520" s="755"/>
      <c r="AL520" s="21"/>
      <c r="AM520" s="21"/>
      <c r="AN520" s="677"/>
      <c r="AO520" s="5"/>
      <c r="AP520" s="5"/>
      <c r="AQ520" s="5"/>
      <c r="AR520" s="5"/>
    </row>
    <row r="521" spans="1:122" s="4" customFormat="1" ht="12.75" hidden="1" customHeight="1">
      <c r="A521" s="35"/>
      <c r="C521" s="1857" t="s">
        <v>132</v>
      </c>
      <c r="D521" s="1858"/>
      <c r="F521" s="502" t="s">
        <v>914</v>
      </c>
      <c r="G521" s="1664" t="s">
        <v>1026</v>
      </c>
      <c r="H521" s="1664"/>
      <c r="I521" s="1664"/>
      <c r="J521" s="1664"/>
      <c r="K521" s="1664"/>
      <c r="L521" s="1664"/>
      <c r="M521" s="1664"/>
      <c r="N521" s="1664"/>
      <c r="O521" s="1664"/>
      <c r="P521" s="1664"/>
      <c r="Q521" s="1664"/>
      <c r="R521" s="1664"/>
      <c r="S521" s="1664"/>
      <c r="T521" s="1664"/>
      <c r="U521" s="1664"/>
      <c r="V521" s="1664"/>
      <c r="W521" s="1664"/>
      <c r="X521" s="1664"/>
      <c r="Y521" s="1664"/>
      <c r="Z521" s="1664"/>
      <c r="AA521" s="1664"/>
      <c r="AB521" s="1664"/>
      <c r="AC521" s="1664"/>
      <c r="AD521" s="1664"/>
      <c r="AE521" s="1664"/>
      <c r="AF521" s="1664"/>
      <c r="AG521" s="104">
        <f>IF(AND($C$521="Yes",$C$512="Yes"),2,0)</f>
        <v>0</v>
      </c>
      <c r="AH521" s="128" t="s">
        <v>1017</v>
      </c>
      <c r="AI521" s="19"/>
      <c r="AJ521" s="108"/>
      <c r="AK521" s="712"/>
      <c r="AN521" s="677"/>
      <c r="AP521" s="92"/>
      <c r="AQ521" s="93"/>
      <c r="AR521" s="93"/>
      <c r="AS521" s="93"/>
      <c r="AT521" s="93"/>
      <c r="AU521" s="93"/>
      <c r="AV521" s="93"/>
      <c r="AW521" s="93"/>
      <c r="AX521" s="93"/>
      <c r="AY521" s="93"/>
      <c r="AZ521" s="168"/>
      <c r="BA521" s="93"/>
      <c r="BB521" s="93"/>
      <c r="BC521" s="59" t="s">
        <v>358</v>
      </c>
      <c r="BD521" s="1850">
        <f>BJ525</f>
        <v>38</v>
      </c>
      <c r="BE521" s="1850"/>
      <c r="BF521" s="168" t="s">
        <v>359</v>
      </c>
      <c r="BG521" s="93"/>
      <c r="BH521" s="93"/>
      <c r="BI521" s="93"/>
      <c r="BJ521" s="93"/>
      <c r="BK521" s="169"/>
      <c r="BM521"/>
      <c r="BN521" s="158" t="s">
        <v>755</v>
      </c>
      <c r="BO521"/>
      <c r="BP521" s="158"/>
      <c r="BQ521" s="158"/>
      <c r="BR521" s="158"/>
      <c r="BS521" s="158"/>
      <c r="BT521" s="158"/>
      <c r="BU521" s="158"/>
      <c r="BV521"/>
      <c r="BW521"/>
      <c r="BX521"/>
      <c r="BY521"/>
      <c r="BZ521"/>
      <c r="CA521"/>
      <c r="CB521"/>
      <c r="CC521"/>
      <c r="CD521"/>
      <c r="CE521"/>
      <c r="CF521" s="62" t="s">
        <v>1175</v>
      </c>
      <c r="CG521"/>
      <c r="CH521"/>
      <c r="CI521"/>
      <c r="CJ521"/>
    </row>
    <row r="522" spans="1:122" s="4" customFormat="1" ht="12.75" hidden="1" customHeight="1">
      <c r="C522" s="754"/>
      <c r="D522" s="721"/>
      <c r="E522" s="735"/>
      <c r="F522" s="710"/>
      <c r="G522" s="1691"/>
      <c r="H522" s="1691"/>
      <c r="I522" s="1691"/>
      <c r="J522" s="1691"/>
      <c r="K522" s="1691"/>
      <c r="L522" s="1691"/>
      <c r="M522" s="1691"/>
      <c r="N522" s="1691"/>
      <c r="O522" s="1691"/>
      <c r="P522" s="1691"/>
      <c r="Q522" s="1691"/>
      <c r="R522" s="1691"/>
      <c r="S522" s="1691"/>
      <c r="T522" s="1691"/>
      <c r="U522" s="1691"/>
      <c r="V522" s="1691"/>
      <c r="W522" s="1691"/>
      <c r="X522" s="1691"/>
      <c r="Y522" s="1691"/>
      <c r="Z522" s="1691"/>
      <c r="AA522" s="1691"/>
      <c r="AB522" s="1691"/>
      <c r="AC522" s="1691"/>
      <c r="AD522" s="1691"/>
      <c r="AE522" s="1691"/>
      <c r="AF522" s="1691"/>
      <c r="AG522" s="737"/>
      <c r="AH522" s="737"/>
      <c r="AI522" s="737"/>
      <c r="AJ522" s="737"/>
      <c r="AK522" s="722"/>
      <c r="AN522" s="677"/>
      <c r="AP522" s="92"/>
      <c r="AQ522" s="93"/>
      <c r="AR522" s="93"/>
      <c r="AS522" s="93"/>
      <c r="AT522" s="93"/>
      <c r="AU522" s="93"/>
      <c r="AV522" s="93"/>
      <c r="AW522" s="93"/>
      <c r="AX522" s="93"/>
      <c r="AY522" s="93"/>
      <c r="AZ522" s="168"/>
      <c r="BA522" s="93"/>
      <c r="BB522" s="93"/>
      <c r="BC522" s="59" t="s">
        <v>360</v>
      </c>
      <c r="BD522" s="1850">
        <f>SUM(E578:J586)</f>
        <v>38</v>
      </c>
      <c r="BE522" s="1850"/>
      <c r="BF522" s="168" t="s">
        <v>359</v>
      </c>
      <c r="BG522" s="93"/>
      <c r="BH522" s="93"/>
      <c r="BI522" s="93"/>
      <c r="BJ522" s="93"/>
      <c r="BK522" s="169"/>
      <c r="BM522" s="426">
        <v>4</v>
      </c>
      <c r="BN522" s="425"/>
      <c r="BO522" s="426">
        <v>4</v>
      </c>
      <c r="BP522" s="425"/>
      <c r="BQ522" s="427">
        <v>3</v>
      </c>
      <c r="BR522" s="429"/>
      <c r="BS522" s="427">
        <v>3</v>
      </c>
      <c r="BT522" s="429"/>
      <c r="BU522" s="426">
        <v>2</v>
      </c>
      <c r="BV522" s="425"/>
      <c r="BW522" s="426">
        <v>2</v>
      </c>
      <c r="BX522" s="425"/>
      <c r="BY522" s="427">
        <v>1</v>
      </c>
      <c r="BZ522" s="429"/>
      <c r="CA522" s="427">
        <v>1</v>
      </c>
      <c r="CB522" s="429"/>
      <c r="CC522" s="426" t="s">
        <v>650</v>
      </c>
      <c r="CD522" s="425"/>
      <c r="CE522" s="426" t="s">
        <v>650</v>
      </c>
      <c r="CF522" s="425"/>
      <c r="CG522"/>
      <c r="CH522"/>
      <c r="CI522"/>
      <c r="CJ522"/>
    </row>
    <row r="523" spans="1:122" s="4" customFormat="1" ht="12.75" hidden="1" customHeight="1">
      <c r="C523" s="5"/>
      <c r="E523" s="143"/>
      <c r="F523" s="27"/>
      <c r="G523" s="103"/>
      <c r="H523" s="103"/>
      <c r="I523" s="103"/>
      <c r="J523" s="103"/>
      <c r="K523" s="103"/>
      <c r="L523" s="103"/>
      <c r="M523" s="103"/>
      <c r="N523" s="103"/>
      <c r="O523" s="103"/>
      <c r="P523" s="103"/>
      <c r="Q523" s="103"/>
      <c r="R523" s="103"/>
      <c r="S523" s="103"/>
      <c r="T523" s="103"/>
      <c r="U523" s="103"/>
      <c r="V523" s="103"/>
      <c r="W523" s="103"/>
      <c r="X523" s="103"/>
      <c r="Y523" s="103"/>
      <c r="Z523" s="103"/>
      <c r="AA523" s="103"/>
      <c r="AB523" s="103"/>
      <c r="AC523" s="103"/>
      <c r="AD523" s="103"/>
      <c r="AE523" s="103"/>
      <c r="AF523" s="103"/>
      <c r="AG523" s="19"/>
      <c r="AH523" s="19"/>
      <c r="AI523" s="19"/>
      <c r="AJ523" s="19"/>
      <c r="AN523" s="677"/>
      <c r="AP523" s="434"/>
      <c r="AQ523" s="168"/>
      <c r="AR523" s="168"/>
      <c r="AS523" s="168"/>
      <c r="AT523" s="168"/>
      <c r="AU523" s="168"/>
      <c r="AV523" s="168"/>
      <c r="AW523" s="168"/>
      <c r="AX523" s="168"/>
      <c r="AY523" s="168"/>
      <c r="AZ523" s="168"/>
      <c r="BA523" s="168"/>
      <c r="BB523" s="168"/>
      <c r="BC523" s="168"/>
      <c r="BD523" s="168"/>
      <c r="BE523" s="168"/>
      <c r="BF523" s="168"/>
      <c r="BG523" s="168"/>
      <c r="BH523" s="168"/>
      <c r="BI523" s="59" t="s">
        <v>564</v>
      </c>
      <c r="BJ523" s="1842">
        <v>0</v>
      </c>
      <c r="BK523" s="1843"/>
      <c r="BM523" s="426">
        <f>IF(T605&gt;0,1,0)</f>
        <v>0</v>
      </c>
      <c r="BN523" s="425"/>
      <c r="BO523" s="426">
        <f>IF(Y605&gt;=0.1,1,0)</f>
        <v>0</v>
      </c>
      <c r="BP523" s="425"/>
      <c r="BQ523" s="427"/>
      <c r="BR523" s="429"/>
      <c r="BS523" s="427"/>
      <c r="BT523" s="429"/>
      <c r="BU523" s="426"/>
      <c r="BV523" s="425"/>
      <c r="BW523" s="426"/>
      <c r="BX523" s="425"/>
      <c r="BY523" s="427"/>
      <c r="BZ523" s="429"/>
      <c r="CA523" s="427"/>
      <c r="CB523" s="429"/>
      <c r="CC523" s="426"/>
      <c r="CD523" s="425"/>
      <c r="CE523" s="426"/>
      <c r="CF523" s="425"/>
      <c r="CG523"/>
      <c r="CH523"/>
      <c r="CI523"/>
      <c r="CJ523"/>
    </row>
    <row r="524" spans="1:122" s="4" customFormat="1" ht="12.75" hidden="1" customHeight="1">
      <c r="C524" s="757" t="s">
        <v>1907</v>
      </c>
      <c r="D524" s="704"/>
      <c r="E524" s="758"/>
      <c r="F524" s="759"/>
      <c r="G524" s="760"/>
      <c r="H524" s="760"/>
      <c r="I524" s="760"/>
      <c r="J524" s="760"/>
      <c r="K524" s="760"/>
      <c r="L524" s="760"/>
      <c r="M524" s="760"/>
      <c r="N524" s="760"/>
      <c r="O524" s="760"/>
      <c r="P524" s="760"/>
      <c r="Q524" s="760"/>
      <c r="R524" s="760"/>
      <c r="S524" s="760"/>
      <c r="T524" s="760"/>
      <c r="U524" s="760"/>
      <c r="V524" s="760"/>
      <c r="W524" s="760"/>
      <c r="X524" s="760"/>
      <c r="Y524" s="760"/>
      <c r="Z524" s="760"/>
      <c r="AA524" s="760"/>
      <c r="AB524" s="760"/>
      <c r="AC524" s="760"/>
      <c r="AD524" s="760"/>
      <c r="AE524" s="760"/>
      <c r="AF524" s="760"/>
      <c r="AG524" s="741"/>
      <c r="AH524" s="741"/>
      <c r="AI524" s="741"/>
      <c r="AJ524" s="741"/>
      <c r="AK524" s="728"/>
      <c r="AN524" s="281"/>
      <c r="AP524" s="434"/>
      <c r="AQ524" s="168"/>
      <c r="AR524" s="168"/>
      <c r="AS524" s="168"/>
      <c r="AT524" s="168"/>
      <c r="AU524" s="168"/>
      <c r="AV524" s="168"/>
      <c r="AW524" s="168"/>
      <c r="AX524" s="168"/>
      <c r="AY524" s="168"/>
      <c r="AZ524" s="168"/>
      <c r="BA524" s="168"/>
      <c r="BB524" s="168"/>
      <c r="BC524" s="168"/>
      <c r="BD524" s="168"/>
      <c r="BE524" s="168"/>
      <c r="BF524" s="168"/>
      <c r="BG524" s="168"/>
      <c r="BH524" s="168"/>
      <c r="BI524" s="435" t="s">
        <v>11</v>
      </c>
      <c r="BJ524" s="1842">
        <f>Application!AG431</f>
        <v>0</v>
      </c>
      <c r="BK524" s="1843"/>
      <c r="BM524" s="426"/>
      <c r="BN524" s="425"/>
      <c r="BO524" s="426"/>
      <c r="BP524" s="425"/>
      <c r="BQ524" s="427">
        <f>IF(T606&gt;0,1,0)</f>
        <v>1</v>
      </c>
      <c r="BR524" s="429"/>
      <c r="BS524" s="427">
        <f>IF(Y606&gt;=0.1,1,0)</f>
        <v>1</v>
      </c>
      <c r="BT524" s="429"/>
      <c r="BU524" s="426"/>
      <c r="BV524" s="425"/>
      <c r="BW524" s="426"/>
      <c r="BX524" s="425"/>
      <c r="BY524" s="427"/>
      <c r="BZ524" s="429"/>
      <c r="CA524" s="427"/>
      <c r="CB524" s="429"/>
      <c r="CC524" s="426"/>
      <c r="CD524" s="425"/>
      <c r="CE524" s="426"/>
      <c r="CF524" s="425"/>
      <c r="CG524"/>
      <c r="CH524"/>
      <c r="CI524"/>
      <c r="CJ524"/>
    </row>
    <row r="525" spans="1:122" s="4" customFormat="1" ht="12.75" hidden="1" customHeight="1">
      <c r="C525" s="1694" t="s">
        <v>132</v>
      </c>
      <c r="D525" s="1113"/>
      <c r="E525" s="501" t="s">
        <v>1312</v>
      </c>
      <c r="F525" s="252" t="s">
        <v>1400</v>
      </c>
      <c r="G525" s="103"/>
      <c r="H525" s="103"/>
      <c r="I525" s="103"/>
      <c r="J525" s="103"/>
      <c r="K525" s="103"/>
      <c r="L525" s="103"/>
      <c r="M525" s="103"/>
      <c r="N525" s="103"/>
      <c r="O525" s="103"/>
      <c r="P525" s="103"/>
      <c r="Q525" s="103"/>
      <c r="R525" s="103"/>
      <c r="S525" s="103"/>
      <c r="T525" s="103"/>
      <c r="U525" s="103"/>
      <c r="V525" s="103"/>
      <c r="W525" s="103"/>
      <c r="X525" s="103"/>
      <c r="Y525" s="103"/>
      <c r="Z525" s="103"/>
      <c r="AA525" s="103"/>
      <c r="AB525" s="103"/>
      <c r="AC525" s="103"/>
      <c r="AD525" s="103"/>
      <c r="AE525" s="103"/>
      <c r="AF525" s="103"/>
      <c r="AG525" s="104">
        <f>IF(C$525="Yes",(VLOOKUP(F$526,$AO$496:$AP$499,2,FALSE)),0)</f>
        <v>0</v>
      </c>
      <c r="AH525" s="128" t="s">
        <v>1017</v>
      </c>
      <c r="AI525" s="19"/>
      <c r="AJ525" s="19"/>
      <c r="AK525" s="712"/>
      <c r="AN525" s="281"/>
      <c r="AP525" s="69"/>
      <c r="AQ525" s="436"/>
      <c r="AR525" s="436"/>
      <c r="AS525" s="436"/>
      <c r="AT525" s="436"/>
      <c r="AU525" s="436"/>
      <c r="AV525" s="436"/>
      <c r="AW525" s="436"/>
      <c r="AX525" s="436"/>
      <c r="AY525" s="436"/>
      <c r="AZ525" s="436"/>
      <c r="BA525" s="436"/>
      <c r="BB525" s="436"/>
      <c r="BC525" s="436"/>
      <c r="BD525" s="436"/>
      <c r="BE525" s="436"/>
      <c r="BF525" s="436"/>
      <c r="BG525" s="436"/>
      <c r="BH525" s="436"/>
      <c r="BI525" s="279" t="s">
        <v>357</v>
      </c>
      <c r="BJ525" s="1842">
        <f>Application!AG433</f>
        <v>38</v>
      </c>
      <c r="BK525" s="1843"/>
      <c r="BM525" s="1737"/>
      <c r="BN525" s="1738"/>
      <c r="BO525" s="1737"/>
      <c r="BP525" s="1738"/>
      <c r="BQ525" s="1747"/>
      <c r="BR525" s="1749"/>
      <c r="BS525" s="1747"/>
      <c r="BT525" s="1749"/>
      <c r="BU525" s="1737">
        <f>IF(T607&gt;0,1,0)</f>
        <v>1</v>
      </c>
      <c r="BV525" s="1738"/>
      <c r="BW525" s="1737">
        <f>IF(Y607&gt;=0.1,1,0)</f>
        <v>1</v>
      </c>
      <c r="BX525" s="1738"/>
      <c r="BY525" s="1747"/>
      <c r="BZ525" s="1749"/>
      <c r="CA525" s="1747"/>
      <c r="CB525" s="1749"/>
      <c r="CC525" s="1737"/>
      <c r="CD525" s="1738"/>
      <c r="CE525" s="1737"/>
      <c r="CF525" s="1738"/>
      <c r="CG525"/>
      <c r="CH525"/>
      <c r="CI525"/>
      <c r="CJ525"/>
    </row>
    <row r="526" spans="1:122" s="4" customFormat="1" ht="12.75" hidden="1" customHeight="1">
      <c r="C526" s="706"/>
      <c r="E526" s="143"/>
      <c r="F526" s="1461" t="s">
        <v>132</v>
      </c>
      <c r="G526" s="1461"/>
      <c r="H526" s="1461"/>
      <c r="I526" s="1461"/>
      <c r="J526" s="1461"/>
      <c r="K526" s="1461"/>
      <c r="L526" s="1461"/>
      <c r="M526" s="1461"/>
      <c r="N526" s="1461"/>
      <c r="O526" s="1461"/>
      <c r="P526" s="1461"/>
      <c r="Q526" s="1461"/>
      <c r="R526" s="1461"/>
      <c r="S526" s="1461"/>
      <c r="T526" s="1461"/>
      <c r="U526" s="1461"/>
      <c r="V526" s="1461"/>
      <c r="W526" s="1461"/>
      <c r="X526" s="1461"/>
      <c r="Y526" s="1461"/>
      <c r="Z526" s="1461"/>
      <c r="AA526" s="1461"/>
      <c r="AB526" s="1461"/>
      <c r="AC526" s="1461"/>
      <c r="AD526" s="1461"/>
      <c r="AE526" s="1461"/>
      <c r="AF526" s="1461"/>
      <c r="AG526" s="19"/>
      <c r="AH526" s="19"/>
      <c r="AI526" s="19"/>
      <c r="AJ526" s="19"/>
      <c r="AK526" s="712"/>
      <c r="AN526" s="281"/>
      <c r="BM526" s="1737"/>
      <c r="BN526" s="1738"/>
      <c r="BO526" s="1737"/>
      <c r="BP526" s="1738"/>
      <c r="BQ526" s="1747"/>
      <c r="BR526" s="1749"/>
      <c r="BS526" s="1747"/>
      <c r="BT526" s="1749"/>
      <c r="BU526" s="1737"/>
      <c r="BV526" s="1738"/>
      <c r="BW526" s="1737"/>
      <c r="BX526" s="1738"/>
      <c r="BY526" s="1747">
        <f>IF(T608&gt;0,1,0)</f>
        <v>1</v>
      </c>
      <c r="BZ526" s="1749"/>
      <c r="CA526" s="1747">
        <f>IF(Y608&gt;=0.1,1,0)</f>
        <v>1</v>
      </c>
      <c r="CB526" s="1749"/>
      <c r="CC526" s="1737"/>
      <c r="CD526" s="1738"/>
      <c r="CE526" s="1737"/>
      <c r="CF526" s="1738"/>
      <c r="CG526"/>
      <c r="CH526"/>
      <c r="CI526"/>
      <c r="CJ526"/>
      <c r="CW526"/>
    </row>
    <row r="527" spans="1:122" s="4" customFormat="1" ht="12.75" hidden="1" customHeight="1">
      <c r="C527" s="754"/>
      <c r="D527" s="721"/>
      <c r="E527" s="735"/>
      <c r="F527" s="1678"/>
      <c r="G527" s="1678"/>
      <c r="H527" s="1678"/>
      <c r="I527" s="1678"/>
      <c r="J527" s="1678"/>
      <c r="K527" s="1678"/>
      <c r="L527" s="1678"/>
      <c r="M527" s="1678"/>
      <c r="N527" s="1678"/>
      <c r="O527" s="1678"/>
      <c r="P527" s="1678"/>
      <c r="Q527" s="1678"/>
      <c r="R527" s="1678"/>
      <c r="S527" s="1678"/>
      <c r="T527" s="1678"/>
      <c r="U527" s="1678"/>
      <c r="V527" s="1678"/>
      <c r="W527" s="1678"/>
      <c r="X527" s="1678"/>
      <c r="Y527" s="1678"/>
      <c r="Z527" s="1678"/>
      <c r="AA527" s="1678"/>
      <c r="AB527" s="1678"/>
      <c r="AC527" s="1678"/>
      <c r="AD527" s="1678"/>
      <c r="AE527" s="1678"/>
      <c r="AF527" s="1678"/>
      <c r="AG527" s="737"/>
      <c r="AH527" s="737"/>
      <c r="AI527" s="737"/>
      <c r="AJ527" s="737"/>
      <c r="AK527" s="722"/>
      <c r="AN527" s="281"/>
      <c r="BM527" s="1737"/>
      <c r="BN527" s="1738"/>
      <c r="BO527" s="1737"/>
      <c r="BP527" s="1738"/>
      <c r="BQ527" s="1747"/>
      <c r="BR527" s="1749"/>
      <c r="BS527" s="1747"/>
      <c r="BT527" s="1749"/>
      <c r="BU527" s="1737"/>
      <c r="BV527" s="1738"/>
      <c r="BW527" s="1737"/>
      <c r="BX527" s="1738"/>
      <c r="BY527" s="1747"/>
      <c r="BZ527" s="1749"/>
      <c r="CA527" s="1747"/>
      <c r="CB527" s="1749"/>
      <c r="CC527" s="1737">
        <f>IF(T609&gt;0,1,0)</f>
        <v>1</v>
      </c>
      <c r="CD527" s="1738"/>
      <c r="CE527" s="1737">
        <f>IF(Y609&gt;=0.1,1,0)</f>
        <v>1</v>
      </c>
      <c r="CF527" s="1738"/>
      <c r="CG527"/>
      <c r="CH527"/>
      <c r="CI527"/>
      <c r="CJ527"/>
    </row>
    <row r="528" spans="1:122" s="4" customFormat="1" ht="12.75" hidden="1" customHeight="1">
      <c r="A528" s="35"/>
      <c r="C528" s="19"/>
      <c r="E528" s="19"/>
      <c r="F528" s="252"/>
      <c r="G528" s="19"/>
      <c r="H528" s="19"/>
      <c r="I528" s="19"/>
      <c r="J528" s="19"/>
      <c r="K528" s="19"/>
      <c r="L528" s="19"/>
      <c r="M528" s="19"/>
      <c r="N528" s="19"/>
      <c r="O528" s="19"/>
      <c r="P528" s="19"/>
      <c r="Q528" s="19"/>
      <c r="R528" s="19"/>
      <c r="S528" s="19"/>
      <c r="T528" s="19"/>
      <c r="U528" s="19"/>
      <c r="V528" s="19"/>
      <c r="W528" s="19"/>
      <c r="X528" s="19"/>
      <c r="Y528" s="19"/>
      <c r="Z528" s="19"/>
      <c r="AA528" s="19"/>
      <c r="AB528" s="19"/>
      <c r="AC528" s="19"/>
      <c r="AD528" s="102"/>
      <c r="AE528" s="19"/>
      <c r="AF528" s="19"/>
      <c r="AG528" s="19"/>
      <c r="AH528" s="19"/>
      <c r="AN528" s="281"/>
      <c r="BM528" s="1737">
        <f>SUM(BM523:BN527)</f>
        <v>0</v>
      </c>
      <c r="BN528" s="1738"/>
      <c r="BO528" s="1737">
        <f>SUM(BO523:BP527)</f>
        <v>0</v>
      </c>
      <c r="BP528" s="1738"/>
      <c r="BQ528" s="1737">
        <f>SUM(BQ523:BR527)</f>
        <v>1</v>
      </c>
      <c r="BR528" s="1738"/>
      <c r="BS528" s="1737">
        <f>SUM(BS523:BT527)</f>
        <v>1</v>
      </c>
      <c r="BT528" s="1738"/>
      <c r="BU528" s="1737">
        <f>SUM(BU523:BV527)</f>
        <v>1</v>
      </c>
      <c r="BV528" s="1738"/>
      <c r="BW528" s="1737">
        <f>SUM(BW523:BX527)</f>
        <v>1</v>
      </c>
      <c r="BX528" s="1738"/>
      <c r="BY528" s="1737">
        <f>SUM(BY523:BZ527)</f>
        <v>1</v>
      </c>
      <c r="BZ528" s="1738"/>
      <c r="CA528" s="1737">
        <f>SUM(CA523:CB527)</f>
        <v>1</v>
      </c>
      <c r="CB528" s="1738"/>
      <c r="CC528" s="1737">
        <f>SUM(CC523:CD527)</f>
        <v>1</v>
      </c>
      <c r="CD528" s="1738"/>
      <c r="CE528" s="1737">
        <f>SUM(CE523:CF527)</f>
        <v>1</v>
      </c>
      <c r="CF528" s="1738"/>
      <c r="CG528"/>
      <c r="CH528"/>
      <c r="CI528"/>
      <c r="CJ528"/>
    </row>
    <row r="529" spans="1:89" s="4" customFormat="1" ht="12.75" hidden="1" customHeight="1">
      <c r="A529" s="35"/>
      <c r="B529" s="4" t="s">
        <v>1393</v>
      </c>
      <c r="C529" s="19"/>
      <c r="E529" s="19"/>
      <c r="F529" s="19"/>
      <c r="G529" s="19"/>
      <c r="H529" s="19"/>
      <c r="I529" s="19"/>
      <c r="J529" s="19"/>
      <c r="K529" s="19"/>
      <c r="L529" s="19"/>
      <c r="M529" s="19"/>
      <c r="N529" s="19"/>
      <c r="O529" s="19"/>
      <c r="P529" s="19"/>
      <c r="Q529" s="19"/>
      <c r="R529" s="19"/>
      <c r="S529" s="19"/>
      <c r="T529" s="19"/>
      <c r="U529" s="19"/>
      <c r="V529" s="19"/>
      <c r="W529" s="19"/>
      <c r="X529" s="19"/>
      <c r="Y529" s="19"/>
      <c r="Z529" s="19"/>
      <c r="AA529" s="19"/>
      <c r="AB529" s="19"/>
      <c r="AC529" s="19"/>
      <c r="AD529" s="102"/>
      <c r="AE529" s="19"/>
      <c r="AF529" s="19"/>
      <c r="AG529" s="19"/>
      <c r="AH529" s="19"/>
      <c r="AN529" s="281"/>
      <c r="AP529" s="1847" t="s">
        <v>483</v>
      </c>
      <c r="AQ529" s="1848"/>
      <c r="AR529" s="1848"/>
      <c r="AS529" s="1848"/>
      <c r="AT529" s="1849"/>
      <c r="AU529" s="1847" t="s">
        <v>484</v>
      </c>
      <c r="AV529" s="1848"/>
      <c r="AW529" s="1848"/>
      <c r="AX529" s="1848"/>
      <c r="AY529" s="1849"/>
      <c r="BM529" s="1747">
        <f>SUM(BM528:BP528)</f>
        <v>0</v>
      </c>
      <c r="BN529" s="1748"/>
      <c r="BO529" s="1748"/>
      <c r="BP529" s="1749"/>
      <c r="BQ529" s="1747">
        <f>SUM(BQ528:BT528)</f>
        <v>2</v>
      </c>
      <c r="BR529" s="1748"/>
      <c r="BS529" s="1748"/>
      <c r="BT529" s="1749"/>
      <c r="BU529" s="1747">
        <f>SUM(BU528:BX528)</f>
        <v>2</v>
      </c>
      <c r="BV529" s="1748"/>
      <c r="BW529" s="1748"/>
      <c r="BX529" s="1749"/>
      <c r="BY529" s="1747">
        <f>SUM(BY528:CB528)</f>
        <v>2</v>
      </c>
      <c r="BZ529" s="1748"/>
      <c r="CA529" s="1748"/>
      <c r="CB529" s="1749"/>
      <c r="CC529" s="1747">
        <f>SUM(CC528:CF528)</f>
        <v>2</v>
      </c>
      <c r="CD529" s="1748"/>
      <c r="CE529" s="1748"/>
      <c r="CF529" s="1749"/>
      <c r="CG529"/>
      <c r="CH529"/>
      <c r="CI529"/>
      <c r="CJ529"/>
    </row>
    <row r="530" spans="1:89" s="4" customFormat="1" ht="12.75" hidden="1" customHeight="1">
      <c r="A530" s="35"/>
      <c r="B530" s="4" t="s">
        <v>1394</v>
      </c>
      <c r="C530" s="19"/>
      <c r="E530" s="19"/>
      <c r="F530" s="19"/>
      <c r="G530" s="19"/>
      <c r="H530" s="19"/>
      <c r="I530" s="19"/>
      <c r="J530" s="19"/>
      <c r="K530" s="19"/>
      <c r="L530" s="19"/>
      <c r="M530" s="19"/>
      <c r="N530" s="19"/>
      <c r="O530" s="19"/>
      <c r="P530" s="19"/>
      <c r="Q530" s="19"/>
      <c r="R530" s="19"/>
      <c r="S530" s="19"/>
      <c r="T530" s="19"/>
      <c r="U530" s="19"/>
      <c r="V530" s="19"/>
      <c r="W530" s="19"/>
      <c r="X530" s="19"/>
      <c r="Y530" s="19"/>
      <c r="Z530" s="19"/>
      <c r="AA530" s="19"/>
      <c r="AB530" s="19"/>
      <c r="AC530" s="19"/>
      <c r="AD530" s="102"/>
      <c r="AE530" s="19"/>
      <c r="AF530" s="19"/>
      <c r="AG530" s="19"/>
      <c r="AH530" s="19"/>
      <c r="AN530" s="281"/>
      <c r="AP530" s="1844">
        <f>RANK(T605,$T$605:$X$609,0)+COUNTIF($T$605:$X$609,T605)-1</f>
        <v>5</v>
      </c>
      <c r="AQ530" s="1845"/>
      <c r="AR530" s="1845"/>
      <c r="AS530" s="1845"/>
      <c r="AT530" s="1846"/>
      <c r="AU530" s="1844">
        <f>RANK(Y605,$Y$605:$AC$609,0)+COUNTIF($Y$605:$AC$609,Y605)-1</f>
        <v>5</v>
      </c>
      <c r="AV530" s="1845"/>
      <c r="AW530" s="1845"/>
      <c r="AX530" s="1845"/>
      <c r="AY530" s="1846"/>
      <c r="BM530" s="1747"/>
      <c r="BN530" s="1748"/>
      <c r="BO530" s="1748"/>
      <c r="BP530" s="1749"/>
      <c r="BQ530" s="1747">
        <f>IF(AND(BQ529=2,BM529=1),1,0)</f>
        <v>0</v>
      </c>
      <c r="BR530" s="1748"/>
      <c r="BS530" s="1748"/>
      <c r="BT530" s="1749"/>
      <c r="BU530" s="1747">
        <f>IF(AND(BU529=2,BQ529=1),1,0)</f>
        <v>0</v>
      </c>
      <c r="BV530" s="1748"/>
      <c r="BW530" s="1748"/>
      <c r="BX530" s="1749"/>
      <c r="BY530" s="1747">
        <f>IF(AND(BY529=2,BU529=1),1,0)</f>
        <v>0</v>
      </c>
      <c r="BZ530" s="1748"/>
      <c r="CA530" s="1748"/>
      <c r="CB530" s="1749"/>
      <c r="CC530" s="1747">
        <f>IF(AND(CC529=2,BU529=1),1,0)</f>
        <v>0</v>
      </c>
      <c r="CD530" s="1748"/>
      <c r="CE530" s="1748"/>
      <c r="CF530" s="1749"/>
      <c r="CG530"/>
      <c r="CH530"/>
      <c r="CI530"/>
      <c r="CJ530"/>
    </row>
    <row r="531" spans="1:89" s="4" customFormat="1" ht="12.75" hidden="1" customHeight="1">
      <c r="A531" s="35"/>
      <c r="B531" s="4" t="s">
        <v>2233</v>
      </c>
      <c r="C531" s="19"/>
      <c r="E531" s="19"/>
      <c r="F531" s="19"/>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102"/>
      <c r="AE531" s="19"/>
      <c r="AF531" s="19"/>
      <c r="AG531" s="19"/>
      <c r="AH531" s="19"/>
      <c r="AN531" s="281"/>
      <c r="AP531" s="1844">
        <f>RANK(T606,$T$605:$X$609,0)+COUNTIF($T$605:$X$609,T606)-1</f>
        <v>4</v>
      </c>
      <c r="AQ531" s="1845"/>
      <c r="AR531" s="1845"/>
      <c r="AS531" s="1845"/>
      <c r="AT531" s="1846"/>
      <c r="AU531" s="1844">
        <f>RANK(Y606,$Y$605:$AC$609,0)+COUNTIF($Y$605:$AC$609,Y606)-1</f>
        <v>3</v>
      </c>
      <c r="AV531" s="1845"/>
      <c r="AW531" s="1845"/>
      <c r="AX531" s="1845"/>
      <c r="AY531" s="1846"/>
      <c r="BM531" s="1747"/>
      <c r="BN531" s="1748"/>
      <c r="BO531" s="1748"/>
      <c r="BP531" s="1749"/>
      <c r="BQ531" s="1747"/>
      <c r="BR531" s="1748"/>
      <c r="BS531" s="1748"/>
      <c r="BT531" s="1749"/>
      <c r="BU531" s="1747">
        <f>IF(AND(BU529=2,BM529=1),1,0)</f>
        <v>0</v>
      </c>
      <c r="BV531" s="1748"/>
      <c r="BW531" s="1748"/>
      <c r="BX531" s="1749"/>
      <c r="BY531" s="1747">
        <f>IF(AND(BY529=2,BQ529=1),1,0)</f>
        <v>0</v>
      </c>
      <c r="BZ531" s="1748"/>
      <c r="CA531" s="1748"/>
      <c r="CB531" s="1749"/>
      <c r="CC531" s="1747">
        <f>IF(AND(CC530=2,BY530=1),1,0)</f>
        <v>0</v>
      </c>
      <c r="CD531" s="1748"/>
      <c r="CE531" s="1748"/>
      <c r="CF531" s="1749"/>
      <c r="CG531"/>
      <c r="CH531"/>
      <c r="CI531"/>
      <c r="CJ531"/>
    </row>
    <row r="532" spans="1:89" s="4" customFormat="1" ht="12.75" hidden="1" customHeight="1">
      <c r="A532" s="35"/>
      <c r="B532" s="4" t="s">
        <v>1561</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102"/>
      <c r="AE532" s="19"/>
      <c r="AF532" s="19"/>
      <c r="AG532" s="19"/>
      <c r="AH532" s="19"/>
      <c r="AN532" s="281"/>
      <c r="AP532" s="1844">
        <f>RANK(T607,$T$605:$X$609,0)+COUNTIF($T$605:$X$609,T607)-1</f>
        <v>4</v>
      </c>
      <c r="AQ532" s="1845"/>
      <c r="AR532" s="1845"/>
      <c r="AS532" s="1845"/>
      <c r="AT532" s="1846"/>
      <c r="AU532" s="1844">
        <f>RANK(Y607,$Y$605:$AC$609,0)+COUNTIF($Y$605:$AC$609,Y607)-1</f>
        <v>4</v>
      </c>
      <c r="AV532" s="1845"/>
      <c r="AW532" s="1845"/>
      <c r="AX532" s="1845"/>
      <c r="AY532" s="1846"/>
      <c r="BM532" s="1747"/>
      <c r="BN532" s="1748"/>
      <c r="BO532" s="1748"/>
      <c r="BP532" s="1749"/>
      <c r="BQ532" s="1747"/>
      <c r="BR532" s="1748"/>
      <c r="BS532" s="1748"/>
      <c r="BT532" s="1749"/>
      <c r="BU532" s="1747"/>
      <c r="BV532" s="1748"/>
      <c r="BW532" s="1748"/>
      <c r="BX532" s="1749"/>
      <c r="BY532" s="1747">
        <f>IF(AND(BY529=2,BM529=1),1,0)</f>
        <v>0</v>
      </c>
      <c r="BZ532" s="1748"/>
      <c r="CA532" s="1748"/>
      <c r="CB532" s="1749"/>
      <c r="CC532" s="1747">
        <f>IF(AND(CC529=2,BQ529=1),1,0)</f>
        <v>0</v>
      </c>
      <c r="CD532" s="1748"/>
      <c r="CE532" s="1748"/>
      <c r="CF532" s="1749"/>
      <c r="CG532"/>
      <c r="CH532"/>
      <c r="CI532"/>
      <c r="CJ532"/>
    </row>
    <row r="533" spans="1:89" s="4" customFormat="1" ht="12.75" hidden="1" customHeight="1">
      <c r="A533" s="35"/>
      <c r="B533" s="4" t="s">
        <v>2234</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102"/>
      <c r="AE533" s="19"/>
      <c r="AF533" s="19"/>
      <c r="AG533" s="19"/>
      <c r="AH533" s="19"/>
      <c r="AN533" s="281"/>
      <c r="AP533" s="1844">
        <f>RANK(T608,$T$605:$X$609,0)+COUNTIF($T$605:$X$609,T608)-1</f>
        <v>2</v>
      </c>
      <c r="AQ533" s="1845"/>
      <c r="AR533" s="1845"/>
      <c r="AS533" s="1845"/>
      <c r="AT533" s="1846"/>
      <c r="AU533" s="1844">
        <f>RANK(Y608,$Y$605:$AC$609,0)+COUNTIF($Y$605:$AC$609,Y608)-1</f>
        <v>2</v>
      </c>
      <c r="AV533" s="1845"/>
      <c r="AW533" s="1845"/>
      <c r="AX533" s="1845"/>
      <c r="AY533" s="1846"/>
      <c r="BM533" s="1747"/>
      <c r="BN533" s="1748"/>
      <c r="BO533" s="1748"/>
      <c r="BP533" s="1749"/>
      <c r="BQ533" s="1747"/>
      <c r="BR533" s="1748"/>
      <c r="BS533" s="1748"/>
      <c r="BT533" s="1749"/>
      <c r="BU533" s="1747"/>
      <c r="BV533" s="1748"/>
      <c r="BW533" s="1748"/>
      <c r="BX533" s="1749"/>
      <c r="BY533" s="1747"/>
      <c r="BZ533" s="1748"/>
      <c r="CA533" s="1748"/>
      <c r="CB533" s="1749"/>
      <c r="CC533" s="1747">
        <f>IF(AND(CC529=2,BM529=1),1,0)</f>
        <v>0</v>
      </c>
      <c r="CD533" s="1748"/>
      <c r="CE533" s="1748"/>
      <c r="CF533" s="1749"/>
      <c r="CG533"/>
      <c r="CH533"/>
      <c r="CI533"/>
      <c r="CJ533"/>
    </row>
    <row r="534" spans="1:89" s="4" customFormat="1" ht="12.75" hidden="1" customHeight="1">
      <c r="A534" s="35"/>
      <c r="B534" s="4" t="s">
        <v>1562</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102"/>
      <c r="AE534" s="19"/>
      <c r="AF534" s="19"/>
      <c r="AG534" s="19"/>
      <c r="AH534" s="19"/>
      <c r="AN534" s="281"/>
      <c r="AP534" s="1844">
        <f>RANK(T609,$T$605:$X$609,0)+COUNTIF($T$605:$X$609,T609)-1</f>
        <v>1</v>
      </c>
      <c r="AQ534" s="1845"/>
      <c r="AR534" s="1845"/>
      <c r="AS534" s="1845"/>
      <c r="AT534" s="1846"/>
      <c r="AU534" s="1844">
        <f>RANK(Y609,$Y$605:$AC$609,0)+COUNTIF($Y$605:$AC$609,Y609)-1</f>
        <v>1</v>
      </c>
      <c r="AV534" s="1845"/>
      <c r="AW534" s="1845"/>
      <c r="AX534" s="1845"/>
      <c r="AY534" s="1846"/>
      <c r="BM534" s="1747">
        <f>SUM(BM530:BP533)</f>
        <v>0</v>
      </c>
      <c r="BN534" s="1748"/>
      <c r="BO534" s="1748"/>
      <c r="BP534" s="1749"/>
      <c r="BQ534" s="1747">
        <f>SUM(BQ530:BT533)</f>
        <v>0</v>
      </c>
      <c r="BR534" s="1748"/>
      <c r="BS534" s="1748"/>
      <c r="BT534" s="1749"/>
      <c r="BU534" s="1747">
        <f>SUM(BU530:BX533)</f>
        <v>0</v>
      </c>
      <c r="BV534" s="1748"/>
      <c r="BW534" s="1748"/>
      <c r="BX534" s="1749"/>
      <c r="BY534" s="1747">
        <f>SUM(BY530:CB533)</f>
        <v>0</v>
      </c>
      <c r="BZ534" s="1748"/>
      <c r="CA534" s="1748"/>
      <c r="CB534" s="1749"/>
      <c r="CC534" s="1747">
        <f>SUM(CC530:CF533)</f>
        <v>0</v>
      </c>
      <c r="CD534" s="1748"/>
      <c r="CE534" s="1748"/>
      <c r="CF534" s="1749"/>
      <c r="CG534" s="1747">
        <f>SUM(BM534:CF534)</f>
        <v>0</v>
      </c>
      <c r="CH534" s="1748"/>
      <c r="CI534" s="1748"/>
      <c r="CJ534" s="1749"/>
    </row>
    <row r="535" spans="1:89" s="4" customFormat="1" ht="12.75" hidden="1" customHeight="1">
      <c r="A535" s="35"/>
      <c r="B535" s="4" t="s">
        <v>1563</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102"/>
      <c r="AE535" s="19"/>
      <c r="AF535" s="19"/>
      <c r="AG535" s="19"/>
      <c r="AH535" s="19"/>
      <c r="AN535" s="281"/>
    </row>
    <row r="536" spans="1:89" s="4" customFormat="1" ht="12.75" hidden="1" customHeight="1">
      <c r="A536" s="279"/>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102"/>
      <c r="AE536" s="19"/>
      <c r="AF536" s="19"/>
      <c r="AG536" s="19"/>
      <c r="AH536" s="19"/>
      <c r="AN536" s="281"/>
    </row>
    <row r="537" spans="1:89" s="4" customFormat="1" ht="12.75" hidden="1" customHeight="1">
      <c r="A537" s="92"/>
      <c r="B537" s="125"/>
      <c r="C537" s="125"/>
      <c r="D537" s="125"/>
      <c r="E537" s="125"/>
      <c r="F537" s="125"/>
      <c r="G537" s="125"/>
      <c r="H537" s="125"/>
      <c r="I537" s="125"/>
      <c r="J537" s="125"/>
      <c r="K537" s="125"/>
      <c r="L537" s="125"/>
      <c r="M537" s="125"/>
      <c r="N537" s="125"/>
      <c r="O537" s="125"/>
      <c r="P537" s="125"/>
      <c r="Q537" s="125"/>
      <c r="R537" s="125"/>
      <c r="S537" s="125"/>
      <c r="T537" s="125"/>
      <c r="U537" s="125"/>
      <c r="V537" s="125"/>
      <c r="W537" s="125"/>
      <c r="X537" s="125"/>
      <c r="Y537" s="125"/>
      <c r="Z537" s="125"/>
      <c r="AA537" s="125"/>
      <c r="AB537" s="125"/>
      <c r="AC537" s="138"/>
      <c r="AD537" s="125"/>
      <c r="AE537" s="125"/>
      <c r="AF537" s="125"/>
      <c r="AG537" s="125"/>
      <c r="AH537" s="93"/>
      <c r="AI537" s="60"/>
      <c r="AJ537" s="60" t="s">
        <v>190</v>
      </c>
      <c r="AK537" s="1240">
        <f>SUM(AG481:AG526)</f>
        <v>0</v>
      </c>
      <c r="AL537" s="1241"/>
      <c r="AM537" s="1243"/>
      <c r="AN537" s="281"/>
      <c r="AP537" s="145" t="s">
        <v>649</v>
      </c>
      <c r="AQ537" s="146"/>
      <c r="AR537" s="146"/>
      <c r="AS537" s="146"/>
      <c r="AT537" s="146"/>
      <c r="AU537" s="146"/>
      <c r="AV537" s="146"/>
      <c r="AW537" s="146"/>
      <c r="AX537" s="146"/>
      <c r="AY537" s="146"/>
      <c r="AZ537" s="147"/>
      <c r="CH537" s="63" t="s">
        <v>1175</v>
      </c>
      <c r="CK537" s="62"/>
    </row>
    <row r="538" spans="1:89" s="4" customFormat="1" ht="12.75" hidden="1" customHeight="1" thickBot="1">
      <c r="A538" s="142"/>
      <c r="B538" s="142"/>
      <c r="C538" s="142"/>
      <c r="D538" s="142"/>
      <c r="E538" s="142"/>
      <c r="F538" s="142"/>
      <c r="G538" s="142"/>
      <c r="H538" s="142"/>
      <c r="I538" s="142"/>
      <c r="J538" s="142"/>
      <c r="K538" s="142"/>
      <c r="L538" s="142"/>
      <c r="M538" s="142"/>
      <c r="N538" s="142"/>
      <c r="O538" s="142"/>
      <c r="P538" s="142"/>
      <c r="Q538" s="142"/>
      <c r="R538" s="142"/>
      <c r="S538" s="142"/>
      <c r="T538" s="142"/>
      <c r="U538" s="142"/>
      <c r="V538" s="142"/>
      <c r="W538" s="142"/>
      <c r="X538" s="142"/>
      <c r="Y538" s="142"/>
      <c r="Z538" s="142"/>
      <c r="AA538" s="142"/>
      <c r="AB538" s="142"/>
      <c r="AC538" s="142"/>
      <c r="AD538" s="142"/>
      <c r="AE538" s="142"/>
      <c r="AF538" s="142"/>
      <c r="AG538" s="142"/>
      <c r="AH538" s="142"/>
      <c r="AI538" s="142"/>
      <c r="AJ538" s="142"/>
      <c r="AK538" s="142"/>
      <c r="AL538" s="142"/>
      <c r="AM538" s="142"/>
      <c r="AN538" s="281"/>
      <c r="AP538" s="148" t="s">
        <v>647</v>
      </c>
      <c r="AQ538" s="149"/>
      <c r="AR538" s="149"/>
      <c r="AS538" s="149"/>
      <c r="AT538" s="149"/>
      <c r="AU538" s="149"/>
      <c r="AV538" s="149"/>
      <c r="AW538" s="149"/>
      <c r="AX538" s="149"/>
      <c r="AY538" s="1737">
        <f>SUM(O605:S609)</f>
        <v>38</v>
      </c>
      <c r="AZ538" s="1738"/>
      <c r="CG538"/>
      <c r="CH538" s="1779" t="s">
        <v>811</v>
      </c>
      <c r="CI538" s="1498"/>
      <c r="CJ538" s="1498"/>
      <c r="CK538" s="1499"/>
    </row>
    <row r="539" spans="1:89" s="4" customFormat="1" ht="12.75" customHeight="1" thickTop="1">
      <c r="B539" s="186"/>
      <c r="C539" s="187"/>
      <c r="D539" s="187"/>
      <c r="E539" s="187"/>
      <c r="F539" s="187"/>
      <c r="G539" s="187"/>
      <c r="H539" s="187"/>
      <c r="I539" s="103"/>
      <c r="J539" s="103"/>
      <c r="K539" s="103"/>
      <c r="L539" s="103"/>
      <c r="M539" s="103"/>
      <c r="N539" s="103"/>
      <c r="O539" s="103"/>
      <c r="P539" s="103"/>
      <c r="Q539" s="103"/>
      <c r="R539" s="21"/>
      <c r="S539" s="3"/>
      <c r="T539" s="3"/>
      <c r="U539" s="3"/>
      <c r="V539" s="3"/>
      <c r="W539" s="3"/>
      <c r="X539" s="3"/>
      <c r="Y539" s="3"/>
      <c r="Z539" s="3"/>
      <c r="AA539" s="3"/>
      <c r="AB539" s="3"/>
      <c r="AC539" s="3"/>
      <c r="AD539" s="3"/>
      <c r="AE539" s="3"/>
      <c r="AF539" s="21"/>
      <c r="AG539" s="3"/>
      <c r="AH539" s="3"/>
      <c r="AI539" s="3"/>
      <c r="AJ539" s="3"/>
      <c r="AM539" s="21"/>
      <c r="AN539" s="281"/>
      <c r="AP539" s="150" t="s">
        <v>641</v>
      </c>
      <c r="AQ539" s="151"/>
      <c r="AR539" s="151"/>
      <c r="AS539" s="1737" t="str">
        <f>IF(AY538=BK565,"passed","failed")</f>
        <v>passed</v>
      </c>
      <c r="AT539" s="1739"/>
      <c r="AU539" s="1738"/>
      <c r="AV539" s="151"/>
      <c r="AW539" s="151"/>
      <c r="AX539" s="151"/>
      <c r="AY539" s="151"/>
      <c r="AZ539" s="152"/>
      <c r="CG539"/>
      <c r="CH539" s="1500"/>
      <c r="CI539" s="1501"/>
      <c r="CJ539" s="1501"/>
      <c r="CK539" s="1502"/>
    </row>
    <row r="540" spans="1:89" s="4" customFormat="1" ht="12.75" customHeight="1">
      <c r="A540" s="3" t="s">
        <v>2036</v>
      </c>
      <c r="B540" s="21"/>
      <c r="C540" s="3"/>
      <c r="D540" s="21"/>
      <c r="E540" s="21"/>
      <c r="F540" s="21"/>
      <c r="G540" s="21"/>
      <c r="H540" s="21"/>
      <c r="I540" s="21"/>
      <c r="J540" s="21"/>
      <c r="K540" s="21"/>
      <c r="L540" s="21"/>
      <c r="M540" s="21"/>
      <c r="N540" s="21"/>
      <c r="O540" s="21"/>
      <c r="P540" s="21"/>
      <c r="Q540" s="21"/>
      <c r="R540" s="21"/>
      <c r="S540" s="21"/>
      <c r="T540" s="21"/>
      <c r="U540" s="21"/>
      <c r="V540" s="21"/>
      <c r="W540" s="21"/>
      <c r="X540" s="21"/>
      <c r="Y540" s="21"/>
      <c r="Z540" s="21"/>
      <c r="AA540" s="21"/>
      <c r="AB540" s="21"/>
      <c r="AE540" s="1673" t="s">
        <v>389</v>
      </c>
      <c r="AF540" s="1673"/>
      <c r="AG540" s="1673"/>
      <c r="AH540" s="1673"/>
      <c r="AI540" s="1673"/>
      <c r="AJ540" s="1673"/>
      <c r="AK540" s="1673"/>
      <c r="AL540" s="18"/>
      <c r="AM540" s="21"/>
      <c r="AN540" s="281"/>
      <c r="BE540"/>
      <c r="BF540"/>
      <c r="BG540"/>
      <c r="BH540"/>
      <c r="BI540"/>
      <c r="BJ540"/>
      <c r="BK540"/>
      <c r="BL540"/>
      <c r="BM540"/>
      <c r="BN540"/>
      <c r="BO540"/>
      <c r="BP540"/>
      <c r="BQ540"/>
      <c r="BR540" s="62" t="s">
        <v>1175</v>
      </c>
      <c r="BS540"/>
      <c r="BT540"/>
      <c r="BU540"/>
      <c r="BV540"/>
      <c r="BW540"/>
      <c r="BX540"/>
      <c r="BY540"/>
      <c r="BZ540"/>
      <c r="CA540"/>
      <c r="CB540"/>
      <c r="CC540"/>
      <c r="CG540"/>
      <c r="CH540" s="1500"/>
      <c r="CI540" s="1501"/>
      <c r="CJ540" s="1501"/>
      <c r="CK540" s="1502"/>
    </row>
    <row r="541" spans="1:89" s="4" customFormat="1" ht="12.75" customHeight="1">
      <c r="B541" s="128" t="s">
        <v>2037</v>
      </c>
      <c r="C541" s="3"/>
      <c r="D541" s="21"/>
      <c r="E541" s="21"/>
      <c r="F541" s="21"/>
      <c r="G541" s="21"/>
      <c r="H541" s="21"/>
      <c r="I541" s="21"/>
      <c r="J541" s="21"/>
      <c r="K541" s="21"/>
      <c r="L541" s="21"/>
      <c r="M541" s="21"/>
      <c r="N541" s="21"/>
      <c r="O541" s="21"/>
      <c r="P541" s="21"/>
      <c r="Q541" s="21"/>
      <c r="R541" s="21"/>
      <c r="S541" s="21"/>
      <c r="T541" s="21"/>
      <c r="U541" s="21"/>
      <c r="V541" s="21"/>
      <c r="W541" s="21"/>
      <c r="X541" s="21"/>
      <c r="Y541" s="21"/>
      <c r="Z541" s="21"/>
      <c r="AA541" s="21"/>
      <c r="AB541" s="21"/>
      <c r="AE541" s="18"/>
      <c r="AF541" s="18"/>
      <c r="AG541" s="1675" t="s">
        <v>193</v>
      </c>
      <c r="AH541" s="1675"/>
      <c r="AI541" s="1675"/>
      <c r="AJ541" s="1675"/>
      <c r="AK541" s="18"/>
      <c r="AL541" s="18"/>
      <c r="AM541" s="21"/>
      <c r="AN541" s="281"/>
      <c r="BE541" s="1747" t="s">
        <v>237</v>
      </c>
      <c r="BF541" s="1748"/>
      <c r="BG541" s="1748"/>
      <c r="BH541" s="1749"/>
      <c r="BI541" s="1747" t="s">
        <v>751</v>
      </c>
      <c r="BJ541" s="1748"/>
      <c r="BK541" s="1748"/>
      <c r="BL541" s="1749"/>
      <c r="BM541" s="1747" t="s">
        <v>752</v>
      </c>
      <c r="BN541" s="1748"/>
      <c r="BO541" s="1748"/>
      <c r="BP541" s="1749"/>
      <c r="BQ541" s="1747" t="s">
        <v>753</v>
      </c>
      <c r="BR541" s="1748"/>
      <c r="BS541" s="1748"/>
      <c r="BT541" s="1749"/>
      <c r="BU541" s="1747" t="s">
        <v>754</v>
      </c>
      <c r="BV541" s="1748"/>
      <c r="BW541" s="1748"/>
      <c r="BX541" s="1749"/>
      <c r="BY541" s="1747" t="s">
        <v>238</v>
      </c>
      <c r="BZ541" s="1748"/>
      <c r="CA541" s="1748"/>
      <c r="CB541" s="1749"/>
      <c r="CC541"/>
      <c r="CG541"/>
      <c r="CH541" s="1500"/>
      <c r="CI541" s="1501"/>
      <c r="CJ541" s="1501"/>
      <c r="CK541" s="1502"/>
    </row>
    <row r="542" spans="1:89" s="4" customFormat="1" ht="12.75" customHeight="1">
      <c r="A542" s="3"/>
      <c r="B542" s="1855" t="s">
        <v>1790</v>
      </c>
      <c r="C542" s="1855"/>
      <c r="D542" s="1855"/>
      <c r="E542" s="1855"/>
      <c r="F542" s="1855"/>
      <c r="G542" s="1855"/>
      <c r="H542" s="1855"/>
      <c r="I542" s="1855"/>
      <c r="J542" s="1855"/>
      <c r="K542" s="1855"/>
      <c r="L542" s="1855"/>
      <c r="M542" s="1855"/>
      <c r="N542" s="1855"/>
      <c r="O542" s="1855"/>
      <c r="P542" s="1855"/>
      <c r="Q542" s="1855"/>
      <c r="R542" s="1855"/>
      <c r="S542" s="1855"/>
      <c r="T542" s="1855"/>
      <c r="U542" s="1855"/>
      <c r="V542" s="1855"/>
      <c r="W542" s="1855"/>
      <c r="X542" s="1855"/>
      <c r="Y542" s="1855"/>
      <c r="Z542" s="1855"/>
      <c r="AA542" s="1855"/>
      <c r="AB542" s="1855"/>
      <c r="AC542" s="1855"/>
      <c r="AD542" s="1855"/>
      <c r="AE542" s="1855"/>
      <c r="AF542" s="1855"/>
      <c r="AG542" s="1855"/>
      <c r="AK542" s="21"/>
      <c r="AL542" s="21"/>
      <c r="AN542" s="281"/>
      <c r="AP542" s="438" t="s">
        <v>648</v>
      </c>
      <c r="AQ542" s="439"/>
      <c r="AR542" s="439"/>
      <c r="AS542" s="439"/>
      <c r="AT542" s="439"/>
      <c r="AU542" s="439"/>
      <c r="AV542" s="440"/>
      <c r="AW542" s="439"/>
      <c r="AX542" s="439"/>
      <c r="AY542" s="440"/>
      <c r="BE542" s="1737">
        <f>IF(CH543=1,0,1)</f>
        <v>0</v>
      </c>
      <c r="BF542" s="1739"/>
      <c r="BG542" s="1739"/>
      <c r="BH542" s="1738"/>
      <c r="BI542" s="1737"/>
      <c r="BJ542" s="1739"/>
      <c r="BK542" s="1739"/>
      <c r="BL542" s="1738"/>
      <c r="BM542" s="1737"/>
      <c r="BN542" s="1739"/>
      <c r="BO542" s="1739"/>
      <c r="BP542" s="1738"/>
      <c r="BQ542" s="1737"/>
      <c r="BR542" s="1739"/>
      <c r="BS542" s="1739"/>
      <c r="BT542" s="1738"/>
      <c r="BU542" s="1747"/>
      <c r="BV542" s="1748"/>
      <c r="BW542" s="1748"/>
      <c r="BX542" s="1749"/>
      <c r="BY542" s="1747"/>
      <c r="BZ542" s="1748"/>
      <c r="CA542" s="1748"/>
      <c r="CB542" s="1749"/>
      <c r="CC542"/>
      <c r="CG542"/>
      <c r="CH542" s="1506"/>
      <c r="CI542" s="1507"/>
      <c r="CJ542" s="1507"/>
      <c r="CK542" s="1508"/>
    </row>
    <row r="543" spans="1:89" s="4" customFormat="1" ht="12.75" customHeight="1">
      <c r="A543" s="20"/>
      <c r="B543" s="1855"/>
      <c r="C543" s="1855"/>
      <c r="D543" s="1855"/>
      <c r="E543" s="1855"/>
      <c r="F543" s="1855"/>
      <c r="G543" s="1855"/>
      <c r="H543" s="1855"/>
      <c r="I543" s="1855"/>
      <c r="J543" s="1855"/>
      <c r="K543" s="1855"/>
      <c r="L543" s="1855"/>
      <c r="M543" s="1855"/>
      <c r="N543" s="1855"/>
      <c r="O543" s="1855"/>
      <c r="P543" s="1855"/>
      <c r="Q543" s="1855"/>
      <c r="R543" s="1855"/>
      <c r="S543" s="1855"/>
      <c r="T543" s="1855"/>
      <c r="U543" s="1855"/>
      <c r="V543" s="1855"/>
      <c r="W543" s="1855"/>
      <c r="X543" s="1855"/>
      <c r="Y543" s="1855"/>
      <c r="Z543" s="1855"/>
      <c r="AA543" s="1855"/>
      <c r="AB543" s="1855"/>
      <c r="AC543" s="1855"/>
      <c r="AD543" s="1855"/>
      <c r="AE543" s="1855"/>
      <c r="AF543" s="1855"/>
      <c r="AG543" s="1855"/>
      <c r="AK543" s="163"/>
      <c r="AL543" s="163"/>
      <c r="AM543" s="163"/>
      <c r="AN543" s="281"/>
      <c r="AP543" s="441" t="s">
        <v>646</v>
      </c>
      <c r="AQ543" s="442"/>
      <c r="AR543" s="442"/>
      <c r="AS543" s="442"/>
      <c r="AT543" s="442"/>
      <c r="AU543" s="1769">
        <f>ROUNDUP(BK565*0.1,0)</f>
        <v>4</v>
      </c>
      <c r="AV543" s="1771"/>
      <c r="AW543" s="442"/>
      <c r="AX543" s="442">
        <f>AU543-AP545</f>
        <v>-11</v>
      </c>
      <c r="AY543" s="443"/>
      <c r="BE543" s="1737"/>
      <c r="BF543" s="1739"/>
      <c r="BG543" s="1739"/>
      <c r="BH543" s="1738"/>
      <c r="BI543" s="1737">
        <f>IF(AND(CH544=1,BE542=0),0,1)</f>
        <v>0</v>
      </c>
      <c r="BJ543" s="1739"/>
      <c r="BK543" s="1739"/>
      <c r="BL543" s="1738"/>
      <c r="BM543" s="1737"/>
      <c r="BN543" s="1739"/>
      <c r="BO543" s="1739"/>
      <c r="BP543" s="1738"/>
      <c r="BQ543" s="1737"/>
      <c r="BR543" s="1739"/>
      <c r="BS543" s="1739"/>
      <c r="BT543" s="1738"/>
      <c r="BU543" s="1747"/>
      <c r="BV543" s="1748"/>
      <c r="BW543" s="1748"/>
      <c r="BX543" s="1749"/>
      <c r="BY543" s="1747"/>
      <c r="BZ543" s="1748"/>
      <c r="CA543" s="1748"/>
      <c r="CB543" s="1749"/>
      <c r="CC543"/>
      <c r="CG543"/>
      <c r="CH543" s="1747">
        <f>IF(OR(Y605=0,Y605&gt;=0.1),1,0)</f>
        <v>1</v>
      </c>
      <c r="CI543" s="1748"/>
      <c r="CJ543" s="1748"/>
      <c r="CK543" s="1749"/>
    </row>
    <row r="544" spans="1:89" s="4" customFormat="1" ht="12.75" customHeight="1">
      <c r="B544" s="1855"/>
      <c r="C544" s="1855"/>
      <c r="D544" s="1855"/>
      <c r="E544" s="1855"/>
      <c r="F544" s="1855"/>
      <c r="G544" s="1855"/>
      <c r="H544" s="1855"/>
      <c r="I544" s="1855"/>
      <c r="J544" s="1855"/>
      <c r="K544" s="1855"/>
      <c r="L544" s="1855"/>
      <c r="M544" s="1855"/>
      <c r="N544" s="1855"/>
      <c r="O544" s="1855"/>
      <c r="P544" s="1855"/>
      <c r="Q544" s="1855"/>
      <c r="R544" s="1855"/>
      <c r="S544" s="1855"/>
      <c r="T544" s="1855"/>
      <c r="U544" s="1855"/>
      <c r="V544" s="1855"/>
      <c r="W544" s="1855"/>
      <c r="X544" s="1855"/>
      <c r="Y544" s="1855"/>
      <c r="Z544" s="1855"/>
      <c r="AA544" s="1855"/>
      <c r="AB544" s="1855"/>
      <c r="AC544" s="1855"/>
      <c r="AD544" s="1855"/>
      <c r="AE544" s="1855"/>
      <c r="AF544" s="1855"/>
      <c r="AG544" s="1855"/>
      <c r="AH544" s="162"/>
      <c r="AI544" s="162"/>
      <c r="AJ544" s="162"/>
      <c r="AK544" s="163"/>
      <c r="AL544" s="163"/>
      <c r="AM544" s="163"/>
      <c r="AN544" s="281"/>
      <c r="AP544" s="441"/>
      <c r="AQ544" s="442"/>
      <c r="AR544" s="442"/>
      <c r="AS544" s="442"/>
      <c r="AT544" s="442"/>
      <c r="AU544" s="442"/>
      <c r="AV544" s="443"/>
      <c r="AW544" s="442"/>
      <c r="AX544" s="442"/>
      <c r="AY544" s="443"/>
      <c r="BE544" s="1737"/>
      <c r="BF544" s="1739"/>
      <c r="BG544" s="1739"/>
      <c r="BH544" s="1738"/>
      <c r="BI544" s="1737"/>
      <c r="BJ544" s="1739"/>
      <c r="BK544" s="1739"/>
      <c r="BL544" s="1738"/>
      <c r="BM544" s="1737">
        <f>IF(AND(AND(CH545=1,BI543=0,BE542=0)),0,1)</f>
        <v>0</v>
      </c>
      <c r="BN544" s="1739"/>
      <c r="BO544" s="1739"/>
      <c r="BP544" s="1738"/>
      <c r="BQ544" s="1737"/>
      <c r="BR544" s="1739"/>
      <c r="BS544" s="1739"/>
      <c r="BT544" s="1738"/>
      <c r="BU544" s="1747"/>
      <c r="BV544" s="1748"/>
      <c r="BW544" s="1748"/>
      <c r="BX544" s="1749"/>
      <c r="BY544" s="1747"/>
      <c r="BZ544" s="1748"/>
      <c r="CA544" s="1748"/>
      <c r="CB544" s="1749"/>
      <c r="CC544"/>
      <c r="CG544"/>
      <c r="CH544" s="1747">
        <f>IF(OR(Y606=0,Y606&gt;=0.1),1,0)</f>
        <v>1</v>
      </c>
      <c r="CI544" s="1748"/>
      <c r="CJ544" s="1748"/>
      <c r="CK544" s="1749"/>
    </row>
    <row r="545" spans="2:89" s="4" customFormat="1" ht="12.75" customHeight="1">
      <c r="B545" s="1855"/>
      <c r="C545" s="1855"/>
      <c r="D545" s="1855"/>
      <c r="E545" s="1855"/>
      <c r="F545" s="1855"/>
      <c r="G545" s="1855"/>
      <c r="H545" s="1855"/>
      <c r="I545" s="1855"/>
      <c r="J545" s="1855"/>
      <c r="K545" s="1855"/>
      <c r="L545" s="1855"/>
      <c r="M545" s="1855"/>
      <c r="N545" s="1855"/>
      <c r="O545" s="1855"/>
      <c r="P545" s="1855"/>
      <c r="Q545" s="1855"/>
      <c r="R545" s="1855"/>
      <c r="S545" s="1855"/>
      <c r="T545" s="1855"/>
      <c r="U545" s="1855"/>
      <c r="V545" s="1855"/>
      <c r="W545" s="1855"/>
      <c r="X545" s="1855"/>
      <c r="Y545" s="1855"/>
      <c r="Z545" s="1855"/>
      <c r="AA545" s="1855"/>
      <c r="AB545" s="1855"/>
      <c r="AC545" s="1855"/>
      <c r="AD545" s="1855"/>
      <c r="AE545" s="1855"/>
      <c r="AF545" s="1855"/>
      <c r="AG545" s="1855"/>
      <c r="AH545" s="162"/>
      <c r="AI545" s="162"/>
      <c r="AJ545" s="162"/>
      <c r="AK545" s="163"/>
      <c r="AL545" s="163"/>
      <c r="AM545" s="163"/>
      <c r="AN545" s="281"/>
      <c r="AP545" s="1827">
        <f>SUM(T605:X609)</f>
        <v>15</v>
      </c>
      <c r="AQ545" s="1828"/>
      <c r="AR545" s="1828"/>
      <c r="AS545" s="1828"/>
      <c r="AT545" s="1829"/>
      <c r="AU545" s="442"/>
      <c r="AV545" s="443"/>
      <c r="AW545" s="442"/>
      <c r="AX545" s="442"/>
      <c r="AY545" s="443"/>
      <c r="BE545" s="1737"/>
      <c r="BF545" s="1739"/>
      <c r="BG545" s="1739"/>
      <c r="BH545" s="1738"/>
      <c r="BI545" s="1737"/>
      <c r="BJ545" s="1739"/>
      <c r="BK545" s="1739"/>
      <c r="BL545" s="1738"/>
      <c r="BM545" s="1737"/>
      <c r="BN545" s="1739"/>
      <c r="BO545" s="1739"/>
      <c r="BP545" s="1738"/>
      <c r="BQ545" s="1737">
        <f>IF(AND(AND(AND(CH546=1,BM544=0,BI543=0,BE542=0))),0,1)</f>
        <v>0</v>
      </c>
      <c r="BR545" s="1739"/>
      <c r="BS545" s="1739"/>
      <c r="BT545" s="1738"/>
      <c r="BU545" s="1747"/>
      <c r="BV545" s="1748"/>
      <c r="BW545" s="1748"/>
      <c r="BX545" s="1749"/>
      <c r="BY545" s="1747"/>
      <c r="BZ545" s="1748"/>
      <c r="CA545" s="1748"/>
      <c r="CB545" s="1749"/>
      <c r="CC545"/>
      <c r="CG545"/>
      <c r="CH545" s="1747">
        <f>IF(OR(Y607=0,Y607&gt;=0.1),1,0)</f>
        <v>1</v>
      </c>
      <c r="CI545" s="1748"/>
      <c r="CJ545" s="1748"/>
      <c r="CK545" s="1749"/>
    </row>
    <row r="546" spans="2:89" s="4" customFormat="1" ht="12.75" customHeight="1">
      <c r="B546" s="1855"/>
      <c r="C546" s="1855"/>
      <c r="D546" s="1855"/>
      <c r="E546" s="1855"/>
      <c r="F546" s="1855"/>
      <c r="G546" s="1855"/>
      <c r="H546" s="1855"/>
      <c r="I546" s="1855"/>
      <c r="J546" s="1855"/>
      <c r="K546" s="1855"/>
      <c r="L546" s="1855"/>
      <c r="M546" s="1855"/>
      <c r="N546" s="1855"/>
      <c r="O546" s="1855"/>
      <c r="P546" s="1855"/>
      <c r="Q546" s="1855"/>
      <c r="R546" s="1855"/>
      <c r="S546" s="1855"/>
      <c r="T546" s="1855"/>
      <c r="U546" s="1855"/>
      <c r="V546" s="1855"/>
      <c r="W546" s="1855"/>
      <c r="X546" s="1855"/>
      <c r="Y546" s="1855"/>
      <c r="Z546" s="1855"/>
      <c r="AA546" s="1855"/>
      <c r="AB546" s="1855"/>
      <c r="AC546" s="1855"/>
      <c r="AD546" s="1855"/>
      <c r="AE546" s="1855"/>
      <c r="AF546" s="1855"/>
      <c r="AG546" s="1855"/>
      <c r="AH546" s="162"/>
      <c r="AI546" s="162"/>
      <c r="AJ546" s="162"/>
      <c r="AK546" s="163"/>
      <c r="AL546" s="163"/>
      <c r="AM546" s="163"/>
      <c r="AN546" s="281"/>
      <c r="AP546" s="444"/>
      <c r="AQ546" s="445"/>
      <c r="AR546" s="445"/>
      <c r="AS546" s="445"/>
      <c r="AT546" s="446" t="s">
        <v>641</v>
      </c>
      <c r="AU546" s="1769" t="str">
        <f>IF(AP545&gt;=AU543,"passed","failed")</f>
        <v>passed</v>
      </c>
      <c r="AV546" s="1770"/>
      <c r="AW546" s="1771"/>
      <c r="AX546" s="447"/>
      <c r="AY546" s="448"/>
      <c r="BE546" s="1737"/>
      <c r="BF546" s="1739"/>
      <c r="BG546" s="1739"/>
      <c r="BH546" s="1738"/>
      <c r="BI546" s="1737"/>
      <c r="BJ546" s="1739"/>
      <c r="BK546" s="1739"/>
      <c r="BL546" s="1738"/>
      <c r="BM546" s="1737"/>
      <c r="BN546" s="1739"/>
      <c r="BO546" s="1739"/>
      <c r="BP546" s="1738"/>
      <c r="BQ546" s="1737"/>
      <c r="BR546" s="1739"/>
      <c r="BS546" s="1739"/>
      <c r="BT546" s="1738"/>
      <c r="BU546" s="1737">
        <f>IF(AND(AND(AND(AND(CH547=1,BQ545=0,BM544=0,BI543=0,BE542=0)))),0,1)</f>
        <v>0</v>
      </c>
      <c r="BV546" s="1739"/>
      <c r="BW546" s="1739"/>
      <c r="BX546" s="1738"/>
      <c r="BY546" s="1747"/>
      <c r="BZ546" s="1748"/>
      <c r="CA546" s="1748"/>
      <c r="CB546" s="1749"/>
      <c r="CC546"/>
      <c r="CD546"/>
      <c r="CE546"/>
      <c r="CF546"/>
      <c r="CG546"/>
      <c r="CH546" s="1747">
        <f>IF(OR(Y608=0,Y608&gt;=0.1),1,0)</f>
        <v>1</v>
      </c>
      <c r="CI546" s="1748"/>
      <c r="CJ546" s="1748"/>
      <c r="CK546" s="1749"/>
    </row>
    <row r="547" spans="2:89" s="4" customFormat="1" ht="13.7" customHeight="1">
      <c r="B547" s="1855"/>
      <c r="C547" s="1855"/>
      <c r="D547" s="1855"/>
      <c r="E547" s="1855"/>
      <c r="F547" s="1855"/>
      <c r="G547" s="1855"/>
      <c r="H547" s="1855"/>
      <c r="I547" s="1855"/>
      <c r="J547" s="1855"/>
      <c r="K547" s="1855"/>
      <c r="L547" s="1855"/>
      <c r="M547" s="1855"/>
      <c r="N547" s="1855"/>
      <c r="O547" s="1855"/>
      <c r="P547" s="1855"/>
      <c r="Q547" s="1855"/>
      <c r="R547" s="1855"/>
      <c r="S547" s="1855"/>
      <c r="T547" s="1855"/>
      <c r="U547" s="1855"/>
      <c r="V547" s="1855"/>
      <c r="W547" s="1855"/>
      <c r="X547" s="1855"/>
      <c r="Y547" s="1855"/>
      <c r="Z547" s="1855"/>
      <c r="AA547" s="1855"/>
      <c r="AB547" s="1855"/>
      <c r="AC547" s="1855"/>
      <c r="AD547" s="1855"/>
      <c r="AE547" s="1855"/>
      <c r="AF547" s="1855"/>
      <c r="AG547" s="1855"/>
      <c r="AH547" s="162"/>
      <c r="AI547" s="162"/>
      <c r="AJ547" s="162"/>
      <c r="AK547" s="163"/>
      <c r="AL547" s="163"/>
      <c r="AM547" s="163"/>
      <c r="AN547" s="281"/>
      <c r="BE547" s="1737">
        <f>SUM(BE542:BH546)</f>
        <v>0</v>
      </c>
      <c r="BF547" s="1739"/>
      <c r="BG547" s="1739"/>
      <c r="BH547" s="1738"/>
      <c r="BI547" s="1737">
        <f>SUM(BI542:BL546)</f>
        <v>0</v>
      </c>
      <c r="BJ547" s="1739"/>
      <c r="BK547" s="1739"/>
      <c r="BL547" s="1738"/>
      <c r="BM547" s="1737">
        <f>SUM(BM542:BP546)</f>
        <v>0</v>
      </c>
      <c r="BN547" s="1739"/>
      <c r="BO547" s="1739"/>
      <c r="BP547" s="1738"/>
      <c r="BQ547" s="1737">
        <f>SUM(BQ542:BT546)</f>
        <v>0</v>
      </c>
      <c r="BR547" s="1739"/>
      <c r="BS547" s="1739"/>
      <c r="BT547" s="1738"/>
      <c r="BU547" s="1737">
        <f>SUM(BU542:BX546)</f>
        <v>0</v>
      </c>
      <c r="BV547" s="1739"/>
      <c r="BW547" s="1739"/>
      <c r="BX547" s="1738"/>
      <c r="BY547" s="1737">
        <f>SUM(BY542:CB546)</f>
        <v>0</v>
      </c>
      <c r="BZ547" s="1739"/>
      <c r="CA547" s="1739"/>
      <c r="CB547" s="1738"/>
      <c r="CC547" s="1747">
        <f>IF(AND(CH543=1,T605&gt;0),0,SUM(BE547:CB547))</f>
        <v>0</v>
      </c>
      <c r="CD547" s="1748"/>
      <c r="CE547" s="1748"/>
      <c r="CF547" s="1749"/>
      <c r="CG547"/>
      <c r="CH547" s="1747">
        <f>IF(OR(Y609=0,Y609&gt;=0.1),1,0)</f>
        <v>1</v>
      </c>
      <c r="CI547" s="1748"/>
      <c r="CJ547" s="1748"/>
      <c r="CK547" s="1749"/>
    </row>
    <row r="548" spans="2:89" s="4" customFormat="1" ht="12.6" customHeight="1">
      <c r="B548" s="1750" t="s">
        <v>1565</v>
      </c>
      <c r="C548" s="1750"/>
      <c r="D548" s="1750"/>
      <c r="E548" s="1750"/>
      <c r="F548" s="1750"/>
      <c r="G548" s="1750"/>
      <c r="H548" s="1750"/>
      <c r="I548" s="1750"/>
      <c r="J548" s="1750"/>
      <c r="K548" s="1750"/>
      <c r="L548" s="1750"/>
      <c r="M548" s="1750"/>
      <c r="N548" s="1750"/>
      <c r="O548" s="1750"/>
      <c r="P548" s="1750"/>
      <c r="Q548" s="1750"/>
      <c r="R548" s="1750"/>
      <c r="S548" s="1750"/>
      <c r="T548" s="1750"/>
      <c r="U548" s="1750"/>
      <c r="V548" s="1750"/>
      <c r="W548" s="1750"/>
      <c r="X548" s="1750"/>
      <c r="Y548" s="1750"/>
      <c r="Z548" s="1750"/>
      <c r="AA548" s="1750"/>
      <c r="AB548" s="1750"/>
      <c r="AC548" s="1750"/>
      <c r="AD548" s="1750"/>
      <c r="AE548" s="1750"/>
      <c r="AF548" s="1750"/>
      <c r="AG548" s="1750"/>
      <c r="AH548" s="162"/>
      <c r="AI548" s="162"/>
      <c r="AJ548" s="162"/>
      <c r="AK548" s="163"/>
      <c r="AL548" s="163"/>
      <c r="AM548" s="163"/>
      <c r="AN548" s="281"/>
    </row>
    <row r="549" spans="2:89" s="4" customFormat="1" ht="21" customHeight="1">
      <c r="B549" s="1750"/>
      <c r="C549" s="1750"/>
      <c r="D549" s="1750"/>
      <c r="E549" s="1750"/>
      <c r="F549" s="1750"/>
      <c r="G549" s="1750"/>
      <c r="H549" s="1750"/>
      <c r="I549" s="1750"/>
      <c r="J549" s="1750"/>
      <c r="K549" s="1750"/>
      <c r="L549" s="1750"/>
      <c r="M549" s="1750"/>
      <c r="N549" s="1750"/>
      <c r="O549" s="1750"/>
      <c r="P549" s="1750"/>
      <c r="Q549" s="1750"/>
      <c r="R549" s="1750"/>
      <c r="S549" s="1750"/>
      <c r="T549" s="1750"/>
      <c r="U549" s="1750"/>
      <c r="V549" s="1750"/>
      <c r="W549" s="1750"/>
      <c r="X549" s="1750"/>
      <c r="Y549" s="1750"/>
      <c r="Z549" s="1750"/>
      <c r="AA549" s="1750"/>
      <c r="AB549" s="1750"/>
      <c r="AC549" s="1750"/>
      <c r="AD549" s="1750"/>
      <c r="AE549" s="1750"/>
      <c r="AF549" s="1750"/>
      <c r="AG549" s="1750"/>
      <c r="AH549" s="162"/>
      <c r="AI549" s="162"/>
      <c r="AJ549" s="162"/>
      <c r="AK549" s="163"/>
      <c r="AL549" s="163"/>
      <c r="AM549" s="163"/>
      <c r="AN549" s="281"/>
      <c r="AP549" s="145" t="s">
        <v>643</v>
      </c>
      <c r="AQ549" s="146"/>
      <c r="AR549" s="146"/>
      <c r="AS549" s="146"/>
      <c r="AT549" s="146"/>
      <c r="AU549" s="146"/>
      <c r="AV549" s="146"/>
      <c r="AW549" s="146"/>
      <c r="AX549" s="146"/>
      <c r="AY549" s="147"/>
    </row>
    <row r="550" spans="2:89" s="4" customFormat="1" ht="12.75" customHeight="1">
      <c r="B550" s="1750" t="s">
        <v>1834</v>
      </c>
      <c r="C550" s="1750"/>
      <c r="D550" s="1750"/>
      <c r="E550" s="1750"/>
      <c r="F550" s="1750"/>
      <c r="G550" s="1750"/>
      <c r="H550" s="1750"/>
      <c r="I550" s="1750"/>
      <c r="J550" s="1750"/>
      <c r="K550" s="1750"/>
      <c r="L550" s="1750"/>
      <c r="M550" s="1750"/>
      <c r="N550" s="1750"/>
      <c r="O550" s="1750"/>
      <c r="P550" s="1750"/>
      <c r="Q550" s="1750"/>
      <c r="R550" s="1750"/>
      <c r="S550" s="1750"/>
      <c r="T550" s="1750"/>
      <c r="U550" s="1750"/>
      <c r="V550" s="1750"/>
      <c r="W550" s="1750"/>
      <c r="X550" s="1750"/>
      <c r="Y550" s="1750"/>
      <c r="Z550" s="1750"/>
      <c r="AA550" s="1750"/>
      <c r="AB550" s="1750"/>
      <c r="AC550" s="1750"/>
      <c r="AD550" s="1750"/>
      <c r="AE550" s="1750"/>
      <c r="AF550" s="1750"/>
      <c r="AG550" s="687"/>
      <c r="AH550" s="162"/>
      <c r="AI550" s="162"/>
      <c r="AJ550" s="162"/>
      <c r="AK550" s="163"/>
      <c r="AL550" s="163"/>
      <c r="AM550" s="163"/>
      <c r="AN550" s="281"/>
      <c r="AP550" s="148" t="s">
        <v>750</v>
      </c>
      <c r="AQ550" s="149"/>
      <c r="AR550" s="149"/>
      <c r="AS550" s="149"/>
      <c r="AT550" s="149"/>
      <c r="AU550" s="149"/>
      <c r="AV550" s="149"/>
      <c r="AW550" s="149"/>
      <c r="AX550" s="156"/>
      <c r="AY550" s="156"/>
    </row>
    <row r="551" spans="2:89" s="4" customFormat="1" ht="12.75" customHeight="1">
      <c r="B551" s="1750"/>
      <c r="C551" s="1750"/>
      <c r="D551" s="1750"/>
      <c r="E551" s="1750"/>
      <c r="F551" s="1750"/>
      <c r="G551" s="1750"/>
      <c r="H551" s="1750"/>
      <c r="I551" s="1750"/>
      <c r="J551" s="1750"/>
      <c r="K551" s="1750"/>
      <c r="L551" s="1750"/>
      <c r="M551" s="1750"/>
      <c r="N551" s="1750"/>
      <c r="O551" s="1750"/>
      <c r="P551" s="1750"/>
      <c r="Q551" s="1750"/>
      <c r="R551" s="1750"/>
      <c r="S551" s="1750"/>
      <c r="T551" s="1750"/>
      <c r="U551" s="1750"/>
      <c r="V551" s="1750"/>
      <c r="W551" s="1750"/>
      <c r="X551" s="1750"/>
      <c r="Y551" s="1750"/>
      <c r="Z551" s="1750"/>
      <c r="AA551" s="1750"/>
      <c r="AB551" s="1750"/>
      <c r="AC551" s="1750"/>
      <c r="AD551" s="1750"/>
      <c r="AE551" s="1750"/>
      <c r="AF551" s="1750"/>
      <c r="AG551" s="162"/>
      <c r="AH551" s="162"/>
      <c r="AI551" s="162"/>
      <c r="AJ551" s="162"/>
      <c r="AK551" s="163"/>
      <c r="AL551" s="163"/>
      <c r="AM551" s="163"/>
      <c r="AN551" s="281"/>
      <c r="AP551" s="150"/>
      <c r="AQ551" s="151"/>
      <c r="AR551" s="151"/>
      <c r="AS551" s="151"/>
      <c r="AT551" s="157" t="s">
        <v>641</v>
      </c>
      <c r="AU551" s="151"/>
      <c r="AV551" s="1737" t="str">
        <f>IF(BJ587&gt;0,"failed","passed")</f>
        <v>failed</v>
      </c>
      <c r="AW551" s="1739"/>
      <c r="AX551" s="1739"/>
      <c r="AY551" s="1738"/>
    </row>
    <row r="552" spans="2:89" s="4" customFormat="1" ht="12.6" customHeight="1">
      <c r="B552" s="688" t="s">
        <v>1569</v>
      </c>
      <c r="C552" s="689"/>
      <c r="D552" s="689"/>
      <c r="E552" s="689"/>
      <c r="F552" s="689"/>
      <c r="G552" s="689"/>
      <c r="H552" s="689"/>
      <c r="I552" s="689"/>
      <c r="J552" s="689"/>
      <c r="K552" s="689"/>
      <c r="L552" s="689"/>
      <c r="M552" s="689"/>
      <c r="N552" s="689"/>
      <c r="O552" s="224"/>
      <c r="P552" s="224"/>
      <c r="Q552" s="224"/>
      <c r="R552" s="224"/>
      <c r="S552" s="224"/>
      <c r="T552" s="224"/>
      <c r="U552" s="224"/>
      <c r="V552" s="224"/>
      <c r="W552" s="224"/>
      <c r="X552" s="224"/>
      <c r="Y552" s="224"/>
      <c r="Z552" s="224"/>
      <c r="AA552" s="224"/>
      <c r="AB552" s="224"/>
      <c r="AC552" s="224"/>
      <c r="AD552" s="224"/>
      <c r="AE552" s="224"/>
      <c r="AF552" s="224"/>
      <c r="AG552" s="224"/>
      <c r="AH552" s="224"/>
      <c r="AI552" s="162"/>
      <c r="AJ552" s="162"/>
      <c r="AK552" s="163"/>
      <c r="AL552" s="163"/>
      <c r="AM552" s="163"/>
      <c r="AN552" s="281"/>
    </row>
    <row r="553" spans="2:89" s="4" customFormat="1" ht="12.75" customHeight="1">
      <c r="B553" s="224" t="s">
        <v>1832</v>
      </c>
      <c r="G553" s="224"/>
      <c r="H553" s="224"/>
      <c r="I553" s="224"/>
      <c r="J553" s="224"/>
      <c r="K553" s="224"/>
      <c r="L553" s="224"/>
      <c r="M553" s="224"/>
      <c r="N553" s="224"/>
      <c r="O553" s="224"/>
      <c r="P553" s="224"/>
      <c r="Q553" s="224"/>
      <c r="R553" s="224"/>
      <c r="S553" s="224"/>
      <c r="T553" s="224"/>
      <c r="U553" s="224"/>
      <c r="V553" s="224"/>
      <c r="W553" s="224"/>
      <c r="X553" s="224"/>
      <c r="Y553" s="224"/>
      <c r="Z553" s="224"/>
      <c r="AA553" s="224"/>
      <c r="AB553" s="224"/>
      <c r="AC553" s="224"/>
      <c r="AD553" s="224"/>
      <c r="AE553" s="224"/>
      <c r="AF553" s="224"/>
      <c r="AG553" s="224"/>
      <c r="AH553" s="224"/>
      <c r="AI553" s="162"/>
      <c r="AJ553" s="162"/>
      <c r="AK553" s="163"/>
      <c r="AL553" s="163"/>
      <c r="AM553" s="163"/>
      <c r="AN553" s="281"/>
      <c r="BL553"/>
      <c r="BM553"/>
      <c r="BN553"/>
      <c r="BO553"/>
      <c r="BP553"/>
      <c r="BQ553"/>
      <c r="CB553"/>
      <c r="CC553"/>
      <c r="CD553"/>
      <c r="CE553"/>
      <c r="CF553"/>
      <c r="CG553"/>
      <c r="CH553"/>
    </row>
    <row r="554" spans="2:89" s="4" customFormat="1" ht="12.75" customHeight="1">
      <c r="B554" s="35"/>
      <c r="D554" s="164"/>
      <c r="E554" s="165"/>
      <c r="I554" s="216"/>
      <c r="J554" s="217"/>
      <c r="K554" s="218"/>
      <c r="L554" s="218"/>
      <c r="M554" s="218"/>
      <c r="N554" s="218"/>
      <c r="O554" s="218"/>
      <c r="P554" s="219"/>
      <c r="Q554" s="1684" t="s">
        <v>1566</v>
      </c>
      <c r="R554" s="1684"/>
      <c r="S554" s="1684"/>
      <c r="T554" s="1684"/>
      <c r="U554" s="1684"/>
      <c r="V554" s="1684"/>
      <c r="W554" s="1684"/>
      <c r="X554" s="1684"/>
      <c r="Y554" s="1684"/>
      <c r="Z554" s="1684"/>
      <c r="AA554" s="1684"/>
      <c r="AB554" s="1684"/>
      <c r="AC554" s="1684"/>
      <c r="AD554" s="1684"/>
      <c r="AE554" s="1684"/>
      <c r="AF554" s="1684"/>
      <c r="AG554" s="162"/>
      <c r="AH554" s="162"/>
      <c r="AI554" s="162"/>
      <c r="AN554" s="281"/>
      <c r="AP554" s="6" t="s">
        <v>978</v>
      </c>
      <c r="AQ554" s="7"/>
      <c r="AR554" s="7"/>
      <c r="AS554" s="7"/>
      <c r="AT554" s="7"/>
      <c r="AU554" s="7"/>
      <c r="AV554" s="7"/>
      <c r="AW554" s="7"/>
      <c r="AX554" s="7"/>
      <c r="AY554" s="7"/>
      <c r="AZ554" s="7"/>
      <c r="BA554" s="7"/>
      <c r="BB554" s="7"/>
      <c r="BC554" s="7"/>
      <c r="BD554" s="7"/>
      <c r="BE554" s="7"/>
      <c r="BF554" s="7"/>
      <c r="BG554" s="64"/>
      <c r="BL554"/>
      <c r="BM554"/>
      <c r="BN554"/>
      <c r="BO554"/>
      <c r="BP554"/>
      <c r="BQ554"/>
      <c r="CB554"/>
      <c r="CC554"/>
      <c r="CD554"/>
      <c r="CE554"/>
      <c r="CF554"/>
      <c r="CG554"/>
      <c r="CH554"/>
    </row>
    <row r="555" spans="2:89" s="4" customFormat="1" ht="12.75" customHeight="1">
      <c r="B555" s="3"/>
      <c r="I555" s="220"/>
      <c r="J555" s="162"/>
      <c r="N555" s="18"/>
      <c r="O555" s="18"/>
      <c r="P555" s="221"/>
      <c r="Q555" s="1684"/>
      <c r="R555" s="1684"/>
      <c r="S555" s="1684"/>
      <c r="T555" s="1684"/>
      <c r="U555" s="1684"/>
      <c r="V555" s="1684"/>
      <c r="W555" s="1684"/>
      <c r="X555" s="1684"/>
      <c r="Y555" s="1684"/>
      <c r="Z555" s="1684"/>
      <c r="AA555" s="1684"/>
      <c r="AB555" s="1684"/>
      <c r="AC555" s="1684"/>
      <c r="AD555" s="1684"/>
      <c r="AE555" s="1684"/>
      <c r="AF555" s="1684"/>
      <c r="AN555" s="281"/>
      <c r="AP555" s="53" t="s">
        <v>747</v>
      </c>
      <c r="AQ555" s="54"/>
      <c r="AR555" s="54"/>
      <c r="AS555" s="54"/>
      <c r="AT555" s="54"/>
      <c r="AU555" s="54"/>
      <c r="AV555" s="54"/>
      <c r="AW555" s="54"/>
      <c r="AX555" s="54"/>
      <c r="AY555" s="54"/>
      <c r="AZ555" s="54"/>
      <c r="BA555" s="54"/>
      <c r="BB555" s="54"/>
      <c r="BC555" s="8"/>
      <c r="BD555" s="427" t="str">
        <f>IF(CN574=0,"passed","failed")</f>
        <v>passed</v>
      </c>
      <c r="BE555" s="428"/>
      <c r="BF555" s="428"/>
      <c r="BG555" s="429"/>
      <c r="BJ555" s="20"/>
      <c r="BK555" s="20"/>
      <c r="BL555"/>
      <c r="BM555"/>
      <c r="BN555"/>
      <c r="BO555"/>
      <c r="BP555"/>
      <c r="BQ555"/>
      <c r="BR555" s="20"/>
      <c r="BS555" s="20"/>
      <c r="BT555" s="20"/>
      <c r="BU555" s="20"/>
      <c r="BV555" s="20"/>
      <c r="BW555" s="20"/>
      <c r="BX555" s="20"/>
      <c r="BY555" s="20"/>
      <c r="BZ555" s="20"/>
      <c r="CA555" s="20"/>
      <c r="CB555"/>
      <c r="CC555"/>
      <c r="CD555"/>
      <c r="CE555"/>
      <c r="CF555"/>
      <c r="CG555"/>
      <c r="CH555"/>
    </row>
    <row r="556" spans="2:89" s="4" customFormat="1" ht="12.75" customHeight="1" thickBot="1">
      <c r="B556" s="63"/>
      <c r="I556" s="222"/>
      <c r="J556" s="223"/>
      <c r="K556" s="170"/>
      <c r="L556" s="170"/>
      <c r="M556" s="170"/>
      <c r="N556" s="193"/>
      <c r="O556" s="193"/>
      <c r="P556" s="199"/>
      <c r="Q556" s="1670" t="s">
        <v>1833</v>
      </c>
      <c r="R556" s="1671"/>
      <c r="S556" s="1835" t="s">
        <v>218</v>
      </c>
      <c r="T556" s="1835"/>
      <c r="U556" s="1670">
        <v>0.5</v>
      </c>
      <c r="V556" s="1671"/>
      <c r="W556" s="1670">
        <v>0.45</v>
      </c>
      <c r="X556" s="1671"/>
      <c r="Y556" s="1670">
        <v>0.4</v>
      </c>
      <c r="Z556" s="1671"/>
      <c r="AA556" s="1670">
        <v>0.35</v>
      </c>
      <c r="AB556" s="1671"/>
      <c r="AC556" s="1767">
        <v>0.3</v>
      </c>
      <c r="AD556" s="1768"/>
      <c r="AE556" s="1670">
        <v>0.2</v>
      </c>
      <c r="AF556" s="1671"/>
      <c r="AN556" s="281"/>
      <c r="BL556"/>
      <c r="BM556"/>
      <c r="BN556"/>
      <c r="BO556"/>
      <c r="BP556"/>
      <c r="BQ556"/>
      <c r="BR556"/>
      <c r="BS556"/>
      <c r="BT556"/>
      <c r="BU556"/>
      <c r="BV556"/>
      <c r="BW556"/>
      <c r="BX556"/>
      <c r="BY556"/>
      <c r="BZ556"/>
      <c r="CA556"/>
      <c r="CB556"/>
      <c r="CC556"/>
      <c r="CD556"/>
      <c r="CE556"/>
      <c r="CF556"/>
      <c r="CG556"/>
      <c r="CH556"/>
    </row>
    <row r="557" spans="2:89" s="4" customFormat="1" ht="12.75" customHeight="1">
      <c r="B557" s="63"/>
      <c r="I557" s="220"/>
      <c r="J557" s="162"/>
      <c r="N557" s="5"/>
      <c r="O557" s="1639"/>
      <c r="P557" s="1640"/>
      <c r="Q557" s="1668"/>
      <c r="R557" s="1669"/>
      <c r="S557" s="1751"/>
      <c r="T557" s="1751"/>
      <c r="U557" s="1669"/>
      <c r="V557" s="1669"/>
      <c r="W557" s="1669"/>
      <c r="X557" s="1669"/>
      <c r="Y557" s="1669"/>
      <c r="Z557" s="1669"/>
      <c r="AA557" s="1740"/>
      <c r="AB557" s="1740"/>
      <c r="AC557" s="1669"/>
      <c r="AD557" s="1669"/>
      <c r="AE557" s="1765"/>
      <c r="AF557" s="1766"/>
      <c r="AN557" s="281"/>
      <c r="AP557" s="144" t="s">
        <v>748</v>
      </c>
      <c r="AQ557" s="9"/>
      <c r="AR557" s="9"/>
      <c r="AS557" s="9"/>
      <c r="AT557" s="1747" t="str">
        <f>IF(OR(AV551="passed",BD555="passed"),"passed","failed")</f>
        <v>passed</v>
      </c>
      <c r="AU557" s="1748"/>
      <c r="AV557" s="1748"/>
      <c r="AW557" s="1748"/>
      <c r="AX557" s="1749"/>
    </row>
    <row r="558" spans="2:89" s="4" customFormat="1" ht="12.75" customHeight="1">
      <c r="B558" s="63"/>
      <c r="I558" s="220"/>
      <c r="J558" s="162"/>
      <c r="N558" s="5"/>
      <c r="O558" s="1639"/>
      <c r="P558" s="1640"/>
      <c r="Q558" s="1641"/>
      <c r="R558" s="1642"/>
      <c r="S558" s="1642"/>
      <c r="T558" s="1642"/>
      <c r="U558" s="1642"/>
      <c r="V558" s="1642"/>
      <c r="W558" s="1642"/>
      <c r="X558" s="1642"/>
      <c r="Y558" s="1656"/>
      <c r="Z558" s="1656"/>
      <c r="AA558" s="1642"/>
      <c r="AB558" s="1642"/>
      <c r="AC558" s="1656"/>
      <c r="AD558" s="1656"/>
      <c r="AE558" s="1661"/>
      <c r="AF558" s="1662"/>
      <c r="AN558" s="281"/>
      <c r="AP558"/>
      <c r="AQ558"/>
      <c r="AR558"/>
      <c r="AS558"/>
      <c r="AT558"/>
      <c r="AU558"/>
      <c r="AV558"/>
      <c r="AW558"/>
      <c r="AX558"/>
      <c r="AY558"/>
    </row>
    <row r="559" spans="2:89" s="4" customFormat="1" ht="12.75" customHeight="1">
      <c r="B559" s="63"/>
      <c r="I559" s="220"/>
      <c r="J559" s="162"/>
      <c r="N559" s="5"/>
      <c r="O559" s="1639"/>
      <c r="P559" s="1640"/>
      <c r="Q559" s="1641"/>
      <c r="R559" s="1642"/>
      <c r="S559" s="1642"/>
      <c r="T559" s="1642"/>
      <c r="U559" s="1642"/>
      <c r="V559" s="1642"/>
      <c r="W559" s="1642"/>
      <c r="X559" s="1642"/>
      <c r="Y559" s="1642"/>
      <c r="Z559" s="1642"/>
      <c r="AA559" s="1656"/>
      <c r="AB559" s="1656"/>
      <c r="AC559" s="1642"/>
      <c r="AD559" s="1642"/>
      <c r="AE559" s="1775"/>
      <c r="AF559" s="1776"/>
      <c r="AN559" s="281"/>
      <c r="AP559" s="153" t="s">
        <v>642</v>
      </c>
      <c r="AQ559" s="154"/>
      <c r="AR559" s="154"/>
      <c r="AS559" s="154"/>
      <c r="AT559" s="154"/>
      <c r="AU559" s="154"/>
      <c r="AV559" s="155"/>
      <c r="AW559" s="1772" t="str">
        <f>IF(AND(AND(AND(AND(AS539="passed",AU546="passed",BD555="passed",SUM(T605:X609)&gt;1)))),"YES","NO")</f>
        <v>YES</v>
      </c>
      <c r="AX559" s="1773"/>
      <c r="AY559" s="1774"/>
      <c r="AZ559" s="40"/>
      <c r="BA559" s="40"/>
      <c r="BB559" s="40"/>
      <c r="BC559" s="40"/>
      <c r="BD559" s="40"/>
      <c r="BE559" s="21"/>
      <c r="BF559" s="21"/>
      <c r="BG559" s="21"/>
    </row>
    <row r="560" spans="2:89" s="4" customFormat="1" ht="12.75" customHeight="1">
      <c r="B560" s="63"/>
      <c r="I560" s="220"/>
      <c r="J560" s="162"/>
      <c r="N560" s="5"/>
      <c r="O560" s="1639"/>
      <c r="P560" s="1640"/>
      <c r="Q560" s="1641"/>
      <c r="R560" s="1642"/>
      <c r="S560" s="1642"/>
      <c r="T560" s="1642"/>
      <c r="U560" s="1642"/>
      <c r="V560" s="1642"/>
      <c r="W560" s="1642"/>
      <c r="X560" s="1642"/>
      <c r="Y560" s="1656"/>
      <c r="Z560" s="1656"/>
      <c r="AA560" s="1642"/>
      <c r="AB560" s="1642"/>
      <c r="AC560" s="1656"/>
      <c r="AD560" s="1656"/>
      <c r="AE560" s="1661"/>
      <c r="AF560" s="1662"/>
      <c r="AN560" s="281"/>
    </row>
    <row r="561" spans="1:96" s="4" customFormat="1" ht="12.75" customHeight="1">
      <c r="B561" s="63"/>
      <c r="I561" s="220"/>
      <c r="J561" s="162"/>
      <c r="N561" s="5"/>
      <c r="O561" s="1639"/>
      <c r="P561" s="1640"/>
      <c r="Q561" s="1641"/>
      <c r="R561" s="1642"/>
      <c r="S561" s="1642"/>
      <c r="T561" s="1642"/>
      <c r="U561" s="1642"/>
      <c r="V561" s="1642"/>
      <c r="W561" s="1656"/>
      <c r="X561" s="1656"/>
      <c r="Y561" s="1642"/>
      <c r="Z561" s="1642"/>
      <c r="AA561" s="1656"/>
      <c r="AB561" s="1656"/>
      <c r="AC561" s="1642"/>
      <c r="AD561" s="1642"/>
      <c r="AE561" s="1775"/>
      <c r="AF561" s="1776"/>
      <c r="AN561" s="281"/>
    </row>
    <row r="562" spans="1:96" s="4" customFormat="1" ht="12.75" customHeight="1">
      <c r="B562" s="63"/>
      <c r="I562" s="220"/>
      <c r="J562" s="162"/>
      <c r="N562" s="5"/>
      <c r="O562" s="1639"/>
      <c r="P562" s="1640"/>
      <c r="Q562" s="1641"/>
      <c r="R562" s="1642"/>
      <c r="S562" s="1642"/>
      <c r="T562" s="1642"/>
      <c r="U562" s="1642"/>
      <c r="V562" s="1642"/>
      <c r="W562" s="1642"/>
      <c r="X562" s="1642"/>
      <c r="Y562" s="1656"/>
      <c r="Z562" s="1656"/>
      <c r="AA562" s="1642"/>
      <c r="AB562" s="1642"/>
      <c r="AC562" s="1656"/>
      <c r="AD562" s="1656"/>
      <c r="AE562" s="1661"/>
      <c r="AF562" s="1662"/>
      <c r="AN562" s="281"/>
      <c r="AU562" s="21"/>
      <c r="AV562" s="21"/>
      <c r="AW562" s="8"/>
      <c r="AX562" s="9"/>
      <c r="AY562" s="9"/>
      <c r="AZ562" s="60" t="s">
        <v>1172</v>
      </c>
      <c r="BA562" s="1780" t="s">
        <v>749</v>
      </c>
      <c r="BB562" s="1781"/>
      <c r="BC562" s="1781"/>
      <c r="BD562" s="1781"/>
      <c r="BE562" s="1782"/>
      <c r="BF562" s="1744">
        <f>SUM(O605:S609)</f>
        <v>38</v>
      </c>
      <c r="BG562" s="1745"/>
      <c r="BH562" s="1745"/>
      <c r="BI562" s="1745"/>
      <c r="BJ562" s="1746"/>
      <c r="BK562" s="1643">
        <f>SUM(T605:X609)</f>
        <v>15</v>
      </c>
      <c r="BL562" s="1644"/>
      <c r="BM562" s="1644"/>
      <c r="BN562" s="1644"/>
      <c r="BO562" s="1645"/>
    </row>
    <row r="563" spans="1:96" s="4" customFormat="1" ht="12.75" customHeight="1">
      <c r="B563" s="35"/>
      <c r="I563" s="1127" t="s">
        <v>1564</v>
      </c>
      <c r="J563" s="1128"/>
      <c r="K563" s="1128"/>
      <c r="L563" s="1128"/>
      <c r="M563" s="1128"/>
      <c r="N563" s="1129"/>
      <c r="O563" s="1639">
        <v>0.5</v>
      </c>
      <c r="P563" s="1640"/>
      <c r="Q563" s="1652"/>
      <c r="R563" s="1653"/>
      <c r="S563" s="1642"/>
      <c r="T563" s="1642"/>
      <c r="U563" s="1683" t="s">
        <v>1568</v>
      </c>
      <c r="V563" s="1683"/>
      <c r="W563" s="1655">
        <v>37.5</v>
      </c>
      <c r="X563" s="1655"/>
      <c r="Y563" s="1653"/>
      <c r="Z563" s="1653"/>
      <c r="AA563" s="1655"/>
      <c r="AB563" s="1655"/>
      <c r="AC563" s="1653"/>
      <c r="AD563" s="1653"/>
      <c r="AE563" s="1777"/>
      <c r="AF563" s="1778"/>
      <c r="AN563" s="281"/>
      <c r="CL563"/>
      <c r="CM563"/>
    </row>
    <row r="564" spans="1:96" s="4" customFormat="1" ht="12.75" customHeight="1">
      <c r="B564" s="120"/>
      <c r="C564" s="61"/>
      <c r="I564" s="1127"/>
      <c r="J564" s="1128"/>
      <c r="K564" s="1128"/>
      <c r="L564" s="1128"/>
      <c r="M564" s="1128"/>
      <c r="N564" s="1129"/>
      <c r="O564" s="1639">
        <v>0.45</v>
      </c>
      <c r="P564" s="1640"/>
      <c r="Q564" s="1641"/>
      <c r="R564" s="1642"/>
      <c r="S564" s="1642"/>
      <c r="T564" s="1642"/>
      <c r="U564" s="1654" t="s">
        <v>140</v>
      </c>
      <c r="V564" s="1654"/>
      <c r="W564" s="1656">
        <v>33.799999999999997</v>
      </c>
      <c r="X564" s="1656"/>
      <c r="Y564" s="1656"/>
      <c r="Z564" s="1656"/>
      <c r="AA564" s="1642"/>
      <c r="AB564" s="1642"/>
      <c r="AC564" s="1656"/>
      <c r="AD564" s="1656"/>
      <c r="AE564" s="1661"/>
      <c r="AF564" s="1662"/>
      <c r="AN564" s="281"/>
      <c r="CL564"/>
      <c r="CM564"/>
    </row>
    <row r="565" spans="1:96" s="4" customFormat="1" ht="12.75" customHeight="1">
      <c r="B565" s="5"/>
      <c r="C565" s="5"/>
      <c r="D565" s="5"/>
      <c r="E565" s="5"/>
      <c r="I565" s="1127"/>
      <c r="J565" s="1128"/>
      <c r="K565" s="1128"/>
      <c r="L565" s="1128"/>
      <c r="M565" s="1128"/>
      <c r="N565" s="1129"/>
      <c r="O565" s="1639">
        <v>0.4</v>
      </c>
      <c r="P565" s="1640"/>
      <c r="Q565" s="1641"/>
      <c r="R565" s="1642"/>
      <c r="S565" s="1654" t="s">
        <v>1567</v>
      </c>
      <c r="T565" s="1654"/>
      <c r="U565" s="1656">
        <v>20</v>
      </c>
      <c r="V565" s="1656"/>
      <c r="W565" s="1656">
        <v>30</v>
      </c>
      <c r="X565" s="1656"/>
      <c r="Y565" s="1656"/>
      <c r="Z565" s="1656"/>
      <c r="AA565" s="1656"/>
      <c r="AB565" s="1656"/>
      <c r="AC565" s="1656"/>
      <c r="AD565" s="1656"/>
      <c r="AE565" s="1661"/>
      <c r="AF565" s="1662"/>
      <c r="AN565" s="281"/>
      <c r="AP565" s="1836" t="s">
        <v>219</v>
      </c>
      <c r="AQ565" s="1837"/>
      <c r="AR565" s="1837"/>
      <c r="AS565" s="1837"/>
      <c r="AT565" s="1837"/>
      <c r="AU565" s="1837"/>
      <c r="AV565" s="1837"/>
      <c r="AW565" s="1837"/>
      <c r="AX565" s="1837"/>
      <c r="AY565" s="1837"/>
      <c r="AZ565" s="1837"/>
      <c r="BA565" s="1837"/>
      <c r="BB565" s="1837"/>
      <c r="BC565" s="1837"/>
      <c r="BD565" s="1837"/>
      <c r="BE565" s="1837"/>
      <c r="BF565" s="1837"/>
      <c r="BG565" s="1837"/>
      <c r="BH565" s="1837"/>
      <c r="BI565" s="1837"/>
      <c r="BJ565" s="1838"/>
      <c r="BK565" s="1759">
        <f>BF562</f>
        <v>38</v>
      </c>
      <c r="BL565" s="1760"/>
      <c r="BM565" s="1760"/>
      <c r="BN565" s="1760"/>
      <c r="BO565" s="1761"/>
      <c r="BP565" s="21"/>
      <c r="BQ565" s="21"/>
      <c r="BR565" s="21"/>
      <c r="BS565" s="21"/>
      <c r="BT565" s="21"/>
      <c r="BU565" s="21"/>
      <c r="BV565" s="21"/>
      <c r="BW565" s="21"/>
      <c r="BX565" s="21"/>
      <c r="BY565" s="21"/>
      <c r="BZ565" s="21"/>
      <c r="CA565" s="21"/>
      <c r="CB565" s="21"/>
      <c r="CC565" s="21"/>
      <c r="CD565" s="21"/>
      <c r="CE565" s="21"/>
      <c r="CF565" s="21"/>
      <c r="CG565" s="21"/>
      <c r="CH565" s="21"/>
      <c r="CI565" s="21"/>
      <c r="CJ565" s="21"/>
      <c r="CK565" s="21"/>
      <c r="CL565" s="21"/>
      <c r="CM565" s="21"/>
      <c r="CN565" s="21"/>
      <c r="CO565" s="21"/>
      <c r="CP565" s="21"/>
      <c r="CQ565" s="21"/>
      <c r="CR565" s="21"/>
    </row>
    <row r="566" spans="1:96" s="4" customFormat="1" ht="12.75" customHeight="1">
      <c r="B566" s="5"/>
      <c r="C566" s="5"/>
      <c r="D566" s="5"/>
      <c r="E566" s="5"/>
      <c r="I566" s="1127"/>
      <c r="J566" s="1128"/>
      <c r="K566" s="1128"/>
      <c r="L566" s="1128"/>
      <c r="M566" s="1128"/>
      <c r="N566" s="1129"/>
      <c r="O566" s="1639">
        <v>0.35</v>
      </c>
      <c r="P566" s="1640"/>
      <c r="Q566" s="1641"/>
      <c r="R566" s="1642"/>
      <c r="S566" s="1654" t="s">
        <v>1835</v>
      </c>
      <c r="T566" s="1654"/>
      <c r="U566" s="1656">
        <v>17.5</v>
      </c>
      <c r="V566" s="1656"/>
      <c r="W566" s="1656">
        <v>26.3</v>
      </c>
      <c r="X566" s="1656"/>
      <c r="Y566" s="1656">
        <v>35</v>
      </c>
      <c r="Z566" s="1656"/>
      <c r="AA566" s="1656"/>
      <c r="AB566" s="1656"/>
      <c r="AC566" s="1656">
        <v>50</v>
      </c>
      <c r="AD566" s="1656"/>
      <c r="AE566" s="1661"/>
      <c r="AF566" s="1662"/>
      <c r="AN566" s="281"/>
      <c r="AP566" s="1839"/>
      <c r="AQ566" s="1840"/>
      <c r="AR566" s="1840"/>
      <c r="AS566" s="1840"/>
      <c r="AT566" s="1840"/>
      <c r="AU566" s="1840"/>
      <c r="AV566" s="1840"/>
      <c r="AW566" s="1840"/>
      <c r="AX566" s="1840"/>
      <c r="AY566" s="1840"/>
      <c r="AZ566" s="1840"/>
      <c r="BA566" s="1840"/>
      <c r="BB566" s="1840"/>
      <c r="BC566" s="1840"/>
      <c r="BD566" s="1840"/>
      <c r="BE566" s="1840"/>
      <c r="BF566" s="1840"/>
      <c r="BG566" s="1840"/>
      <c r="BH566" s="1840"/>
      <c r="BI566" s="1840"/>
      <c r="BJ566" s="1841"/>
      <c r="BK566" s="1762"/>
      <c r="BL566" s="1763"/>
      <c r="BM566" s="1763"/>
      <c r="BN566" s="1763"/>
      <c r="BO566" s="1764"/>
      <c r="BP566" s="21"/>
      <c r="BQ566" s="21"/>
      <c r="BR566" s="21"/>
      <c r="BS566" s="21"/>
      <c r="BT566" s="21"/>
      <c r="BU566" s="21"/>
      <c r="BV566" s="21"/>
      <c r="BW566" s="21"/>
      <c r="BX566" s="21"/>
      <c r="BY566" s="21"/>
      <c r="BZ566" s="21"/>
      <c r="CA566" s="21"/>
      <c r="CB566" s="21"/>
      <c r="CC566" s="21"/>
      <c r="CD566" s="21"/>
      <c r="CE566" s="21"/>
      <c r="CF566" s="21"/>
      <c r="CG566" s="21"/>
      <c r="CH566" s="21"/>
      <c r="CI566" s="21"/>
      <c r="CJ566" s="21"/>
      <c r="CK566" s="21"/>
      <c r="CL566" s="21"/>
      <c r="CM566" s="21"/>
      <c r="CN566" s="21"/>
      <c r="CO566" s="21"/>
      <c r="CP566" s="21"/>
      <c r="CQ566" s="21"/>
      <c r="CR566" s="21"/>
    </row>
    <row r="567" spans="1:96" s="4" customFormat="1" ht="12.75" customHeight="1">
      <c r="B567" s="5"/>
      <c r="C567" s="5"/>
      <c r="D567" s="5"/>
      <c r="E567" s="5"/>
      <c r="I567" s="1127"/>
      <c r="J567" s="1128"/>
      <c r="K567" s="1128"/>
      <c r="L567" s="1128"/>
      <c r="M567" s="1128"/>
      <c r="N567" s="1129"/>
      <c r="O567" s="1639">
        <v>0.3</v>
      </c>
      <c r="P567" s="1640"/>
      <c r="Q567" s="1641"/>
      <c r="R567" s="1642"/>
      <c r="S567" s="1654" t="s">
        <v>1836</v>
      </c>
      <c r="T567" s="1654"/>
      <c r="U567" s="1656">
        <v>15</v>
      </c>
      <c r="V567" s="1656"/>
      <c r="W567" s="1656">
        <v>22.5</v>
      </c>
      <c r="X567" s="1656"/>
      <c r="Y567" s="1656">
        <v>30</v>
      </c>
      <c r="Z567" s="1656"/>
      <c r="AA567" s="1656">
        <v>37.5</v>
      </c>
      <c r="AB567" s="1656"/>
      <c r="AC567" s="1656">
        <v>45</v>
      </c>
      <c r="AD567" s="1656"/>
      <c r="AE567" s="1661"/>
      <c r="AF567" s="1662"/>
      <c r="AN567" s="281"/>
      <c r="AP567" s="38"/>
      <c r="AQ567" s="21"/>
      <c r="AR567" s="21"/>
      <c r="AS567" s="21"/>
      <c r="AT567" s="21"/>
      <c r="AU567" s="21"/>
      <c r="AV567" s="21"/>
      <c r="AW567" s="21"/>
      <c r="AX567" s="21"/>
      <c r="AY567" s="21"/>
      <c r="AZ567" s="21"/>
      <c r="BA567" s="21"/>
      <c r="BB567" s="21"/>
      <c r="BC567" s="21"/>
      <c r="BD567" s="21"/>
      <c r="BE567" s="40"/>
      <c r="BF567" s="40"/>
      <c r="BG567" s="40"/>
      <c r="BH567" s="40"/>
      <c r="BI567" s="40"/>
      <c r="BJ567" s="1189">
        <v>5</v>
      </c>
      <c r="BK567" s="1190"/>
      <c r="BL567" s="1190"/>
      <c r="BM567" s="1190"/>
      <c r="BN567" s="1191"/>
      <c r="BO567" s="1189">
        <v>4</v>
      </c>
      <c r="BP567" s="1190"/>
      <c r="BQ567" s="1190"/>
      <c r="BR567" s="1190"/>
      <c r="BS567" s="1191"/>
      <c r="BT567" s="1189">
        <v>3</v>
      </c>
      <c r="BU567" s="1190"/>
      <c r="BV567" s="1190"/>
      <c r="BW567" s="1190"/>
      <c r="BX567" s="1191"/>
      <c r="BY567" s="1189">
        <v>2</v>
      </c>
      <c r="BZ567" s="1190"/>
      <c r="CA567" s="1190"/>
      <c r="CB567" s="1190"/>
      <c r="CC567" s="1191"/>
      <c r="CD567" s="1189">
        <v>1</v>
      </c>
      <c r="CE567" s="1190"/>
      <c r="CF567" s="1190"/>
      <c r="CG567" s="1190"/>
      <c r="CH567" s="1191"/>
      <c r="CI567" s="1189">
        <v>0</v>
      </c>
      <c r="CJ567" s="1190"/>
      <c r="CK567" s="1190"/>
      <c r="CL567" s="1190"/>
      <c r="CM567" s="1191"/>
      <c r="CN567" s="21"/>
      <c r="CO567" s="21"/>
      <c r="CP567" s="21"/>
      <c r="CQ567" s="21"/>
      <c r="CR567" s="21"/>
    </row>
    <row r="568" spans="1:96" s="4" customFormat="1" ht="12.75" customHeight="1">
      <c r="B568" s="5"/>
      <c r="C568" s="5"/>
      <c r="D568" s="5"/>
      <c r="E568" s="5"/>
      <c r="I568" s="1127"/>
      <c r="J568" s="1128"/>
      <c r="K568" s="1128"/>
      <c r="L568" s="1128"/>
      <c r="M568" s="1128"/>
      <c r="N568" s="1129"/>
      <c r="O568" s="1639">
        <v>0.25</v>
      </c>
      <c r="P568" s="1640"/>
      <c r="Q568" s="1641"/>
      <c r="R568" s="1642"/>
      <c r="S568" s="1654" t="s">
        <v>1837</v>
      </c>
      <c r="T568" s="1654"/>
      <c r="U568" s="1656">
        <v>12.5</v>
      </c>
      <c r="V568" s="1656"/>
      <c r="W568" s="1656">
        <v>18.8</v>
      </c>
      <c r="X568" s="1656"/>
      <c r="Y568" s="1656">
        <v>25</v>
      </c>
      <c r="Z568" s="1656"/>
      <c r="AA568" s="1656">
        <v>31.3</v>
      </c>
      <c r="AB568" s="1656"/>
      <c r="AC568" s="1656">
        <v>37.5</v>
      </c>
      <c r="AD568" s="1656"/>
      <c r="AE568" s="1661">
        <v>50</v>
      </c>
      <c r="AF568" s="1662"/>
      <c r="AN568" s="281"/>
      <c r="AP568" s="1741" t="str">
        <f t="shared" ref="AP568:AP574" si="0">J604</f>
        <v>5 BR</v>
      </c>
      <c r="AQ568" s="1742"/>
      <c r="AR568" s="1742"/>
      <c r="AS568" s="1742"/>
      <c r="AT568" s="1743"/>
      <c r="AU568" s="1313">
        <f t="shared" ref="AU568:AU573" si="1">O604</f>
        <v>0</v>
      </c>
      <c r="AV568" s="1314"/>
      <c r="AW568" s="1314"/>
      <c r="AX568" s="1314"/>
      <c r="AY568" s="1315"/>
      <c r="AZ568" s="1313">
        <f t="shared" ref="AZ568:AZ573" si="2">T604</f>
        <v>0</v>
      </c>
      <c r="BA568" s="1314"/>
      <c r="BB568" s="1314"/>
      <c r="BC568" s="1314"/>
      <c r="BD568" s="1315"/>
      <c r="BE568" s="1369">
        <f t="shared" ref="BE568:BE573" si="3">Y604</f>
        <v>0</v>
      </c>
      <c r="BF568" s="1370"/>
      <c r="BG568" s="1370"/>
      <c r="BH568" s="1370"/>
      <c r="BI568" s="1371"/>
      <c r="BJ568" s="1189">
        <f>IF(OR(AP578=0,BE568&gt;=0.1),0,1)</f>
        <v>0</v>
      </c>
      <c r="BK568" s="1190"/>
      <c r="BL568" s="1190"/>
      <c r="BM568" s="1190"/>
      <c r="BN568" s="1191"/>
      <c r="BO568" s="1189"/>
      <c r="BP568" s="1190"/>
      <c r="BQ568" s="1190"/>
      <c r="BR568" s="1190"/>
      <c r="BS568" s="1191"/>
      <c r="BT568" s="1189"/>
      <c r="BU568" s="1190"/>
      <c r="BV568" s="1190"/>
      <c r="BW568" s="1190"/>
      <c r="BX568" s="1191"/>
      <c r="BY568" s="1189"/>
      <c r="BZ568" s="1190"/>
      <c r="CA568" s="1190"/>
      <c r="CB568" s="1190"/>
      <c r="CC568" s="1191"/>
      <c r="CD568" s="1189"/>
      <c r="CE568" s="1190"/>
      <c r="CF568" s="1190"/>
      <c r="CG568" s="1190"/>
      <c r="CH568" s="1191"/>
      <c r="CI568" s="1189"/>
      <c r="CJ568" s="1190"/>
      <c r="CK568" s="1190"/>
      <c r="CL568" s="1190"/>
      <c r="CM568" s="1191"/>
      <c r="CN568" s="21"/>
      <c r="CO568" s="21"/>
      <c r="CP568" s="21"/>
      <c r="CQ568" s="21"/>
      <c r="CR568" s="21"/>
    </row>
    <row r="569" spans="1:96" s="4" customFormat="1" ht="12.75" customHeight="1">
      <c r="A569" s="120"/>
      <c r="B569" s="5"/>
      <c r="C569" s="5"/>
      <c r="D569" s="5"/>
      <c r="E569" s="5"/>
      <c r="I569" s="1127"/>
      <c r="J569" s="1128"/>
      <c r="K569" s="1128"/>
      <c r="L569" s="1128"/>
      <c r="M569" s="1128"/>
      <c r="N569" s="1129"/>
      <c r="O569" s="1639">
        <v>0.2</v>
      </c>
      <c r="P569" s="1640"/>
      <c r="Q569" s="1641"/>
      <c r="R569" s="1642"/>
      <c r="S569" s="1667" t="s">
        <v>1840</v>
      </c>
      <c r="T569" s="1667"/>
      <c r="U569" s="1656">
        <v>10</v>
      </c>
      <c r="V569" s="1656"/>
      <c r="W569" s="1656">
        <v>15</v>
      </c>
      <c r="X569" s="1656"/>
      <c r="Y569" s="1656">
        <v>20</v>
      </c>
      <c r="Z569" s="1656"/>
      <c r="AA569" s="1656">
        <v>25</v>
      </c>
      <c r="AB569" s="1656"/>
      <c r="AC569" s="1656">
        <v>30</v>
      </c>
      <c r="AD569" s="1656"/>
      <c r="AE569" s="1661">
        <v>40</v>
      </c>
      <c r="AF569" s="1662"/>
      <c r="AN569" s="281"/>
      <c r="AP569" s="1741" t="str">
        <f t="shared" si="0"/>
        <v>4 BR</v>
      </c>
      <c r="AQ569" s="1742"/>
      <c r="AR569" s="1742"/>
      <c r="AS569" s="1742"/>
      <c r="AT569" s="1743"/>
      <c r="AU569" s="1313">
        <f t="shared" si="1"/>
        <v>0</v>
      </c>
      <c r="AV569" s="1314"/>
      <c r="AW569" s="1314"/>
      <c r="AX569" s="1314"/>
      <c r="AY569" s="1315"/>
      <c r="AZ569" s="1313">
        <f t="shared" si="2"/>
        <v>0</v>
      </c>
      <c r="BA569" s="1314"/>
      <c r="BB569" s="1314"/>
      <c r="BC569" s="1314"/>
      <c r="BD569" s="1315"/>
      <c r="BE569" s="1369">
        <f t="shared" si="3"/>
        <v>0</v>
      </c>
      <c r="BF569" s="1370"/>
      <c r="BG569" s="1370"/>
      <c r="BH569" s="1370"/>
      <c r="BI569" s="1371"/>
      <c r="BJ569" s="1189"/>
      <c r="BK569" s="1190"/>
      <c r="BL569" s="1190"/>
      <c r="BM569" s="1190"/>
      <c r="BN569" s="1191"/>
      <c r="BO569" s="1189">
        <f>IF(AND(AND(AZ568=0,BJ568=0,AP579=1)),1,0)</f>
        <v>0</v>
      </c>
      <c r="BP569" s="1190"/>
      <c r="BQ569" s="1190"/>
      <c r="BR569" s="1190"/>
      <c r="BS569" s="1191"/>
      <c r="BT569" s="1189"/>
      <c r="BU569" s="1190"/>
      <c r="BV569" s="1190"/>
      <c r="BW569" s="1190"/>
      <c r="BX569" s="1191"/>
      <c r="BY569" s="1189"/>
      <c r="BZ569" s="1190"/>
      <c r="CA569" s="1190"/>
      <c r="CB569" s="1190"/>
      <c r="CC569" s="1191"/>
      <c r="CD569" s="1189"/>
      <c r="CE569" s="1190"/>
      <c r="CF569" s="1190"/>
      <c r="CG569" s="1190"/>
      <c r="CH569" s="1191"/>
      <c r="CI569" s="1189"/>
      <c r="CJ569" s="1190"/>
      <c r="CK569" s="1190"/>
      <c r="CL569" s="1190"/>
      <c r="CM569" s="1191"/>
      <c r="CN569" s="21"/>
      <c r="CO569" s="21"/>
      <c r="CP569" s="21"/>
      <c r="CQ569" s="21"/>
      <c r="CR569" s="21"/>
    </row>
    <row r="570" spans="1:96" s="4" customFormat="1" ht="12.75" customHeight="1">
      <c r="A570" s="120"/>
      <c r="B570" s="5"/>
      <c r="C570" s="5"/>
      <c r="D570" s="5"/>
      <c r="E570" s="5"/>
      <c r="I570" s="1127"/>
      <c r="J570" s="1128"/>
      <c r="K570" s="1128"/>
      <c r="L570" s="1128"/>
      <c r="M570" s="1128"/>
      <c r="N570" s="1129"/>
      <c r="O570" s="1639">
        <v>0.15</v>
      </c>
      <c r="P570" s="1640"/>
      <c r="Q570" s="1641"/>
      <c r="R570" s="1642"/>
      <c r="S570" s="1654" t="s">
        <v>1838</v>
      </c>
      <c r="T570" s="1654"/>
      <c r="U570" s="1656">
        <v>7.5</v>
      </c>
      <c r="V570" s="1656"/>
      <c r="W570" s="1656">
        <v>11.3</v>
      </c>
      <c r="X570" s="1656"/>
      <c r="Y570" s="1656">
        <v>15</v>
      </c>
      <c r="Z570" s="1656"/>
      <c r="AA570" s="1656">
        <v>18.8</v>
      </c>
      <c r="AB570" s="1656"/>
      <c r="AC570" s="1656">
        <v>22.5</v>
      </c>
      <c r="AD570" s="1656"/>
      <c r="AE570" s="1661">
        <v>30</v>
      </c>
      <c r="AF570" s="1662"/>
      <c r="AN570" s="281"/>
      <c r="AP570" s="1741" t="str">
        <f t="shared" si="0"/>
        <v>3 BR</v>
      </c>
      <c r="AQ570" s="1742"/>
      <c r="AR570" s="1742"/>
      <c r="AS570" s="1742"/>
      <c r="AT570" s="1743"/>
      <c r="AU570" s="1313">
        <f t="shared" si="1"/>
        <v>9</v>
      </c>
      <c r="AV570" s="1314"/>
      <c r="AW570" s="1314"/>
      <c r="AX570" s="1314"/>
      <c r="AY570" s="1315"/>
      <c r="AZ570" s="1313">
        <f t="shared" si="2"/>
        <v>1</v>
      </c>
      <c r="BA570" s="1314"/>
      <c r="BB570" s="1314"/>
      <c r="BC570" s="1314"/>
      <c r="BD570" s="1315"/>
      <c r="BE570" s="1369">
        <f t="shared" si="3"/>
        <v>0.1111111111111111</v>
      </c>
      <c r="BF570" s="1370"/>
      <c r="BG570" s="1370"/>
      <c r="BH570" s="1370"/>
      <c r="BI570" s="1371"/>
      <c r="BJ570" s="1189"/>
      <c r="BK570" s="1190"/>
      <c r="BL570" s="1190"/>
      <c r="BM570" s="1190"/>
      <c r="BN570" s="1191"/>
      <c r="BO570" s="1189"/>
      <c r="BP570" s="1190"/>
      <c r="BQ570" s="1190"/>
      <c r="BR570" s="1190"/>
      <c r="BS570" s="1191"/>
      <c r="BT570" s="1189">
        <f>IF(AND(AND(AZ568+AZ569=0,BJ568+BO569=0,AP580=1)),1,0)</f>
        <v>0</v>
      </c>
      <c r="BU570" s="1190"/>
      <c r="BV570" s="1190"/>
      <c r="BW570" s="1190"/>
      <c r="BX570" s="1191"/>
      <c r="BY570" s="1189"/>
      <c r="BZ570" s="1190"/>
      <c r="CA570" s="1190"/>
      <c r="CB570" s="1190"/>
      <c r="CC570" s="1191"/>
      <c r="CD570" s="1189"/>
      <c r="CE570" s="1190"/>
      <c r="CF570" s="1190"/>
      <c r="CG570" s="1190"/>
      <c r="CH570" s="1191"/>
      <c r="CI570" s="1189"/>
      <c r="CJ570" s="1190"/>
      <c r="CK570" s="1190"/>
      <c r="CL570" s="1190"/>
      <c r="CM570" s="1191"/>
      <c r="CN570" s="21"/>
      <c r="CO570" s="21"/>
      <c r="CP570" s="21"/>
      <c r="CQ570" s="21"/>
      <c r="CR570" s="21"/>
    </row>
    <row r="571" spans="1:96" s="4" customFormat="1" ht="12.75" customHeight="1" thickBot="1">
      <c r="B571" s="5"/>
      <c r="C571" s="5"/>
      <c r="D571" s="5"/>
      <c r="E571" s="5"/>
      <c r="I571" s="1130"/>
      <c r="J571" s="1131"/>
      <c r="K571" s="1131"/>
      <c r="L571" s="1131"/>
      <c r="M571" s="1131"/>
      <c r="N571" s="1132"/>
      <c r="O571" s="1639">
        <v>0.1</v>
      </c>
      <c r="P571" s="1640"/>
      <c r="Q571" s="1665"/>
      <c r="R571" s="1666"/>
      <c r="S571" s="1654" t="s">
        <v>1839</v>
      </c>
      <c r="T571" s="1654"/>
      <c r="U571" s="1674">
        <v>5</v>
      </c>
      <c r="V571" s="1674"/>
      <c r="W571" s="1674">
        <v>7.5</v>
      </c>
      <c r="X571" s="1674"/>
      <c r="Y571" s="1674">
        <v>10</v>
      </c>
      <c r="Z571" s="1674"/>
      <c r="AA571" s="1674">
        <v>12.5</v>
      </c>
      <c r="AB571" s="1674"/>
      <c r="AC571" s="1674">
        <v>15</v>
      </c>
      <c r="AD571" s="1674"/>
      <c r="AE571" s="1867">
        <v>20</v>
      </c>
      <c r="AF571" s="1868"/>
      <c r="AK571" s="167"/>
      <c r="AL571" s="167"/>
      <c r="AM571" s="5"/>
      <c r="AN571" s="281"/>
      <c r="AP571" s="1741" t="str">
        <f t="shared" si="0"/>
        <v>2 BR</v>
      </c>
      <c r="AQ571" s="1742"/>
      <c r="AR571" s="1742"/>
      <c r="AS571" s="1742"/>
      <c r="AT571" s="1743"/>
      <c r="AU571" s="1313">
        <f t="shared" si="1"/>
        <v>10</v>
      </c>
      <c r="AV571" s="1314"/>
      <c r="AW571" s="1314"/>
      <c r="AX571" s="1314"/>
      <c r="AY571" s="1315"/>
      <c r="AZ571" s="1313">
        <f t="shared" si="2"/>
        <v>1</v>
      </c>
      <c r="BA571" s="1314"/>
      <c r="BB571" s="1314"/>
      <c r="BC571" s="1314"/>
      <c r="BD571" s="1315"/>
      <c r="BE571" s="1369">
        <f t="shared" si="3"/>
        <v>0.1</v>
      </c>
      <c r="BF571" s="1370"/>
      <c r="BG571" s="1370"/>
      <c r="BH571" s="1370"/>
      <c r="BI571" s="1371"/>
      <c r="BJ571" s="1189"/>
      <c r="BK571" s="1190"/>
      <c r="BL571" s="1190"/>
      <c r="BM571" s="1190"/>
      <c r="BN571" s="1191"/>
      <c r="BO571" s="1189"/>
      <c r="BP571" s="1190"/>
      <c r="BQ571" s="1190"/>
      <c r="BR571" s="1190"/>
      <c r="BS571" s="1191"/>
      <c r="BT571" s="1189"/>
      <c r="BU571" s="1190"/>
      <c r="BV571" s="1190"/>
      <c r="BW571" s="1190"/>
      <c r="BX571" s="1191"/>
      <c r="BY571" s="1189">
        <f>IF(AND(AND(AZ568+AZ569+AZ570=0,BO569+BT570+BJ568=0,AP581=1)),1,0)</f>
        <v>0</v>
      </c>
      <c r="BZ571" s="1190"/>
      <c r="CA571" s="1190"/>
      <c r="CB571" s="1190"/>
      <c r="CC571" s="1191"/>
      <c r="CD571" s="1189"/>
      <c r="CE571" s="1190"/>
      <c r="CF571" s="1190"/>
      <c r="CG571" s="1190"/>
      <c r="CH571" s="1191"/>
      <c r="CI571" s="1189"/>
      <c r="CJ571" s="1190"/>
      <c r="CK571" s="1190"/>
      <c r="CL571" s="1190"/>
      <c r="CM571" s="1191"/>
      <c r="CN571" s="21"/>
      <c r="CO571" s="21"/>
      <c r="CP571" s="21"/>
      <c r="CQ571" s="21"/>
      <c r="CR571" s="21"/>
    </row>
    <row r="572" spans="1:96" s="4" customFormat="1" ht="12.75" customHeight="1">
      <c r="B572" s="5"/>
      <c r="C572" s="5"/>
      <c r="D572" s="5"/>
      <c r="E572" s="1172" t="s">
        <v>982</v>
      </c>
      <c r="F572" s="1524"/>
      <c r="G572" s="1524"/>
      <c r="H572" s="1524"/>
      <c r="I572" s="1524"/>
      <c r="J572" s="1524"/>
      <c r="K572" s="1524"/>
      <c r="L572" s="1524"/>
      <c r="M572" s="1524"/>
      <c r="N572" s="1524"/>
      <c r="O572" s="1524"/>
      <c r="P572" s="1524"/>
      <c r="Q572" s="1524"/>
      <c r="R572" s="1524"/>
      <c r="S572" s="1524"/>
      <c r="T572" s="1524"/>
      <c r="U572" s="1524"/>
      <c r="V572" s="1524"/>
      <c r="W572" s="1524"/>
      <c r="X572" s="1524"/>
      <c r="Y572" s="1524"/>
      <c r="Z572" s="1524"/>
      <c r="AA572" s="1524"/>
      <c r="AB572" s="1524"/>
      <c r="AC572" s="1524"/>
      <c r="AD572" s="1524"/>
      <c r="AE572" s="1524"/>
      <c r="AF572" s="1524"/>
      <c r="AG572" s="1524"/>
      <c r="AH572" s="1525"/>
      <c r="AK572" s="167"/>
      <c r="AL572" s="167"/>
      <c r="AM572" s="5"/>
      <c r="AN572" s="281"/>
      <c r="AP572" s="1741" t="str">
        <f t="shared" si="0"/>
        <v>1 BR</v>
      </c>
      <c r="AQ572" s="1742"/>
      <c r="AR572" s="1742"/>
      <c r="AS572" s="1742"/>
      <c r="AT572" s="1743"/>
      <c r="AU572" s="1313">
        <f t="shared" si="1"/>
        <v>7</v>
      </c>
      <c r="AV572" s="1314"/>
      <c r="AW572" s="1314"/>
      <c r="AX572" s="1314"/>
      <c r="AY572" s="1315"/>
      <c r="AZ572" s="1313">
        <f t="shared" si="2"/>
        <v>2</v>
      </c>
      <c r="BA572" s="1314"/>
      <c r="BB572" s="1314"/>
      <c r="BC572" s="1314"/>
      <c r="BD572" s="1315"/>
      <c r="BE572" s="1369">
        <f t="shared" si="3"/>
        <v>0.2857142857142857</v>
      </c>
      <c r="BF572" s="1370"/>
      <c r="BG572" s="1370"/>
      <c r="BH572" s="1370"/>
      <c r="BI572" s="1371"/>
      <c r="BJ572" s="1189"/>
      <c r="BK572" s="1190"/>
      <c r="BL572" s="1190"/>
      <c r="BM572" s="1190"/>
      <c r="BN572" s="1191"/>
      <c r="BO572" s="1189"/>
      <c r="BP572" s="1190"/>
      <c r="BQ572" s="1190"/>
      <c r="BR572" s="1190"/>
      <c r="BS572" s="1191"/>
      <c r="BT572" s="1189"/>
      <c r="BU572" s="1190"/>
      <c r="BV572" s="1190"/>
      <c r="BW572" s="1190"/>
      <c r="BX572" s="1191"/>
      <c r="BY572" s="1189"/>
      <c r="BZ572" s="1190"/>
      <c r="CA572" s="1190"/>
      <c r="CB572" s="1190"/>
      <c r="CC572" s="1191"/>
      <c r="CD572" s="1189">
        <f>IF(AND(AND(BE569+BE570+BE571+BE568=0,BT570+BY571+BO569+BJ568=0,AP582=1)),1,0)</f>
        <v>0</v>
      </c>
      <c r="CE572" s="1190"/>
      <c r="CF572" s="1190"/>
      <c r="CG572" s="1190"/>
      <c r="CH572" s="1191"/>
      <c r="CI572" s="1189"/>
      <c r="CJ572" s="1190"/>
      <c r="CK572" s="1190"/>
      <c r="CL572" s="1190"/>
      <c r="CM572" s="1191"/>
      <c r="CN572" s="21"/>
      <c r="CO572" s="21"/>
      <c r="CP572" s="21"/>
      <c r="CQ572" s="21"/>
      <c r="CR572" s="21"/>
    </row>
    <row r="573" spans="1:96" s="4" customFormat="1" ht="12.75" customHeight="1">
      <c r="E573" s="1830"/>
      <c r="F573" s="1529"/>
      <c r="G573" s="1529"/>
      <c r="H573" s="1529"/>
      <c r="I573" s="1529"/>
      <c r="J573" s="1529"/>
      <c r="K573" s="1529"/>
      <c r="L573" s="1529"/>
      <c r="M573" s="1529"/>
      <c r="N573" s="1529"/>
      <c r="O573" s="1529"/>
      <c r="P573" s="1529"/>
      <c r="Q573" s="1529"/>
      <c r="R573" s="1529"/>
      <c r="S573" s="1529"/>
      <c r="T573" s="1529"/>
      <c r="U573" s="1529"/>
      <c r="V573" s="1529"/>
      <c r="W573" s="1529"/>
      <c r="X573" s="1529"/>
      <c r="Y573" s="1529"/>
      <c r="Z573" s="1529"/>
      <c r="AA573" s="1529"/>
      <c r="AB573" s="1529"/>
      <c r="AC573" s="1529"/>
      <c r="AD573" s="1529"/>
      <c r="AE573" s="1529"/>
      <c r="AF573" s="1529"/>
      <c r="AG573" s="1529"/>
      <c r="AH573" s="1831"/>
      <c r="AN573" s="281"/>
      <c r="AP573" s="1741" t="str">
        <f t="shared" si="0"/>
        <v>SRO</v>
      </c>
      <c r="AQ573" s="1742"/>
      <c r="AR573" s="1742"/>
      <c r="AS573" s="1742"/>
      <c r="AT573" s="1743"/>
      <c r="AU573" s="1313">
        <f t="shared" si="1"/>
        <v>12</v>
      </c>
      <c r="AV573" s="1314"/>
      <c r="AW573" s="1314"/>
      <c r="AX573" s="1314"/>
      <c r="AY573" s="1315"/>
      <c r="AZ573" s="1313">
        <f t="shared" si="2"/>
        <v>11</v>
      </c>
      <c r="BA573" s="1314"/>
      <c r="BB573" s="1314"/>
      <c r="BC573" s="1314"/>
      <c r="BD573" s="1315"/>
      <c r="BE573" s="1369">
        <f t="shared" si="3"/>
        <v>0.91666666666666663</v>
      </c>
      <c r="BF573" s="1370"/>
      <c r="BG573" s="1370"/>
      <c r="BH573" s="1370"/>
      <c r="BI573" s="1371"/>
      <c r="BJ573" s="1189"/>
      <c r="BK573" s="1190"/>
      <c r="BL573" s="1190"/>
      <c r="BM573" s="1190"/>
      <c r="BN573" s="1191"/>
      <c r="BO573" s="1189"/>
      <c r="BP573" s="1190"/>
      <c r="BQ573" s="1190"/>
      <c r="BR573" s="1190"/>
      <c r="BS573" s="1191"/>
      <c r="BT573" s="1189"/>
      <c r="BU573" s="1190"/>
      <c r="BV573" s="1190"/>
      <c r="BW573" s="1190"/>
      <c r="BX573" s="1191"/>
      <c r="BY573" s="1189"/>
      <c r="BZ573" s="1190"/>
      <c r="CA573" s="1190"/>
      <c r="CB573" s="1190"/>
      <c r="CC573" s="1191"/>
      <c r="CD573" s="1189"/>
      <c r="CE573" s="1190"/>
      <c r="CF573" s="1190"/>
      <c r="CG573" s="1190"/>
      <c r="CH573" s="1191"/>
      <c r="CI573" s="1189">
        <f>IF(AND(AND(AZ570+AZ571+AZ572+AZ569+AZ568=0,BY571+CD572+BT570+BO569+BJ568=0,AP583=1)),1,0)</f>
        <v>0</v>
      </c>
      <c r="CJ573" s="1190"/>
      <c r="CK573" s="1190"/>
      <c r="CL573" s="1190"/>
      <c r="CM573" s="1191"/>
      <c r="CN573" s="21"/>
      <c r="CO573" s="21"/>
      <c r="CP573" s="21"/>
      <c r="CQ573" s="21"/>
      <c r="CR573" s="21"/>
    </row>
    <row r="574" spans="1:96" s="4" customFormat="1" ht="12.75" customHeight="1">
      <c r="E574" s="1861" t="s">
        <v>1574</v>
      </c>
      <c r="F574" s="1862"/>
      <c r="G574" s="1862"/>
      <c r="H574" s="1862"/>
      <c r="I574" s="1862"/>
      <c r="J574" s="1863"/>
      <c r="K574" s="1861" t="s">
        <v>1831</v>
      </c>
      <c r="L574" s="1862"/>
      <c r="M574" s="1862"/>
      <c r="N574" s="1862"/>
      <c r="O574" s="1862"/>
      <c r="P574" s="1863"/>
      <c r="Q574" s="1124" t="s">
        <v>1570</v>
      </c>
      <c r="R574" s="1125"/>
      <c r="S574" s="1125"/>
      <c r="T574" s="1125"/>
      <c r="U574" s="1125"/>
      <c r="V574" s="1126"/>
      <c r="W574" s="1124" t="str">
        <f>I563</f>
        <v>Percent of Low-Income Units (exclusive of manager’s units)</v>
      </c>
      <c r="X574" s="1125"/>
      <c r="Y574" s="1125"/>
      <c r="Z574" s="1125"/>
      <c r="AA574" s="1125"/>
      <c r="AB574" s="1126"/>
      <c r="AC574" s="1124" t="s">
        <v>1573</v>
      </c>
      <c r="AD574" s="1125"/>
      <c r="AE574" s="1125"/>
      <c r="AF574" s="1125"/>
      <c r="AG574" s="1125"/>
      <c r="AH574" s="1126"/>
      <c r="AN574" s="281"/>
      <c r="AP574" s="1741" t="str">
        <f t="shared" si="0"/>
        <v>Total:</v>
      </c>
      <c r="AQ574" s="1742"/>
      <c r="AR574" s="1742"/>
      <c r="AS574" s="1742"/>
      <c r="AT574" s="1743"/>
      <c r="AU574" s="1741"/>
      <c r="AV574" s="1742"/>
      <c r="AW574" s="1742"/>
      <c r="AX574" s="1742"/>
      <c r="AY574" s="1743"/>
      <c r="AZ574" s="1741"/>
      <c r="BA574" s="1742"/>
      <c r="BB574" s="1742"/>
      <c r="BC574" s="1742"/>
      <c r="BD574" s="1743"/>
      <c r="BE574" s="1741"/>
      <c r="BF574" s="1742"/>
      <c r="BG574" s="1742"/>
      <c r="BH574" s="1742"/>
      <c r="BI574" s="1743"/>
      <c r="BJ574" s="1189">
        <f>SUM(BJ568:BN573)</f>
        <v>0</v>
      </c>
      <c r="BK574" s="1190"/>
      <c r="BL574" s="1190"/>
      <c r="BM574" s="1190"/>
      <c r="BN574" s="1191"/>
      <c r="BO574" s="1189">
        <f>SUM(BO568:BS573)</f>
        <v>0</v>
      </c>
      <c r="BP574" s="1190"/>
      <c r="BQ574" s="1190"/>
      <c r="BR574" s="1190"/>
      <c r="BS574" s="1191"/>
      <c r="BT574" s="1189">
        <f>SUM(BT568:BX573)</f>
        <v>0</v>
      </c>
      <c r="BU574" s="1190"/>
      <c r="BV574" s="1190"/>
      <c r="BW574" s="1190"/>
      <c r="BX574" s="1191"/>
      <c r="BY574" s="1189">
        <f>SUM(BY568:CC573)</f>
        <v>0</v>
      </c>
      <c r="BZ574" s="1190"/>
      <c r="CA574" s="1190"/>
      <c r="CB574" s="1190"/>
      <c r="CC574" s="1191"/>
      <c r="CD574" s="1189">
        <f>SUM(CD568:CH573)</f>
        <v>0</v>
      </c>
      <c r="CE574" s="1190"/>
      <c r="CF574" s="1190"/>
      <c r="CG574" s="1190"/>
      <c r="CH574" s="1191"/>
      <c r="CI574" s="1189">
        <f>SUM(CI568:CM573)</f>
        <v>0</v>
      </c>
      <c r="CJ574" s="1190"/>
      <c r="CK574" s="1190"/>
      <c r="CL574" s="1190"/>
      <c r="CM574" s="1191"/>
      <c r="CN574" s="1189">
        <f>SUM(BJ574:CM574)</f>
        <v>0</v>
      </c>
      <c r="CO574" s="1190"/>
      <c r="CP574" s="1190"/>
      <c r="CQ574" s="1190"/>
      <c r="CR574" s="1191"/>
    </row>
    <row r="575" spans="1:96" s="4" customFormat="1" ht="12.75" customHeight="1">
      <c r="E575" s="1864"/>
      <c r="F575" s="1865"/>
      <c r="G575" s="1865"/>
      <c r="H575" s="1865"/>
      <c r="I575" s="1865"/>
      <c r="J575" s="1866"/>
      <c r="K575" s="1864"/>
      <c r="L575" s="1865"/>
      <c r="M575" s="1865"/>
      <c r="N575" s="1865"/>
      <c r="O575" s="1865"/>
      <c r="P575" s="1866"/>
      <c r="Q575" s="1127"/>
      <c r="R575" s="1128"/>
      <c r="S575" s="1128"/>
      <c r="T575" s="1128"/>
      <c r="U575" s="1128"/>
      <c r="V575" s="1129"/>
      <c r="W575" s="1127"/>
      <c r="X575" s="1128"/>
      <c r="Y575" s="1128"/>
      <c r="Z575" s="1128"/>
      <c r="AA575" s="1128"/>
      <c r="AB575" s="1129"/>
      <c r="AC575" s="1127"/>
      <c r="AD575" s="1128"/>
      <c r="AE575" s="1128"/>
      <c r="AF575" s="1128"/>
      <c r="AG575" s="1128"/>
      <c r="AH575" s="1129"/>
      <c r="AN575" s="281"/>
    </row>
    <row r="576" spans="1:96" s="4" customFormat="1" ht="12.75" customHeight="1">
      <c r="E576" s="1864"/>
      <c r="F576" s="1865"/>
      <c r="G576" s="1865"/>
      <c r="H576" s="1865"/>
      <c r="I576" s="1865"/>
      <c r="J576" s="1866"/>
      <c r="K576" s="1864"/>
      <c r="L576" s="1865"/>
      <c r="M576" s="1865"/>
      <c r="N576" s="1865"/>
      <c r="O576" s="1865"/>
      <c r="P576" s="1866"/>
      <c r="Q576" s="1127"/>
      <c r="R576" s="1128"/>
      <c r="S576" s="1128"/>
      <c r="T576" s="1128"/>
      <c r="U576" s="1128"/>
      <c r="V576" s="1129"/>
      <c r="W576" s="1127"/>
      <c r="X576" s="1128"/>
      <c r="Y576" s="1128"/>
      <c r="Z576" s="1128"/>
      <c r="AA576" s="1128"/>
      <c r="AB576" s="1129"/>
      <c r="AC576" s="1127"/>
      <c r="AD576" s="1128"/>
      <c r="AE576" s="1128"/>
      <c r="AF576" s="1128"/>
      <c r="AG576" s="1128"/>
      <c r="AH576" s="1129"/>
      <c r="AN576" s="281"/>
    </row>
    <row r="577" spans="2:69" s="4" customFormat="1" ht="12.75" customHeight="1">
      <c r="E577" s="1864"/>
      <c r="F577" s="1865"/>
      <c r="G577" s="1865"/>
      <c r="H577" s="1865"/>
      <c r="I577" s="1865"/>
      <c r="J577" s="1866"/>
      <c r="K577" s="1864"/>
      <c r="L577" s="1865"/>
      <c r="M577" s="1865"/>
      <c r="N577" s="1865"/>
      <c r="O577" s="1865"/>
      <c r="P577" s="1866"/>
      <c r="Q577" s="1127"/>
      <c r="R577" s="1128"/>
      <c r="S577" s="1128"/>
      <c r="T577" s="1128"/>
      <c r="U577" s="1128"/>
      <c r="V577" s="1129"/>
      <c r="W577" s="1127"/>
      <c r="X577" s="1128"/>
      <c r="Y577" s="1128"/>
      <c r="Z577" s="1128"/>
      <c r="AA577" s="1128"/>
      <c r="AB577" s="1129"/>
      <c r="AC577" s="1127"/>
      <c r="AD577" s="1128"/>
      <c r="AE577" s="1128"/>
      <c r="AF577" s="1128"/>
      <c r="AG577" s="1128"/>
      <c r="AH577" s="1129"/>
      <c r="AN577" s="281"/>
      <c r="AP577" s="3" t="s">
        <v>1173</v>
      </c>
      <c r="BH577" s="3" t="s">
        <v>1174</v>
      </c>
    </row>
    <row r="578" spans="2:69" s="4" customFormat="1" ht="12.75" customHeight="1">
      <c r="E578" s="1657"/>
      <c r="F578" s="1658"/>
      <c r="G578" s="1658"/>
      <c r="H578" s="1658"/>
      <c r="I578" s="1658"/>
      <c r="J578" s="1659"/>
      <c r="K578" s="1643">
        <v>20</v>
      </c>
      <c r="L578" s="1644"/>
      <c r="M578" s="1644"/>
      <c r="N578" s="1644"/>
      <c r="O578" s="1644"/>
      <c r="P578" s="1645"/>
      <c r="Q578" s="1646">
        <f>IF(ISERROR(IF((((E578/$BJ$525)*100)&gt;100),"EXCESSIVE VALUE",(E578/$BJ$525)*100)),0,IF((((E578/$BJ$525)*100)&gt;100),"EXCESSIVE VALUE",(E578/$BJ$525)*100))</f>
        <v>0</v>
      </c>
      <c r="R578" s="1647"/>
      <c r="S578" s="1647"/>
      <c r="T578" s="1647"/>
      <c r="U578" s="1647"/>
      <c r="V578" s="1648"/>
      <c r="W578" s="1649">
        <f>IF(FLOOR(Q578,5)&gt;80,80,FLOOR(Q578,5))</f>
        <v>0</v>
      </c>
      <c r="X578" s="1650"/>
      <c r="Y578" s="1650"/>
      <c r="Z578" s="1650"/>
      <c r="AA578" s="1650"/>
      <c r="AB578" s="1651"/>
      <c r="AC578" s="1649">
        <f t="shared" ref="AC578:AC583" si="4">IFERROR(IF(W578&gt;0,INDEX($BI$504:$BP$518,MATCH(W578,$BH$504:$BH$518,0),MATCH(K578,$BI$503:$BP$503,0)),0),0)</f>
        <v>0</v>
      </c>
      <c r="AD578" s="1650"/>
      <c r="AE578" s="1650"/>
      <c r="AF578" s="1650"/>
      <c r="AG578" s="1650"/>
      <c r="AH578" s="1651"/>
      <c r="AN578" s="281"/>
      <c r="AO578" s="4">
        <v>5</v>
      </c>
      <c r="AP578" s="1643">
        <f t="shared" ref="AP578:AP583" si="5">IF(OR(BE568&gt;=0.1,BE568=0),0,1)</f>
        <v>0</v>
      </c>
      <c r="AQ578" s="1644"/>
      <c r="AR578" s="1644"/>
      <c r="AS578" s="1644"/>
      <c r="AT578" s="1645"/>
      <c r="AX578" s="1737" t="s">
        <v>831</v>
      </c>
      <c r="AY578" s="1739"/>
      <c r="AZ578" s="1739"/>
      <c r="BA578" s="1739"/>
      <c r="BB578" s="1739"/>
      <c r="BC578" s="1739"/>
      <c r="BD578" s="1739"/>
      <c r="BE578" s="1739"/>
      <c r="BF578" s="1739"/>
      <c r="BG578" s="1739"/>
      <c r="BH578" s="1739"/>
      <c r="BI578" s="1739"/>
      <c r="BJ578" s="1739"/>
      <c r="BK578" s="1739"/>
      <c r="BL578" s="1739"/>
      <c r="BM578" s="1739"/>
      <c r="BN578" s="1739"/>
      <c r="BO578" s="1739"/>
      <c r="BP578" s="1739"/>
      <c r="BQ578" s="1738"/>
    </row>
    <row r="579" spans="2:69" s="4" customFormat="1" ht="12.75" customHeight="1">
      <c r="E579" s="1657">
        <v>15</v>
      </c>
      <c r="F579" s="1658"/>
      <c r="G579" s="1658"/>
      <c r="H579" s="1658"/>
      <c r="I579" s="1658"/>
      <c r="J579" s="1659"/>
      <c r="K579" s="1643">
        <v>30</v>
      </c>
      <c r="L579" s="1644"/>
      <c r="M579" s="1644"/>
      <c r="N579" s="1644"/>
      <c r="O579" s="1644"/>
      <c r="P579" s="1645"/>
      <c r="Q579" s="1646">
        <f t="shared" ref="Q579:Q586" si="6">IF(ISERROR(IF((((E579/$BJ$525)*100)&gt;100),"EXCESSIVE VALUE",(E579/$BJ$525)*100)),0,IF((((E579/$BJ$525)*100)&gt;100),"EXCESSIVE VALUE",(E579/$BJ$525)*100))</f>
        <v>39.473684210526315</v>
      </c>
      <c r="R579" s="1647"/>
      <c r="S579" s="1647"/>
      <c r="T579" s="1647"/>
      <c r="U579" s="1647"/>
      <c r="V579" s="1648"/>
      <c r="W579" s="1649">
        <f>IF(FLOOR(Q579,5)&gt;80,80,FLOOR(Q579,5))</f>
        <v>35</v>
      </c>
      <c r="X579" s="1650"/>
      <c r="Y579" s="1650"/>
      <c r="Z579" s="1650"/>
      <c r="AA579" s="1650"/>
      <c r="AB579" s="1651"/>
      <c r="AC579" s="1649">
        <f t="shared" si="4"/>
        <v>50</v>
      </c>
      <c r="AD579" s="1650"/>
      <c r="AE579" s="1650"/>
      <c r="AF579" s="1650"/>
      <c r="AG579" s="1650"/>
      <c r="AH579" s="1651"/>
      <c r="AN579" s="281"/>
      <c r="AO579" s="4">
        <v>4</v>
      </c>
      <c r="AP579" s="1643">
        <f t="shared" si="5"/>
        <v>0</v>
      </c>
      <c r="AQ579" s="1644"/>
      <c r="AR579" s="1644"/>
      <c r="AS579" s="1644"/>
      <c r="AT579" s="1645"/>
      <c r="AX579" s="1757" t="s">
        <v>651</v>
      </c>
      <c r="AY579" s="1758"/>
      <c r="AZ579" s="1244" t="s">
        <v>651</v>
      </c>
      <c r="BA579" s="1245"/>
      <c r="BB579" s="1757" t="s">
        <v>279</v>
      </c>
      <c r="BC579" s="1758"/>
      <c r="BD579" s="1747" t="s">
        <v>279</v>
      </c>
      <c r="BE579" s="1749"/>
      <c r="BF579" s="1757" t="s">
        <v>278</v>
      </c>
      <c r="BG579" s="1758"/>
      <c r="BH579" s="1747" t="s">
        <v>278</v>
      </c>
      <c r="BI579" s="1749"/>
      <c r="BJ579" s="1757" t="s">
        <v>277</v>
      </c>
      <c r="BK579" s="1758"/>
      <c r="BL579" s="1747" t="s">
        <v>277</v>
      </c>
      <c r="BM579" s="1749"/>
      <c r="BN579" s="1757" t="s">
        <v>650</v>
      </c>
      <c r="BO579" s="1758"/>
      <c r="BP579" s="1747" t="s">
        <v>650</v>
      </c>
      <c r="BQ579" s="1749"/>
    </row>
    <row r="580" spans="2:69" s="4" customFormat="1" ht="12.75" customHeight="1">
      <c r="E580" s="1657"/>
      <c r="F580" s="1658"/>
      <c r="G580" s="1658"/>
      <c r="H580" s="1658"/>
      <c r="I580" s="1658"/>
      <c r="J580" s="1659"/>
      <c r="K580" s="1643">
        <v>35</v>
      </c>
      <c r="L580" s="1644"/>
      <c r="M580" s="1644"/>
      <c r="N580" s="1644"/>
      <c r="O580" s="1644"/>
      <c r="P580" s="1645"/>
      <c r="Q580" s="1646">
        <f t="shared" si="6"/>
        <v>0</v>
      </c>
      <c r="R580" s="1647"/>
      <c r="S580" s="1647"/>
      <c r="T580" s="1647"/>
      <c r="U580" s="1647"/>
      <c r="V580" s="1648"/>
      <c r="W580" s="1649">
        <f t="shared" ref="W580:W586" si="7">IF(FLOOR(Q580,5)&gt;80,80,FLOOR(Q580,5))</f>
        <v>0</v>
      </c>
      <c r="X580" s="1650"/>
      <c r="Y580" s="1650"/>
      <c r="Z580" s="1650"/>
      <c r="AA580" s="1650"/>
      <c r="AB580" s="1651"/>
      <c r="AC580" s="1649">
        <f t="shared" si="4"/>
        <v>0</v>
      </c>
      <c r="AD580" s="1650"/>
      <c r="AE580" s="1650"/>
      <c r="AF580" s="1650"/>
      <c r="AG580" s="1650"/>
      <c r="AH580" s="1651"/>
      <c r="AN580" s="281"/>
      <c r="AO580" s="4">
        <v>3</v>
      </c>
      <c r="AP580" s="1643">
        <f t="shared" si="5"/>
        <v>0</v>
      </c>
      <c r="AQ580" s="1644"/>
      <c r="AR580" s="1644"/>
      <c r="AS580" s="1644"/>
      <c r="AT580" s="1645"/>
      <c r="AX580" s="1757">
        <f>IF(AP530=1,1,0)</f>
        <v>0</v>
      </c>
      <c r="AY580" s="1758"/>
      <c r="AZ580" s="1737"/>
      <c r="BA580" s="1738"/>
      <c r="BB580" s="1755"/>
      <c r="BC580" s="1756"/>
      <c r="BD580" s="1747">
        <f>IF(AND(T605&gt;0,AP530&gt;0),1,0)</f>
        <v>0</v>
      </c>
      <c r="BE580" s="1749"/>
      <c r="BF580" s="1755"/>
      <c r="BG580" s="1756"/>
      <c r="BH580" s="1747">
        <f>IF(AND(T605&gt;0,AP530&gt;0),1,0)</f>
        <v>0</v>
      </c>
      <c r="BI580" s="1749"/>
      <c r="BJ580" s="1755"/>
      <c r="BK580" s="1756"/>
      <c r="BL580" s="1747">
        <f>IF(AND(T605&gt;0,AP530&gt;0),1,0)</f>
        <v>0</v>
      </c>
      <c r="BM580" s="1749"/>
      <c r="BN580" s="1755"/>
      <c r="BO580" s="1756"/>
      <c r="BP580" s="1747">
        <f>IF(AND(T605&gt;0,AP530&gt;0),1,0)</f>
        <v>0</v>
      </c>
      <c r="BQ580" s="1749"/>
    </row>
    <row r="581" spans="2:69" s="4" customFormat="1" ht="12.75" customHeight="1">
      <c r="E581" s="1657">
        <v>4</v>
      </c>
      <c r="F581" s="1658"/>
      <c r="G581" s="1658"/>
      <c r="H581" s="1658"/>
      <c r="I581" s="1658"/>
      <c r="J581" s="1659"/>
      <c r="K581" s="1643">
        <v>40</v>
      </c>
      <c r="L581" s="1644"/>
      <c r="M581" s="1644"/>
      <c r="N581" s="1644"/>
      <c r="O581" s="1644"/>
      <c r="P581" s="1645"/>
      <c r="Q581" s="1646">
        <f t="shared" si="6"/>
        <v>10.526315789473683</v>
      </c>
      <c r="R581" s="1647"/>
      <c r="S581" s="1647"/>
      <c r="T581" s="1647"/>
      <c r="U581" s="1647"/>
      <c r="V581" s="1648"/>
      <c r="W581" s="1649">
        <f t="shared" si="7"/>
        <v>10</v>
      </c>
      <c r="X581" s="1650"/>
      <c r="Y581" s="1650"/>
      <c r="Z581" s="1650"/>
      <c r="AA581" s="1650"/>
      <c r="AB581" s="1651"/>
      <c r="AC581" s="1649">
        <f t="shared" si="4"/>
        <v>10</v>
      </c>
      <c r="AD581" s="1650"/>
      <c r="AE581" s="1650"/>
      <c r="AF581" s="1650"/>
      <c r="AG581" s="1650"/>
      <c r="AH581" s="1651"/>
      <c r="AN581" s="281"/>
      <c r="AO581" s="4">
        <v>2</v>
      </c>
      <c r="AP581" s="1643">
        <f t="shared" si="5"/>
        <v>0</v>
      </c>
      <c r="AQ581" s="1644"/>
      <c r="AR581" s="1644"/>
      <c r="AS581" s="1644"/>
      <c r="AT581" s="1645"/>
      <c r="AX581" s="1755"/>
      <c r="AY581" s="1756"/>
      <c r="AZ581" s="1737"/>
      <c r="BA581" s="1738"/>
      <c r="BB581" s="1757">
        <f>IF(AP531=1,1,0)</f>
        <v>0</v>
      </c>
      <c r="BC581" s="1758"/>
      <c r="BD581" s="1737"/>
      <c r="BE581" s="1738"/>
      <c r="BF581" s="1755"/>
      <c r="BG581" s="1756"/>
      <c r="BH581" s="1747">
        <f>IF(AND(T606&gt;0,AP531&gt;0),1,0)</f>
        <v>1</v>
      </c>
      <c r="BI581" s="1749"/>
      <c r="BJ581" s="1755"/>
      <c r="BK581" s="1756"/>
      <c r="BL581" s="1747">
        <f>IF(AND(T606&gt;0,AP531&gt;0),1,0)</f>
        <v>1</v>
      </c>
      <c r="BM581" s="1749"/>
      <c r="BN581" s="1755"/>
      <c r="BO581" s="1756"/>
      <c r="BP581" s="1747">
        <f>IF(AND(T606&gt;0,AP531&gt;0),1,0)</f>
        <v>1</v>
      </c>
      <c r="BQ581" s="1749"/>
    </row>
    <row r="582" spans="2:69" s="4" customFormat="1" ht="12.75" customHeight="1">
      <c r="E582" s="1657"/>
      <c r="F582" s="1658"/>
      <c r="G582" s="1658"/>
      <c r="H582" s="1658"/>
      <c r="I582" s="1658"/>
      <c r="J582" s="1659"/>
      <c r="K582" s="1643">
        <v>45</v>
      </c>
      <c r="L582" s="1644"/>
      <c r="M582" s="1644"/>
      <c r="N582" s="1644"/>
      <c r="O582" s="1644"/>
      <c r="P582" s="1645"/>
      <c r="Q582" s="1646">
        <f t="shared" si="6"/>
        <v>0</v>
      </c>
      <c r="R582" s="1647"/>
      <c r="S582" s="1647"/>
      <c r="T582" s="1647"/>
      <c r="U582" s="1647"/>
      <c r="V582" s="1648"/>
      <c r="W582" s="1649">
        <f>IF(FLOOR(Q582,5)&gt;65,65,FLOOR(Q582,5))</f>
        <v>0</v>
      </c>
      <c r="X582" s="1650"/>
      <c r="Y582" s="1650"/>
      <c r="Z582" s="1650"/>
      <c r="AA582" s="1650"/>
      <c r="AB582" s="1651"/>
      <c r="AC582" s="1649">
        <f t="shared" si="4"/>
        <v>0</v>
      </c>
      <c r="AD582" s="1650"/>
      <c r="AE582" s="1650"/>
      <c r="AF582" s="1650"/>
      <c r="AG582" s="1650"/>
      <c r="AH582" s="1651"/>
      <c r="AN582" s="281"/>
      <c r="AO582" s="4">
        <v>1</v>
      </c>
      <c r="AP582" s="1643">
        <f t="shared" si="5"/>
        <v>0</v>
      </c>
      <c r="AQ582" s="1644"/>
      <c r="AR582" s="1644"/>
      <c r="AS582" s="1644"/>
      <c r="AT582" s="1645"/>
      <c r="AX582" s="1755"/>
      <c r="AY582" s="1756"/>
      <c r="AZ582" s="1737"/>
      <c r="BA582" s="1738"/>
      <c r="BB582" s="1755"/>
      <c r="BC582" s="1756"/>
      <c r="BD582" s="1737"/>
      <c r="BE582" s="1738"/>
      <c r="BF582" s="1757">
        <f>IF(AP532=1,1,0)</f>
        <v>0</v>
      </c>
      <c r="BG582" s="1758"/>
      <c r="BH582" s="1737"/>
      <c r="BI582" s="1738"/>
      <c r="BJ582" s="1755"/>
      <c r="BK582" s="1756"/>
      <c r="BL582" s="1747">
        <f>IF(AND(T607&gt;0,AP532&gt;0),1,0)</f>
        <v>1</v>
      </c>
      <c r="BM582" s="1749"/>
      <c r="BN582" s="1755"/>
      <c r="BO582" s="1756"/>
      <c r="BP582" s="1747">
        <f>IF(AND(T607&gt;0,AP532&gt;0),1,0)</f>
        <v>1</v>
      </c>
      <c r="BQ582" s="1749"/>
    </row>
    <row r="583" spans="2:69" s="4" customFormat="1" ht="12.75" customHeight="1">
      <c r="E583" s="1657">
        <v>2</v>
      </c>
      <c r="F583" s="1658"/>
      <c r="G583" s="1658"/>
      <c r="H583" s="1658"/>
      <c r="I583" s="1658"/>
      <c r="J583" s="1659"/>
      <c r="K583" s="1643">
        <v>50</v>
      </c>
      <c r="L583" s="1644"/>
      <c r="M583" s="1644"/>
      <c r="N583" s="1644"/>
      <c r="O583" s="1644"/>
      <c r="P583" s="1645"/>
      <c r="Q583" s="1646">
        <f t="shared" si="6"/>
        <v>5.2631578947368416</v>
      </c>
      <c r="R583" s="1647"/>
      <c r="S583" s="1647"/>
      <c r="T583" s="1647"/>
      <c r="U583" s="1647"/>
      <c r="V583" s="1648"/>
      <c r="W583" s="1649">
        <f>IF(FLOOR(Q583,5)&gt;40,40,FLOOR(Q583,5))</f>
        <v>5</v>
      </c>
      <c r="X583" s="1650"/>
      <c r="Y583" s="1650"/>
      <c r="Z583" s="1650"/>
      <c r="AA583" s="1650"/>
      <c r="AB583" s="1651"/>
      <c r="AC583" s="1649">
        <f t="shared" si="4"/>
        <v>0</v>
      </c>
      <c r="AD583" s="1650"/>
      <c r="AE583" s="1650"/>
      <c r="AF583" s="1650"/>
      <c r="AG583" s="1650"/>
      <c r="AH583" s="1651"/>
      <c r="AN583" s="281"/>
      <c r="AO583" s="4">
        <v>0</v>
      </c>
      <c r="AP583" s="1643">
        <f t="shared" si="5"/>
        <v>0</v>
      </c>
      <c r="AQ583" s="1644"/>
      <c r="AR583" s="1644"/>
      <c r="AS583" s="1644"/>
      <c r="AT583" s="1645"/>
      <c r="AX583" s="1755"/>
      <c r="AY583" s="1756"/>
      <c r="AZ583" s="1737"/>
      <c r="BA583" s="1738"/>
      <c r="BB583" s="1755"/>
      <c r="BC583" s="1756"/>
      <c r="BD583" s="1737"/>
      <c r="BE583" s="1738"/>
      <c r="BF583" s="1755"/>
      <c r="BG583" s="1756"/>
      <c r="BH583" s="1737"/>
      <c r="BI583" s="1738"/>
      <c r="BJ583" s="1757">
        <f>IF(AP533=1,1,0)</f>
        <v>0</v>
      </c>
      <c r="BK583" s="1758"/>
      <c r="BL583" s="1755"/>
      <c r="BM583" s="1756"/>
      <c r="BN583" s="1755"/>
      <c r="BO583" s="1756"/>
      <c r="BP583" s="1747">
        <f>IF(AND(T608&gt;0,AP533&gt;0),1,0)</f>
        <v>1</v>
      </c>
      <c r="BQ583" s="1749"/>
    </row>
    <row r="584" spans="2:69" s="4" customFormat="1" ht="12.75" customHeight="1">
      <c r="E584" s="1729"/>
      <c r="F584" s="1730"/>
      <c r="G584" s="1730"/>
      <c r="H584" s="1730"/>
      <c r="I584" s="1730"/>
      <c r="J584" s="1731"/>
      <c r="K584" s="1725">
        <f>IF(OR(Application!D211="Rural",Application!D211="Rural apportionment (Section 514)",Application!D211="Rural apportionment (Section 515)",Application!D211="Rural apportionment (HOME)",Application!D211="Rural (Native American apportionment)"),50,0)</f>
        <v>0</v>
      </c>
      <c r="L584" s="1726"/>
      <c r="M584" s="1727" t="s">
        <v>1925</v>
      </c>
      <c r="N584" s="1727"/>
      <c r="O584" s="1727"/>
      <c r="P584" s="1728"/>
      <c r="Q584" s="1646">
        <f t="shared" si="6"/>
        <v>0</v>
      </c>
      <c r="R584" s="1647"/>
      <c r="S584" s="1647"/>
      <c r="T584" s="1647"/>
      <c r="U584" s="1647"/>
      <c r="V584" s="1648"/>
      <c r="W584" s="1649">
        <f>IF(FLOOR(Q584,5)&gt;50,50,FLOOR(Q584,5))</f>
        <v>0</v>
      </c>
      <c r="X584" s="1650"/>
      <c r="Y584" s="1650"/>
      <c r="Z584" s="1650"/>
      <c r="AA584" s="1650"/>
      <c r="AB584" s="1651"/>
      <c r="AC584" s="1649">
        <f>IFERROR(IF(W584&gt;0,INDEX($AT$504:$BA$518,MATCH(W584,$AS$504:$AS$518,0),MATCH(K584,$AT$503:$BA$503,0)),0),0)</f>
        <v>0</v>
      </c>
      <c r="AD584" s="1650"/>
      <c r="AE584" s="1650"/>
      <c r="AF584" s="1650"/>
      <c r="AG584" s="1650"/>
      <c r="AH584" s="1651"/>
      <c r="AN584" s="281"/>
      <c r="AP584" s="1643"/>
      <c r="AQ584" s="1644"/>
      <c r="AR584" s="1644"/>
      <c r="AS584" s="1644"/>
      <c r="AT584" s="1645"/>
      <c r="AX584" s="1755"/>
      <c r="AY584" s="1756"/>
      <c r="AZ584" s="1737"/>
      <c r="BA584" s="1738"/>
      <c r="BB584" s="1755"/>
      <c r="BC584" s="1756"/>
      <c r="BD584" s="1737"/>
      <c r="BE584" s="1738"/>
      <c r="BF584" s="1755"/>
      <c r="BG584" s="1756"/>
      <c r="BH584" s="1737"/>
      <c r="BI584" s="1738"/>
      <c r="BJ584" s="1755"/>
      <c r="BK584" s="1756"/>
      <c r="BL584" s="1755"/>
      <c r="BM584" s="1756"/>
      <c r="BN584" s="1757">
        <f>IF(AP534=1,1,0)</f>
        <v>1</v>
      </c>
      <c r="BO584" s="1758"/>
      <c r="BP584" s="1737"/>
      <c r="BQ584" s="1738"/>
    </row>
    <row r="585" spans="2:69" s="4" customFormat="1" ht="12.75" customHeight="1">
      <c r="E585" s="1729"/>
      <c r="F585" s="1730"/>
      <c r="G585" s="1730"/>
      <c r="H585" s="1730"/>
      <c r="I585" s="1730"/>
      <c r="J585" s="1731"/>
      <c r="K585" s="1725">
        <f>IF(OR(Application!D211="Rural",Application!D211="Rural apportionment (Section 514)",Application!D211="Rural apportionment (Section 515)",Application!D211="Rural apportionment (HOME)",Application!D211="Rural (Native American apportionment)"),55,0)</f>
        <v>0</v>
      </c>
      <c r="L585" s="1726"/>
      <c r="M585" s="1727" t="s">
        <v>1925</v>
      </c>
      <c r="N585" s="1727"/>
      <c r="O585" s="1727"/>
      <c r="P585" s="1728"/>
      <c r="Q585" s="1646">
        <f t="shared" si="6"/>
        <v>0</v>
      </c>
      <c r="R585" s="1647"/>
      <c r="S585" s="1647"/>
      <c r="T585" s="1647"/>
      <c r="U585" s="1647"/>
      <c r="V585" s="1648"/>
      <c r="W585" s="1649">
        <f>IF(FLOOR(Q585,5)&gt;40,40,FLOOR(Q585,5))</f>
        <v>0</v>
      </c>
      <c r="X585" s="1650"/>
      <c r="Y585" s="1650"/>
      <c r="Z585" s="1650"/>
      <c r="AA585" s="1650"/>
      <c r="AB585" s="1651"/>
      <c r="AC585" s="1649">
        <f>IFERROR(IF(W585&gt;0,INDEX($AT$504:$BA$518,MATCH(W585,$AS$504:$AS$518,0),MATCH(K585,$AT$503:$BA$503,0)),0),0)</f>
        <v>0</v>
      </c>
      <c r="AD585" s="1650"/>
      <c r="AE585" s="1650"/>
      <c r="AF585" s="1650"/>
      <c r="AG585" s="1650"/>
      <c r="AH585" s="1651"/>
      <c r="AN585" s="281"/>
      <c r="AX585" s="1757">
        <f>SUM(AX580:AY584)</f>
        <v>0</v>
      </c>
      <c r="AY585" s="1758"/>
      <c r="AZ585" s="1747">
        <f>SUM(AZ581:BA584)</f>
        <v>0</v>
      </c>
      <c r="BA585" s="1749"/>
      <c r="BB585" s="1757">
        <f>SUM(BB581:BC584)</f>
        <v>0</v>
      </c>
      <c r="BC585" s="1758"/>
      <c r="BD585" s="1747">
        <f>SUM(BD580:BE584)</f>
        <v>0</v>
      </c>
      <c r="BE585" s="1749"/>
      <c r="BF585" s="1757">
        <f>SUM(BF582:BG584)</f>
        <v>0</v>
      </c>
      <c r="BG585" s="1758"/>
      <c r="BH585" s="1747">
        <f>SUM(BH580:BI584)</f>
        <v>1</v>
      </c>
      <c r="BI585" s="1749"/>
      <c r="BJ585" s="1757">
        <f>SUM(BJ580:BK584)</f>
        <v>0</v>
      </c>
      <c r="BK585" s="1758"/>
      <c r="BL585" s="1747">
        <f>SUM(BL580:BM584)</f>
        <v>2</v>
      </c>
      <c r="BM585" s="1749"/>
      <c r="BN585" s="1757">
        <f>SUM(BN580:BO584)</f>
        <v>1</v>
      </c>
      <c r="BO585" s="1758"/>
      <c r="BP585" s="1747">
        <f>SUM(BP580:BQ584)</f>
        <v>3</v>
      </c>
      <c r="BQ585" s="1749"/>
    </row>
    <row r="586" spans="2:69" s="4" customFormat="1" ht="12.75" customHeight="1">
      <c r="E586" s="1657">
        <v>17</v>
      </c>
      <c r="F586" s="1658"/>
      <c r="G586" s="1658"/>
      <c r="H586" s="1658"/>
      <c r="I586" s="1658"/>
      <c r="J586" s="1659"/>
      <c r="K586" s="1643" t="s">
        <v>2245</v>
      </c>
      <c r="L586" s="1644"/>
      <c r="M586" s="1644"/>
      <c r="N586" s="1644"/>
      <c r="O586" s="1644"/>
      <c r="P586" s="1645"/>
      <c r="Q586" s="1646">
        <f t="shared" si="6"/>
        <v>44.736842105263158</v>
      </c>
      <c r="R586" s="1647"/>
      <c r="S586" s="1647"/>
      <c r="T586" s="1647"/>
      <c r="U586" s="1647"/>
      <c r="V586" s="1648"/>
      <c r="W586" s="1649">
        <f t="shared" si="7"/>
        <v>40</v>
      </c>
      <c r="X586" s="1650"/>
      <c r="Y586" s="1650"/>
      <c r="Z586" s="1650"/>
      <c r="AA586" s="1650"/>
      <c r="AB586" s="1651"/>
      <c r="AC586" s="1649">
        <v>0</v>
      </c>
      <c r="AD586" s="1650"/>
      <c r="AE586" s="1650"/>
      <c r="AF586" s="1650"/>
      <c r="AG586" s="1650"/>
      <c r="AH586" s="1651"/>
      <c r="AN586" s="281"/>
      <c r="AX586" s="1752">
        <f>IF(AND(AX585=1,AZ585&gt;1),1,0)</f>
        <v>0</v>
      </c>
      <c r="AY586" s="1753"/>
      <c r="AZ586" s="1753"/>
      <c r="BA586" s="1754"/>
      <c r="BB586" s="1752">
        <f>IF(AND(BB585=1,BD585&gt;=1),1,0)</f>
        <v>0</v>
      </c>
      <c r="BC586" s="1753"/>
      <c r="BD586" s="1753"/>
      <c r="BE586" s="1754"/>
      <c r="BF586" s="1752">
        <f>IF(AND(BF585=1,BH585&gt;=1),1,0)</f>
        <v>0</v>
      </c>
      <c r="BG586" s="1753"/>
      <c r="BH586" s="1753"/>
      <c r="BI586" s="1754"/>
      <c r="BJ586" s="1752">
        <f>IF(AND(BJ585=1,BL585&gt;=1),1,0)</f>
        <v>0</v>
      </c>
      <c r="BK586" s="1753"/>
      <c r="BL586" s="1753"/>
      <c r="BM586" s="1754"/>
      <c r="BN586" s="1752">
        <f>IF(AND(BN585=1,BP585&gt;=1),1,0)</f>
        <v>1</v>
      </c>
      <c r="BO586" s="1753"/>
      <c r="BP586" s="1753"/>
      <c r="BQ586" s="1754"/>
    </row>
    <row r="587" spans="2:69" s="4" customFormat="1" ht="12.75" customHeight="1">
      <c r="E587" s="954"/>
      <c r="F587" s="955"/>
      <c r="G587" s="955"/>
      <c r="H587" s="955"/>
      <c r="I587" s="955"/>
      <c r="J587" s="956"/>
      <c r="K587" s="1643" t="s">
        <v>2246</v>
      </c>
      <c r="L587" s="1644"/>
      <c r="M587" s="1644"/>
      <c r="N587" s="1644"/>
      <c r="O587" s="1644"/>
      <c r="P587" s="1645"/>
      <c r="Q587" s="1646">
        <f>IF(ISERROR(IF((((E587/$BJ$525)*100)&gt;100),"EXCESSIVE VALUE",(E587/$BJ$525)*100)),0,IF((((E587/$BJ$525)*100)&gt;100),"EXCESSIVE VALUE",(E587/$BJ$525)*100))</f>
        <v>0</v>
      </c>
      <c r="R587" s="1647"/>
      <c r="S587" s="1647"/>
      <c r="T587" s="1647"/>
      <c r="U587" s="1647"/>
      <c r="V587" s="1648"/>
      <c r="W587" s="1649">
        <f>IF(FLOOR(Q587,5)&gt;80,80,FLOOR(Q587,5))</f>
        <v>0</v>
      </c>
      <c r="X587" s="1650"/>
      <c r="Y587" s="1650"/>
      <c r="Z587" s="1650"/>
      <c r="AA587" s="1650"/>
      <c r="AB587" s="1651"/>
      <c r="AC587" s="1649">
        <v>0</v>
      </c>
      <c r="AD587" s="1650"/>
      <c r="AE587" s="1650"/>
      <c r="AF587" s="1650"/>
      <c r="AG587" s="1650"/>
      <c r="AH587" s="1651"/>
      <c r="AN587" s="281"/>
      <c r="AX587"/>
      <c r="AY587"/>
      <c r="AZ587"/>
      <c r="BA587"/>
      <c r="BB587"/>
      <c r="BC587"/>
      <c r="BD587"/>
      <c r="BE587"/>
      <c r="BF587"/>
      <c r="BG587"/>
      <c r="BH587"/>
      <c r="BI587" s="34" t="s">
        <v>645</v>
      </c>
      <c r="BJ587" s="1752">
        <f>AX586+BB586+BF586+BJ586+BN586</f>
        <v>1</v>
      </c>
      <c r="BK587" s="1753"/>
      <c r="BL587" s="1753"/>
      <c r="BM587" s="1754"/>
      <c r="BN587"/>
      <c r="BO587"/>
      <c r="BP587"/>
      <c r="BQ587"/>
    </row>
    <row r="588" spans="2:69" s="4" customFormat="1" ht="12.75" customHeight="1">
      <c r="E588" s="954"/>
      <c r="F588" s="955"/>
      <c r="G588" s="955"/>
      <c r="H588" s="955"/>
      <c r="I588" s="955"/>
      <c r="J588" s="956"/>
      <c r="K588" s="1643" t="s">
        <v>2247</v>
      </c>
      <c r="L588" s="1644"/>
      <c r="M588" s="1644"/>
      <c r="N588" s="1644"/>
      <c r="O588" s="1644"/>
      <c r="P588" s="1645"/>
      <c r="Q588" s="1646">
        <f>IF(ISERROR(IF((((E588/$BJ$525)*100)&gt;100),"EXCESSIVE VALUE",(E588/$BJ$525)*100)),0,IF((((E588/$BJ$525)*100)&gt;100),"EXCESSIVE VALUE",(E588/$BJ$525)*100))</f>
        <v>0</v>
      </c>
      <c r="R588" s="1647"/>
      <c r="S588" s="1647"/>
      <c r="T588" s="1647"/>
      <c r="U588" s="1647"/>
      <c r="V588" s="1648"/>
      <c r="W588" s="1649">
        <f>IF(FLOOR(Q588,5)&gt;80,80,FLOOR(Q588,5))</f>
        <v>0</v>
      </c>
      <c r="X588" s="1650"/>
      <c r="Y588" s="1650"/>
      <c r="Z588" s="1650"/>
      <c r="AA588" s="1650"/>
      <c r="AB588" s="1651"/>
      <c r="AC588" s="1649">
        <v>0</v>
      </c>
      <c r="AD588" s="1650"/>
      <c r="AE588" s="1650"/>
      <c r="AF588" s="1650"/>
      <c r="AG588" s="1650"/>
      <c r="AH588" s="1651"/>
      <c r="AN588" s="281"/>
      <c r="AX588"/>
      <c r="AY588"/>
      <c r="AZ588"/>
      <c r="BA588"/>
      <c r="BB588"/>
      <c r="BC588"/>
      <c r="BD588"/>
      <c r="BE588"/>
      <c r="BF588"/>
      <c r="BG588"/>
      <c r="BI588"/>
      <c r="BJ588" t="s">
        <v>644</v>
      </c>
      <c r="BK588"/>
      <c r="BL588"/>
      <c r="BM588"/>
      <c r="BN588"/>
      <c r="BO588"/>
      <c r="BP588"/>
      <c r="BQ588"/>
    </row>
    <row r="589" spans="2:69" s="4" customFormat="1" ht="12.75" customHeight="1">
      <c r="E589" s="1702">
        <f>SUM(E578:J588)</f>
        <v>38</v>
      </c>
      <c r="F589" s="1703"/>
      <c r="G589" s="1703"/>
      <c r="H589" s="1703"/>
      <c r="I589" s="1703"/>
      <c r="J589" s="1704"/>
      <c r="K589" s="89"/>
      <c r="L589" s="89"/>
      <c r="M589" s="89"/>
      <c r="N589" s="89"/>
      <c r="O589" s="89"/>
      <c r="P589" s="89"/>
      <c r="Q589" s="89"/>
      <c r="R589" s="89"/>
      <c r="S589" s="89"/>
      <c r="T589" s="89"/>
      <c r="U589" s="93"/>
      <c r="V589" s="93"/>
      <c r="W589" s="93"/>
      <c r="X589" s="93"/>
      <c r="Y589" s="93"/>
      <c r="Z589" s="89"/>
      <c r="AA589" s="93"/>
      <c r="AB589" s="60" t="s">
        <v>640</v>
      </c>
      <c r="AC589" s="1832">
        <f>IF(SUM(AC578:AH588)&gt;0,SUM(AC578:AH588),0)</f>
        <v>60</v>
      </c>
      <c r="AD589" s="1833"/>
      <c r="AE589" s="1833"/>
      <c r="AF589" s="1833"/>
      <c r="AG589" s="1833"/>
      <c r="AH589" s="1834"/>
      <c r="AK589" s="5"/>
      <c r="AL589" s="5"/>
      <c r="AM589" s="33"/>
      <c r="AN589" s="281"/>
    </row>
    <row r="590" spans="2:69" s="4" customFormat="1" ht="12.75" customHeight="1">
      <c r="E590" s="322"/>
      <c r="F590" s="320"/>
      <c r="G590" s="320"/>
      <c r="H590" s="320"/>
      <c r="I590" s="320"/>
      <c r="J590" s="320"/>
      <c r="K590" s="5"/>
      <c r="L590" s="5"/>
      <c r="M590" s="5"/>
      <c r="N590" s="5"/>
      <c r="O590" s="5"/>
      <c r="P590" s="5"/>
      <c r="Q590" s="5"/>
      <c r="R590" s="5"/>
      <c r="S590" s="5"/>
      <c r="T590" s="5"/>
      <c r="Z590" s="5"/>
      <c r="AB590" s="62"/>
      <c r="AC590" s="321"/>
      <c r="AD590" s="321"/>
      <c r="AE590" s="321"/>
      <c r="AF590" s="321"/>
      <c r="AG590" s="321"/>
      <c r="AH590" s="321"/>
      <c r="AK590" s="5"/>
      <c r="AL590" s="5"/>
      <c r="AM590" s="33"/>
      <c r="AN590" s="281"/>
    </row>
    <row r="591" spans="2:69" s="4" customFormat="1" ht="12.75" customHeight="1">
      <c r="AK591" s="5"/>
      <c r="AL591" s="5"/>
      <c r="AM591" s="5"/>
      <c r="AN591" s="281"/>
    </row>
    <row r="592" spans="2:69" s="4" customFormat="1" ht="12.75" customHeight="1">
      <c r="B592" s="128" t="s">
        <v>2038</v>
      </c>
      <c r="AG592" s="1675" t="s">
        <v>111</v>
      </c>
      <c r="AH592" s="1675"/>
      <c r="AI592" s="1675"/>
      <c r="AJ592" s="1675"/>
      <c r="AK592" s="5"/>
      <c r="AL592" s="5"/>
      <c r="AM592" s="5"/>
      <c r="AN592" s="281"/>
    </row>
    <row r="593" spans="1:60" s="4" customFormat="1" ht="12.75" customHeight="1">
      <c r="B593" s="1855" t="s">
        <v>2235</v>
      </c>
      <c r="C593" s="1855"/>
      <c r="D593" s="1855"/>
      <c r="E593" s="1855"/>
      <c r="F593" s="1855"/>
      <c r="G593" s="1855"/>
      <c r="H593" s="1855"/>
      <c r="I593" s="1855"/>
      <c r="J593" s="1855"/>
      <c r="K593" s="1855"/>
      <c r="L593" s="1855"/>
      <c r="M593" s="1855"/>
      <c r="N593" s="1855"/>
      <c r="O593" s="1855"/>
      <c r="P593" s="1855"/>
      <c r="Q593" s="1855"/>
      <c r="R593" s="1855"/>
      <c r="S593" s="1855"/>
      <c r="T593" s="1855"/>
      <c r="U593" s="1855"/>
      <c r="V593" s="1855"/>
      <c r="W593" s="1855"/>
      <c r="X593" s="1855"/>
      <c r="Y593" s="1855"/>
      <c r="Z593" s="1855"/>
      <c r="AA593" s="1855"/>
      <c r="AB593" s="1855"/>
      <c r="AC593" s="1855"/>
      <c r="AD593" s="1855"/>
      <c r="AE593" s="1855"/>
      <c r="AF593" s="1855"/>
      <c r="AG593" s="1855"/>
      <c r="AH593" s="1855"/>
      <c r="AI593" s="21"/>
      <c r="AJ593" s="21"/>
      <c r="AK593"/>
      <c r="AL593"/>
      <c r="AM593"/>
      <c r="AN593" s="281"/>
    </row>
    <row r="594" spans="1:60" s="4" customFormat="1" ht="12.75" customHeight="1">
      <c r="A594" s="21"/>
      <c r="B594" s="1855"/>
      <c r="C594" s="1855"/>
      <c r="D594" s="1855"/>
      <c r="E594" s="1855"/>
      <c r="F594" s="1855"/>
      <c r="G594" s="1855"/>
      <c r="H594" s="1855"/>
      <c r="I594" s="1855"/>
      <c r="J594" s="1855"/>
      <c r="K594" s="1855"/>
      <c r="L594" s="1855"/>
      <c r="M594" s="1855"/>
      <c r="N594" s="1855"/>
      <c r="O594" s="1855"/>
      <c r="P594" s="1855"/>
      <c r="Q594" s="1855"/>
      <c r="R594" s="1855"/>
      <c r="S594" s="1855"/>
      <c r="T594" s="1855"/>
      <c r="U594" s="1855"/>
      <c r="V594" s="1855"/>
      <c r="W594" s="1855"/>
      <c r="X594" s="1855"/>
      <c r="Y594" s="1855"/>
      <c r="Z594" s="1855"/>
      <c r="AA594" s="1855"/>
      <c r="AB594" s="1855"/>
      <c r="AC594" s="1855"/>
      <c r="AD594" s="1855"/>
      <c r="AE594" s="1855"/>
      <c r="AF594" s="1855"/>
      <c r="AG594" s="1855"/>
      <c r="AH594" s="1855"/>
      <c r="AI594" s="21"/>
      <c r="AJ594" s="21"/>
      <c r="AK594"/>
      <c r="AL594"/>
      <c r="AM594"/>
      <c r="AN594" s="281"/>
    </row>
    <row r="595" spans="1:60" s="4" customFormat="1" ht="12.75" customHeight="1">
      <c r="A595" s="21"/>
      <c r="B595" s="1855"/>
      <c r="C595" s="1855"/>
      <c r="D595" s="1855"/>
      <c r="E595" s="1855"/>
      <c r="F595" s="1855"/>
      <c r="G595" s="1855"/>
      <c r="H595" s="1855"/>
      <c r="I595" s="1855"/>
      <c r="J595" s="1855"/>
      <c r="K595" s="1855"/>
      <c r="L595" s="1855"/>
      <c r="M595" s="1855"/>
      <c r="N595" s="1855"/>
      <c r="O595" s="1855"/>
      <c r="P595" s="1855"/>
      <c r="Q595" s="1855"/>
      <c r="R595" s="1855"/>
      <c r="S595" s="1855"/>
      <c r="T595" s="1855"/>
      <c r="U595" s="1855"/>
      <c r="V595" s="1855"/>
      <c r="W595" s="1855"/>
      <c r="X595" s="1855"/>
      <c r="Y595" s="1855"/>
      <c r="Z595" s="1855"/>
      <c r="AA595" s="1855"/>
      <c r="AB595" s="1855"/>
      <c r="AC595" s="1855"/>
      <c r="AD595" s="1855"/>
      <c r="AE595" s="1855"/>
      <c r="AF595" s="1855"/>
      <c r="AG595" s="1855"/>
      <c r="AH595" s="1855"/>
      <c r="AI595" s="21"/>
      <c r="AJ595" s="21"/>
      <c r="AK595"/>
      <c r="AL595"/>
      <c r="AM595"/>
      <c r="AN595" s="281"/>
    </row>
    <row r="596" spans="1:60" s="4" customFormat="1" ht="12.75" customHeight="1">
      <c r="A596" s="21"/>
      <c r="B596" s="1855"/>
      <c r="C596" s="1855"/>
      <c r="D596" s="1855"/>
      <c r="E596" s="1855"/>
      <c r="F596" s="1855"/>
      <c r="G596" s="1855"/>
      <c r="H596" s="1855"/>
      <c r="I596" s="1855"/>
      <c r="J596" s="1855"/>
      <c r="K596" s="1855"/>
      <c r="L596" s="1855"/>
      <c r="M596" s="1855"/>
      <c r="N596" s="1855"/>
      <c r="O596" s="1855"/>
      <c r="P596" s="1855"/>
      <c r="Q596" s="1855"/>
      <c r="R596" s="1855"/>
      <c r="S596" s="1855"/>
      <c r="T596" s="1855"/>
      <c r="U596" s="1855"/>
      <c r="V596" s="1855"/>
      <c r="W596" s="1855"/>
      <c r="X596" s="1855"/>
      <c r="Y596" s="1855"/>
      <c r="Z596" s="1855"/>
      <c r="AA596" s="1855"/>
      <c r="AB596" s="1855"/>
      <c r="AC596" s="1855"/>
      <c r="AD596" s="1855"/>
      <c r="AE596" s="1855"/>
      <c r="AF596" s="1855"/>
      <c r="AG596" s="1855"/>
      <c r="AH596" s="1855"/>
      <c r="AI596" s="21"/>
      <c r="AJ596" s="21"/>
      <c r="AK596"/>
      <c r="AL596"/>
      <c r="AM596"/>
      <c r="AN596" s="676"/>
    </row>
    <row r="597" spans="1:60">
      <c r="B597" s="1855"/>
      <c r="C597" s="1855"/>
      <c r="D597" s="1855"/>
      <c r="E597" s="1855"/>
      <c r="F597" s="1855"/>
      <c r="G597" s="1855"/>
      <c r="H597" s="1855"/>
      <c r="I597" s="1855"/>
      <c r="J597" s="1855"/>
      <c r="K597" s="1855"/>
      <c r="L597" s="1855"/>
      <c r="M597" s="1855"/>
      <c r="N597" s="1855"/>
      <c r="O597" s="1855"/>
      <c r="P597" s="1855"/>
      <c r="Q597" s="1855"/>
      <c r="R597" s="1855"/>
      <c r="S597" s="1855"/>
      <c r="T597" s="1855"/>
      <c r="U597" s="1855"/>
      <c r="V597" s="1855"/>
      <c r="W597" s="1855"/>
      <c r="X597" s="1855"/>
      <c r="Y597" s="1855"/>
      <c r="Z597" s="1855"/>
      <c r="AA597" s="1855"/>
      <c r="AB597" s="1855"/>
      <c r="AC597" s="1855"/>
      <c r="AD597" s="1855"/>
      <c r="AE597" s="1855"/>
      <c r="AF597" s="1855"/>
      <c r="AG597" s="1855"/>
      <c r="AH597" s="1855"/>
      <c r="AK597"/>
      <c r="AL597"/>
      <c r="AM597"/>
      <c r="BD597" s="21"/>
      <c r="BE597" s="21"/>
      <c r="BF597" s="21"/>
      <c r="BG597" s="21"/>
      <c r="BH597" s="21"/>
    </row>
    <row r="598" spans="1:60" ht="12.75" customHeight="1">
      <c r="B598" s="1855"/>
      <c r="C598" s="1855"/>
      <c r="D598" s="1855"/>
      <c r="E598" s="1855"/>
      <c r="F598" s="1855"/>
      <c r="G598" s="1855"/>
      <c r="H598" s="1855"/>
      <c r="I598" s="1855"/>
      <c r="J598" s="1855"/>
      <c r="K598" s="1855"/>
      <c r="L598" s="1855"/>
      <c r="M598" s="1855"/>
      <c r="N598" s="1855"/>
      <c r="O598" s="1855"/>
      <c r="P598" s="1855"/>
      <c r="Q598" s="1855"/>
      <c r="R598" s="1855"/>
      <c r="S598" s="1855"/>
      <c r="T598" s="1855"/>
      <c r="U598" s="1855"/>
      <c r="V598" s="1855"/>
      <c r="W598" s="1855"/>
      <c r="X598" s="1855"/>
      <c r="Y598" s="1855"/>
      <c r="Z598" s="1855"/>
      <c r="AA598" s="1855"/>
      <c r="AB598" s="1855"/>
      <c r="AC598" s="1855"/>
      <c r="AD598" s="1855"/>
      <c r="AE598" s="1855"/>
      <c r="AF598" s="1855"/>
      <c r="AG598" s="1855"/>
      <c r="AH598" s="1855"/>
    </row>
    <row r="599" spans="1:60" ht="12.75" customHeight="1">
      <c r="E599" s="162"/>
    </row>
    <row r="600" spans="1:60">
      <c r="J600" s="1793" t="s">
        <v>832</v>
      </c>
      <c r="K600" s="1794"/>
      <c r="L600" s="1794"/>
      <c r="M600" s="1794"/>
      <c r="N600" s="1795"/>
      <c r="O600" s="1124" t="s">
        <v>1571</v>
      </c>
      <c r="P600" s="1125"/>
      <c r="Q600" s="1125"/>
      <c r="R600" s="1125"/>
      <c r="S600" s="1126"/>
      <c r="T600" s="1124" t="s">
        <v>1841</v>
      </c>
      <c r="U600" s="1125"/>
      <c r="V600" s="1125"/>
      <c r="W600" s="1125"/>
      <c r="X600" s="1126"/>
      <c r="Y600" s="1124" t="s">
        <v>1572</v>
      </c>
      <c r="Z600" s="1125"/>
      <c r="AA600" s="1125"/>
      <c r="AB600" s="1125"/>
      <c r="AC600" s="1126"/>
      <c r="AF600"/>
      <c r="AG600"/>
      <c r="AH600"/>
      <c r="AI600"/>
      <c r="AJ600"/>
    </row>
    <row r="601" spans="1:60">
      <c r="D601"/>
      <c r="E601"/>
      <c r="F601"/>
      <c r="G601"/>
      <c r="H601"/>
      <c r="I601"/>
      <c r="J601" s="1796"/>
      <c r="K601" s="1797"/>
      <c r="L601" s="1797"/>
      <c r="M601" s="1797"/>
      <c r="N601" s="1798"/>
      <c r="O601" s="1127"/>
      <c r="P601" s="1128"/>
      <c r="Q601" s="1128"/>
      <c r="R601" s="1128"/>
      <c r="S601" s="1129"/>
      <c r="T601" s="1127"/>
      <c r="U601" s="1128"/>
      <c r="V601" s="1128"/>
      <c r="W601" s="1128"/>
      <c r="X601" s="1129"/>
      <c r="Y601" s="1127"/>
      <c r="Z601" s="1128"/>
      <c r="AA601" s="1128"/>
      <c r="AB601" s="1128"/>
      <c r="AC601" s="1129"/>
      <c r="AF601"/>
      <c r="AG601"/>
      <c r="AH601"/>
      <c r="AI601"/>
      <c r="AJ601"/>
    </row>
    <row r="602" spans="1:60">
      <c r="I602"/>
      <c r="J602" s="1796"/>
      <c r="K602" s="1797"/>
      <c r="L602" s="1797"/>
      <c r="M602" s="1797"/>
      <c r="N602" s="1798"/>
      <c r="O602" s="1127"/>
      <c r="P602" s="1128"/>
      <c r="Q602" s="1128"/>
      <c r="R602" s="1128"/>
      <c r="S602" s="1129"/>
      <c r="T602" s="1127"/>
      <c r="U602" s="1128"/>
      <c r="V602" s="1128"/>
      <c r="W602" s="1128"/>
      <c r="X602" s="1129"/>
      <c r="Y602" s="1127"/>
      <c r="Z602" s="1128"/>
      <c r="AA602" s="1128"/>
      <c r="AB602" s="1128"/>
      <c r="AC602" s="1129"/>
      <c r="AD602"/>
      <c r="AF602"/>
      <c r="AG602"/>
      <c r="AH602"/>
      <c r="AI602"/>
      <c r="AJ602"/>
    </row>
    <row r="603" spans="1:60">
      <c r="D603"/>
      <c r="E603"/>
      <c r="F603"/>
      <c r="G603"/>
      <c r="H603"/>
      <c r="I603"/>
      <c r="J603" s="1796"/>
      <c r="K603" s="1797"/>
      <c r="L603" s="1797"/>
      <c r="M603" s="1797"/>
      <c r="N603" s="1798"/>
      <c r="O603" s="1127"/>
      <c r="P603" s="1128"/>
      <c r="Q603" s="1128"/>
      <c r="R603" s="1128"/>
      <c r="S603" s="1129"/>
      <c r="T603" s="1127"/>
      <c r="U603" s="1128"/>
      <c r="V603" s="1128"/>
      <c r="W603" s="1128"/>
      <c r="X603" s="1129"/>
      <c r="Y603" s="1127"/>
      <c r="Z603" s="1128"/>
      <c r="AA603" s="1128"/>
      <c r="AB603" s="1128"/>
      <c r="AC603" s="1129"/>
      <c r="AD603"/>
      <c r="AF603"/>
      <c r="AG603"/>
      <c r="AH603"/>
      <c r="AI603"/>
      <c r="AJ603"/>
    </row>
    <row r="604" spans="1:60">
      <c r="D604"/>
      <c r="E604"/>
      <c r="F604"/>
      <c r="G604"/>
      <c r="H604"/>
      <c r="I604"/>
      <c r="J604" s="1713" t="s">
        <v>239</v>
      </c>
      <c r="K604" s="1714"/>
      <c r="L604" s="1714"/>
      <c r="M604" s="1714"/>
      <c r="N604" s="1715"/>
      <c r="O604" s="1643">
        <f>Application!CM613</f>
        <v>0</v>
      </c>
      <c r="P604" s="1644"/>
      <c r="Q604" s="1644"/>
      <c r="R604" s="1644"/>
      <c r="S604" s="1645"/>
      <c r="T604" s="1643">
        <f>Application!DR614</f>
        <v>0</v>
      </c>
      <c r="U604" s="1644"/>
      <c r="V604" s="1644"/>
      <c r="W604" s="1644"/>
      <c r="X604" s="1645"/>
      <c r="Y604" s="1716">
        <f t="shared" ref="Y604:Y609" si="8">IF(T604&gt;0,T604/O604,0)</f>
        <v>0</v>
      </c>
      <c r="Z604" s="1717"/>
      <c r="AA604" s="1717"/>
      <c r="AB604" s="1717"/>
      <c r="AC604" s="1718"/>
      <c r="AD604"/>
      <c r="AF604"/>
      <c r="AG604"/>
      <c r="AH604"/>
      <c r="AI604"/>
      <c r="AJ604"/>
    </row>
    <row r="605" spans="1:60">
      <c r="D605"/>
      <c r="E605"/>
      <c r="F605"/>
      <c r="G605"/>
      <c r="H605"/>
      <c r="I605"/>
      <c r="J605" s="1713" t="s">
        <v>35</v>
      </c>
      <c r="K605" s="1714"/>
      <c r="L605" s="1714"/>
      <c r="M605" s="1714"/>
      <c r="N605" s="1715"/>
      <c r="O605" s="1643">
        <f>Application!CH613</f>
        <v>0</v>
      </c>
      <c r="P605" s="1644"/>
      <c r="Q605" s="1644"/>
      <c r="R605" s="1644"/>
      <c r="S605" s="1645"/>
      <c r="T605" s="1643">
        <f>Application!DM614</f>
        <v>0</v>
      </c>
      <c r="U605" s="1644"/>
      <c r="V605" s="1644"/>
      <c r="W605" s="1644"/>
      <c r="X605" s="1645"/>
      <c r="Y605" s="1716">
        <f t="shared" si="8"/>
        <v>0</v>
      </c>
      <c r="Z605" s="1717"/>
      <c r="AA605" s="1717"/>
      <c r="AB605" s="1717"/>
      <c r="AC605" s="1718"/>
      <c r="AD605"/>
      <c r="AF605"/>
      <c r="AG605"/>
      <c r="AH605"/>
      <c r="AI605"/>
      <c r="AJ605"/>
      <c r="AO605" s="4"/>
    </row>
    <row r="606" spans="1:60">
      <c r="D606"/>
      <c r="E606"/>
      <c r="F606"/>
      <c r="G606"/>
      <c r="H606"/>
      <c r="I606"/>
      <c r="J606" s="1713" t="s">
        <v>279</v>
      </c>
      <c r="K606" s="1714"/>
      <c r="L606" s="1714"/>
      <c r="M606" s="1714"/>
      <c r="N606" s="1715"/>
      <c r="O606" s="1643">
        <f>Application!CC613</f>
        <v>9</v>
      </c>
      <c r="P606" s="1644"/>
      <c r="Q606" s="1644"/>
      <c r="R606" s="1644"/>
      <c r="S606" s="1645"/>
      <c r="T606" s="1643">
        <f>Application!DH614</f>
        <v>1</v>
      </c>
      <c r="U606" s="1644"/>
      <c r="V606" s="1644"/>
      <c r="W606" s="1644"/>
      <c r="X606" s="1645"/>
      <c r="Y606" s="1716">
        <f t="shared" si="8"/>
        <v>0.1111111111111111</v>
      </c>
      <c r="Z606" s="1717"/>
      <c r="AA606" s="1717"/>
      <c r="AB606" s="1717"/>
      <c r="AC606" s="1718"/>
      <c r="AD606"/>
      <c r="AF606"/>
      <c r="AG606"/>
      <c r="AH606"/>
      <c r="AI606"/>
      <c r="AJ606"/>
    </row>
    <row r="607" spans="1:60">
      <c r="D607"/>
      <c r="E607"/>
      <c r="F607"/>
      <c r="G607"/>
      <c r="H607"/>
      <c r="I607"/>
      <c r="J607" s="1713" t="s">
        <v>278</v>
      </c>
      <c r="K607" s="1714"/>
      <c r="L607" s="1714"/>
      <c r="M607" s="1714"/>
      <c r="N607" s="1715"/>
      <c r="O607" s="1643">
        <f>Application!BX613</f>
        <v>10</v>
      </c>
      <c r="P607" s="1644"/>
      <c r="Q607" s="1644"/>
      <c r="R607" s="1644"/>
      <c r="S607" s="1645"/>
      <c r="T607" s="1643">
        <f>Application!DC614</f>
        <v>1</v>
      </c>
      <c r="U607" s="1644"/>
      <c r="V607" s="1644"/>
      <c r="W607" s="1644"/>
      <c r="X607" s="1645"/>
      <c r="Y607" s="1716">
        <f t="shared" si="8"/>
        <v>0.1</v>
      </c>
      <c r="Z607" s="1717"/>
      <c r="AA607" s="1717"/>
      <c r="AB607" s="1717"/>
      <c r="AC607" s="1718"/>
      <c r="AD607"/>
      <c r="AF607"/>
      <c r="AG607"/>
      <c r="AH607"/>
      <c r="AI607"/>
      <c r="AJ607"/>
    </row>
    <row r="608" spans="1:60">
      <c r="D608"/>
      <c r="E608"/>
      <c r="F608"/>
      <c r="G608"/>
      <c r="H608"/>
      <c r="I608"/>
      <c r="J608" s="1713" t="s">
        <v>277</v>
      </c>
      <c r="K608" s="1714"/>
      <c r="L608" s="1714"/>
      <c r="M608" s="1714"/>
      <c r="N608" s="1715"/>
      <c r="O608" s="1643">
        <f>Application!BS613</f>
        <v>7</v>
      </c>
      <c r="P608" s="1644"/>
      <c r="Q608" s="1644"/>
      <c r="R608" s="1644"/>
      <c r="S608" s="1645"/>
      <c r="T608" s="1643">
        <f>Application!CX614</f>
        <v>2</v>
      </c>
      <c r="U608" s="1644"/>
      <c r="V608" s="1644"/>
      <c r="W608" s="1644"/>
      <c r="X608" s="1645"/>
      <c r="Y608" s="1716">
        <f t="shared" si="8"/>
        <v>0.2857142857142857</v>
      </c>
      <c r="Z608" s="1717"/>
      <c r="AA608" s="1717"/>
      <c r="AB608" s="1717"/>
      <c r="AC608" s="1718"/>
      <c r="AD608"/>
      <c r="AF608"/>
      <c r="AG608"/>
      <c r="AH608"/>
      <c r="AI608"/>
      <c r="AJ608"/>
    </row>
    <row r="609" spans="1:60">
      <c r="D609"/>
      <c r="E609"/>
      <c r="F609"/>
      <c r="G609"/>
      <c r="H609"/>
      <c r="I609"/>
      <c r="J609" s="1713" t="s">
        <v>650</v>
      </c>
      <c r="K609" s="1714"/>
      <c r="L609" s="1714"/>
      <c r="M609" s="1714"/>
      <c r="N609" s="1715"/>
      <c r="O609" s="1643">
        <f>Application!BN613</f>
        <v>12</v>
      </c>
      <c r="P609" s="1644"/>
      <c r="Q609" s="1644"/>
      <c r="R609" s="1644"/>
      <c r="S609" s="1645"/>
      <c r="T609" s="1643">
        <f>Application!CS614</f>
        <v>11</v>
      </c>
      <c r="U609" s="1644"/>
      <c r="V609" s="1644"/>
      <c r="W609" s="1644"/>
      <c r="X609" s="1645"/>
      <c r="Y609" s="1716">
        <f t="shared" si="8"/>
        <v>0.91666666666666663</v>
      </c>
      <c r="Z609" s="1717"/>
      <c r="AA609" s="1717"/>
      <c r="AB609" s="1717"/>
      <c r="AC609" s="1718"/>
      <c r="AD609"/>
      <c r="AF609"/>
      <c r="AG609"/>
      <c r="AH609"/>
      <c r="AI609"/>
      <c r="AJ609"/>
    </row>
    <row r="610" spans="1:60">
      <c r="D610"/>
      <c r="E610"/>
      <c r="F610"/>
      <c r="G610"/>
      <c r="H610"/>
      <c r="I610"/>
      <c r="J610" s="1550" t="s">
        <v>916</v>
      </c>
      <c r="K610" s="1551"/>
      <c r="L610" s="1551"/>
      <c r="M610" s="1551"/>
      <c r="N610" s="1552"/>
      <c r="O610" s="1800">
        <f>SUM(O604:S609)</f>
        <v>38</v>
      </c>
      <c r="P610" s="1801"/>
      <c r="Q610" s="1801"/>
      <c r="R610" s="1801"/>
      <c r="S610" s="1802"/>
      <c r="T610" s="1800">
        <f>SUM(T604:X609)</f>
        <v>15</v>
      </c>
      <c r="U610" s="1801"/>
      <c r="V610" s="1801"/>
      <c r="W610" s="1801"/>
      <c r="X610" s="1802"/>
      <c r="Y610" s="1790" t="s">
        <v>246</v>
      </c>
      <c r="Z610" s="1791"/>
      <c r="AA610" s="1791"/>
      <c r="AB610" s="1791"/>
      <c r="AC610" s="1792"/>
      <c r="AD610"/>
      <c r="AF610"/>
      <c r="AG610"/>
      <c r="AH610"/>
      <c r="AI610"/>
      <c r="AJ610"/>
    </row>
    <row r="611" spans="1:60">
      <c r="D611"/>
      <c r="E611"/>
      <c r="F611"/>
      <c r="G611"/>
      <c r="H611"/>
      <c r="I611"/>
      <c r="J611"/>
      <c r="K611"/>
      <c r="L611"/>
      <c r="M611"/>
      <c r="N611"/>
      <c r="O611"/>
      <c r="P611"/>
      <c r="Q611"/>
      <c r="R611"/>
      <c r="S611"/>
      <c r="T611"/>
      <c r="U611"/>
      <c r="V611"/>
      <c r="W611"/>
      <c r="X611"/>
      <c r="Y611"/>
      <c r="Z611"/>
      <c r="AA611"/>
      <c r="AB611"/>
      <c r="AC611"/>
      <c r="AG611"/>
    </row>
    <row r="612" spans="1:60">
      <c r="A612" s="11"/>
      <c r="E612"/>
      <c r="F612"/>
      <c r="G612"/>
      <c r="H612"/>
      <c r="I612"/>
      <c r="AG612"/>
      <c r="BD612" s="21"/>
      <c r="BE612" s="21"/>
      <c r="BF612" s="21"/>
      <c r="BG612" s="21"/>
      <c r="BH612" s="21"/>
    </row>
    <row r="613" spans="1:60">
      <c r="A613" s="1091" t="s">
        <v>1575</v>
      </c>
      <c r="B613" s="1092"/>
      <c r="C613" s="1092"/>
      <c r="D613" s="1092"/>
      <c r="E613" s="1092"/>
      <c r="F613" s="1092"/>
      <c r="G613" s="1092"/>
      <c r="H613" s="1092"/>
      <c r="I613" s="1092"/>
      <c r="J613" s="1092"/>
      <c r="K613" s="1092"/>
      <c r="L613" s="1092"/>
      <c r="M613" s="1092"/>
      <c r="N613" s="1092"/>
      <c r="O613" s="1092"/>
      <c r="P613" s="1092"/>
      <c r="Q613" s="1092"/>
      <c r="R613" s="1092"/>
      <c r="S613" s="1092"/>
      <c r="T613" s="1092"/>
      <c r="U613" s="1092"/>
      <c r="V613" s="1092"/>
      <c r="W613" s="1092"/>
      <c r="X613" s="1092"/>
      <c r="Y613" s="1092"/>
      <c r="Z613" s="1092"/>
      <c r="AA613" s="1092"/>
      <c r="AB613" s="1092"/>
      <c r="AC613" s="1092"/>
      <c r="AD613" s="1092"/>
      <c r="AE613" s="1092"/>
      <c r="AF613" s="1092"/>
      <c r="AG613" s="1092"/>
      <c r="AH613" s="1092"/>
      <c r="AI613" s="1094"/>
      <c r="AJ613" s="1820">
        <v>2</v>
      </c>
      <c r="AK613" s="1821"/>
      <c r="BD613" s="21"/>
      <c r="BE613" s="21"/>
      <c r="BF613" s="21"/>
      <c r="BG613" s="21"/>
      <c r="BH613" s="21"/>
    </row>
    <row r="614" spans="1:60">
      <c r="A614" s="7"/>
      <c r="B614" s="173"/>
      <c r="C614" s="173"/>
      <c r="D614" s="4"/>
      <c r="E614" s="4"/>
      <c r="F614" s="4"/>
      <c r="G614" s="4"/>
      <c r="H614" s="4"/>
      <c r="I614" s="4"/>
      <c r="J614" s="4"/>
      <c r="K614" s="4"/>
      <c r="L614" s="4"/>
      <c r="M614" s="4"/>
      <c r="N614" s="4"/>
      <c r="O614" s="4"/>
      <c r="P614" s="4"/>
      <c r="Q614" s="4"/>
      <c r="R614" s="4"/>
      <c r="S614" s="4"/>
      <c r="T614" s="4"/>
      <c r="U614" s="4"/>
      <c r="V614" s="4"/>
      <c r="W614" s="4"/>
      <c r="X614" s="4"/>
      <c r="Y614" s="4"/>
      <c r="Z614" s="4"/>
      <c r="AA614" s="4"/>
      <c r="AB614" s="4"/>
      <c r="AC614" s="4"/>
      <c r="AD614" s="4"/>
      <c r="AE614" s="4"/>
      <c r="AF614" s="4"/>
      <c r="AG614" s="4"/>
      <c r="AH614" s="4"/>
      <c r="AI614" s="4"/>
      <c r="AJ614" s="4"/>
      <c r="AK614" s="4"/>
      <c r="AL614" s="4"/>
    </row>
    <row r="615" spans="1:60">
      <c r="A615" s="1799" t="s">
        <v>191</v>
      </c>
      <c r="B615" s="1799"/>
      <c r="C615" s="1799"/>
      <c r="D615" s="1799"/>
      <c r="E615" s="1799"/>
      <c r="F615" s="1799"/>
      <c r="G615" s="1799"/>
      <c r="H615" s="1799"/>
      <c r="I615" s="1799"/>
      <c r="J615" s="1799"/>
      <c r="K615" s="1799"/>
      <c r="L615" s="1799"/>
      <c r="M615" s="1799"/>
      <c r="N615" s="1799"/>
      <c r="O615" s="1799"/>
      <c r="P615" s="1799"/>
      <c r="Q615" s="1799"/>
      <c r="R615" s="1799"/>
      <c r="S615" s="1799"/>
      <c r="T615" s="1799"/>
      <c r="U615" s="1799"/>
      <c r="V615" s="1799"/>
      <c r="W615" s="1799"/>
      <c r="X615" s="1799"/>
      <c r="Y615" s="1799"/>
      <c r="Z615" s="1799"/>
      <c r="AA615" s="1799"/>
      <c r="AB615" s="1799"/>
      <c r="AC615" s="1799"/>
      <c r="AD615" s="1799"/>
      <c r="AE615" s="1799"/>
      <c r="AF615" s="1799"/>
      <c r="AG615" s="1799"/>
      <c r="AH615" s="1799"/>
      <c r="AI615" s="1799"/>
      <c r="AJ615" s="1799"/>
      <c r="AK615" s="1240">
        <f>IF($AC$589=0,0,$AC$589+$AJ$613)</f>
        <v>62</v>
      </c>
      <c r="AL615" s="1241"/>
      <c r="AM615" s="1243"/>
      <c r="AO615" s="4"/>
    </row>
    <row r="616" spans="1:60" ht="13.7" customHeight="1">
      <c r="B616" s="4"/>
      <c r="C616" s="3"/>
      <c r="D616" s="4"/>
      <c r="E616" s="4"/>
      <c r="F616" s="4"/>
      <c r="G616" s="4"/>
      <c r="H616" s="4"/>
      <c r="I616" s="4"/>
      <c r="J616" s="4"/>
      <c r="K616" s="4"/>
      <c r="L616" s="4"/>
      <c r="M616" s="4"/>
      <c r="N616" s="4"/>
      <c r="O616" s="4"/>
      <c r="P616" s="4"/>
      <c r="Q616" s="4"/>
      <c r="R616" s="4"/>
      <c r="S616" s="4"/>
      <c r="T616" s="4"/>
      <c r="U616" s="4"/>
      <c r="V616" s="4"/>
      <c r="W616" s="4"/>
      <c r="X616" s="4"/>
      <c r="Y616" s="4"/>
      <c r="Z616" s="4"/>
      <c r="AA616" s="4"/>
      <c r="AB616" s="4"/>
      <c r="AC616" s="4"/>
      <c r="AD616" s="4"/>
      <c r="AE616" s="4"/>
      <c r="AF616" s="4"/>
      <c r="AG616" s="4"/>
      <c r="AH616" s="4"/>
      <c r="AI616" s="4"/>
      <c r="AJ616" s="4"/>
      <c r="AM616" s="4"/>
      <c r="AO616" s="4"/>
    </row>
    <row r="617" spans="1:60" ht="13.7" customHeight="1">
      <c r="A617" s="63" t="s">
        <v>2039</v>
      </c>
      <c r="B617" s="4"/>
      <c r="C617" s="3"/>
      <c r="D617" s="4"/>
      <c r="E617" s="4"/>
      <c r="F617" s="4"/>
      <c r="G617" s="4"/>
      <c r="H617" s="4"/>
      <c r="I617" s="4"/>
      <c r="J617" s="4"/>
      <c r="K617" s="4"/>
      <c r="L617" s="4"/>
      <c r="M617" s="4"/>
      <c r="N617" s="4"/>
      <c r="O617" s="4"/>
      <c r="P617" s="4"/>
      <c r="Q617" s="4"/>
      <c r="R617" s="4"/>
      <c r="S617" s="4"/>
      <c r="T617" s="4"/>
      <c r="U617" s="4"/>
      <c r="V617" s="4"/>
      <c r="W617" s="4"/>
      <c r="X617" s="4"/>
      <c r="Y617" s="4"/>
      <c r="Z617" s="4"/>
      <c r="AA617" s="4"/>
      <c r="AB617" s="4"/>
      <c r="AC617" s="4"/>
      <c r="AD617" s="4"/>
      <c r="AE617" s="4"/>
      <c r="AF617" s="4"/>
      <c r="AG617" s="4"/>
      <c r="AH617" s="4"/>
      <c r="AI617" s="4"/>
      <c r="AJ617" s="4"/>
      <c r="AK617" s="4"/>
      <c r="AL617" s="4"/>
      <c r="AM617" s="4"/>
    </row>
    <row r="618" spans="1:60" ht="22.7" customHeight="1">
      <c r="A618" s="18"/>
      <c r="AI618" s="19"/>
      <c r="AJ618" s="4"/>
      <c r="AK618" s="4"/>
      <c r="AL618" s="4"/>
      <c r="AM618" s="4"/>
    </row>
    <row r="619" spans="1:60">
      <c r="A619" s="20"/>
      <c r="B619" s="1664" t="s">
        <v>1576</v>
      </c>
      <c r="C619" s="1664"/>
      <c r="D619" s="1664"/>
      <c r="E619" s="1664"/>
      <c r="F619" s="1664"/>
      <c r="G619" s="1664"/>
      <c r="H619" s="1664"/>
      <c r="I619" s="1664"/>
      <c r="J619" s="1664"/>
      <c r="K619" s="1664"/>
      <c r="L619" s="1664"/>
      <c r="M619" s="1664"/>
      <c r="N619" s="1664"/>
      <c r="O619" s="1664"/>
      <c r="P619" s="1664"/>
      <c r="Q619" s="1664"/>
      <c r="R619" s="1664"/>
      <c r="S619" s="1664"/>
      <c r="T619" s="1664"/>
      <c r="U619" s="1664"/>
      <c r="V619" s="1664"/>
      <c r="W619" s="1664"/>
      <c r="X619" s="1664"/>
      <c r="Y619" s="1664"/>
      <c r="Z619" s="1664"/>
      <c r="AA619" s="1664"/>
      <c r="AB619" s="1664"/>
      <c r="AC619" s="1664"/>
      <c r="AD619" s="1664"/>
      <c r="AE619" s="1664"/>
      <c r="AF619" s="1664"/>
      <c r="AG619" s="1664"/>
      <c r="AH619" s="1664"/>
      <c r="AI619" s="19"/>
      <c r="AJ619" s="4"/>
      <c r="AK619" s="4"/>
      <c r="AL619" s="4"/>
      <c r="AM619" s="4"/>
    </row>
    <row r="620" spans="1:60">
      <c r="A620" s="4"/>
      <c r="B620" s="1664"/>
      <c r="C620" s="1664"/>
      <c r="D620" s="1664"/>
      <c r="E620" s="1664"/>
      <c r="F620" s="1664"/>
      <c r="G620" s="1664"/>
      <c r="H620" s="1664"/>
      <c r="I620" s="1664"/>
      <c r="J620" s="1664"/>
      <c r="K620" s="1664"/>
      <c r="L620" s="1664"/>
      <c r="M620" s="1664"/>
      <c r="N620" s="1664"/>
      <c r="O620" s="1664"/>
      <c r="P620" s="1664"/>
      <c r="Q620" s="1664"/>
      <c r="R620" s="1664"/>
      <c r="S620" s="1664"/>
      <c r="T620" s="1664"/>
      <c r="U620" s="1664"/>
      <c r="V620" s="1664"/>
      <c r="W620" s="1664"/>
      <c r="X620" s="1664"/>
      <c r="Y620" s="1664"/>
      <c r="Z620" s="1664"/>
      <c r="AA620" s="1664"/>
      <c r="AB620" s="1664"/>
      <c r="AC620" s="1664"/>
      <c r="AD620" s="1664"/>
      <c r="AE620" s="1664"/>
      <c r="AF620" s="1664"/>
      <c r="AG620" s="1664"/>
      <c r="AH620" s="1664"/>
      <c r="AI620" s="4"/>
      <c r="AJ620" s="4"/>
      <c r="AK620" s="4"/>
      <c r="AL620" s="4"/>
      <c r="AM620" s="4"/>
    </row>
    <row r="621" spans="1:60" ht="13.7" customHeight="1">
      <c r="A621" s="4"/>
      <c r="B621" s="35"/>
      <c r="C621" s="174" t="s">
        <v>184</v>
      </c>
      <c r="D621" s="4"/>
      <c r="E621" s="4"/>
      <c r="F621" s="162"/>
      <c r="G621" s="162"/>
      <c r="H621" s="162"/>
      <c r="I621" s="162"/>
      <c r="J621" s="162"/>
      <c r="K621" s="162"/>
      <c r="L621" s="162"/>
      <c r="M621" s="162"/>
      <c r="N621" s="162"/>
      <c r="O621" s="162"/>
      <c r="P621" s="162"/>
      <c r="Q621" s="162"/>
      <c r="R621" s="162"/>
      <c r="S621" s="162"/>
      <c r="T621" s="162"/>
      <c r="U621" s="162"/>
      <c r="V621" s="162"/>
      <c r="W621" s="162"/>
      <c r="X621" s="162"/>
      <c r="Y621" s="162"/>
      <c r="Z621" s="162"/>
      <c r="AA621" s="162"/>
      <c r="AB621" s="162"/>
      <c r="AC621" s="4"/>
      <c r="AD621" s="4"/>
      <c r="AE621" s="4"/>
      <c r="AF621" s="18"/>
      <c r="AG621" s="4"/>
      <c r="AH621" s="18" t="s">
        <v>388</v>
      </c>
      <c r="AI621" s="18"/>
      <c r="AJ621" s="18"/>
      <c r="AK621" s="18"/>
      <c r="AL621" s="18"/>
      <c r="AM621" s="4"/>
      <c r="AO621" s="4"/>
    </row>
    <row r="622" spans="1:60" ht="13.7" customHeight="1">
      <c r="A622" s="4"/>
      <c r="B622" s="35"/>
      <c r="C622" s="45"/>
      <c r="D622" s="4"/>
      <c r="E622" s="4"/>
      <c r="F622" s="4"/>
      <c r="G622" s="4"/>
      <c r="H622" s="4"/>
      <c r="I622" s="4"/>
      <c r="J622" s="4"/>
      <c r="K622" s="4"/>
      <c r="L622" s="4"/>
      <c r="M622" s="4"/>
      <c r="N622" s="4"/>
      <c r="O622" s="4"/>
      <c r="P622" s="4"/>
      <c r="Q622" s="4"/>
      <c r="R622" s="4"/>
      <c r="S622" s="4"/>
      <c r="T622" s="4"/>
      <c r="U622" s="4"/>
      <c r="V622" s="4"/>
      <c r="W622" s="4"/>
      <c r="X622" s="4"/>
      <c r="Y622" s="4"/>
      <c r="Z622" s="4"/>
      <c r="AA622" s="4"/>
      <c r="AB622" s="4"/>
      <c r="AC622" s="4"/>
      <c r="AD622" s="162"/>
      <c r="AE622" s="162"/>
      <c r="AF622" s="162"/>
      <c r="AG622" s="162"/>
      <c r="AH622" s="162"/>
      <c r="AI622" s="162"/>
      <c r="AJ622" s="4"/>
      <c r="AK622" s="4"/>
      <c r="AL622" s="4"/>
      <c r="AM622" s="4"/>
      <c r="AO622" s="4"/>
    </row>
    <row r="623" spans="1:60">
      <c r="A623" s="4"/>
      <c r="B623" s="20"/>
      <c r="C623" s="1113" t="s">
        <v>116</v>
      </c>
      <c r="D623" s="1113"/>
      <c r="E623" s="185"/>
      <c r="F623" s="1630" t="s">
        <v>2351</v>
      </c>
      <c r="G623" s="1631"/>
      <c r="H623" s="1631"/>
      <c r="I623" s="1631"/>
      <c r="J623" s="1631"/>
      <c r="K623" s="1631"/>
      <c r="L623" s="1631"/>
      <c r="M623" s="1631"/>
      <c r="N623" s="1631"/>
      <c r="O623" s="1631"/>
      <c r="P623" s="1631"/>
      <c r="Q623" s="1631"/>
      <c r="R623" s="1631"/>
      <c r="S623" s="1631"/>
      <c r="T623" s="1631"/>
      <c r="U623" s="1631"/>
      <c r="V623" s="1631"/>
      <c r="W623" s="1631"/>
      <c r="X623" s="1631"/>
      <c r="Y623" s="1631"/>
      <c r="Z623" s="1631"/>
      <c r="AA623" s="1631"/>
      <c r="AB623" s="1631"/>
      <c r="AC623" s="1631"/>
      <c r="AD623" s="1631"/>
      <c r="AE623" s="1632"/>
      <c r="AF623" s="175"/>
      <c r="AG623" s="1008" t="s">
        <v>981</v>
      </c>
      <c r="AH623" s="1008"/>
      <c r="AI623" s="1008"/>
      <c r="AJ623" s="1008"/>
      <c r="AK623" s="4"/>
      <c r="AL623" s="4"/>
      <c r="AM623" s="4"/>
      <c r="AO623" s="4"/>
      <c r="AP623" s="35"/>
    </row>
    <row r="624" spans="1:60">
      <c r="A624" s="4"/>
      <c r="B624" s="20"/>
      <c r="C624" s="45"/>
      <c r="D624" s="4"/>
      <c r="E624" s="185"/>
      <c r="F624" s="1633"/>
      <c r="G624" s="1634"/>
      <c r="H624" s="1634"/>
      <c r="I624" s="1634"/>
      <c r="J624" s="1634"/>
      <c r="K624" s="1634"/>
      <c r="L624" s="1634"/>
      <c r="M624" s="1634"/>
      <c r="N624" s="1634"/>
      <c r="O624" s="1634"/>
      <c r="P624" s="1634"/>
      <c r="Q624" s="1634"/>
      <c r="R624" s="1634"/>
      <c r="S624" s="1634"/>
      <c r="T624" s="1634"/>
      <c r="U624" s="1634"/>
      <c r="V624" s="1634"/>
      <c r="W624" s="1634"/>
      <c r="X624" s="1634"/>
      <c r="Y624" s="1634"/>
      <c r="Z624" s="1634"/>
      <c r="AA624" s="1634"/>
      <c r="AB624" s="1634"/>
      <c r="AC624" s="1634"/>
      <c r="AD624" s="1634"/>
      <c r="AE624" s="1635"/>
      <c r="AF624" s="175"/>
      <c r="AG624" s="175"/>
      <c r="AH624" s="175"/>
      <c r="AI624" s="175"/>
      <c r="AJ624" s="4"/>
      <c r="AK624" s="4"/>
      <c r="AL624" s="4"/>
      <c r="AM624" s="4"/>
    </row>
    <row r="625" spans="1:60" ht="13.7" customHeight="1">
      <c r="A625" s="4"/>
      <c r="B625" s="20"/>
      <c r="C625" s="45"/>
      <c r="D625" s="4"/>
      <c r="E625" s="185"/>
      <c r="F625" s="1636"/>
      <c r="G625" s="1637"/>
      <c r="H625" s="1637"/>
      <c r="I625" s="1637"/>
      <c r="J625" s="1637"/>
      <c r="K625" s="1637"/>
      <c r="L625" s="1637"/>
      <c r="M625" s="1637"/>
      <c r="N625" s="1637"/>
      <c r="O625" s="1637"/>
      <c r="P625" s="1637"/>
      <c r="Q625" s="1637"/>
      <c r="R625" s="1637"/>
      <c r="S625" s="1637"/>
      <c r="T625" s="1637"/>
      <c r="U625" s="1637"/>
      <c r="V625" s="1637"/>
      <c r="W625" s="1637"/>
      <c r="X625" s="1637"/>
      <c r="Y625" s="1637"/>
      <c r="Z625" s="1637"/>
      <c r="AA625" s="1637"/>
      <c r="AB625" s="1637"/>
      <c r="AC625" s="1637"/>
      <c r="AD625" s="1637"/>
      <c r="AE625" s="1638"/>
      <c r="AF625" s="175"/>
      <c r="AG625" s="175"/>
      <c r="AH625" s="175"/>
      <c r="AI625" s="175"/>
      <c r="AJ625" s="4"/>
      <c r="AK625" s="4"/>
      <c r="AL625" s="4"/>
      <c r="AM625" s="4"/>
    </row>
    <row r="626" spans="1:60" ht="13.7" customHeight="1">
      <c r="A626" s="4"/>
      <c r="B626" s="20"/>
      <c r="C626" s="45"/>
      <c r="D626" s="4"/>
      <c r="E626" s="185"/>
      <c r="F626" s="833"/>
      <c r="G626" s="833"/>
      <c r="H626" s="833"/>
      <c r="I626" s="833"/>
      <c r="J626" s="833"/>
      <c r="K626" s="833"/>
      <c r="L626" s="833"/>
      <c r="M626" s="833"/>
      <c r="N626" s="833"/>
      <c r="O626" s="833"/>
      <c r="P626" s="833"/>
      <c r="Q626" s="833"/>
      <c r="R626" s="833"/>
      <c r="S626" s="833"/>
      <c r="T626" s="833"/>
      <c r="U626" s="833"/>
      <c r="V626" s="833"/>
      <c r="W626" s="833"/>
      <c r="X626" s="833"/>
      <c r="Y626" s="833"/>
      <c r="Z626" s="833"/>
      <c r="AA626" s="833"/>
      <c r="AB626" s="833"/>
      <c r="AC626" s="833"/>
      <c r="AD626" s="833"/>
      <c r="AE626" s="4"/>
      <c r="AF626" s="175"/>
      <c r="AG626" s="175"/>
      <c r="AH626" s="175"/>
      <c r="AI626" s="175"/>
      <c r="AJ626" s="4"/>
      <c r="AK626" s="4"/>
      <c r="AL626" s="4"/>
      <c r="AM626" s="4"/>
    </row>
    <row r="627" spans="1:60" ht="13.7" customHeight="1">
      <c r="A627" s="4"/>
      <c r="B627" s="1664" t="s">
        <v>2356</v>
      </c>
      <c r="C627" s="1664"/>
      <c r="D627" s="1664"/>
      <c r="E627" s="1664"/>
      <c r="F627" s="1664"/>
      <c r="G627" s="1664"/>
      <c r="H627" s="1664"/>
      <c r="I627" s="1664"/>
      <c r="J627" s="1664"/>
      <c r="K627" s="1664"/>
      <c r="L627" s="1664"/>
      <c r="M627" s="1664"/>
      <c r="N627" s="1664"/>
      <c r="O627" s="1664"/>
      <c r="P627" s="1664"/>
      <c r="Q627" s="1664"/>
      <c r="R627" s="1664"/>
      <c r="S627" s="1664"/>
      <c r="T627" s="1664"/>
      <c r="U627" s="1664"/>
      <c r="V627" s="1664"/>
      <c r="W627" s="1664"/>
      <c r="X627" s="1664"/>
      <c r="Y627" s="1664"/>
      <c r="Z627" s="1664"/>
      <c r="AA627" s="1664"/>
      <c r="AB627" s="1664"/>
      <c r="AC627" s="1664"/>
      <c r="AD627" s="1664"/>
      <c r="AE627" s="1664"/>
      <c r="AF627" s="1664"/>
      <c r="AG627" s="1664"/>
      <c r="AH627" s="1664"/>
      <c r="AI627" s="175"/>
      <c r="AJ627" s="4"/>
      <c r="AK627" s="4"/>
      <c r="AL627" s="4"/>
      <c r="AM627" s="4"/>
      <c r="AN627" s="79"/>
    </row>
    <row r="628" spans="1:60" ht="13.7" customHeight="1">
      <c r="B628" s="1664"/>
      <c r="C628" s="1664"/>
      <c r="D628" s="1664"/>
      <c r="E628" s="1664"/>
      <c r="F628" s="1664"/>
      <c r="G628" s="1664"/>
      <c r="H628" s="1664"/>
      <c r="I628" s="1664"/>
      <c r="J628" s="1664"/>
      <c r="K628" s="1664"/>
      <c r="L628" s="1664"/>
      <c r="M628" s="1664"/>
      <c r="N628" s="1664"/>
      <c r="O628" s="1664"/>
      <c r="P628" s="1664"/>
      <c r="Q628" s="1664"/>
      <c r="R628" s="1664"/>
      <c r="S628" s="1664"/>
      <c r="T628" s="1664"/>
      <c r="U628" s="1664"/>
      <c r="V628" s="1664"/>
      <c r="W628" s="1664"/>
      <c r="X628" s="1664"/>
      <c r="Y628" s="1664"/>
      <c r="Z628" s="1664"/>
      <c r="AA628" s="1664"/>
      <c r="AB628" s="1664"/>
      <c r="AC628" s="1664"/>
      <c r="AD628" s="1664"/>
      <c r="AE628" s="1664"/>
      <c r="AF628" s="1664"/>
      <c r="AG628" s="1664"/>
      <c r="AH628" s="1664"/>
      <c r="AI628" s="162"/>
      <c r="AJ628" s="4"/>
      <c r="AK628" s="4"/>
      <c r="AL628" s="4"/>
      <c r="AM628" s="4"/>
      <c r="AN628" s="79"/>
      <c r="AR628" s="41"/>
    </row>
    <row r="629" spans="1:60" ht="13.7" customHeight="1">
      <c r="A629" s="4"/>
      <c r="B629" s="1664"/>
      <c r="C629" s="1664"/>
      <c r="D629" s="1664"/>
      <c r="E629" s="1664"/>
      <c r="F629" s="1664"/>
      <c r="G629" s="1664"/>
      <c r="H629" s="1664"/>
      <c r="I629" s="1664"/>
      <c r="J629" s="1664"/>
      <c r="K629" s="1664"/>
      <c r="L629" s="1664"/>
      <c r="M629" s="1664"/>
      <c r="N629" s="1664"/>
      <c r="O629" s="1664"/>
      <c r="P629" s="1664"/>
      <c r="Q629" s="1664"/>
      <c r="R629" s="1664"/>
      <c r="S629" s="1664"/>
      <c r="T629" s="1664"/>
      <c r="U629" s="1664"/>
      <c r="V629" s="1664"/>
      <c r="W629" s="1664"/>
      <c r="X629" s="1664"/>
      <c r="Y629" s="1664"/>
      <c r="Z629" s="1664"/>
      <c r="AA629" s="1664"/>
      <c r="AB629" s="1664"/>
      <c r="AC629" s="1664"/>
      <c r="AD629" s="1664"/>
      <c r="AE629" s="1664"/>
      <c r="AF629" s="1664"/>
      <c r="AG629" s="1664"/>
      <c r="AH629" s="1664"/>
      <c r="AI629" s="162"/>
      <c r="AJ629" s="4"/>
      <c r="AK629" s="4"/>
      <c r="AL629" s="4"/>
      <c r="AM629" s="4"/>
      <c r="AN629" s="79"/>
    </row>
    <row r="630" spans="1:60" ht="13.7" customHeight="1">
      <c r="A630" s="4"/>
      <c r="B630" s="1664"/>
      <c r="C630" s="1664"/>
      <c r="D630" s="1664"/>
      <c r="E630" s="1664"/>
      <c r="F630" s="1664"/>
      <c r="G630" s="1664"/>
      <c r="H630" s="1664"/>
      <c r="I630" s="1664"/>
      <c r="J630" s="1664"/>
      <c r="K630" s="1664"/>
      <c r="L630" s="1664"/>
      <c r="M630" s="1664"/>
      <c r="N630" s="1664"/>
      <c r="O630" s="1664"/>
      <c r="P630" s="1664"/>
      <c r="Q630" s="1664"/>
      <c r="R630" s="1664"/>
      <c r="S630" s="1664"/>
      <c r="T630" s="1664"/>
      <c r="U630" s="1664"/>
      <c r="V630" s="1664"/>
      <c r="W630" s="1664"/>
      <c r="X630" s="1664"/>
      <c r="Y630" s="1664"/>
      <c r="Z630" s="1664"/>
      <c r="AA630" s="1664"/>
      <c r="AB630" s="1664"/>
      <c r="AC630" s="1664"/>
      <c r="AD630" s="1664"/>
      <c r="AE630" s="1664"/>
      <c r="AF630" s="1664"/>
      <c r="AG630" s="1664"/>
      <c r="AH630" s="1664"/>
      <c r="AI630" s="162"/>
      <c r="AJ630" s="4"/>
      <c r="AK630" s="4"/>
      <c r="AL630" s="4"/>
      <c r="AM630" s="4"/>
      <c r="AN630" s="79"/>
    </row>
    <row r="631" spans="1:60" ht="13.7" customHeight="1">
      <c r="A631" s="4"/>
      <c r="B631" s="1664"/>
      <c r="C631" s="1664"/>
      <c r="D631" s="1664"/>
      <c r="E631" s="1664"/>
      <c r="F631" s="1664"/>
      <c r="G631" s="1664"/>
      <c r="H631" s="1664"/>
      <c r="I631" s="1664"/>
      <c r="J631" s="1664"/>
      <c r="K631" s="1664"/>
      <c r="L631" s="1664"/>
      <c r="M631" s="1664"/>
      <c r="N631" s="1664"/>
      <c r="O631" s="1664"/>
      <c r="P631" s="1664"/>
      <c r="Q631" s="1664"/>
      <c r="R631" s="1664"/>
      <c r="S631" s="1664"/>
      <c r="T631" s="1664"/>
      <c r="U631" s="1664"/>
      <c r="V631" s="1664"/>
      <c r="W631" s="1664"/>
      <c r="X631" s="1664"/>
      <c r="Y631" s="1664"/>
      <c r="Z631" s="1664"/>
      <c r="AA631" s="1664"/>
      <c r="AB631" s="1664"/>
      <c r="AC631" s="1664"/>
      <c r="AD631" s="1664"/>
      <c r="AE631" s="1664"/>
      <c r="AF631" s="1664"/>
      <c r="AG631" s="1664"/>
      <c r="AH631" s="1664"/>
      <c r="AI631" s="162"/>
      <c r="AJ631" s="4"/>
      <c r="AK631" s="4"/>
      <c r="AL631" s="4"/>
      <c r="AM631" s="4"/>
      <c r="AN631" s="79"/>
    </row>
    <row r="632" spans="1:60" ht="13.7" customHeight="1">
      <c r="A632" s="4"/>
      <c r="B632" s="1664"/>
      <c r="C632" s="1664"/>
      <c r="D632" s="1664"/>
      <c r="E632" s="1664"/>
      <c r="F632" s="1664"/>
      <c r="G632" s="1664"/>
      <c r="H632" s="1664"/>
      <c r="I632" s="1664"/>
      <c r="J632" s="1664"/>
      <c r="K632" s="1664"/>
      <c r="L632" s="1664"/>
      <c r="M632" s="1664"/>
      <c r="N632" s="1664"/>
      <c r="O632" s="1664"/>
      <c r="P632" s="1664"/>
      <c r="Q632" s="1664"/>
      <c r="R632" s="1664"/>
      <c r="S632" s="1664"/>
      <c r="T632" s="1664"/>
      <c r="U632" s="1664"/>
      <c r="V632" s="1664"/>
      <c r="W632" s="1664"/>
      <c r="X632" s="1664"/>
      <c r="Y632" s="1664"/>
      <c r="Z632" s="1664"/>
      <c r="AA632" s="1664"/>
      <c r="AB632" s="1664"/>
      <c r="AC632" s="1664"/>
      <c r="AD632" s="1664"/>
      <c r="AE632" s="1664"/>
      <c r="AF632" s="1664"/>
      <c r="AG632" s="1664"/>
      <c r="AH632" s="1664"/>
      <c r="AI632" s="162"/>
      <c r="AJ632" s="4"/>
      <c r="AK632" s="4"/>
      <c r="AL632" s="4"/>
      <c r="AM632" s="4"/>
      <c r="AN632" s="79"/>
    </row>
    <row r="633" spans="1:60" ht="13.7" customHeight="1">
      <c r="A633" s="4"/>
      <c r="B633" s="1664"/>
      <c r="C633" s="1664"/>
      <c r="D633" s="1664"/>
      <c r="E633" s="1664"/>
      <c r="F633" s="1664"/>
      <c r="G633" s="1664"/>
      <c r="H633" s="1664"/>
      <c r="I633" s="1664"/>
      <c r="J633" s="1664"/>
      <c r="K633" s="1664"/>
      <c r="L633" s="1664"/>
      <c r="M633" s="1664"/>
      <c r="N633" s="1664"/>
      <c r="O633" s="1664"/>
      <c r="P633" s="1664"/>
      <c r="Q633" s="1664"/>
      <c r="R633" s="1664"/>
      <c r="S633" s="1664"/>
      <c r="T633" s="1664"/>
      <c r="U633" s="1664"/>
      <c r="V633" s="1664"/>
      <c r="W633" s="1664"/>
      <c r="X633" s="1664"/>
      <c r="Y633" s="1664"/>
      <c r="Z633" s="1664"/>
      <c r="AA633" s="1664"/>
      <c r="AB633" s="1664"/>
      <c r="AC633" s="1664"/>
      <c r="AD633" s="1664"/>
      <c r="AE633" s="1664"/>
      <c r="AF633" s="1664"/>
      <c r="AG633" s="1664"/>
      <c r="AH633" s="1664"/>
      <c r="AI633" s="162"/>
      <c r="AJ633" s="4"/>
      <c r="AK633" s="4"/>
      <c r="AL633" s="4"/>
      <c r="AM633" s="4"/>
      <c r="AN633" s="79"/>
    </row>
    <row r="634" spans="1:60">
      <c r="A634" s="4"/>
      <c r="B634" s="1664"/>
      <c r="C634" s="1664"/>
      <c r="D634" s="1664"/>
      <c r="E634" s="1664"/>
      <c r="F634" s="1664"/>
      <c r="G634" s="1664"/>
      <c r="H634" s="1664"/>
      <c r="I634" s="1664"/>
      <c r="J634" s="1664"/>
      <c r="K634" s="1664"/>
      <c r="L634" s="1664"/>
      <c r="M634" s="1664"/>
      <c r="N634" s="1664"/>
      <c r="O634" s="1664"/>
      <c r="P634" s="1664"/>
      <c r="Q634" s="1664"/>
      <c r="R634" s="1664"/>
      <c r="S634" s="1664"/>
      <c r="T634" s="1664"/>
      <c r="U634" s="1664"/>
      <c r="V634" s="1664"/>
      <c r="W634" s="1664"/>
      <c r="X634" s="1664"/>
      <c r="Y634" s="1664"/>
      <c r="Z634" s="1664"/>
      <c r="AA634" s="1664"/>
      <c r="AB634" s="1664"/>
      <c r="AC634" s="1664"/>
      <c r="AD634" s="1664"/>
      <c r="AE634" s="1664"/>
      <c r="AF634" s="1664"/>
      <c r="AG634" s="1664"/>
      <c r="AH634" s="1664"/>
      <c r="AI634" s="162"/>
      <c r="AJ634" s="4"/>
      <c r="AK634" s="4"/>
      <c r="AL634" s="4"/>
      <c r="AM634" s="4"/>
      <c r="AN634" s="79"/>
    </row>
    <row r="635" spans="1:60">
      <c r="A635" s="4"/>
      <c r="B635" s="1664"/>
      <c r="C635" s="1664"/>
      <c r="D635" s="1664"/>
      <c r="E635" s="1664"/>
      <c r="F635" s="1664"/>
      <c r="G635" s="1664"/>
      <c r="H635" s="1664"/>
      <c r="I635" s="1664"/>
      <c r="J635" s="1664"/>
      <c r="K635" s="1664"/>
      <c r="L635" s="1664"/>
      <c r="M635" s="1664"/>
      <c r="N635" s="1664"/>
      <c r="O635" s="1664"/>
      <c r="P635" s="1664"/>
      <c r="Q635" s="1664"/>
      <c r="R635" s="1664"/>
      <c r="S635" s="1664"/>
      <c r="T635" s="1664"/>
      <c r="U635" s="1664"/>
      <c r="V635" s="1664"/>
      <c r="W635" s="1664"/>
      <c r="X635" s="1664"/>
      <c r="Y635" s="1664"/>
      <c r="Z635" s="1664"/>
      <c r="AA635" s="1664"/>
      <c r="AB635" s="1664"/>
      <c r="AC635" s="1664"/>
      <c r="AD635" s="1664"/>
      <c r="AE635" s="1664"/>
      <c r="AF635" s="1664"/>
      <c r="AG635" s="1664"/>
      <c r="AH635" s="1664"/>
      <c r="AI635" s="162"/>
      <c r="AJ635" s="4"/>
      <c r="AK635" s="4"/>
      <c r="AL635" s="4"/>
      <c r="AM635" s="4"/>
      <c r="AN635" s="79"/>
    </row>
    <row r="636" spans="1:60">
      <c r="A636" s="4"/>
      <c r="B636" s="1664"/>
      <c r="C636" s="1664"/>
      <c r="D636" s="1664"/>
      <c r="E636" s="1664"/>
      <c r="F636" s="1664"/>
      <c r="G636" s="1664"/>
      <c r="H636" s="1664"/>
      <c r="I636" s="1664"/>
      <c r="J636" s="1664"/>
      <c r="K636" s="1664"/>
      <c r="L636" s="1664"/>
      <c r="M636" s="1664"/>
      <c r="N636" s="1664"/>
      <c r="O636" s="1664"/>
      <c r="P636" s="1664"/>
      <c r="Q636" s="1664"/>
      <c r="R636" s="1664"/>
      <c r="S636" s="1664"/>
      <c r="T636" s="1664"/>
      <c r="U636" s="1664"/>
      <c r="V636" s="1664"/>
      <c r="W636" s="1664"/>
      <c r="X636" s="1664"/>
      <c r="Y636" s="1664"/>
      <c r="Z636" s="1664"/>
      <c r="AA636" s="1664"/>
      <c r="AB636" s="1664"/>
      <c r="AC636" s="1664"/>
      <c r="AD636" s="1664"/>
      <c r="AE636" s="1664"/>
      <c r="AF636" s="1664"/>
      <c r="AG636" s="1664"/>
      <c r="AH636" s="1664"/>
      <c r="AI636" s="162"/>
      <c r="AJ636" s="4"/>
      <c r="AK636" s="4"/>
      <c r="AL636" s="4"/>
      <c r="AM636" s="4"/>
      <c r="AN636" s="79"/>
    </row>
    <row r="637" spans="1:60">
      <c r="A637" s="4"/>
      <c r="B637" s="1664"/>
      <c r="C637" s="1664"/>
      <c r="D637" s="1664"/>
      <c r="E637" s="1664"/>
      <c r="F637" s="1664"/>
      <c r="G637" s="1664"/>
      <c r="H637" s="1664"/>
      <c r="I637" s="1664"/>
      <c r="J637" s="1664"/>
      <c r="K637" s="1664"/>
      <c r="L637" s="1664"/>
      <c r="M637" s="1664"/>
      <c r="N637" s="1664"/>
      <c r="O637" s="1664"/>
      <c r="P637" s="1664"/>
      <c r="Q637" s="1664"/>
      <c r="R637" s="1664"/>
      <c r="S637" s="1664"/>
      <c r="T637" s="1664"/>
      <c r="U637" s="1664"/>
      <c r="V637" s="1664"/>
      <c r="W637" s="1664"/>
      <c r="X637" s="1664"/>
      <c r="Y637" s="1664"/>
      <c r="Z637" s="1664"/>
      <c r="AA637" s="1664"/>
      <c r="AB637" s="1664"/>
      <c r="AC637" s="1664"/>
      <c r="AD637" s="1664"/>
      <c r="AE637" s="1664"/>
      <c r="AF637" s="1664"/>
      <c r="AG637" s="1664"/>
      <c r="AH637" s="1664"/>
      <c r="AI637" s="162"/>
      <c r="AJ637" s="4"/>
      <c r="AK637" s="4"/>
      <c r="AL637" s="4"/>
      <c r="AM637" s="4"/>
      <c r="AN637" s="79"/>
    </row>
    <row r="638" spans="1:60" s="651" customFormat="1" ht="12.6" customHeight="1">
      <c r="A638" s="4"/>
      <c r="B638" s="1664"/>
      <c r="C638" s="1664"/>
      <c r="D638" s="1664"/>
      <c r="E638" s="1664"/>
      <c r="F638" s="1664"/>
      <c r="G638" s="1664"/>
      <c r="H638" s="1664"/>
      <c r="I638" s="1664"/>
      <c r="J638" s="1664"/>
      <c r="K638" s="1664"/>
      <c r="L638" s="1664"/>
      <c r="M638" s="1664"/>
      <c r="N638" s="1664"/>
      <c r="O638" s="1664"/>
      <c r="P638" s="1664"/>
      <c r="Q638" s="1664"/>
      <c r="R638" s="1664"/>
      <c r="S638" s="1664"/>
      <c r="T638" s="1664"/>
      <c r="U638" s="1664"/>
      <c r="V638" s="1664"/>
      <c r="W638" s="1664"/>
      <c r="X638" s="1664"/>
      <c r="Y638" s="1664"/>
      <c r="Z638" s="1664"/>
      <c r="AA638" s="1664"/>
      <c r="AB638" s="1664"/>
      <c r="AC638" s="1664"/>
      <c r="AD638" s="1664"/>
      <c r="AE638" s="1664"/>
      <c r="AF638" s="1664"/>
      <c r="AG638" s="1664"/>
      <c r="AH638" s="1664"/>
      <c r="AI638" s="162"/>
      <c r="AJ638" s="4"/>
      <c r="AK638" s="4"/>
      <c r="AL638" s="4"/>
      <c r="AM638" s="4"/>
      <c r="AN638" s="685"/>
      <c r="BD638" s="653"/>
      <c r="BE638" s="653"/>
      <c r="BF638" s="653"/>
      <c r="BG638" s="653"/>
      <c r="BH638" s="653"/>
    </row>
    <row r="639" spans="1:60">
      <c r="A639" s="4"/>
      <c r="B639" s="1664"/>
      <c r="C639" s="1664"/>
      <c r="D639" s="1664"/>
      <c r="E639" s="1664"/>
      <c r="F639" s="1664"/>
      <c r="G639" s="1664"/>
      <c r="H639" s="1664"/>
      <c r="I639" s="1664"/>
      <c r="J639" s="1664"/>
      <c r="K639" s="1664"/>
      <c r="L639" s="1664"/>
      <c r="M639" s="1664"/>
      <c r="N639" s="1664"/>
      <c r="O639" s="1664"/>
      <c r="P639" s="1664"/>
      <c r="Q639" s="1664"/>
      <c r="R639" s="1664"/>
      <c r="S639" s="1664"/>
      <c r="T639" s="1664"/>
      <c r="U639" s="1664"/>
      <c r="V639" s="1664"/>
      <c r="W639" s="1664"/>
      <c r="X639" s="1664"/>
      <c r="Y639" s="1664"/>
      <c r="Z639" s="1664"/>
      <c r="AA639" s="1664"/>
      <c r="AB639" s="1664"/>
      <c r="AC639" s="1664"/>
      <c r="AD639" s="1664"/>
      <c r="AE639" s="1664"/>
      <c r="AF639" s="1664"/>
      <c r="AG639" s="1664"/>
      <c r="AH639" s="1664"/>
      <c r="AI639" s="176"/>
      <c r="AJ639" s="4"/>
      <c r="AK639" s="4"/>
      <c r="AL639" s="4"/>
      <c r="AM639" s="4"/>
      <c r="AN639" s="79"/>
      <c r="AO639" s="21"/>
    </row>
    <row r="640" spans="1:60">
      <c r="A640" s="26"/>
      <c r="B640" s="27"/>
      <c r="C640" s="27"/>
      <c r="D640" s="27"/>
      <c r="E640" s="27"/>
      <c r="F640" s="27"/>
      <c r="G640" s="27"/>
      <c r="H640" s="27"/>
      <c r="I640" s="27"/>
      <c r="J640" s="27"/>
      <c r="K640" s="27"/>
      <c r="L640" s="27"/>
      <c r="M640" s="27"/>
      <c r="N640" s="27"/>
      <c r="O640" s="27"/>
      <c r="P640" s="27"/>
      <c r="Q640" s="27"/>
      <c r="R640" s="27"/>
      <c r="S640" s="27"/>
      <c r="T640" s="27"/>
      <c r="U640" s="27"/>
      <c r="V640" s="27"/>
      <c r="W640" s="27"/>
      <c r="X640" s="27"/>
      <c r="Y640" s="27"/>
      <c r="Z640" s="27"/>
      <c r="AA640" s="27"/>
      <c r="AB640" s="27"/>
      <c r="AC640" s="27"/>
      <c r="AD640" s="27"/>
      <c r="AE640" s="27"/>
      <c r="AF640" s="27"/>
      <c r="AG640" s="27"/>
      <c r="AH640" s="27"/>
      <c r="AI640" s="27"/>
      <c r="AJ640" s="26"/>
      <c r="AK640" s="26"/>
      <c r="AL640" s="26"/>
      <c r="AM640" s="26"/>
      <c r="AN640" s="79"/>
    </row>
    <row r="641" spans="1:49">
      <c r="A641" s="92"/>
      <c r="B641" s="93"/>
      <c r="C641" s="93"/>
      <c r="D641" s="93"/>
      <c r="E641" s="93"/>
      <c r="F641" s="93"/>
      <c r="G641" s="93"/>
      <c r="H641" s="93"/>
      <c r="I641" s="93"/>
      <c r="J641" s="93"/>
      <c r="K641" s="93"/>
      <c r="L641" s="93"/>
      <c r="M641" s="93"/>
      <c r="N641" s="93"/>
      <c r="O641" s="93"/>
      <c r="P641" s="93"/>
      <c r="Q641" s="93"/>
      <c r="R641" s="93"/>
      <c r="S641" s="93"/>
      <c r="T641" s="93"/>
      <c r="U641" s="93"/>
      <c r="V641" s="93"/>
      <c r="W641" s="93"/>
      <c r="X641" s="93"/>
      <c r="Y641" s="93"/>
      <c r="Z641" s="93"/>
      <c r="AA641" s="93"/>
      <c r="AB641" s="93"/>
      <c r="AC641" s="93"/>
      <c r="AD641" s="93"/>
      <c r="AE641" s="93"/>
      <c r="AF641" s="93"/>
      <c r="AG641" s="93"/>
      <c r="AH641" s="93"/>
      <c r="AI641" s="60"/>
      <c r="AJ641" s="60" t="s">
        <v>192</v>
      </c>
      <c r="AK641" s="1240">
        <f>IF($C$623="yes",10,0)</f>
        <v>10</v>
      </c>
      <c r="AL641" s="1241"/>
      <c r="AM641" s="1243"/>
      <c r="AN641" s="79"/>
      <c r="AO641" s="4"/>
    </row>
    <row r="642" spans="1:49" ht="13.5" thickBot="1">
      <c r="A642" s="101"/>
      <c r="B642" s="101"/>
      <c r="C642" s="101"/>
      <c r="D642" s="101"/>
      <c r="E642" s="101"/>
      <c r="F642" s="101"/>
      <c r="G642" s="101"/>
      <c r="H642" s="101"/>
      <c r="I642" s="101"/>
      <c r="J642" s="101"/>
      <c r="K642" s="101"/>
      <c r="L642" s="101"/>
      <c r="M642" s="101"/>
      <c r="N642" s="101"/>
      <c r="O642" s="101"/>
      <c r="P642" s="101"/>
      <c r="Q642" s="101"/>
      <c r="R642" s="101"/>
      <c r="S642" s="101"/>
      <c r="T642" s="101"/>
      <c r="U642" s="101"/>
      <c r="V642" s="101"/>
      <c r="W642" s="101"/>
      <c r="X642" s="101"/>
      <c r="Y642" s="101"/>
      <c r="Z642" s="101"/>
      <c r="AA642" s="101"/>
      <c r="AB642" s="101"/>
      <c r="AC642" s="101"/>
      <c r="AD642" s="101"/>
      <c r="AE642" s="101"/>
      <c r="AF642" s="101"/>
      <c r="AG642" s="101"/>
      <c r="AH642" s="101"/>
      <c r="AI642" s="101"/>
      <c r="AJ642" s="101"/>
      <c r="AK642" s="101"/>
      <c r="AL642" s="101"/>
      <c r="AM642" s="101"/>
      <c r="AN642" s="79"/>
      <c r="AO642" s="21"/>
    </row>
    <row r="643" spans="1:49" ht="13.5" thickTop="1">
      <c r="AN643" s="79"/>
      <c r="AO643" s="21"/>
      <c r="AP643"/>
      <c r="AQ643" s="649"/>
      <c r="AR643"/>
      <c r="AS643"/>
      <c r="AT643"/>
      <c r="AU643"/>
      <c r="AV643" s="40"/>
      <c r="AW643" s="40"/>
    </row>
    <row r="644" spans="1:49">
      <c r="A644" s="128" t="s">
        <v>2040</v>
      </c>
      <c r="B644" s="186"/>
      <c r="C644" s="187"/>
      <c r="D644" s="187"/>
      <c r="E644" s="187"/>
      <c r="F644" s="187"/>
      <c r="G644" s="187"/>
      <c r="H644" s="187"/>
      <c r="I644" s="103"/>
      <c r="J644" s="103"/>
      <c r="K644" s="103"/>
      <c r="L644" s="103"/>
      <c r="M644" s="103"/>
      <c r="N644" s="103"/>
      <c r="O644" s="103"/>
      <c r="P644" s="103"/>
      <c r="Q644" s="103"/>
      <c r="S644" s="3"/>
      <c r="T644" s="3"/>
      <c r="U644" s="3"/>
      <c r="V644" s="3"/>
      <c r="W644" s="3"/>
      <c r="X644" s="3"/>
      <c r="Y644" s="3"/>
      <c r="Z644" s="3"/>
      <c r="AA644" s="3"/>
      <c r="AB644" s="3"/>
      <c r="AC644" s="3"/>
      <c r="AD644" s="3"/>
      <c r="AE644" s="4"/>
      <c r="AF644" s="4"/>
      <c r="AG644" s="3"/>
      <c r="AH644" s="18" t="s">
        <v>377</v>
      </c>
      <c r="AI644" s="3"/>
      <c r="AJ644" s="3"/>
      <c r="AK644" s="4"/>
      <c r="AL644" s="4"/>
      <c r="AM644" s="4"/>
      <c r="AN644" s="79"/>
      <c r="AO644" s="4">
        <f>IF($C$646="yes",2,0)</f>
        <v>2</v>
      </c>
      <c r="AQ644" s="649"/>
      <c r="AR644"/>
      <c r="AS644"/>
      <c r="AT644"/>
      <c r="AU644"/>
      <c r="AV644" s="40"/>
      <c r="AW644" s="40"/>
    </row>
    <row r="645" spans="1:49">
      <c r="B645" s="4"/>
      <c r="C645" s="128"/>
      <c r="D645" s="4"/>
      <c r="E645" s="4"/>
      <c r="F645" s="4"/>
      <c r="G645" s="4"/>
      <c r="H645" s="4"/>
      <c r="I645" s="4"/>
      <c r="J645" s="4"/>
      <c r="K645" s="4"/>
      <c r="L645" s="4"/>
      <c r="M645" s="4"/>
      <c r="N645" s="4"/>
      <c r="O645" s="4"/>
      <c r="P645" s="4"/>
      <c r="Q645" s="4"/>
      <c r="R645" s="4"/>
      <c r="S645" s="4"/>
      <c r="T645" s="4"/>
      <c r="U645" s="4"/>
      <c r="V645" s="4"/>
      <c r="W645" s="4"/>
      <c r="X645" s="4"/>
      <c r="Y645" s="4"/>
      <c r="Z645" s="4"/>
      <c r="AA645" s="4"/>
      <c r="AB645" s="4"/>
      <c r="AC645" s="4"/>
      <c r="AD645" s="4"/>
      <c r="AG645" s="4"/>
      <c r="AI645" s="4"/>
      <c r="AJ645" s="4"/>
      <c r="AK645" s="4"/>
      <c r="AL645" s="4"/>
      <c r="AM645" s="4"/>
      <c r="AN645" s="79"/>
      <c r="AO645" s="4">
        <f>IF($C$651="yes",2,0)</f>
        <v>0</v>
      </c>
      <c r="AQ645"/>
      <c r="AR645"/>
      <c r="AS645"/>
      <c r="AT645"/>
      <c r="AU645"/>
      <c r="AV645" s="40"/>
      <c r="AW645" s="40"/>
    </row>
    <row r="646" spans="1:49">
      <c r="C646" s="1113" t="s">
        <v>116</v>
      </c>
      <c r="D646" s="1113"/>
      <c r="E646" s="185" t="s">
        <v>611</v>
      </c>
      <c r="F646" s="19" t="s">
        <v>1845</v>
      </c>
      <c r="G646" s="4"/>
      <c r="H646" s="4"/>
      <c r="I646" s="4"/>
      <c r="J646" s="4"/>
      <c r="K646" s="4"/>
      <c r="L646" s="4"/>
      <c r="M646" s="4"/>
      <c r="N646" s="4"/>
      <c r="O646" s="4"/>
      <c r="P646" s="4"/>
      <c r="Q646" s="4"/>
      <c r="R646" s="4"/>
      <c r="S646" s="4"/>
      <c r="T646" s="4"/>
      <c r="U646" s="4"/>
      <c r="V646" s="4"/>
      <c r="W646" s="4"/>
      <c r="X646" s="4"/>
      <c r="Y646" s="4"/>
      <c r="Z646" s="4"/>
      <c r="AA646" s="4"/>
      <c r="AB646" s="4"/>
      <c r="AC646" s="4"/>
      <c r="AD646" s="4"/>
      <c r="AE646" s="4"/>
      <c r="AF646" s="4"/>
      <c r="AG646" s="3" t="s">
        <v>111</v>
      </c>
      <c r="AH646" s="4"/>
      <c r="AI646" s="4"/>
      <c r="AJ646" s="4"/>
      <c r="AK646" s="4"/>
      <c r="AL646" s="4"/>
      <c r="AM646" s="4"/>
      <c r="AN646" s="79"/>
      <c r="AO646" s="4">
        <f>IF($C$655="yes",2,0)</f>
        <v>0</v>
      </c>
      <c r="AQ646"/>
      <c r="AR646"/>
      <c r="AS646"/>
      <c r="AT646"/>
      <c r="AU646"/>
      <c r="AV646" s="40"/>
      <c r="AW646" s="40"/>
    </row>
    <row r="647" spans="1:49">
      <c r="A647" s="128"/>
      <c r="B647" s="20"/>
      <c r="F647" s="19" t="s">
        <v>1846</v>
      </c>
      <c r="G647" s="19"/>
      <c r="H647" s="19"/>
      <c r="I647" s="19"/>
      <c r="J647" s="19"/>
      <c r="K647" s="19"/>
      <c r="L647" s="19"/>
      <c r="M647" s="19"/>
      <c r="N647" s="19"/>
      <c r="O647" s="19"/>
      <c r="P647" s="19"/>
      <c r="Q647" s="19"/>
      <c r="R647" s="19"/>
      <c r="S647" s="19"/>
      <c r="T647" s="19"/>
      <c r="U647" s="19"/>
      <c r="V647" s="19"/>
      <c r="W647" s="19"/>
      <c r="X647" s="19"/>
      <c r="Y647" s="19"/>
      <c r="Z647" s="19"/>
      <c r="AA647" s="19"/>
      <c r="AB647" s="19"/>
      <c r="AC647" s="19"/>
      <c r="AD647" s="19"/>
      <c r="AE647" s="19"/>
      <c r="AF647" s="19"/>
      <c r="AH647" s="19"/>
      <c r="AI647" s="19"/>
      <c r="AJ647" s="4"/>
      <c r="AK647" s="4"/>
      <c r="AL647" s="4"/>
      <c r="AM647" s="4"/>
      <c r="AN647" s="79"/>
      <c r="AO647" s="4">
        <f>IF($C$659="yes",1,0)</f>
        <v>0</v>
      </c>
      <c r="AQ647"/>
      <c r="AR647"/>
      <c r="AS647"/>
      <c r="AT647"/>
      <c r="AU647"/>
      <c r="AV647" s="40"/>
      <c r="AW647" s="40"/>
    </row>
    <row r="648" spans="1:49">
      <c r="A648" s="4"/>
      <c r="B648" s="19"/>
      <c r="C648" s="4"/>
      <c r="D648" s="19"/>
      <c r="E648" s="4"/>
      <c r="F648" s="19" t="s">
        <v>1847</v>
      </c>
      <c r="G648" s="19"/>
      <c r="H648" s="19"/>
      <c r="I648" s="19"/>
      <c r="J648" s="19"/>
      <c r="K648" s="19"/>
      <c r="L648" s="19"/>
      <c r="M648" s="19"/>
      <c r="N648" s="19"/>
      <c r="O648" s="19"/>
      <c r="P648" s="19"/>
      <c r="Q648" s="19"/>
      <c r="R648" s="19"/>
      <c r="S648" s="19"/>
      <c r="T648" s="19"/>
      <c r="U648" s="19"/>
      <c r="V648" s="19"/>
      <c r="W648" s="19"/>
      <c r="X648" s="19"/>
      <c r="Y648" s="19"/>
      <c r="Z648" s="19"/>
      <c r="AA648" s="19"/>
      <c r="AB648" s="19"/>
      <c r="AC648" s="19"/>
      <c r="AD648" s="19"/>
      <c r="AE648" s="19"/>
      <c r="AF648" s="19"/>
      <c r="AG648" s="19"/>
      <c r="AH648" s="19"/>
      <c r="AI648" s="19"/>
      <c r="AJ648" s="4"/>
      <c r="AK648" s="4"/>
      <c r="AL648" s="4"/>
      <c r="AM648" s="4"/>
      <c r="AN648" s="79"/>
      <c r="AO648" s="4">
        <f>IF($C$661="yes",2,0)</f>
        <v>0</v>
      </c>
      <c r="AQ648"/>
      <c r="AR648"/>
      <c r="AS648"/>
      <c r="AT648"/>
      <c r="AU648"/>
      <c r="AV648" s="40"/>
      <c r="AW648" s="40"/>
    </row>
    <row r="649" spans="1:49">
      <c r="A649" s="4"/>
      <c r="B649" s="19"/>
      <c r="C649" s="19"/>
      <c r="D649" s="19"/>
      <c r="E649" s="19"/>
      <c r="F649" s="19" t="s">
        <v>1848</v>
      </c>
      <c r="G649" s="19"/>
      <c r="H649" s="19"/>
      <c r="I649" s="19"/>
      <c r="J649" s="19"/>
      <c r="K649" s="19"/>
      <c r="L649" s="19"/>
      <c r="M649" s="19"/>
      <c r="N649" s="19"/>
      <c r="O649" s="19"/>
      <c r="P649" s="19"/>
      <c r="Q649" s="19"/>
      <c r="R649" s="19"/>
      <c r="S649" s="19"/>
      <c r="T649" s="19"/>
      <c r="U649" s="19"/>
      <c r="V649" s="19"/>
      <c r="W649" s="19"/>
      <c r="X649" s="19"/>
      <c r="Y649" s="19"/>
      <c r="Z649" s="19"/>
      <c r="AA649" s="19"/>
      <c r="AB649" s="19"/>
      <c r="AC649" s="19"/>
      <c r="AD649" s="19"/>
      <c r="AE649" s="19"/>
      <c r="AF649" s="19"/>
      <c r="AG649" s="19"/>
      <c r="AH649" s="19"/>
      <c r="AI649" s="19"/>
      <c r="AJ649" s="4"/>
      <c r="AK649" s="4"/>
      <c r="AL649" s="4"/>
      <c r="AM649" s="4"/>
      <c r="AN649" s="686"/>
      <c r="AO649" s="4">
        <f>IF($C$666="yes",1,0)</f>
        <v>0</v>
      </c>
    </row>
    <row r="650" spans="1:49">
      <c r="A650" s="4"/>
      <c r="B650" s="19"/>
      <c r="C650" s="19"/>
      <c r="D650" s="19"/>
      <c r="E650" s="19"/>
      <c r="G650" s="19"/>
      <c r="H650" s="19"/>
      <c r="I650" s="19"/>
      <c r="J650" s="19"/>
      <c r="K650" s="19"/>
      <c r="L650" s="19"/>
      <c r="M650" s="19"/>
      <c r="N650" s="19"/>
      <c r="O650" s="19"/>
      <c r="P650" s="19"/>
      <c r="Q650" s="19"/>
      <c r="R650" s="19"/>
      <c r="S650" s="19"/>
      <c r="T650" s="19"/>
      <c r="U650" s="19"/>
      <c r="V650" s="19"/>
      <c r="W650" s="19"/>
      <c r="X650" s="19"/>
      <c r="Y650" s="19"/>
      <c r="Z650" s="19"/>
      <c r="AA650" s="19"/>
      <c r="AB650" s="19"/>
      <c r="AC650" s="19"/>
      <c r="AD650" s="19"/>
      <c r="AE650" s="19"/>
      <c r="AF650" s="19"/>
      <c r="AG650" s="19"/>
      <c r="AH650" s="19"/>
      <c r="AI650" s="19"/>
      <c r="AJ650" s="4"/>
      <c r="AK650" s="4"/>
      <c r="AL650" s="4"/>
      <c r="AM650" s="4"/>
      <c r="AN650" s="281"/>
      <c r="AO650" s="4">
        <f>IF($C$669="yes",2,0)</f>
        <v>0</v>
      </c>
    </row>
    <row r="651" spans="1:49">
      <c r="A651" s="4"/>
      <c r="B651" s="19"/>
      <c r="C651" s="1113" t="s">
        <v>132</v>
      </c>
      <c r="D651" s="1113"/>
      <c r="E651" s="185" t="s">
        <v>208</v>
      </c>
      <c r="F651" s="19" t="s">
        <v>1206</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G651" s="3" t="s">
        <v>111</v>
      </c>
      <c r="AH651" s="19"/>
      <c r="AI651" s="19"/>
      <c r="AJ651" s="4"/>
      <c r="AK651" s="4"/>
      <c r="AL651" s="4"/>
      <c r="AM651" s="4"/>
      <c r="AO651" s="26">
        <f>SUM(AO644:AO650)</f>
        <v>2</v>
      </c>
      <c r="AP651" s="652" t="s">
        <v>340</v>
      </c>
    </row>
    <row r="652" spans="1:49">
      <c r="A652" s="4"/>
      <c r="B652" s="19"/>
      <c r="C652" s="4"/>
      <c r="D652" s="19"/>
      <c r="E652" s="4"/>
      <c r="F652" s="19" t="s">
        <v>1208</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79"/>
      <c r="AO652" s="21"/>
    </row>
    <row r="653" spans="1:49">
      <c r="A653" s="4"/>
      <c r="B653" s="19"/>
      <c r="C653" s="4"/>
      <c r="D653" s="19"/>
      <c r="E653" s="4"/>
      <c r="F653" s="19" t="s">
        <v>1207</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79"/>
      <c r="AO653" s="21"/>
    </row>
    <row r="654" spans="1:49">
      <c r="A654" s="4"/>
      <c r="B654" s="19"/>
      <c r="C654" s="19"/>
      <c r="D654" s="19"/>
      <c r="E654" s="19"/>
      <c r="F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79"/>
      <c r="AO654" s="21"/>
    </row>
    <row r="655" spans="1:49">
      <c r="A655" s="4"/>
      <c r="B655" s="19"/>
      <c r="C655" s="1113" t="s">
        <v>132</v>
      </c>
      <c r="D655" s="1113"/>
      <c r="E655" s="185" t="s">
        <v>931</v>
      </c>
      <c r="F655" s="509" t="s">
        <v>1319</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111</v>
      </c>
      <c r="AH655" s="19"/>
      <c r="AI655" s="19"/>
      <c r="AJ655" s="4"/>
      <c r="AK655" s="4"/>
      <c r="AL655" s="4"/>
      <c r="AM655" s="4"/>
      <c r="AN655" s="79"/>
      <c r="AO655" s="21"/>
    </row>
    <row r="656" spans="1:49">
      <c r="A656" s="4"/>
      <c r="B656" s="19"/>
      <c r="C656" s="4"/>
      <c r="D656" s="19"/>
      <c r="E656" s="4"/>
      <c r="F656" s="19" t="s">
        <v>1332</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79"/>
      <c r="AO656" s="21"/>
    </row>
    <row r="657" spans="1:41">
      <c r="A657" s="4"/>
      <c r="B657" s="19"/>
      <c r="C657" s="4"/>
      <c r="D657" s="19"/>
      <c r="E657" s="4"/>
      <c r="F657" s="19" t="s">
        <v>1333</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79"/>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79"/>
      <c r="AO658" s="21"/>
    </row>
    <row r="659" spans="1:41">
      <c r="A659" s="4"/>
      <c r="B659" s="19"/>
      <c r="C659" s="1113" t="s">
        <v>132</v>
      </c>
      <c r="D659" s="1113"/>
      <c r="E659" s="185" t="s">
        <v>766</v>
      </c>
      <c r="F659" s="19" t="s">
        <v>1027</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338</v>
      </c>
      <c r="AH659" s="19"/>
      <c r="AI659" s="19"/>
      <c r="AJ659" s="4"/>
      <c r="AK659" s="4"/>
      <c r="AL659" s="4"/>
      <c r="AM659" s="4"/>
    </row>
    <row r="660" spans="1:41">
      <c r="A660" s="4"/>
      <c r="B660" s="19"/>
      <c r="C660" s="19"/>
      <c r="D660" s="19"/>
      <c r="E660" s="19"/>
      <c r="F660" s="19"/>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row>
    <row r="661" spans="1:41">
      <c r="A661" s="4"/>
      <c r="B661" s="19"/>
      <c r="C661" s="1113" t="s">
        <v>132</v>
      </c>
      <c r="D661" s="1113"/>
      <c r="E661" s="185" t="s">
        <v>767</v>
      </c>
      <c r="F661" s="19" t="s">
        <v>1320</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3" t="s">
        <v>111</v>
      </c>
      <c r="AH661" s="19"/>
      <c r="AI661" s="19"/>
      <c r="AJ661" s="4"/>
      <c r="AK661" s="4"/>
      <c r="AL661" s="4"/>
      <c r="AM661" s="4"/>
    </row>
    <row r="662" spans="1:41">
      <c r="A662" s="4"/>
      <c r="B662" s="19"/>
      <c r="C662" s="4"/>
      <c r="D662" s="19"/>
      <c r="E662" s="4"/>
      <c r="F662" s="510" t="s">
        <v>1321</v>
      </c>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281"/>
      <c r="AO662" s="21"/>
    </row>
    <row r="663" spans="1:41">
      <c r="A663" s="4"/>
      <c r="B663" s="19"/>
      <c r="C663" s="4"/>
      <c r="D663" s="19"/>
      <c r="E663" s="4"/>
      <c r="F663" s="510" t="s">
        <v>1323</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19"/>
      <c r="AH663" s="19"/>
      <c r="AI663" s="19"/>
      <c r="AJ663" s="4"/>
      <c r="AK663" s="4"/>
      <c r="AL663" s="4"/>
      <c r="AM663" s="4"/>
      <c r="AN663" s="281"/>
      <c r="AO663" s="21"/>
    </row>
    <row r="664" spans="1:41" ht="14.25" customHeight="1">
      <c r="A664" s="4"/>
      <c r="B664" s="19"/>
      <c r="C664" s="19"/>
      <c r="D664" s="19"/>
      <c r="E664" s="19"/>
      <c r="F664" s="19" t="s">
        <v>1322</v>
      </c>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c r="AO664" s="21"/>
    </row>
    <row r="665" spans="1:41">
      <c r="A665" s="4"/>
      <c r="B665" s="19"/>
      <c r="C665" s="19"/>
      <c r="D665" s="19"/>
      <c r="E665" s="19"/>
      <c r="F665" s="19"/>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19"/>
      <c r="AH665" s="19"/>
      <c r="AI665" s="19"/>
      <c r="AJ665" s="4"/>
      <c r="AK665" s="4"/>
      <c r="AL665" s="4"/>
      <c r="AM665" s="4"/>
      <c r="AN665" s="79"/>
      <c r="AO665" s="21"/>
    </row>
    <row r="666" spans="1:41">
      <c r="A666" s="4"/>
      <c r="B666" s="19"/>
      <c r="C666" s="1113" t="s">
        <v>132</v>
      </c>
      <c r="D666" s="1113"/>
      <c r="E666" s="185" t="s">
        <v>294</v>
      </c>
      <c r="F666" s="19" t="s">
        <v>1176</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3" t="s">
        <v>338</v>
      </c>
      <c r="AH666" s="19"/>
      <c r="AI666" s="19"/>
      <c r="AJ666" s="4"/>
      <c r="AK666" s="4"/>
      <c r="AL666" s="4"/>
      <c r="AM666" s="4"/>
      <c r="AN666" s="79"/>
      <c r="AO666" s="21"/>
    </row>
    <row r="667" spans="1:41">
      <c r="A667" s="4"/>
      <c r="B667" s="19"/>
      <c r="C667" s="19"/>
      <c r="D667" s="19"/>
      <c r="E667" s="19"/>
      <c r="F667" s="19" t="s">
        <v>1177</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79"/>
      <c r="AO667" s="21"/>
    </row>
    <row r="668" spans="1:41">
      <c r="A668" s="4"/>
      <c r="B668" s="19"/>
      <c r="C668" s="19"/>
      <c r="D668" s="19"/>
      <c r="E668" s="19"/>
      <c r="F668" s="19"/>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N668" s="79"/>
      <c r="AO668" s="21"/>
    </row>
    <row r="669" spans="1:41">
      <c r="A669" s="4"/>
      <c r="B669" s="19"/>
      <c r="C669" s="1113" t="s">
        <v>132</v>
      </c>
      <c r="D669" s="1113"/>
      <c r="E669" s="185" t="s">
        <v>295</v>
      </c>
      <c r="F669" s="1664" t="s">
        <v>2335</v>
      </c>
      <c r="G669" s="1664"/>
      <c r="H669" s="1664"/>
      <c r="I669" s="1664"/>
      <c r="J669" s="1664"/>
      <c r="K669" s="1664"/>
      <c r="L669" s="1664"/>
      <c r="M669" s="1664"/>
      <c r="N669" s="1664"/>
      <c r="O669" s="1664"/>
      <c r="P669" s="1664"/>
      <c r="Q669" s="1664"/>
      <c r="R669" s="1664"/>
      <c r="S669" s="1664"/>
      <c r="T669" s="1664"/>
      <c r="U669" s="1664"/>
      <c r="V669" s="1664"/>
      <c r="W669" s="1664"/>
      <c r="X669" s="1664"/>
      <c r="Y669" s="1664"/>
      <c r="Z669" s="1664"/>
      <c r="AA669" s="1664"/>
      <c r="AB669" s="1664"/>
      <c r="AC669" s="1664"/>
      <c r="AD669" s="1664"/>
      <c r="AE669" s="19"/>
      <c r="AF669" s="19"/>
      <c r="AG669" s="3" t="s">
        <v>111</v>
      </c>
      <c r="AH669" s="19"/>
      <c r="AI669" s="19"/>
      <c r="AJ669" s="4"/>
      <c r="AK669" s="4"/>
      <c r="AL669" s="4"/>
      <c r="AM669" s="4"/>
      <c r="AN669" s="79"/>
      <c r="AO669" s="21"/>
    </row>
    <row r="670" spans="1:41">
      <c r="A670" s="4"/>
      <c r="B670" s="19"/>
      <c r="C670" s="19"/>
      <c r="D670" s="19"/>
      <c r="E670" s="19"/>
      <c r="F670" s="1664"/>
      <c r="G670" s="1664"/>
      <c r="H670" s="1664"/>
      <c r="I670" s="1664"/>
      <c r="J670" s="1664"/>
      <c r="K670" s="1664"/>
      <c r="L670" s="1664"/>
      <c r="M670" s="1664"/>
      <c r="N670" s="1664"/>
      <c r="O670" s="1664"/>
      <c r="P670" s="1664"/>
      <c r="Q670" s="1664"/>
      <c r="R670" s="1664"/>
      <c r="S670" s="1664"/>
      <c r="T670" s="1664"/>
      <c r="U670" s="1664"/>
      <c r="V670" s="1664"/>
      <c r="W670" s="1664"/>
      <c r="X670" s="1664"/>
      <c r="Y670" s="1664"/>
      <c r="Z670" s="1664"/>
      <c r="AA670" s="1664"/>
      <c r="AB670" s="1664"/>
      <c r="AC670" s="1664"/>
      <c r="AD670" s="1664"/>
      <c r="AE670" s="19"/>
      <c r="AF670" s="19"/>
      <c r="AG670" s="19"/>
      <c r="AH670" s="19"/>
      <c r="AI670" s="19"/>
      <c r="AJ670" s="4"/>
      <c r="AK670" s="4"/>
      <c r="AL670" s="4"/>
      <c r="AM670" s="4"/>
      <c r="AN670" s="79"/>
      <c r="AO670" s="21"/>
    </row>
    <row r="671" spans="1:41" ht="0.75" customHeight="1">
      <c r="A671" s="4"/>
      <c r="B671" s="19"/>
      <c r="C671" s="19"/>
      <c r="D671" s="19"/>
      <c r="E671" s="19"/>
      <c r="F671" s="1664"/>
      <c r="G671" s="1664"/>
      <c r="H671" s="1664"/>
      <c r="I671" s="1664"/>
      <c r="J671" s="1664"/>
      <c r="K671" s="1664"/>
      <c r="L671" s="1664"/>
      <c r="M671" s="1664"/>
      <c r="N671" s="1664"/>
      <c r="O671" s="1664"/>
      <c r="P671" s="1664"/>
      <c r="Q671" s="1664"/>
      <c r="R671" s="1664"/>
      <c r="S671" s="1664"/>
      <c r="T671" s="1664"/>
      <c r="U671" s="1664"/>
      <c r="V671" s="1664"/>
      <c r="W671" s="1664"/>
      <c r="X671" s="1664"/>
      <c r="Y671" s="1664"/>
      <c r="Z671" s="1664"/>
      <c r="AA671" s="1664"/>
      <c r="AB671" s="1664"/>
      <c r="AC671" s="1664"/>
      <c r="AD671" s="1664"/>
      <c r="AE671" s="19"/>
      <c r="AF671" s="19"/>
      <c r="AG671" s="19"/>
      <c r="AH671" s="19"/>
      <c r="AI671" s="19"/>
      <c r="AJ671" s="4"/>
      <c r="AK671" s="4"/>
      <c r="AL671" s="4"/>
      <c r="AM671" s="4"/>
      <c r="AN671" s="79"/>
      <c r="AO671" s="21"/>
    </row>
    <row r="672" spans="1:41" ht="12.75" hidden="1" customHeight="1">
      <c r="A672" s="4"/>
      <c r="B672" s="19"/>
      <c r="C672" s="19"/>
      <c r="D672" s="19"/>
      <c r="G672" s="19"/>
      <c r="H672" s="27"/>
      <c r="I672" s="27"/>
      <c r="J672" s="27"/>
      <c r="K672" s="27"/>
      <c r="L672" s="27"/>
      <c r="M672" s="27"/>
      <c r="N672" s="27"/>
      <c r="O672" s="27"/>
      <c r="P672" s="27"/>
      <c r="Q672" s="27"/>
      <c r="R672" s="27"/>
      <c r="S672" s="27"/>
      <c r="T672" s="27"/>
      <c r="U672" s="27"/>
      <c r="V672" s="27"/>
      <c r="W672" s="27"/>
      <c r="X672" s="27"/>
      <c r="Y672" s="27"/>
      <c r="Z672" s="27"/>
      <c r="AA672" s="27"/>
      <c r="AB672" s="27"/>
      <c r="AC672" s="27"/>
      <c r="AD672" s="27"/>
      <c r="AE672" s="27"/>
      <c r="AF672" s="27"/>
      <c r="AG672" s="19"/>
      <c r="AH672" s="19"/>
      <c r="AI672" s="19"/>
      <c r="AJ672" s="4"/>
      <c r="AK672" s="4"/>
      <c r="AL672" s="4"/>
      <c r="AM672" s="4"/>
      <c r="AN672" s="79"/>
      <c r="AO672" s="21"/>
    </row>
    <row r="673" spans="1:60" hidden="1">
      <c r="A673" s="4"/>
      <c r="B673" s="19"/>
      <c r="C673" s="19"/>
      <c r="D673" s="19"/>
      <c r="E673" s="19"/>
      <c r="F673" s="19"/>
      <c r="G673" s="19"/>
      <c r="H673" s="27"/>
      <c r="I673" s="27"/>
      <c r="J673" s="27"/>
      <c r="K673" s="27"/>
      <c r="L673" s="27"/>
      <c r="M673" s="27"/>
      <c r="N673" s="27"/>
      <c r="O673" s="27"/>
      <c r="P673" s="27"/>
      <c r="Q673" s="27"/>
      <c r="R673" s="27"/>
      <c r="S673" s="27"/>
      <c r="T673" s="27"/>
      <c r="U673" s="27"/>
      <c r="V673" s="27"/>
      <c r="W673" s="27"/>
      <c r="X673" s="27"/>
      <c r="Y673" s="27"/>
      <c r="Z673" s="27"/>
      <c r="AA673" s="27"/>
      <c r="AB673" s="27"/>
      <c r="AC673" s="27"/>
      <c r="AD673" s="27"/>
      <c r="AE673" s="27"/>
      <c r="AF673" s="27"/>
      <c r="AG673" s="19"/>
      <c r="AH673" s="19"/>
      <c r="AI673" s="19"/>
      <c r="AJ673" s="4"/>
      <c r="AK673" s="4"/>
      <c r="AL673" s="4"/>
      <c r="AM673" s="4"/>
      <c r="AN673" s="79"/>
      <c r="AO673" s="21"/>
    </row>
    <row r="674" spans="1:60" hidden="1">
      <c r="A674" s="4"/>
      <c r="B674" s="19"/>
      <c r="C674" s="19"/>
      <c r="D674" s="19"/>
      <c r="E674" s="19"/>
      <c r="F674" s="19"/>
      <c r="H674" s="27"/>
      <c r="I674" s="27"/>
      <c r="J674" s="27"/>
      <c r="K674" s="27"/>
      <c r="L674" s="27"/>
      <c r="M674" s="27"/>
      <c r="N674" s="27"/>
      <c r="O674" s="27"/>
      <c r="P674" s="27"/>
      <c r="Q674" s="27"/>
      <c r="R674" s="27"/>
      <c r="S674" s="27"/>
      <c r="T674" s="27"/>
      <c r="U674" s="27"/>
      <c r="V674" s="27"/>
      <c r="W674" s="27"/>
      <c r="X674" s="27"/>
      <c r="Y674" s="27"/>
      <c r="Z674" s="27"/>
      <c r="AA674" s="27"/>
      <c r="AB674" s="27"/>
      <c r="AC674" s="27"/>
      <c r="AD674" s="27"/>
      <c r="AE674" s="27"/>
      <c r="AF674" s="27"/>
      <c r="AG674" s="19"/>
      <c r="AH674" s="19"/>
      <c r="AI674" s="19"/>
      <c r="AJ674" s="4"/>
      <c r="AK674" s="4"/>
      <c r="AL674" s="4"/>
      <c r="AM674" s="4"/>
      <c r="AN674" s="79"/>
      <c r="AO674" s="21"/>
    </row>
    <row r="675" spans="1:60" hidden="1">
      <c r="A675" s="4"/>
      <c r="B675" s="19"/>
      <c r="C675" s="19"/>
      <c r="D675" s="19"/>
      <c r="E675" s="19"/>
      <c r="F675" s="19"/>
      <c r="G675" s="19"/>
      <c r="H675" s="19"/>
      <c r="AG675" s="19"/>
      <c r="AH675" s="19"/>
      <c r="AI675" s="19"/>
      <c r="AJ675" s="4"/>
      <c r="AK675" s="4"/>
      <c r="AL675" s="4"/>
      <c r="AM675" s="4"/>
      <c r="AN675" s="79"/>
      <c r="AO675" s="21"/>
    </row>
    <row r="676" spans="1:60" hidden="1">
      <c r="A676" s="4"/>
      <c r="B676" s="19"/>
      <c r="C676" s="19"/>
      <c r="D676" s="19"/>
      <c r="E676" s="19"/>
      <c r="F676" s="19"/>
      <c r="G676" s="19"/>
      <c r="H676" s="19"/>
      <c r="I676" s="27"/>
      <c r="J676" s="27"/>
      <c r="K676" s="27"/>
      <c r="L676" s="27"/>
      <c r="M676" s="27"/>
      <c r="N676" s="27"/>
      <c r="O676" s="27"/>
      <c r="P676" s="27"/>
      <c r="Q676" s="27"/>
      <c r="R676" s="27"/>
      <c r="S676" s="27"/>
      <c r="T676" s="27"/>
      <c r="U676" s="27"/>
      <c r="V676" s="27"/>
      <c r="W676" s="27"/>
      <c r="X676" s="27"/>
      <c r="Y676" s="27"/>
      <c r="Z676" s="27"/>
      <c r="AA676" s="27"/>
      <c r="AB676" s="27"/>
      <c r="AC676" s="27"/>
      <c r="AD676" s="27"/>
      <c r="AE676" s="27"/>
      <c r="AF676" s="27"/>
      <c r="AG676" s="19"/>
      <c r="AH676" s="19"/>
      <c r="AI676" s="19"/>
      <c r="AJ676" s="4"/>
      <c r="AK676" s="4"/>
      <c r="AL676" s="4"/>
      <c r="AM676" s="4"/>
      <c r="AN676" s="79"/>
      <c r="AO676" s="21"/>
    </row>
    <row r="677" spans="1:60" hidden="1">
      <c r="A677" s="4"/>
      <c r="B677" s="19"/>
      <c r="C677" s="19"/>
      <c r="D677" s="19"/>
      <c r="E677" s="19"/>
      <c r="F677" s="19"/>
      <c r="H677" s="19"/>
      <c r="I677" s="27"/>
      <c r="J677" s="27"/>
      <c r="K677" s="27"/>
      <c r="L677" s="27"/>
      <c r="M677" s="27"/>
      <c r="N677" s="27"/>
      <c r="O677" s="27"/>
      <c r="P677" s="27"/>
      <c r="Q677" s="27"/>
      <c r="R677" s="27"/>
      <c r="S677" s="27"/>
      <c r="T677" s="27"/>
      <c r="U677" s="27"/>
      <c r="V677" s="27"/>
      <c r="W677" s="27"/>
      <c r="X677" s="27"/>
      <c r="Y677" s="27"/>
      <c r="Z677" s="27"/>
      <c r="AA677" s="27"/>
      <c r="AB677" s="27"/>
      <c r="AC677" s="27"/>
      <c r="AD677" s="27"/>
      <c r="AE677" s="27"/>
      <c r="AF677" s="27"/>
      <c r="AG677" s="19"/>
      <c r="AH677" s="19"/>
      <c r="AI677" s="19"/>
      <c r="AJ677" s="4"/>
      <c r="AK677" s="4"/>
      <c r="AL677" s="4"/>
      <c r="AM677" s="4"/>
      <c r="AN677" s="79"/>
      <c r="AO677" s="21"/>
    </row>
    <row r="678" spans="1:60" hidden="1">
      <c r="A678" s="4"/>
      <c r="B678" s="19"/>
      <c r="C678" s="19"/>
      <c r="D678" s="19"/>
      <c r="E678" s="19"/>
      <c r="F678" s="19"/>
      <c r="G678" s="19"/>
      <c r="H678" s="19"/>
      <c r="I678" s="27"/>
      <c r="J678" s="27"/>
      <c r="K678" s="27"/>
      <c r="L678" s="27"/>
      <c r="M678" s="27"/>
      <c r="N678" s="27"/>
      <c r="O678" s="27"/>
      <c r="P678" s="27"/>
      <c r="Q678" s="27"/>
      <c r="R678" s="27"/>
      <c r="S678" s="27"/>
      <c r="T678" s="27"/>
      <c r="U678" s="27"/>
      <c r="V678" s="27"/>
      <c r="W678" s="27"/>
      <c r="X678" s="27"/>
      <c r="Y678" s="27"/>
      <c r="Z678" s="27"/>
      <c r="AA678" s="27"/>
      <c r="AB678" s="27"/>
      <c r="AC678" s="27"/>
      <c r="AD678" s="27"/>
      <c r="AE678" s="27"/>
      <c r="AF678" s="27"/>
      <c r="AG678" s="19"/>
      <c r="AH678" s="19"/>
      <c r="AI678" s="19"/>
      <c r="AJ678" s="4"/>
      <c r="AK678" s="4"/>
      <c r="AL678" s="4"/>
      <c r="AM678" s="4"/>
      <c r="AN678" s="79"/>
      <c r="AO678" s="21"/>
    </row>
    <row r="679" spans="1:60" hidden="1">
      <c r="A679" s="4"/>
      <c r="B679" s="19"/>
      <c r="C679" s="19"/>
      <c r="D679" s="19"/>
      <c r="E679" s="19"/>
      <c r="F679" s="19"/>
      <c r="G679" s="19"/>
      <c r="H679" s="19"/>
      <c r="I679" s="27"/>
      <c r="J679" s="27"/>
      <c r="K679" s="27"/>
      <c r="L679" s="27"/>
      <c r="M679" s="27"/>
      <c r="N679" s="27"/>
      <c r="O679" s="27"/>
      <c r="P679" s="27"/>
      <c r="Q679" s="27"/>
      <c r="R679" s="27"/>
      <c r="S679" s="27"/>
      <c r="T679" s="27"/>
      <c r="U679" s="27"/>
      <c r="V679" s="27"/>
      <c r="W679" s="27"/>
      <c r="X679" s="27"/>
      <c r="Y679" s="27"/>
      <c r="Z679" s="27"/>
      <c r="AA679" s="27"/>
      <c r="AB679" s="27"/>
      <c r="AC679" s="27"/>
      <c r="AD679" s="27"/>
      <c r="AE679" s="27"/>
      <c r="AF679" s="27"/>
      <c r="AG679" s="19"/>
      <c r="AH679" s="19"/>
      <c r="AI679" s="19"/>
      <c r="AJ679" s="4"/>
      <c r="AK679" s="4"/>
      <c r="AL679" s="4"/>
      <c r="AM679" s="4"/>
      <c r="AN679" s="79"/>
      <c r="AO679" s="21"/>
      <c r="BD679" s="21"/>
      <c r="BE679" s="21"/>
      <c r="BF679" s="21"/>
      <c r="BG679" s="21"/>
      <c r="BH679" s="21"/>
    </row>
    <row r="680" spans="1:60" hidden="1">
      <c r="A680" s="4"/>
      <c r="B680" s="19"/>
      <c r="C680" s="19"/>
      <c r="D680" s="19"/>
      <c r="E680" s="19"/>
      <c r="F680" s="19"/>
      <c r="G680" s="19"/>
      <c r="AG680" s="19"/>
      <c r="AH680" s="19"/>
      <c r="AI680" s="19"/>
      <c r="AJ680" s="4"/>
      <c r="AK680" s="4"/>
      <c r="AL680" s="4"/>
      <c r="AM680" s="4"/>
      <c r="AN680" s="79"/>
      <c r="AO680" s="21"/>
      <c r="BD680" s="21"/>
      <c r="BE680" s="21"/>
      <c r="BF680" s="21"/>
      <c r="BG680" s="21"/>
      <c r="BH680" s="21"/>
    </row>
    <row r="681" spans="1:60" hidden="1">
      <c r="A681" s="4"/>
      <c r="B681" s="19"/>
      <c r="C681" s="19"/>
      <c r="D681" s="19"/>
      <c r="E681" s="19"/>
      <c r="F681" s="19"/>
      <c r="L681" s="35"/>
      <c r="M681" s="35"/>
      <c r="N681" s="35"/>
      <c r="O681" s="35"/>
      <c r="P681" s="35"/>
      <c r="AG681" s="19"/>
      <c r="AH681" s="19"/>
      <c r="AI681" s="19"/>
      <c r="AJ681" s="4"/>
      <c r="AK681" s="4"/>
      <c r="AL681" s="4"/>
      <c r="AM681" s="4"/>
      <c r="AN681" s="79"/>
      <c r="AO681" s="21"/>
      <c r="BD681" s="21"/>
      <c r="BE681" s="21"/>
      <c r="BF681" s="21"/>
      <c r="BG681" s="21"/>
      <c r="BH681" s="21"/>
    </row>
    <row r="682" spans="1:60" hidden="1">
      <c r="A682" s="4"/>
      <c r="B682" s="19"/>
      <c r="G682" s="19"/>
      <c r="H682" s="19"/>
      <c r="I682" s="19"/>
      <c r="J682" s="19"/>
      <c r="K682" s="19"/>
      <c r="L682" s="19"/>
      <c r="M682" s="19"/>
      <c r="N682" s="19"/>
      <c r="O682" s="19"/>
      <c r="P682" s="19"/>
      <c r="Q682" s="19"/>
      <c r="R682" s="19"/>
      <c r="S682" s="19"/>
      <c r="T682" s="19"/>
      <c r="U682" s="19"/>
      <c r="V682" s="19"/>
      <c r="W682" s="19"/>
      <c r="X682" s="19"/>
      <c r="Y682" s="19"/>
      <c r="Z682" s="19"/>
      <c r="AA682" s="19"/>
      <c r="AB682" s="19"/>
      <c r="AC682" s="19"/>
      <c r="AD682" s="19"/>
      <c r="AE682" s="19"/>
      <c r="AF682" s="19"/>
      <c r="AG682" s="19"/>
      <c r="AH682" s="19"/>
      <c r="AI682" s="19"/>
      <c r="AJ682" s="4"/>
      <c r="AK682" s="4"/>
      <c r="AL682" s="4"/>
      <c r="AM682" s="4"/>
      <c r="AN682" s="79"/>
      <c r="AO682" s="21"/>
    </row>
    <row r="683" spans="1:60">
      <c r="A683" s="4"/>
      <c r="B683" s="19"/>
      <c r="C683" s="19"/>
      <c r="D683" s="19"/>
      <c r="E683" s="4"/>
      <c r="F683" s="4"/>
      <c r="G683" s="4"/>
      <c r="H683" s="4"/>
      <c r="I683" s="4"/>
      <c r="J683" s="4"/>
      <c r="K683" s="4"/>
      <c r="L683" s="4"/>
      <c r="M683" s="4"/>
      <c r="N683" s="4"/>
      <c r="O683" s="4"/>
      <c r="P683" s="4"/>
      <c r="Q683" s="4"/>
      <c r="R683" s="4"/>
      <c r="S683" s="4"/>
      <c r="T683" s="4"/>
      <c r="U683" s="4"/>
      <c r="V683" s="4"/>
      <c r="W683" s="4"/>
      <c r="X683" s="4"/>
      <c r="Y683" s="4"/>
      <c r="Z683" s="4"/>
      <c r="AA683" s="4"/>
      <c r="AB683" s="4"/>
      <c r="AC683" s="4"/>
      <c r="AD683" s="4"/>
      <c r="AE683" s="4"/>
      <c r="AF683" s="4"/>
      <c r="AG683" s="4"/>
      <c r="AH683" s="4"/>
      <c r="AI683" s="4"/>
      <c r="AJ683" s="4"/>
      <c r="AK683" s="4"/>
      <c r="AL683" s="4"/>
      <c r="AM683" s="4"/>
      <c r="AO683" s="21"/>
    </row>
    <row r="684" spans="1:60">
      <c r="A684" s="177"/>
      <c r="B684" s="178"/>
      <c r="C684" s="93"/>
      <c r="D684" s="125"/>
      <c r="E684" s="93"/>
      <c r="F684" s="93"/>
      <c r="G684" s="93"/>
      <c r="H684" s="93"/>
      <c r="I684" s="93"/>
      <c r="J684" s="93"/>
      <c r="K684" s="93"/>
      <c r="L684" s="93"/>
      <c r="M684" s="93"/>
      <c r="N684" s="93"/>
      <c r="O684" s="93"/>
      <c r="P684" s="93"/>
      <c r="Q684" s="93"/>
      <c r="R684" s="93"/>
      <c r="S684" s="93"/>
      <c r="T684" s="93"/>
      <c r="U684" s="93"/>
      <c r="V684" s="93"/>
      <c r="W684" s="93"/>
      <c r="X684" s="93"/>
      <c r="Y684" s="93"/>
      <c r="Z684" s="93"/>
      <c r="AA684" s="93"/>
      <c r="AB684" s="93"/>
      <c r="AC684" s="93"/>
      <c r="AD684" s="93"/>
      <c r="AE684" s="93"/>
      <c r="AF684" s="93"/>
      <c r="AG684" s="93"/>
      <c r="AH684" s="93"/>
      <c r="AI684" s="60"/>
      <c r="AJ684" s="60" t="s">
        <v>1064</v>
      </c>
      <c r="AK684" s="1240">
        <f>$AO$651</f>
        <v>2</v>
      </c>
      <c r="AL684" s="1241"/>
      <c r="AM684" s="1243"/>
    </row>
    <row r="685" spans="1:60">
      <c r="A685" s="4"/>
      <c r="C685" s="4"/>
      <c r="D685" s="19"/>
      <c r="E685" s="4"/>
      <c r="F685" s="4"/>
      <c r="G685" s="4"/>
      <c r="H685" s="4"/>
      <c r="I685" s="4"/>
      <c r="J685" s="4"/>
      <c r="K685" s="4"/>
      <c r="L685" s="4"/>
      <c r="M685" s="4"/>
      <c r="N685" s="4"/>
      <c r="O685" s="4"/>
      <c r="P685" s="4"/>
      <c r="Q685" s="4"/>
      <c r="R685" s="4"/>
      <c r="S685" s="4"/>
      <c r="T685" s="4"/>
      <c r="U685" s="4"/>
      <c r="V685" s="4"/>
      <c r="W685" s="4"/>
      <c r="X685" s="4"/>
      <c r="Y685" s="4"/>
      <c r="Z685" s="4"/>
      <c r="AA685" s="4"/>
      <c r="AB685" s="4"/>
      <c r="AC685" s="4"/>
      <c r="AD685" s="4"/>
      <c r="AE685" s="4"/>
      <c r="AF685" s="4"/>
      <c r="AG685" s="4"/>
      <c r="AH685" s="4"/>
      <c r="AI685" s="62"/>
      <c r="AJ685" s="10"/>
      <c r="AM685" s="4"/>
    </row>
    <row r="686" spans="1:60">
      <c r="B686" s="4"/>
      <c r="C686" s="4"/>
      <c r="D686" s="4"/>
      <c r="E686" s="4"/>
      <c r="F686" s="4"/>
      <c r="G686" s="4"/>
      <c r="H686" s="4"/>
      <c r="I686" s="4"/>
      <c r="J686" s="4"/>
      <c r="K686" s="4"/>
      <c r="L686" s="4"/>
      <c r="M686" s="4"/>
      <c r="N686" s="4"/>
      <c r="O686" s="4"/>
      <c r="P686" s="4"/>
      <c r="Q686" s="4"/>
      <c r="R686" s="4"/>
      <c r="S686" s="4"/>
      <c r="T686" s="4"/>
      <c r="U686" s="4"/>
      <c r="V686" s="4"/>
      <c r="W686" s="4"/>
      <c r="X686" s="4"/>
      <c r="Y686" s="4"/>
      <c r="Z686" s="4"/>
      <c r="AA686" s="4"/>
      <c r="AB686" s="4"/>
      <c r="AC686" s="4"/>
      <c r="AD686" s="4"/>
      <c r="AE686" s="4"/>
      <c r="AF686" s="4"/>
      <c r="AG686" s="4"/>
      <c r="AH686" s="4"/>
      <c r="AI686" s="4"/>
      <c r="AJ686" s="4"/>
      <c r="AK686" s="4"/>
      <c r="AL686" s="4"/>
      <c r="AM686" s="4"/>
      <c r="AO686" s="206"/>
      <c r="AP686" s="206"/>
      <c r="AQ686" s="206"/>
    </row>
    <row r="687" spans="1:60">
      <c r="A687" s="1811" t="s">
        <v>757</v>
      </c>
      <c r="B687" s="1811"/>
      <c r="C687" s="1811"/>
      <c r="D687" s="1811"/>
      <c r="E687" s="1811"/>
      <c r="F687" s="1811"/>
      <c r="G687" s="1811"/>
      <c r="H687" s="1811"/>
      <c r="I687" s="1811"/>
      <c r="J687" s="1811"/>
      <c r="K687" s="1811"/>
      <c r="L687" s="1811"/>
      <c r="M687" s="1811"/>
      <c r="N687" s="1811"/>
      <c r="O687" s="1811"/>
      <c r="P687" s="1811"/>
      <c r="Q687" s="1811"/>
      <c r="R687" s="1811"/>
      <c r="S687" s="1811"/>
      <c r="T687" s="1811"/>
      <c r="U687" s="1811"/>
      <c r="V687" s="1811"/>
      <c r="W687" s="1811"/>
      <c r="X687" s="1811"/>
      <c r="Y687" s="1811"/>
      <c r="Z687" s="1811"/>
      <c r="AA687" s="1811"/>
      <c r="AB687" s="1811"/>
      <c r="AC687" s="1811"/>
      <c r="AD687" s="1811"/>
      <c r="AE687" s="1811"/>
      <c r="AF687" s="1811"/>
      <c r="AG687" s="1811"/>
      <c r="AH687" s="1811"/>
      <c r="AI687" s="1811"/>
      <c r="AJ687" s="1811"/>
      <c r="AK687" s="1811"/>
      <c r="AL687" s="1811"/>
      <c r="AM687" s="1811"/>
      <c r="AO687" s="206"/>
      <c r="AP687" s="206"/>
      <c r="AQ687" s="206"/>
    </row>
    <row r="688" spans="1:60">
      <c r="A688" s="1812"/>
      <c r="B688" s="1812"/>
      <c r="C688" s="1812"/>
      <c r="D688" s="1812"/>
      <c r="E688" s="1812"/>
      <c r="F688" s="1812"/>
      <c r="G688" s="1812"/>
      <c r="H688" s="1812"/>
      <c r="I688" s="1812"/>
      <c r="J688" s="1812"/>
      <c r="K688" s="1812"/>
      <c r="L688" s="1812"/>
      <c r="M688" s="1812"/>
      <c r="N688" s="1812"/>
      <c r="O688" s="1812"/>
      <c r="P688" s="1812"/>
      <c r="Q688" s="1812"/>
      <c r="R688" s="1812"/>
      <c r="S688" s="1812"/>
      <c r="T688" s="1812"/>
      <c r="U688" s="1812"/>
      <c r="V688" s="1812"/>
      <c r="W688" s="1812"/>
      <c r="X688" s="1812"/>
      <c r="Y688" s="1812"/>
      <c r="Z688" s="1812"/>
      <c r="AA688" s="1812"/>
      <c r="AB688" s="1812"/>
      <c r="AC688" s="1812"/>
      <c r="AD688" s="1812"/>
      <c r="AE688" s="1812"/>
      <c r="AF688" s="1812"/>
      <c r="AG688" s="1812"/>
      <c r="AH688" s="1812"/>
      <c r="AI688" s="1812"/>
      <c r="AJ688" s="1812"/>
      <c r="AK688" s="1812"/>
      <c r="AL688" s="1812"/>
      <c r="AM688" s="1812"/>
      <c r="AP688" s="206"/>
      <c r="AQ688" s="206"/>
    </row>
    <row r="689" spans="1:43">
      <c r="A689" s="4"/>
      <c r="B689" s="186"/>
      <c r="C689" s="187"/>
      <c r="D689" s="187"/>
      <c r="E689" s="187"/>
      <c r="F689" s="187"/>
      <c r="G689" s="187"/>
      <c r="H689" s="187"/>
      <c r="I689" s="103"/>
      <c r="J689" s="103"/>
      <c r="K689" s="103"/>
      <c r="L689" s="103"/>
      <c r="M689" s="103"/>
      <c r="N689" s="103"/>
      <c r="O689" s="103"/>
      <c r="P689" s="103"/>
      <c r="Q689" s="103"/>
      <c r="S689" s="3"/>
      <c r="T689" s="3"/>
      <c r="U689" s="3"/>
      <c r="V689" s="3"/>
      <c r="W689" s="3"/>
      <c r="X689" s="3"/>
      <c r="Y689" s="3"/>
      <c r="Z689" s="3"/>
      <c r="AA689" s="3"/>
      <c r="AB689" s="3"/>
      <c r="AC689" s="3"/>
      <c r="AD689" s="3"/>
      <c r="AE689" s="3"/>
      <c r="AG689" s="3"/>
      <c r="AH689" s="3"/>
      <c r="AI689" s="3"/>
      <c r="AJ689" s="3"/>
      <c r="AK689" s="4"/>
      <c r="AL689" s="4"/>
      <c r="AM689" s="23"/>
      <c r="AO689" s="479">
        <f>SUM(AO690:AO691)</f>
        <v>25</v>
      </c>
      <c r="AQ689" s="206"/>
    </row>
    <row r="690" spans="1:43">
      <c r="A690" s="1577" t="s">
        <v>2034</v>
      </c>
      <c r="B690" s="1577"/>
      <c r="C690" s="1577"/>
      <c r="D690" s="1577"/>
      <c r="E690" s="1577"/>
      <c r="F690" s="1577"/>
      <c r="G690" s="1577"/>
      <c r="H690" s="1577"/>
      <c r="I690" s="1577"/>
      <c r="J690" s="1577"/>
      <c r="K690" s="1577"/>
      <c r="L690" s="1577"/>
      <c r="M690" s="1577"/>
      <c r="N690" s="1577"/>
      <c r="O690" s="1577"/>
      <c r="P690" s="1577"/>
      <c r="Q690" s="1577"/>
      <c r="R690" s="1577"/>
      <c r="S690" s="1577"/>
      <c r="T690" s="1577"/>
      <c r="U690" s="1577"/>
      <c r="V690" s="1577"/>
      <c r="W690" s="1577"/>
      <c r="X690" s="1577"/>
      <c r="Y690" s="1577"/>
      <c r="Z690" s="1577"/>
      <c r="AA690" s="1577"/>
      <c r="AB690" s="1577"/>
      <c r="AC690" s="1577"/>
      <c r="AD690" s="1577"/>
      <c r="AE690" s="1577"/>
      <c r="AF690" s="1577"/>
      <c r="AG690" s="1577"/>
      <c r="AH690" s="1577"/>
      <c r="AI690" s="1577"/>
      <c r="AJ690" s="1577"/>
      <c r="AK690" s="1577"/>
      <c r="AL690" s="1577"/>
      <c r="AM690" s="1577"/>
      <c r="AO690" s="206">
        <f>IF(T699&gt;15,15,T699)</f>
        <v>15</v>
      </c>
      <c r="AP690" s="206"/>
      <c r="AQ690" s="206"/>
    </row>
    <row r="691" spans="1:43">
      <c r="A691" s="1577" t="s">
        <v>2035</v>
      </c>
      <c r="B691" s="1577"/>
      <c r="C691" s="1577"/>
      <c r="D691" s="1577"/>
      <c r="E691" s="1577"/>
      <c r="F691" s="1577"/>
      <c r="G691" s="1577"/>
      <c r="H691" s="1577"/>
      <c r="I691" s="1577"/>
      <c r="J691" s="1577"/>
      <c r="K691" s="1577"/>
      <c r="L691" s="1577"/>
      <c r="M691" s="1577"/>
      <c r="N691" s="1577"/>
      <c r="O691" s="1577"/>
      <c r="P691" s="1577"/>
      <c r="Q691" s="1577"/>
      <c r="R691" s="1577"/>
      <c r="S691" s="1577"/>
      <c r="T691" s="1577"/>
      <c r="U691" s="1577"/>
      <c r="V691" s="1577"/>
      <c r="W691" s="1577"/>
      <c r="X691" s="1577"/>
      <c r="Y691" s="1577"/>
      <c r="Z691" s="1577"/>
      <c r="AA691" s="1577"/>
      <c r="AB691" s="1577"/>
      <c r="AC691" s="1577"/>
      <c r="AD691" s="1577"/>
      <c r="AE691" s="1577"/>
      <c r="AF691" s="1577"/>
      <c r="AG691" s="1577"/>
      <c r="AH691" s="1577"/>
      <c r="AI691" s="1577"/>
      <c r="AJ691" s="1577"/>
      <c r="AK691" s="1577"/>
      <c r="AL691" s="1577"/>
      <c r="AM691" s="1577"/>
      <c r="AO691" s="206">
        <f>IF(T700&gt;10,10,T700)</f>
        <v>10</v>
      </c>
      <c r="AP691" s="206"/>
      <c r="AQ691" s="206"/>
    </row>
    <row r="692" spans="1:43">
      <c r="A692" s="280"/>
      <c r="B692" s="218"/>
      <c r="C692" s="218"/>
      <c r="D692" s="218"/>
      <c r="E692" s="218"/>
      <c r="F692" s="218"/>
      <c r="G692" s="218"/>
      <c r="H692" s="218"/>
      <c r="I692" s="218"/>
      <c r="J692" s="218"/>
      <c r="K692" s="218"/>
      <c r="L692" s="218"/>
      <c r="M692" s="218"/>
      <c r="N692" s="218"/>
      <c r="O692" s="218"/>
      <c r="P692" s="218"/>
      <c r="Q692" s="218"/>
      <c r="R692" s="218"/>
      <c r="S692" s="219"/>
      <c r="T692" s="1172" t="s">
        <v>248</v>
      </c>
      <c r="U692" s="1173"/>
      <c r="V692" s="1173"/>
      <c r="W692" s="1173"/>
      <c r="X692" s="1173"/>
      <c r="Y692" s="1511"/>
      <c r="Z692" s="1172" t="s">
        <v>247</v>
      </c>
      <c r="AA692" s="1173"/>
      <c r="AB692" s="1173"/>
      <c r="AC692" s="1173"/>
      <c r="AD692" s="1173"/>
      <c r="AE692" s="1511"/>
      <c r="AF692" s="1172" t="s">
        <v>249</v>
      </c>
      <c r="AG692" s="1173"/>
      <c r="AH692" s="1173"/>
      <c r="AI692" s="1173"/>
      <c r="AJ692" s="1173"/>
      <c r="AK692" s="1511"/>
      <c r="AL692" s="785"/>
      <c r="AM692" s="20"/>
    </row>
    <row r="693" spans="1:43">
      <c r="A693" s="229"/>
      <c r="B693" s="170"/>
      <c r="C693" s="170"/>
      <c r="D693" s="170"/>
      <c r="E693" s="170"/>
      <c r="F693" s="170"/>
      <c r="G693" s="170"/>
      <c r="H693" s="170"/>
      <c r="I693" s="170"/>
      <c r="J693" s="170"/>
      <c r="K693" s="170"/>
      <c r="L693" s="170"/>
      <c r="M693" s="170"/>
      <c r="N693" s="170"/>
      <c r="O693" s="170"/>
      <c r="P693" s="170"/>
      <c r="Q693" s="170"/>
      <c r="R693" s="170"/>
      <c r="S693" s="172"/>
      <c r="T693" s="1176"/>
      <c r="U693" s="1177"/>
      <c r="V693" s="1177"/>
      <c r="W693" s="1177"/>
      <c r="X693" s="1177"/>
      <c r="Y693" s="1270"/>
      <c r="Z693" s="1176"/>
      <c r="AA693" s="1177"/>
      <c r="AB693" s="1177"/>
      <c r="AC693" s="1177"/>
      <c r="AD693" s="1177"/>
      <c r="AE693" s="1270"/>
      <c r="AF693" s="1176"/>
      <c r="AG693" s="1177"/>
      <c r="AH693" s="1177"/>
      <c r="AI693" s="1177"/>
      <c r="AJ693" s="1177"/>
      <c r="AK693" s="1270"/>
      <c r="AL693" s="785"/>
      <c r="AM693" s="20"/>
    </row>
    <row r="694" spans="1:43">
      <c r="A694" s="601" t="s">
        <v>688</v>
      </c>
      <c r="B694" s="1708" t="s">
        <v>284</v>
      </c>
      <c r="C694" s="1708"/>
      <c r="D694" s="1708"/>
      <c r="E694" s="1708"/>
      <c r="F694" s="1708"/>
      <c r="G694" s="1708"/>
      <c r="H694" s="1708"/>
      <c r="I694" s="1708"/>
      <c r="J694" s="1708"/>
      <c r="K694" s="1708"/>
      <c r="L694" s="1708"/>
      <c r="M694" s="1708"/>
      <c r="N694" s="1708"/>
      <c r="O694" s="1708"/>
      <c r="P694" s="1708"/>
      <c r="Q694" s="1708"/>
      <c r="R694" s="1708"/>
      <c r="S694" s="1709"/>
      <c r="T694" s="1732">
        <f>SUM(T695:Y696)</f>
        <v>10</v>
      </c>
      <c r="U694" s="1732"/>
      <c r="V694" s="1732"/>
      <c r="W694" s="1732"/>
      <c r="X694" s="1732"/>
      <c r="Y694" s="1732"/>
      <c r="Z694" s="1225">
        <v>10</v>
      </c>
      <c r="AA694" s="1225"/>
      <c r="AB694" s="1225"/>
      <c r="AC694" s="1225"/>
      <c r="AD694" s="1225"/>
      <c r="AE694" s="1225"/>
      <c r="AF694" s="1225">
        <f>IF(T694&gt;Z694,Z694,T694)</f>
        <v>10</v>
      </c>
      <c r="AG694" s="1225"/>
      <c r="AH694" s="1225"/>
      <c r="AI694" s="1225"/>
      <c r="AJ694" s="1225"/>
      <c r="AK694" s="1225"/>
      <c r="AL694" s="785"/>
      <c r="AM694" s="20"/>
      <c r="AO694" s="4">
        <f>IF(T703&gt;50,50,T703)</f>
        <v>50</v>
      </c>
    </row>
    <row r="695" spans="1:43">
      <c r="A695" s="621"/>
      <c r="B695" s="622"/>
      <c r="C695" s="627"/>
      <c r="D695" s="307" t="s">
        <v>224</v>
      </c>
      <c r="E695" s="1710" t="s">
        <v>250</v>
      </c>
      <c r="F695" s="1710"/>
      <c r="G695" s="1710"/>
      <c r="H695" s="1710"/>
      <c r="I695" s="1710"/>
      <c r="J695" s="1710"/>
      <c r="K695" s="1710"/>
      <c r="L695" s="1710"/>
      <c r="M695" s="1710"/>
      <c r="N695" s="1710"/>
      <c r="O695" s="1710"/>
      <c r="P695" s="1710"/>
      <c r="Q695" s="1710"/>
      <c r="R695" s="1710"/>
      <c r="S695" s="1711"/>
      <c r="T695" s="1712">
        <f>AJ31</f>
        <v>7</v>
      </c>
      <c r="U695" s="1712"/>
      <c r="V695" s="1712"/>
      <c r="W695" s="1712"/>
      <c r="X695" s="1712"/>
      <c r="Y695" s="1712"/>
      <c r="Z695" s="1736">
        <v>7</v>
      </c>
      <c r="AA695" s="1736"/>
      <c r="AB695" s="1736"/>
      <c r="AC695" s="1736"/>
      <c r="AD695" s="1736"/>
      <c r="AE695" s="1736"/>
      <c r="AF695" s="1813"/>
      <c r="AG695" s="1813"/>
      <c r="AH695" s="1813"/>
      <c r="AI695" s="1813"/>
      <c r="AJ695" s="1813"/>
      <c r="AK695" s="1813"/>
      <c r="AL695" s="785"/>
      <c r="AM695" s="20"/>
    </row>
    <row r="696" spans="1:43">
      <c r="A696" s="623"/>
      <c r="B696" s="622"/>
      <c r="C696" s="622"/>
      <c r="D696" s="307" t="s">
        <v>456</v>
      </c>
      <c r="E696" s="1710" t="s">
        <v>251</v>
      </c>
      <c r="F696" s="1710"/>
      <c r="G696" s="1710"/>
      <c r="H696" s="1710"/>
      <c r="I696" s="1710"/>
      <c r="J696" s="1710"/>
      <c r="K696" s="1710"/>
      <c r="L696" s="1710"/>
      <c r="M696" s="1710"/>
      <c r="N696" s="1710"/>
      <c r="O696" s="1710"/>
      <c r="P696" s="1710"/>
      <c r="Q696" s="1710"/>
      <c r="R696" s="1710"/>
      <c r="S696" s="1711"/>
      <c r="T696" s="1712">
        <f>AJ47</f>
        <v>3</v>
      </c>
      <c r="U696" s="1712"/>
      <c r="V696" s="1712"/>
      <c r="W696" s="1712"/>
      <c r="X696" s="1712"/>
      <c r="Y696" s="1712"/>
      <c r="Z696" s="1736">
        <v>3</v>
      </c>
      <c r="AA696" s="1736"/>
      <c r="AB696" s="1736"/>
      <c r="AC696" s="1736"/>
      <c r="AD696" s="1736"/>
      <c r="AE696" s="1736"/>
      <c r="AF696" s="1813"/>
      <c r="AG696" s="1813"/>
      <c r="AH696" s="1813"/>
      <c r="AI696" s="1813"/>
      <c r="AJ696" s="1813"/>
      <c r="AK696" s="1813"/>
      <c r="AL696" s="785"/>
      <c r="AM696" s="20"/>
    </row>
    <row r="697" spans="1:43">
      <c r="A697" s="601" t="s">
        <v>8</v>
      </c>
      <c r="B697" s="1708" t="s">
        <v>285</v>
      </c>
      <c r="C697" s="1708"/>
      <c r="D697" s="1708"/>
      <c r="E697" s="1708"/>
      <c r="F697" s="1708"/>
      <c r="G697" s="1708"/>
      <c r="H697" s="1708"/>
      <c r="I697" s="1708"/>
      <c r="J697" s="1708"/>
      <c r="K697" s="1708"/>
      <c r="L697" s="1708"/>
      <c r="M697" s="1708"/>
      <c r="N697" s="1708"/>
      <c r="O697" s="1708"/>
      <c r="P697" s="1708"/>
      <c r="Q697" s="1708"/>
      <c r="R697" s="1708"/>
      <c r="S697" s="1709"/>
      <c r="T697" s="1732">
        <f>AK68</f>
        <v>10</v>
      </c>
      <c r="U697" s="1732"/>
      <c r="V697" s="1732"/>
      <c r="W697" s="1732"/>
      <c r="X697" s="1732"/>
      <c r="Y697" s="1732"/>
      <c r="Z697" s="1225">
        <v>10</v>
      </c>
      <c r="AA697" s="1225"/>
      <c r="AB697" s="1225"/>
      <c r="AC697" s="1225"/>
      <c r="AD697" s="1225"/>
      <c r="AE697" s="1225"/>
      <c r="AF697" s="1225">
        <f>IF(T697&gt;Z697,Z697,T697)</f>
        <v>10</v>
      </c>
      <c r="AG697" s="1225"/>
      <c r="AH697" s="1225"/>
      <c r="AI697" s="1225"/>
      <c r="AJ697" s="1225"/>
      <c r="AK697" s="1225"/>
      <c r="AL697" s="785"/>
      <c r="AM697" s="20"/>
    </row>
    <row r="698" spans="1:43">
      <c r="A698" s="601" t="s">
        <v>127</v>
      </c>
      <c r="B698" s="1708" t="s">
        <v>286</v>
      </c>
      <c r="C698" s="1708"/>
      <c r="D698" s="1708"/>
      <c r="E698" s="1708"/>
      <c r="F698" s="1708"/>
      <c r="G698" s="1708"/>
      <c r="H698" s="1708"/>
      <c r="I698" s="1708"/>
      <c r="J698" s="1708"/>
      <c r="K698" s="1708"/>
      <c r="L698" s="1708"/>
      <c r="M698" s="1708"/>
      <c r="N698" s="1708"/>
      <c r="O698" s="1708"/>
      <c r="P698" s="1708"/>
      <c r="Q698" s="1708"/>
      <c r="R698" s="1708"/>
      <c r="S698" s="1709"/>
      <c r="T698" s="1732">
        <f>AO689</f>
        <v>25</v>
      </c>
      <c r="U698" s="1732">
        <f>IF(AND(AND(A699&gt;15,15+A700),A700&gt;10,A699+10),A698,0)</f>
        <v>0</v>
      </c>
      <c r="V698" s="1732">
        <f>IF(AND(AND(B699&gt;15,15+B700),B700&gt;10,B699+10),#REF!,0)</f>
        <v>0</v>
      </c>
      <c r="W698" s="1732">
        <f>IF(AND(AND(C699&gt;15,15+C700),C700&gt;10,C699+10),B698,0)</f>
        <v>0</v>
      </c>
      <c r="X698" s="1732" t="e">
        <f>IF(AND(AND(D699&gt;15,15+D700),D700&gt;10,D699+10),D698,0)</f>
        <v>#VALUE!</v>
      </c>
      <c r="Y698" s="1732" t="e">
        <f>IF(AND(AND(E699&gt;15,15+E700),E700&gt;10,E699+10),E698,0)</f>
        <v>#VALUE!</v>
      </c>
      <c r="Z698" s="1225">
        <v>25</v>
      </c>
      <c r="AA698" s="1225"/>
      <c r="AB698" s="1225"/>
      <c r="AC698" s="1225"/>
      <c r="AD698" s="1225"/>
      <c r="AE698" s="1225"/>
      <c r="AF698" s="1225">
        <f>IF(T698&gt;Z698,Z698,T698)</f>
        <v>25</v>
      </c>
      <c r="AG698" s="1225"/>
      <c r="AH698" s="1225"/>
      <c r="AI698" s="1225"/>
      <c r="AJ698" s="1225"/>
      <c r="AK698" s="1225"/>
      <c r="AL698" s="785"/>
      <c r="AM698" s="20"/>
    </row>
    <row r="699" spans="1:43">
      <c r="A699" s="601"/>
      <c r="B699" s="622"/>
      <c r="C699" s="622"/>
      <c r="D699" s="307" t="s">
        <v>1533</v>
      </c>
      <c r="E699" s="1710" t="s">
        <v>309</v>
      </c>
      <c r="F699" s="1710"/>
      <c r="G699" s="1710"/>
      <c r="H699" s="1710"/>
      <c r="I699" s="1710"/>
      <c r="J699" s="1710"/>
      <c r="K699" s="1710"/>
      <c r="L699" s="1710"/>
      <c r="M699" s="1710"/>
      <c r="N699" s="1710"/>
      <c r="O699" s="1710"/>
      <c r="P699" s="1710"/>
      <c r="Q699" s="1710"/>
      <c r="R699" s="1710"/>
      <c r="S699" s="1711"/>
      <c r="T699" s="1712">
        <f>AK280</f>
        <v>17</v>
      </c>
      <c r="U699" s="1712"/>
      <c r="V699" s="1712"/>
      <c r="W699" s="1712"/>
      <c r="X699" s="1712"/>
      <c r="Y699" s="1712"/>
      <c r="Z699" s="1736">
        <v>15</v>
      </c>
      <c r="AA699" s="1736"/>
      <c r="AB699" s="1736"/>
      <c r="AC699" s="1736"/>
      <c r="AD699" s="1736"/>
      <c r="AE699" s="1736"/>
      <c r="AF699" s="1813"/>
      <c r="AG699" s="1813"/>
      <c r="AH699" s="1813"/>
      <c r="AI699" s="1813"/>
      <c r="AJ699" s="1813"/>
      <c r="AK699" s="1813"/>
      <c r="AL699" s="785"/>
      <c r="AM699" s="20"/>
    </row>
    <row r="700" spans="1:43">
      <c r="A700" s="624"/>
      <c r="B700" s="90"/>
      <c r="C700" s="90"/>
      <c r="D700" s="625" t="s">
        <v>1534</v>
      </c>
      <c r="E700" s="1710" t="s">
        <v>310</v>
      </c>
      <c r="F700" s="1710"/>
      <c r="G700" s="1710"/>
      <c r="H700" s="1710"/>
      <c r="I700" s="1710"/>
      <c r="J700" s="1710"/>
      <c r="K700" s="1710"/>
      <c r="L700" s="1710"/>
      <c r="M700" s="1710"/>
      <c r="N700" s="1710"/>
      <c r="O700" s="1710"/>
      <c r="P700" s="1710"/>
      <c r="Q700" s="1710"/>
      <c r="R700" s="1710"/>
      <c r="S700" s="1711"/>
      <c r="T700" s="1712">
        <f>AK471</f>
        <v>10</v>
      </c>
      <c r="U700" s="1712"/>
      <c r="V700" s="1712"/>
      <c r="W700" s="1712"/>
      <c r="X700" s="1712"/>
      <c r="Y700" s="1712"/>
      <c r="Z700" s="1736">
        <v>10</v>
      </c>
      <c r="AA700" s="1736"/>
      <c r="AB700" s="1736"/>
      <c r="AC700" s="1736"/>
      <c r="AD700" s="1736"/>
      <c r="AE700" s="1736"/>
      <c r="AF700" s="1813"/>
      <c r="AG700" s="1813"/>
      <c r="AH700" s="1813"/>
      <c r="AI700" s="1813"/>
      <c r="AJ700" s="1813"/>
      <c r="AK700" s="1813"/>
      <c r="AL700" s="785"/>
      <c r="AM700" s="20"/>
    </row>
    <row r="701" spans="1:43" hidden="1">
      <c r="A701" s="601" t="s">
        <v>130</v>
      </c>
      <c r="B701" s="1708" t="s">
        <v>570</v>
      </c>
      <c r="C701" s="1708"/>
      <c r="D701" s="1708"/>
      <c r="E701" s="1708"/>
      <c r="F701" s="1708"/>
      <c r="G701" s="1708"/>
      <c r="H701" s="1708"/>
      <c r="I701" s="1708"/>
      <c r="J701" s="1708"/>
      <c r="K701" s="1708"/>
      <c r="L701" s="1708"/>
      <c r="M701" s="1708"/>
      <c r="N701" s="1708"/>
      <c r="O701" s="1708"/>
      <c r="P701" s="1708"/>
      <c r="Q701" s="1708"/>
      <c r="R701" s="1708"/>
      <c r="S701" s="1709"/>
      <c r="T701" s="1732"/>
      <c r="U701" s="1732"/>
      <c r="V701" s="1732"/>
      <c r="W701" s="1732"/>
      <c r="X701" s="1732"/>
      <c r="Y701" s="1732"/>
      <c r="Z701" s="1225"/>
      <c r="AA701" s="1225"/>
      <c r="AB701" s="1225"/>
      <c r="AC701" s="1225"/>
      <c r="AD701" s="1225"/>
      <c r="AE701" s="1225"/>
      <c r="AF701" s="1225"/>
      <c r="AG701" s="1225"/>
      <c r="AH701" s="1225"/>
      <c r="AI701" s="1225"/>
      <c r="AJ701" s="1225"/>
      <c r="AK701" s="1225"/>
      <c r="AL701" s="785"/>
      <c r="AM701" s="20"/>
    </row>
    <row r="702" spans="1:43">
      <c r="A702" s="601" t="s">
        <v>130</v>
      </c>
      <c r="B702" s="1708" t="s">
        <v>571</v>
      </c>
      <c r="C702" s="1708"/>
      <c r="D702" s="1708"/>
      <c r="E702" s="1708"/>
      <c r="F702" s="1708"/>
      <c r="G702" s="1708"/>
      <c r="H702" s="1708"/>
      <c r="I702" s="1708"/>
      <c r="J702" s="1708"/>
      <c r="K702" s="1708"/>
      <c r="L702" s="1708"/>
      <c r="M702" s="1708"/>
      <c r="N702" s="1708"/>
      <c r="O702" s="1708"/>
      <c r="P702" s="1708"/>
      <c r="Q702" s="1708"/>
      <c r="R702" s="1708"/>
      <c r="S702" s="1709"/>
      <c r="T702" s="1803">
        <f>IF(SUM(T703:Y704)&gt;52,52,SUM(T703:Y704))</f>
        <v>52</v>
      </c>
      <c r="U702" s="1804"/>
      <c r="V702" s="1804"/>
      <c r="W702" s="1804"/>
      <c r="X702" s="1804"/>
      <c r="Y702" s="1804"/>
      <c r="Z702" s="1804">
        <v>52</v>
      </c>
      <c r="AA702" s="1804"/>
      <c r="AB702" s="1804"/>
      <c r="AC702" s="1804"/>
      <c r="AD702" s="1804"/>
      <c r="AE702" s="1804"/>
      <c r="AF702" s="1804">
        <f>$AO$694+$T$704</f>
        <v>52</v>
      </c>
      <c r="AG702" s="1804"/>
      <c r="AH702" s="1804"/>
      <c r="AI702" s="1804"/>
      <c r="AJ702" s="1804"/>
      <c r="AK702" s="1804"/>
      <c r="AL702" s="785"/>
      <c r="AM702" s="20"/>
    </row>
    <row r="703" spans="1:43">
      <c r="A703" s="626"/>
      <c r="B703" s="628"/>
      <c r="C703" s="628"/>
      <c r="D703" s="629" t="s">
        <v>2347</v>
      </c>
      <c r="E703" s="1710" t="s">
        <v>194</v>
      </c>
      <c r="F703" s="1710"/>
      <c r="G703" s="1710"/>
      <c r="H703" s="1710"/>
      <c r="I703" s="1710"/>
      <c r="J703" s="1710"/>
      <c r="K703" s="1710"/>
      <c r="L703" s="1710"/>
      <c r="M703" s="1710"/>
      <c r="N703" s="1710"/>
      <c r="O703" s="1710"/>
      <c r="P703" s="1710"/>
      <c r="Q703" s="1710"/>
      <c r="R703" s="1710"/>
      <c r="S703" s="1711"/>
      <c r="T703" s="1733">
        <f>AC589</f>
        <v>60</v>
      </c>
      <c r="U703" s="1734"/>
      <c r="V703" s="1734"/>
      <c r="W703" s="1734"/>
      <c r="X703" s="1734"/>
      <c r="Y703" s="1735"/>
      <c r="Z703" s="1733">
        <v>50</v>
      </c>
      <c r="AA703" s="1734"/>
      <c r="AB703" s="1734"/>
      <c r="AC703" s="1734"/>
      <c r="AD703" s="1734"/>
      <c r="AE703" s="1735"/>
      <c r="AF703" s="1808"/>
      <c r="AG703" s="1809"/>
      <c r="AH703" s="1809"/>
      <c r="AI703" s="1809"/>
      <c r="AJ703" s="1809"/>
      <c r="AK703" s="1810"/>
      <c r="AL703" s="785"/>
      <c r="AM703" s="4"/>
    </row>
    <row r="704" spans="1:43">
      <c r="A704" s="630"/>
      <c r="B704" s="622"/>
      <c r="C704" s="622"/>
      <c r="D704" s="307" t="s">
        <v>2348</v>
      </c>
      <c r="E704" s="1710" t="s">
        <v>283</v>
      </c>
      <c r="F704" s="1710"/>
      <c r="G704" s="1710"/>
      <c r="H704" s="1710"/>
      <c r="I704" s="1710"/>
      <c r="J704" s="1710"/>
      <c r="K704" s="1710"/>
      <c r="L704" s="1710"/>
      <c r="M704" s="1710"/>
      <c r="N704" s="1710"/>
      <c r="O704" s="1710"/>
      <c r="P704" s="1710"/>
      <c r="Q704" s="1710"/>
      <c r="R704" s="1710"/>
      <c r="S704" s="1711"/>
      <c r="T704" s="1702">
        <f>IF(AJ613&gt;0,2,0)</f>
        <v>2</v>
      </c>
      <c r="U704" s="1703"/>
      <c r="V704" s="1703"/>
      <c r="W704" s="1703"/>
      <c r="X704" s="1703"/>
      <c r="Y704" s="1704"/>
      <c r="Z704" s="1240">
        <v>2</v>
      </c>
      <c r="AA704" s="1241"/>
      <c r="AB704" s="1241"/>
      <c r="AC704" s="1241"/>
      <c r="AD704" s="1241"/>
      <c r="AE704" s="1243"/>
      <c r="AF704" s="1824"/>
      <c r="AG704" s="1825"/>
      <c r="AH704" s="1825"/>
      <c r="AI704" s="1825"/>
      <c r="AJ704" s="1825"/>
      <c r="AK704" s="1826"/>
      <c r="AL704" s="785"/>
      <c r="AM704" s="4"/>
    </row>
    <row r="705" spans="1:39">
      <c r="A705" s="626" t="s">
        <v>131</v>
      </c>
      <c r="B705" s="1708" t="s">
        <v>572</v>
      </c>
      <c r="C705" s="1708"/>
      <c r="D705" s="1708"/>
      <c r="E705" s="1708"/>
      <c r="F705" s="1708"/>
      <c r="G705" s="1708"/>
      <c r="H705" s="1708"/>
      <c r="I705" s="1708"/>
      <c r="J705" s="1708"/>
      <c r="K705" s="1708"/>
      <c r="L705" s="1708"/>
      <c r="M705" s="1708"/>
      <c r="N705" s="1708"/>
      <c r="O705" s="1708"/>
      <c r="P705" s="1708"/>
      <c r="Q705" s="1708"/>
      <c r="R705" s="1708"/>
      <c r="S705" s="1709"/>
      <c r="T705" s="1732">
        <f>AK641</f>
        <v>10</v>
      </c>
      <c r="U705" s="1732"/>
      <c r="V705" s="1732"/>
      <c r="W705" s="1732"/>
      <c r="X705" s="1732"/>
      <c r="Y705" s="1732"/>
      <c r="Z705" s="1225">
        <v>10</v>
      </c>
      <c r="AA705" s="1225"/>
      <c r="AB705" s="1225"/>
      <c r="AC705" s="1225"/>
      <c r="AD705" s="1225"/>
      <c r="AE705" s="1225"/>
      <c r="AF705" s="1384">
        <f>IF(T705&gt;Z705,Z705,T705)</f>
        <v>10</v>
      </c>
      <c r="AG705" s="1385"/>
      <c r="AH705" s="1385"/>
      <c r="AI705" s="1385"/>
      <c r="AJ705" s="1385"/>
      <c r="AK705" s="1386"/>
      <c r="AL705" s="785"/>
      <c r="AM705" s="20"/>
    </row>
    <row r="706" spans="1:39">
      <c r="A706" s="626" t="s">
        <v>133</v>
      </c>
      <c r="B706" s="1708" t="s">
        <v>1028</v>
      </c>
      <c r="C706" s="1708"/>
      <c r="D706" s="1708"/>
      <c r="E706" s="1708"/>
      <c r="F706" s="1708"/>
      <c r="G706" s="1708"/>
      <c r="H706" s="1708"/>
      <c r="I706" s="1708"/>
      <c r="J706" s="1708"/>
      <c r="K706" s="1708"/>
      <c r="L706" s="1708"/>
      <c r="M706" s="1708"/>
      <c r="N706" s="1708"/>
      <c r="O706" s="1708"/>
      <c r="P706" s="1708"/>
      <c r="Q706" s="1708"/>
      <c r="R706" s="1708"/>
      <c r="S706" s="1709"/>
      <c r="T706" s="1805">
        <f>IF(AK684&gt;2,2,AK684)</f>
        <v>2</v>
      </c>
      <c r="U706" s="1806"/>
      <c r="V706" s="1806"/>
      <c r="W706" s="1806"/>
      <c r="X706" s="1806"/>
      <c r="Y706" s="1807"/>
      <c r="Z706" s="1384">
        <v>2</v>
      </c>
      <c r="AA706" s="1385"/>
      <c r="AB706" s="1385"/>
      <c r="AC706" s="1385"/>
      <c r="AD706" s="1385"/>
      <c r="AE706" s="1386"/>
      <c r="AF706" s="1384">
        <f>IF(T706&gt;Z706,Z706,T706)</f>
        <v>2</v>
      </c>
      <c r="AG706" s="1822"/>
      <c r="AH706" s="1822"/>
      <c r="AI706" s="1822"/>
      <c r="AJ706" s="1822"/>
      <c r="AK706" s="1823"/>
      <c r="AL706" s="3"/>
      <c r="AM706" s="20"/>
    </row>
    <row r="707" spans="1:39">
      <c r="A707" s="1707" t="s">
        <v>312</v>
      </c>
      <c r="B707" s="1708"/>
      <c r="C707" s="1708"/>
      <c r="D707" s="1708"/>
      <c r="E707" s="1708"/>
      <c r="F707" s="1708"/>
      <c r="G707" s="1708"/>
      <c r="H707" s="1708"/>
      <c r="I707" s="1708"/>
      <c r="J707" s="1708"/>
      <c r="K707" s="1708"/>
      <c r="L707" s="1708"/>
      <c r="M707" s="1708"/>
      <c r="N707" s="1708"/>
      <c r="O707" s="1708"/>
      <c r="P707" s="1708"/>
      <c r="Q707" s="1708"/>
      <c r="R707" s="1708"/>
      <c r="S707" s="1709"/>
      <c r="T707" s="1417"/>
      <c r="U707" s="1417"/>
      <c r="V707" s="1417"/>
      <c r="W707" s="1417"/>
      <c r="X707" s="1417"/>
      <c r="Y707" s="1417"/>
      <c r="Z707" s="1736" t="s">
        <v>311</v>
      </c>
      <c r="AA707" s="1736"/>
      <c r="AB707" s="1736"/>
      <c r="AC707" s="1736"/>
      <c r="AD707" s="1736"/>
      <c r="AE707" s="1736"/>
      <c r="AF707" s="1384">
        <f>IF(T707&gt;0,T707,0)</f>
        <v>0</v>
      </c>
      <c r="AG707" s="1385"/>
      <c r="AH707" s="1385"/>
      <c r="AI707" s="1385"/>
      <c r="AJ707" s="1385"/>
      <c r="AK707" s="1386"/>
      <c r="AL707" s="18"/>
      <c r="AM707" s="20"/>
    </row>
    <row r="708" spans="1:39" ht="15.75">
      <c r="A708" s="1719" t="s">
        <v>756</v>
      </c>
      <c r="B708" s="1720"/>
      <c r="C708" s="1720"/>
      <c r="D708" s="1720"/>
      <c r="E708" s="1720"/>
      <c r="F708" s="1720"/>
      <c r="G708" s="1720"/>
      <c r="H708" s="1720"/>
      <c r="I708" s="1720"/>
      <c r="J708" s="1720"/>
      <c r="K708" s="1720"/>
      <c r="L708" s="1720"/>
      <c r="M708" s="1720"/>
      <c r="N708" s="1720"/>
      <c r="O708" s="1720"/>
      <c r="P708" s="1720"/>
      <c r="Q708" s="1720"/>
      <c r="R708" s="1720"/>
      <c r="S708" s="1720"/>
      <c r="T708" s="1720"/>
      <c r="U708" s="1720"/>
      <c r="V708" s="1720"/>
      <c r="W708" s="1720"/>
      <c r="X708" s="1720"/>
      <c r="Y708" s="1720"/>
      <c r="Z708" s="1720"/>
      <c r="AA708" s="1720"/>
      <c r="AB708" s="1720"/>
      <c r="AC708" s="1720"/>
      <c r="AD708" s="1720"/>
      <c r="AE708" s="1721"/>
      <c r="AF708" s="1814">
        <f>SUM(AF694:AK706)-AF707</f>
        <v>109</v>
      </c>
      <c r="AG708" s="1815"/>
      <c r="AH708" s="1815"/>
      <c r="AI708" s="1815"/>
      <c r="AJ708" s="1815"/>
      <c r="AK708" s="1816"/>
      <c r="AL708" s="786"/>
      <c r="AM708" s="4"/>
    </row>
    <row r="709" spans="1:39" ht="12.6" customHeight="1">
      <c r="A709" s="1722"/>
      <c r="B709" s="1723"/>
      <c r="C709" s="1723"/>
      <c r="D709" s="1723"/>
      <c r="E709" s="1723"/>
      <c r="F709" s="1723"/>
      <c r="G709" s="1723"/>
      <c r="H709" s="1723"/>
      <c r="I709" s="1723"/>
      <c r="J709" s="1723"/>
      <c r="K709" s="1723"/>
      <c r="L709" s="1723"/>
      <c r="M709" s="1723"/>
      <c r="N709" s="1723"/>
      <c r="O709" s="1723"/>
      <c r="P709" s="1723"/>
      <c r="Q709" s="1723"/>
      <c r="R709" s="1723"/>
      <c r="S709" s="1723"/>
      <c r="T709" s="1723"/>
      <c r="U709" s="1723"/>
      <c r="V709" s="1723"/>
      <c r="W709" s="1723"/>
      <c r="X709" s="1723"/>
      <c r="Y709" s="1723"/>
      <c r="Z709" s="1723"/>
      <c r="AA709" s="1723"/>
      <c r="AB709" s="1723"/>
      <c r="AC709" s="1723"/>
      <c r="AD709" s="1723"/>
      <c r="AE709" s="1724"/>
      <c r="AF709" s="1817"/>
      <c r="AG709" s="1818"/>
      <c r="AH709" s="1818"/>
      <c r="AI709" s="1818"/>
      <c r="AJ709" s="1818"/>
      <c r="AK709" s="1819"/>
      <c r="AL709" s="786"/>
      <c r="AM709" s="4"/>
    </row>
    <row r="710" spans="1:39" ht="56.25" customHeight="1">
      <c r="A710" s="976" t="s">
        <v>7</v>
      </c>
      <c r="B710" s="976"/>
      <c r="C710" s="976"/>
      <c r="D710" s="976"/>
      <c r="E710" s="976"/>
      <c r="F710" s="976"/>
      <c r="G710" s="976"/>
      <c r="H710" s="976"/>
      <c r="I710" s="976"/>
      <c r="J710" s="976"/>
      <c r="K710" s="976"/>
      <c r="L710" s="976"/>
      <c r="M710" s="976"/>
      <c r="N710" s="976"/>
      <c r="O710" s="976"/>
      <c r="P710" s="976"/>
      <c r="Q710" s="976"/>
      <c r="R710" s="976"/>
      <c r="S710" s="976"/>
      <c r="T710" s="976"/>
      <c r="U710" s="976"/>
      <c r="V710" s="976"/>
      <c r="W710" s="976"/>
      <c r="X710" s="976"/>
      <c r="Y710" s="976"/>
      <c r="Z710" s="976"/>
      <c r="AA710" s="976"/>
      <c r="AB710" s="976"/>
      <c r="AC710" s="976"/>
      <c r="AD710" s="976"/>
      <c r="AE710" s="976"/>
      <c r="AF710" s="976"/>
      <c r="AG710" s="976"/>
      <c r="AH710" s="976"/>
      <c r="AI710" s="976"/>
      <c r="AJ710" s="976"/>
      <c r="AK710" s="976"/>
      <c r="AL710" s="976"/>
      <c r="AM710" s="1860"/>
    </row>
    <row r="711" spans="1:39" ht="12.6" hidden="1" customHeight="1">
      <c r="A711" s="976"/>
      <c r="B711" s="976"/>
      <c r="C711" s="976"/>
      <c r="D711" s="976"/>
      <c r="E711" s="976"/>
      <c r="F711" s="976"/>
      <c r="G711" s="976"/>
      <c r="H711" s="976"/>
      <c r="I711" s="976"/>
      <c r="J711" s="976"/>
      <c r="K711" s="976"/>
      <c r="L711" s="976"/>
      <c r="M711" s="976"/>
      <c r="N711" s="976"/>
      <c r="O711" s="976"/>
      <c r="P711" s="976"/>
      <c r="Q711" s="976"/>
      <c r="R711" s="976"/>
      <c r="S711" s="976"/>
      <c r="T711" s="976"/>
      <c r="U711" s="976"/>
      <c r="V711" s="976"/>
      <c r="W711" s="976"/>
      <c r="X711" s="976"/>
      <c r="Y711" s="976"/>
      <c r="Z711" s="976"/>
      <c r="AA711" s="976"/>
      <c r="AB711" s="976"/>
      <c r="AC711" s="976"/>
      <c r="AD711" s="976"/>
      <c r="AE711" s="976"/>
      <c r="AF711" s="976"/>
      <c r="AG711" s="976"/>
      <c r="AH711" s="976"/>
      <c r="AI711" s="976"/>
      <c r="AJ711" s="976"/>
      <c r="AK711" s="976"/>
      <c r="AL711" s="976"/>
      <c r="AM711" s="1860"/>
    </row>
    <row r="712" spans="1:39" ht="12.6" hidden="1" customHeight="1">
      <c r="A712" s="976"/>
      <c r="B712" s="976"/>
      <c r="C712" s="976"/>
      <c r="D712" s="976"/>
      <c r="E712" s="976"/>
      <c r="F712" s="976"/>
      <c r="G712" s="976"/>
      <c r="H712" s="976"/>
      <c r="I712" s="976"/>
      <c r="J712" s="976"/>
      <c r="K712" s="976"/>
      <c r="L712" s="976"/>
      <c r="M712" s="976"/>
      <c r="N712" s="976"/>
      <c r="O712" s="976"/>
      <c r="P712" s="976"/>
      <c r="Q712" s="976"/>
      <c r="R712" s="976"/>
      <c r="S712" s="976"/>
      <c r="T712" s="976"/>
      <c r="U712" s="976"/>
      <c r="V712" s="976"/>
      <c r="W712" s="976"/>
      <c r="X712" s="976"/>
      <c r="Y712" s="976"/>
      <c r="Z712" s="976"/>
      <c r="AA712" s="976"/>
      <c r="AB712" s="976"/>
      <c r="AC712" s="976"/>
      <c r="AD712" s="976"/>
      <c r="AE712" s="976"/>
      <c r="AF712" s="976"/>
      <c r="AG712" s="976"/>
      <c r="AH712" s="976"/>
      <c r="AI712" s="976"/>
      <c r="AJ712" s="976"/>
      <c r="AK712" s="976"/>
      <c r="AL712" s="976"/>
      <c r="AM712" s="1860"/>
    </row>
    <row r="713" spans="1:39" ht="12.6" hidden="1" customHeight="1">
      <c r="A713" s="976"/>
      <c r="B713" s="976"/>
      <c r="C713" s="976"/>
      <c r="D713" s="976"/>
      <c r="E713" s="976"/>
      <c r="F713" s="976"/>
      <c r="G713" s="976"/>
      <c r="H713" s="976"/>
      <c r="I713" s="976"/>
      <c r="J713" s="976"/>
      <c r="K713" s="976"/>
      <c r="L713" s="976"/>
      <c r="M713" s="976"/>
      <c r="N713" s="976"/>
      <c r="O713" s="976"/>
      <c r="P713" s="976"/>
      <c r="Q713" s="976"/>
      <c r="R713" s="976"/>
      <c r="S713" s="976"/>
      <c r="T713" s="976"/>
      <c r="U713" s="976"/>
      <c r="V713" s="976"/>
      <c r="W713" s="976"/>
      <c r="X713" s="976"/>
      <c r="Y713" s="976"/>
      <c r="Z713" s="976"/>
      <c r="AA713" s="976"/>
      <c r="AB713" s="976"/>
      <c r="AC713" s="976"/>
      <c r="AD713" s="976"/>
      <c r="AE713" s="976"/>
      <c r="AF713" s="976"/>
      <c r="AG713" s="976"/>
      <c r="AH713" s="976"/>
      <c r="AI713" s="976"/>
      <c r="AJ713" s="976"/>
      <c r="AK713" s="976"/>
      <c r="AL713" s="976"/>
      <c r="AM713" s="1860"/>
    </row>
    <row r="714" spans="1:39" hidden="1">
      <c r="A714" s="976"/>
      <c r="B714" s="976"/>
      <c r="C714" s="976"/>
      <c r="D714" s="976"/>
      <c r="E714" s="976"/>
      <c r="F714" s="976"/>
      <c r="G714" s="976"/>
      <c r="H714" s="976"/>
      <c r="I714" s="976"/>
      <c r="J714" s="976"/>
      <c r="K714" s="976"/>
      <c r="L714" s="976"/>
      <c r="M714" s="976"/>
      <c r="N714" s="976"/>
      <c r="O714" s="976"/>
      <c r="P714" s="976"/>
      <c r="Q714" s="976"/>
      <c r="R714" s="976"/>
      <c r="S714" s="976"/>
      <c r="T714" s="976"/>
      <c r="U714" s="976"/>
      <c r="V714" s="976"/>
      <c r="W714" s="976"/>
      <c r="X714" s="976"/>
      <c r="Y714" s="976"/>
      <c r="Z714" s="976"/>
      <c r="AA714" s="976"/>
      <c r="AB714" s="976"/>
      <c r="AC714" s="976"/>
      <c r="AD714" s="976"/>
      <c r="AE714" s="976"/>
      <c r="AF714" s="976"/>
      <c r="AG714" s="976"/>
      <c r="AH714" s="976"/>
      <c r="AI714" s="976"/>
      <c r="AJ714" s="976"/>
      <c r="AK714" s="976"/>
      <c r="AL714" s="976"/>
      <c r="AM714" s="1860"/>
    </row>
    <row r="715" spans="1:39">
      <c r="A715" s="976"/>
      <c r="B715" s="976"/>
      <c r="C715" s="976"/>
      <c r="D715" s="976"/>
      <c r="E715" s="976"/>
      <c r="F715" s="976"/>
      <c r="G715" s="976"/>
      <c r="H715" s="976"/>
      <c r="I715" s="976"/>
      <c r="J715" s="976"/>
      <c r="K715" s="976"/>
      <c r="L715" s="976"/>
      <c r="M715" s="976"/>
      <c r="N715" s="976"/>
      <c r="O715" s="976"/>
      <c r="P715" s="976"/>
      <c r="Q715" s="976"/>
      <c r="R715" s="976"/>
      <c r="S715" s="976"/>
      <c r="T715" s="976"/>
      <c r="U715" s="976"/>
      <c r="V715" s="976"/>
      <c r="W715" s="976"/>
      <c r="X715" s="976"/>
      <c r="Y715" s="976"/>
      <c r="Z715" s="976"/>
      <c r="AA715" s="976"/>
      <c r="AB715" s="976"/>
      <c r="AC715" s="976"/>
      <c r="AD715" s="976"/>
      <c r="AE715" s="976"/>
      <c r="AF715" s="976"/>
      <c r="AG715" s="976"/>
      <c r="AH715" s="976"/>
      <c r="AI715" s="976"/>
      <c r="AJ715" s="976"/>
      <c r="AK715" s="976"/>
      <c r="AL715" s="976"/>
      <c r="AM715" s="1860"/>
    </row>
  </sheetData>
  <sheetProtection algorithmName="SHA-512" hashValue="M8Z7tR2DRDZoOcnz9np7NxQci5ueWlMfQ0okceNnLsioqiWP7ThuAPhR54lUczymeSVNQ9M24ccxJZzdHfRrzQ==" saltValue="i9s3d+sMCu8smsQcdRkNHg=="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5" right="0.5" top="0.75" bottom="0.75" header="0.5" footer="0.5"/>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28">
    <mergeCell ref="C669:D669"/>
    <mergeCell ref="F669:AD671"/>
    <mergeCell ref="A710:AM715"/>
    <mergeCell ref="S571:T571"/>
    <mergeCell ref="AA570:AB570"/>
    <mergeCell ref="A691:AM691"/>
    <mergeCell ref="E578:J578"/>
    <mergeCell ref="K578:P578"/>
    <mergeCell ref="E574:J577"/>
    <mergeCell ref="K574:P577"/>
    <mergeCell ref="Q574:V577"/>
    <mergeCell ref="W574:AB577"/>
    <mergeCell ref="AC574:AH577"/>
    <mergeCell ref="W578:AB578"/>
    <mergeCell ref="AC578:AH578"/>
    <mergeCell ref="C659:D659"/>
    <mergeCell ref="Z694:AE694"/>
    <mergeCell ref="AF705:AK705"/>
    <mergeCell ref="T707:Y707"/>
    <mergeCell ref="Z707:AE707"/>
    <mergeCell ref="AK615:AM615"/>
    <mergeCell ref="AE571:AF571"/>
    <mergeCell ref="B593:AH598"/>
    <mergeCell ref="B619:AH620"/>
    <mergeCell ref="H297:M297"/>
    <mergeCell ref="H294:R294"/>
    <mergeCell ref="H296:R296"/>
    <mergeCell ref="H295:R295"/>
    <mergeCell ref="P297:R297"/>
    <mergeCell ref="H300:R300"/>
    <mergeCell ref="H289:R289"/>
    <mergeCell ref="H285:R285"/>
    <mergeCell ref="H290:R290"/>
    <mergeCell ref="H302:R302"/>
    <mergeCell ref="H307:R307"/>
    <mergeCell ref="H299:R299"/>
    <mergeCell ref="P306:R306"/>
    <mergeCell ref="AI315:AK315"/>
    <mergeCell ref="AA313:AK313"/>
    <mergeCell ref="P315:R315"/>
    <mergeCell ref="H317:R317"/>
    <mergeCell ref="AA314:AK314"/>
    <mergeCell ref="AA311:AK311"/>
    <mergeCell ref="H313:R313"/>
    <mergeCell ref="H309:R309"/>
    <mergeCell ref="H306:M306"/>
    <mergeCell ref="AI306:AK306"/>
    <mergeCell ref="H312:R312"/>
    <mergeCell ref="AA309:AK309"/>
    <mergeCell ref="AA308:AK308"/>
    <mergeCell ref="H308:R308"/>
    <mergeCell ref="H303:R303"/>
    <mergeCell ref="H304:R304"/>
    <mergeCell ref="H316:R316"/>
    <mergeCell ref="H311:R311"/>
    <mergeCell ref="H315:M315"/>
    <mergeCell ref="AF398:AL398"/>
    <mergeCell ref="C388:D388"/>
    <mergeCell ref="C406:D406"/>
    <mergeCell ref="AE559:AF559"/>
    <mergeCell ref="C465:D465"/>
    <mergeCell ref="C503:D503"/>
    <mergeCell ref="C525:D525"/>
    <mergeCell ref="C398:D398"/>
    <mergeCell ref="B542:AG547"/>
    <mergeCell ref="C396:D396"/>
    <mergeCell ref="Y559:Z559"/>
    <mergeCell ref="C512:D512"/>
    <mergeCell ref="G515:AF515"/>
    <mergeCell ref="C517:D517"/>
    <mergeCell ref="C521:D521"/>
    <mergeCell ref="G521:AF522"/>
    <mergeCell ref="C514:D514"/>
    <mergeCell ref="AF465:AL465"/>
    <mergeCell ref="V487:X487"/>
    <mergeCell ref="O557:P557"/>
    <mergeCell ref="F461:AF464"/>
    <mergeCell ref="F456:AE459"/>
    <mergeCell ref="U556:V556"/>
    <mergeCell ref="AK537:AM537"/>
    <mergeCell ref="AA296:AK296"/>
    <mergeCell ref="H291:R291"/>
    <mergeCell ref="AA324:AF324"/>
    <mergeCell ref="AA327:AK327"/>
    <mergeCell ref="H324:M324"/>
    <mergeCell ref="H298:R298"/>
    <mergeCell ref="AA291:AK291"/>
    <mergeCell ref="BJ523:BK523"/>
    <mergeCell ref="BD522:BE522"/>
    <mergeCell ref="BJ501:BP502"/>
    <mergeCell ref="AU501:BA502"/>
    <mergeCell ref="AA293:AK293"/>
    <mergeCell ref="H314:R314"/>
    <mergeCell ref="H321:R321"/>
    <mergeCell ref="H293:R293"/>
    <mergeCell ref="AA298:AK298"/>
    <mergeCell ref="AA299:AK299"/>
    <mergeCell ref="AA295:AK295"/>
    <mergeCell ref="AA294:AK294"/>
    <mergeCell ref="AA317:AK317"/>
    <mergeCell ref="AA312:AK312"/>
    <mergeCell ref="AA315:AF315"/>
    <mergeCell ref="AA305:AK305"/>
    <mergeCell ref="AS352:AT352"/>
    <mergeCell ref="AP532:AT532"/>
    <mergeCell ref="BM529:BP529"/>
    <mergeCell ref="BO527:BP527"/>
    <mergeCell ref="BE544:BH544"/>
    <mergeCell ref="BM541:BP541"/>
    <mergeCell ref="BM543:BP543"/>
    <mergeCell ref="BM527:BN527"/>
    <mergeCell ref="BE542:BH542"/>
    <mergeCell ref="BM528:BN528"/>
    <mergeCell ref="BI544:BL544"/>
    <mergeCell ref="BI541:BL541"/>
    <mergeCell ref="BE541:BH541"/>
    <mergeCell ref="BM530:BP530"/>
    <mergeCell ref="BM532:BP532"/>
    <mergeCell ref="BM534:BP534"/>
    <mergeCell ref="AU534:AY534"/>
    <mergeCell ref="AU543:AV543"/>
    <mergeCell ref="AP533:AT533"/>
    <mergeCell ref="AU532:AY532"/>
    <mergeCell ref="AU533:AY533"/>
    <mergeCell ref="BI543:BL543"/>
    <mergeCell ref="AF386:AL386"/>
    <mergeCell ref="C363:AJ365"/>
    <mergeCell ref="BM525:BN525"/>
    <mergeCell ref="AP534:AT534"/>
    <mergeCell ref="AP215:AQ215"/>
    <mergeCell ref="BE504:BG518"/>
    <mergeCell ref="AF257:AL257"/>
    <mergeCell ref="AA320:AK320"/>
    <mergeCell ref="AF272:AL272"/>
    <mergeCell ref="AA307:AK307"/>
    <mergeCell ref="AA300:AK300"/>
    <mergeCell ref="AA302:AK302"/>
    <mergeCell ref="AA304:AK304"/>
    <mergeCell ref="AA303:AK303"/>
    <mergeCell ref="AA321:AK321"/>
    <mergeCell ref="AA318:AK318"/>
    <mergeCell ref="AS354:AT354"/>
    <mergeCell ref="F372:AF375"/>
    <mergeCell ref="F381:AF385"/>
    <mergeCell ref="F391:AF395"/>
    <mergeCell ref="F402:AF405"/>
    <mergeCell ref="AF376:AL376"/>
    <mergeCell ref="AF396:AL396"/>
    <mergeCell ref="C344:AJ346"/>
    <mergeCell ref="Y571:Z571"/>
    <mergeCell ref="H323:R323"/>
    <mergeCell ref="AO189:AP189"/>
    <mergeCell ref="BJ524:BK524"/>
    <mergeCell ref="BJ525:BK525"/>
    <mergeCell ref="AP531:AT531"/>
    <mergeCell ref="AU529:AY529"/>
    <mergeCell ref="AU531:AY531"/>
    <mergeCell ref="AP530:AT530"/>
    <mergeCell ref="AA306:AF306"/>
    <mergeCell ref="AU530:AY530"/>
    <mergeCell ref="AP529:AT529"/>
    <mergeCell ref="AF420:AL420"/>
    <mergeCell ref="AA322:AK322"/>
    <mergeCell ref="AA297:AF297"/>
    <mergeCell ref="AI297:AK297"/>
    <mergeCell ref="AA290:AK290"/>
    <mergeCell ref="AF429:AL429"/>
    <mergeCell ref="AF441:AL441"/>
    <mergeCell ref="AF448:AL448"/>
    <mergeCell ref="AA325:AK325"/>
    <mergeCell ref="AP504:AR518"/>
    <mergeCell ref="BD521:BE521"/>
    <mergeCell ref="AF388:AL388"/>
    <mergeCell ref="AZ569:BD569"/>
    <mergeCell ref="Y564:Z564"/>
    <mergeCell ref="W569:X569"/>
    <mergeCell ref="T610:X610"/>
    <mergeCell ref="S559:T559"/>
    <mergeCell ref="W583:AB583"/>
    <mergeCell ref="Q583:V583"/>
    <mergeCell ref="AJ203:AK203"/>
    <mergeCell ref="AA286:AK286"/>
    <mergeCell ref="AI288:AK288"/>
    <mergeCell ref="AJ241:AK241"/>
    <mergeCell ref="AJ268:AK268"/>
    <mergeCell ref="E231:AB233"/>
    <mergeCell ref="AF248:AL248"/>
    <mergeCell ref="E222:AB223"/>
    <mergeCell ref="E235:AA237"/>
    <mergeCell ref="AF231:AL231"/>
    <mergeCell ref="H284:R284"/>
    <mergeCell ref="H287:R287"/>
    <mergeCell ref="E257:AD259"/>
    <mergeCell ref="AA287:AK287"/>
    <mergeCell ref="AA285:AK285"/>
    <mergeCell ref="E248:AB249"/>
    <mergeCell ref="E245:AB246"/>
    <mergeCell ref="AU569:AY569"/>
    <mergeCell ref="U564:V564"/>
    <mergeCell ref="W570:X570"/>
    <mergeCell ref="AA558:AB558"/>
    <mergeCell ref="AC558:AD558"/>
    <mergeCell ref="AC568:AD568"/>
    <mergeCell ref="U566:V566"/>
    <mergeCell ref="Y563:Z563"/>
    <mergeCell ref="Y569:Z569"/>
    <mergeCell ref="AA569:AB569"/>
    <mergeCell ref="W560:X560"/>
    <mergeCell ref="W559:X559"/>
    <mergeCell ref="W568:X568"/>
    <mergeCell ref="AE568:AF568"/>
    <mergeCell ref="AE569:AF569"/>
    <mergeCell ref="AE570:AF570"/>
    <mergeCell ref="AC563:AD563"/>
    <mergeCell ref="AC561:AD561"/>
    <mergeCell ref="AC564:AD564"/>
    <mergeCell ref="AC566:AD566"/>
    <mergeCell ref="AC569:AD569"/>
    <mergeCell ref="U569:V569"/>
    <mergeCell ref="J606:N606"/>
    <mergeCell ref="J607:N607"/>
    <mergeCell ref="AP545:AT545"/>
    <mergeCell ref="U571:V571"/>
    <mergeCell ref="AE560:AF560"/>
    <mergeCell ref="W565:X565"/>
    <mergeCell ref="Y608:AC608"/>
    <mergeCell ref="E572:AH573"/>
    <mergeCell ref="Y568:Z568"/>
    <mergeCell ref="T608:X608"/>
    <mergeCell ref="O608:S608"/>
    <mergeCell ref="AC589:AH589"/>
    <mergeCell ref="E589:J589"/>
    <mergeCell ref="W584:AB584"/>
    <mergeCell ref="E585:J585"/>
    <mergeCell ref="W586:AB586"/>
    <mergeCell ref="AP581:AT581"/>
    <mergeCell ref="AP582:AT582"/>
    <mergeCell ref="AP583:AT583"/>
    <mergeCell ref="AP584:AT584"/>
    <mergeCell ref="S556:T556"/>
    <mergeCell ref="AP580:AT580"/>
    <mergeCell ref="AA571:AB571"/>
    <mergeCell ref="AP565:BJ566"/>
    <mergeCell ref="AF702:AK702"/>
    <mergeCell ref="Z703:AE703"/>
    <mergeCell ref="Z692:AE693"/>
    <mergeCell ref="T698:Y698"/>
    <mergeCell ref="B702:S702"/>
    <mergeCell ref="T700:Y700"/>
    <mergeCell ref="B698:S698"/>
    <mergeCell ref="E699:S699"/>
    <mergeCell ref="E700:S700"/>
    <mergeCell ref="B701:S701"/>
    <mergeCell ref="Z697:AE697"/>
    <mergeCell ref="T701:Y701"/>
    <mergeCell ref="T696:Y696"/>
    <mergeCell ref="T697:Y697"/>
    <mergeCell ref="Z698:AE698"/>
    <mergeCell ref="C661:D661"/>
    <mergeCell ref="C655:D655"/>
    <mergeCell ref="AF708:AK709"/>
    <mergeCell ref="AY538:AZ538"/>
    <mergeCell ref="AS539:AU539"/>
    <mergeCell ref="AX579:AY579"/>
    <mergeCell ref="AZ579:BA579"/>
    <mergeCell ref="AC583:AH583"/>
    <mergeCell ref="AC584:AH584"/>
    <mergeCell ref="AJ613:AK613"/>
    <mergeCell ref="AF695:AK695"/>
    <mergeCell ref="AC585:AH585"/>
    <mergeCell ref="AF707:AK707"/>
    <mergeCell ref="AF706:AK706"/>
    <mergeCell ref="AF704:AK704"/>
    <mergeCell ref="Z704:AE704"/>
    <mergeCell ref="AG592:AJ592"/>
    <mergeCell ref="Y604:AC604"/>
    <mergeCell ref="W585:AB585"/>
    <mergeCell ref="AC586:AH586"/>
    <mergeCell ref="AE567:AF567"/>
    <mergeCell ref="Z706:AE706"/>
    <mergeCell ref="Z705:AE705"/>
    <mergeCell ref="B627:AH639"/>
    <mergeCell ref="T704:Y704"/>
    <mergeCell ref="T702:Y702"/>
    <mergeCell ref="Z702:AE702"/>
    <mergeCell ref="T706:Y706"/>
    <mergeCell ref="BJ587:BM587"/>
    <mergeCell ref="AF701:AK701"/>
    <mergeCell ref="AF703:AK703"/>
    <mergeCell ref="AF694:AK694"/>
    <mergeCell ref="A687:AM688"/>
    <mergeCell ref="J604:N604"/>
    <mergeCell ref="AF696:AK696"/>
    <mergeCell ref="E703:S703"/>
    <mergeCell ref="J605:N605"/>
    <mergeCell ref="Z695:AE695"/>
    <mergeCell ref="T694:Y694"/>
    <mergeCell ref="AF700:AK700"/>
    <mergeCell ref="AF699:AK699"/>
    <mergeCell ref="AF697:AK697"/>
    <mergeCell ref="AF698:AK698"/>
    <mergeCell ref="T699:Y699"/>
    <mergeCell ref="Z696:AE696"/>
    <mergeCell ref="B697:S697"/>
    <mergeCell ref="Z700:AE700"/>
    <mergeCell ref="Z701:AE701"/>
    <mergeCell ref="C623:D623"/>
    <mergeCell ref="C651:D651"/>
    <mergeCell ref="T607:X607"/>
    <mergeCell ref="C646:D646"/>
    <mergeCell ref="Y610:AC610"/>
    <mergeCell ref="T609:X609"/>
    <mergeCell ref="AG623:AJ623"/>
    <mergeCell ref="T605:X605"/>
    <mergeCell ref="J600:N603"/>
    <mergeCell ref="O604:S604"/>
    <mergeCell ref="T604:X604"/>
    <mergeCell ref="O607:S607"/>
    <mergeCell ref="T606:X606"/>
    <mergeCell ref="Y606:AC606"/>
    <mergeCell ref="Y607:AC607"/>
    <mergeCell ref="O606:S606"/>
    <mergeCell ref="A615:AJ615"/>
    <mergeCell ref="J610:N610"/>
    <mergeCell ref="O610:S610"/>
    <mergeCell ref="T600:X603"/>
    <mergeCell ref="Y600:AC603"/>
    <mergeCell ref="O600:S603"/>
    <mergeCell ref="Y605:AC605"/>
    <mergeCell ref="A613:AI613"/>
    <mergeCell ref="A1:AM2"/>
    <mergeCell ref="AF207:AL207"/>
    <mergeCell ref="AF188:AL188"/>
    <mergeCell ref="AJ184:AK184"/>
    <mergeCell ref="B66:K66"/>
    <mergeCell ref="E156:AC158"/>
    <mergeCell ref="E160:AC162"/>
    <mergeCell ref="E164:AC166"/>
    <mergeCell ref="B120:C120"/>
    <mergeCell ref="C40:AD40"/>
    <mergeCell ref="B11:AI11"/>
    <mergeCell ref="B16:AJ16"/>
    <mergeCell ref="AB13:AC13"/>
    <mergeCell ref="AF33:AL33"/>
    <mergeCell ref="AF109:AL109"/>
    <mergeCell ref="AF172:AL172"/>
    <mergeCell ref="AJ151:AK151"/>
    <mergeCell ref="E168:AC170"/>
    <mergeCell ref="AF164:AL164"/>
    <mergeCell ref="S133:T133"/>
    <mergeCell ref="AF128:AL128"/>
    <mergeCell ref="E188:AB191"/>
    <mergeCell ref="E207:AB209"/>
    <mergeCell ref="AF143:AL143"/>
    <mergeCell ref="AJ124:AK124"/>
    <mergeCell ref="AE73:AK73"/>
    <mergeCell ref="AE64:AK64"/>
    <mergeCell ref="AJ139:AK139"/>
    <mergeCell ref="H112:I112"/>
    <mergeCell ref="H137:I137"/>
    <mergeCell ref="AF90:AL90"/>
    <mergeCell ref="AF95:AL95"/>
    <mergeCell ref="AF100:AL100"/>
    <mergeCell ref="E128:AD132"/>
    <mergeCell ref="AF135:AL135"/>
    <mergeCell ref="AF105:AL105"/>
    <mergeCell ref="AK68:AM68"/>
    <mergeCell ref="E120:AG123"/>
    <mergeCell ref="H118:AE118"/>
    <mergeCell ref="T112:Y112"/>
    <mergeCell ref="AE4:AK4"/>
    <mergeCell ref="B8:AC8"/>
    <mergeCell ref="AF210:AL210"/>
    <mergeCell ref="H213:I213"/>
    <mergeCell ref="E219:AB220"/>
    <mergeCell ref="AJ215:AK215"/>
    <mergeCell ref="H239:I239"/>
    <mergeCell ref="H225:I225"/>
    <mergeCell ref="AF235:AL235"/>
    <mergeCell ref="AJ227:AK227"/>
    <mergeCell ref="B49:AK55"/>
    <mergeCell ref="AF6:AL6"/>
    <mergeCell ref="T67:AC67"/>
    <mergeCell ref="C35:AD35"/>
    <mergeCell ref="AJ47:AK47"/>
    <mergeCell ref="AF66:AL66"/>
    <mergeCell ref="AJ31:AK31"/>
    <mergeCell ref="B57:AK59"/>
    <mergeCell ref="AF146:AL146"/>
    <mergeCell ref="B67:S67"/>
    <mergeCell ref="AC37:AD37"/>
    <mergeCell ref="C45:AD45"/>
    <mergeCell ref="AF168:AL168"/>
    <mergeCell ref="H201:I201"/>
    <mergeCell ref="BM547:BP547"/>
    <mergeCell ref="BQ541:BT541"/>
    <mergeCell ref="BT571:BX571"/>
    <mergeCell ref="BE545:BH545"/>
    <mergeCell ref="BM546:BP546"/>
    <mergeCell ref="BE547:BH547"/>
    <mergeCell ref="BO568:BS568"/>
    <mergeCell ref="BO569:BS569"/>
    <mergeCell ref="BE570:BI570"/>
    <mergeCell ref="BE569:BI569"/>
    <mergeCell ref="BO571:BS571"/>
    <mergeCell ref="BE571:BI571"/>
    <mergeCell ref="BJ567:BN567"/>
    <mergeCell ref="BU543:BX543"/>
    <mergeCell ref="BU541:BX541"/>
    <mergeCell ref="BQ542:BT542"/>
    <mergeCell ref="BQ543:BT543"/>
    <mergeCell ref="BU542:BX542"/>
    <mergeCell ref="BU544:BX544"/>
    <mergeCell ref="BQ544:BT544"/>
    <mergeCell ref="BE543:BH543"/>
    <mergeCell ref="BI542:BL542"/>
    <mergeCell ref="BM542:BP542"/>
    <mergeCell ref="BA562:BE562"/>
    <mergeCell ref="BQ545:BT545"/>
    <mergeCell ref="BO570:BS570"/>
    <mergeCell ref="BT568:BX568"/>
    <mergeCell ref="BI545:BL545"/>
    <mergeCell ref="BH581:BI581"/>
    <mergeCell ref="BT572:BX572"/>
    <mergeCell ref="BI546:BL546"/>
    <mergeCell ref="BP581:BQ581"/>
    <mergeCell ref="BL580:BM580"/>
    <mergeCell ref="BJ580:BK580"/>
    <mergeCell ref="BN581:BO581"/>
    <mergeCell ref="BO572:BS572"/>
    <mergeCell ref="BJ579:BK579"/>
    <mergeCell ref="BL579:BM579"/>
    <mergeCell ref="BP579:BQ579"/>
    <mergeCell ref="BN579:BO579"/>
    <mergeCell ref="BL581:BM581"/>
    <mergeCell ref="BJ581:BK581"/>
    <mergeCell ref="BJ572:BN572"/>
    <mergeCell ref="BU545:BX545"/>
    <mergeCell ref="BT567:BX567"/>
    <mergeCell ref="BQ547:BT547"/>
    <mergeCell ref="BU546:BX546"/>
    <mergeCell ref="BK562:BO562"/>
    <mergeCell ref="BN584:BO584"/>
    <mergeCell ref="BN583:BO583"/>
    <mergeCell ref="AZ571:BD571"/>
    <mergeCell ref="AZ572:BD572"/>
    <mergeCell ref="BJ571:BN571"/>
    <mergeCell ref="AX578:BQ578"/>
    <mergeCell ref="BJ569:BN569"/>
    <mergeCell ref="BP582:BQ582"/>
    <mergeCell ref="BN582:BO582"/>
    <mergeCell ref="BJ570:BN570"/>
    <mergeCell ref="AZ584:BA584"/>
    <mergeCell ref="BH584:BI584"/>
    <mergeCell ref="BF583:BG583"/>
    <mergeCell ref="AX582:AY582"/>
    <mergeCell ref="AZ582:BA582"/>
    <mergeCell ref="BB580:BC580"/>
    <mergeCell ref="BB581:BC581"/>
    <mergeCell ref="BF581:BG581"/>
    <mergeCell ref="BD582:BE582"/>
    <mergeCell ref="BF584:BG584"/>
    <mergeCell ref="AZ570:BD570"/>
    <mergeCell ref="AZ573:BD573"/>
    <mergeCell ref="AZ581:BA581"/>
    <mergeCell ref="BL583:BM583"/>
    <mergeCell ref="BJ583:BK583"/>
    <mergeCell ref="BB582:BC582"/>
    <mergeCell ref="AX583:AY583"/>
    <mergeCell ref="BJ585:BK585"/>
    <mergeCell ref="BL582:BM582"/>
    <mergeCell ref="BL585:BM585"/>
    <mergeCell ref="BH583:BI583"/>
    <mergeCell ref="AU572:AY572"/>
    <mergeCell ref="AU573:AY573"/>
    <mergeCell ref="BB585:BC585"/>
    <mergeCell ref="BF585:BG585"/>
    <mergeCell ref="AZ583:BA583"/>
    <mergeCell ref="BE573:BI573"/>
    <mergeCell ref="AX584:AY584"/>
    <mergeCell ref="AZ580:BA580"/>
    <mergeCell ref="BD581:BE581"/>
    <mergeCell ref="BD584:BE584"/>
    <mergeCell ref="BD580:BE580"/>
    <mergeCell ref="BD583:BE583"/>
    <mergeCell ref="AX581:AY581"/>
    <mergeCell ref="BB579:BC579"/>
    <mergeCell ref="AZ574:BD574"/>
    <mergeCell ref="BE574:BI574"/>
    <mergeCell ref="BD579:BE579"/>
    <mergeCell ref="BQ525:BR525"/>
    <mergeCell ref="BS525:BT525"/>
    <mergeCell ref="BI547:BL547"/>
    <mergeCell ref="CA525:CB525"/>
    <mergeCell ref="BQ532:BT532"/>
    <mergeCell ref="BM533:BP533"/>
    <mergeCell ref="BU533:BX533"/>
    <mergeCell ref="BQ533:BT533"/>
    <mergeCell ref="BO528:BP528"/>
    <mergeCell ref="BO525:BP525"/>
    <mergeCell ref="BO526:BP526"/>
    <mergeCell ref="BQ527:BR527"/>
    <mergeCell ref="BU527:BV527"/>
    <mergeCell ref="BW528:BX528"/>
    <mergeCell ref="BU525:BV525"/>
    <mergeCell ref="BM531:BP531"/>
    <mergeCell ref="BM544:BP544"/>
    <mergeCell ref="BW525:BX525"/>
    <mergeCell ref="BY525:BZ525"/>
    <mergeCell ref="BY527:BZ527"/>
    <mergeCell ref="BU526:BV526"/>
    <mergeCell ref="BS526:BT526"/>
    <mergeCell ref="BS527:BT527"/>
    <mergeCell ref="BQ526:BR526"/>
    <mergeCell ref="CC525:CD525"/>
    <mergeCell ref="CA526:CB526"/>
    <mergeCell ref="BY528:BZ528"/>
    <mergeCell ref="CA528:CB528"/>
    <mergeCell ref="CC528:CD528"/>
    <mergeCell ref="CC529:CF529"/>
    <mergeCell ref="CE526:CF526"/>
    <mergeCell ref="BW526:BX526"/>
    <mergeCell ref="CE525:CF525"/>
    <mergeCell ref="BY526:BZ526"/>
    <mergeCell ref="CC526:CD526"/>
    <mergeCell ref="BW527:BX527"/>
    <mergeCell ref="CA527:CB527"/>
    <mergeCell ref="CC527:CD527"/>
    <mergeCell ref="CE527:CF527"/>
    <mergeCell ref="BU529:BX529"/>
    <mergeCell ref="BY529:CB529"/>
    <mergeCell ref="CC532:CF532"/>
    <mergeCell ref="CC534:CF534"/>
    <mergeCell ref="BU532:BX532"/>
    <mergeCell ref="BQ534:BT534"/>
    <mergeCell ref="CC530:CF530"/>
    <mergeCell ref="BQ531:BT531"/>
    <mergeCell ref="BU534:BX534"/>
    <mergeCell ref="CC531:CF531"/>
    <mergeCell ref="CE528:CF528"/>
    <mergeCell ref="CC533:CF533"/>
    <mergeCell ref="BS528:BT528"/>
    <mergeCell ref="BY534:CB534"/>
    <mergeCell ref="BU531:BX531"/>
    <mergeCell ref="BY531:CB531"/>
    <mergeCell ref="BU528:BV528"/>
    <mergeCell ref="BY530:CB530"/>
    <mergeCell ref="BU530:BX530"/>
    <mergeCell ref="BY532:CB532"/>
    <mergeCell ref="BY533:CB533"/>
    <mergeCell ref="BQ530:BT530"/>
    <mergeCell ref="BQ529:BT529"/>
    <mergeCell ref="BQ528:BR528"/>
    <mergeCell ref="CG534:CJ534"/>
    <mergeCell ref="CH543:CK543"/>
    <mergeCell ref="CH544:CK544"/>
    <mergeCell ref="CH545:CK545"/>
    <mergeCell ref="CH546:CK546"/>
    <mergeCell ref="CH538:CK542"/>
    <mergeCell ref="BY541:CB541"/>
    <mergeCell ref="BY545:CB545"/>
    <mergeCell ref="BY542:CB542"/>
    <mergeCell ref="BY543:CB543"/>
    <mergeCell ref="BY544:CB544"/>
    <mergeCell ref="BY546:CB546"/>
    <mergeCell ref="BE546:BH546"/>
    <mergeCell ref="BE568:BI568"/>
    <mergeCell ref="AP568:AT568"/>
    <mergeCell ref="BK565:BO566"/>
    <mergeCell ref="AE556:AF556"/>
    <mergeCell ref="AE557:AF557"/>
    <mergeCell ref="AC556:AD556"/>
    <mergeCell ref="AU546:AW546"/>
    <mergeCell ref="AW559:AY559"/>
    <mergeCell ref="AE562:AF562"/>
    <mergeCell ref="AE561:AF561"/>
    <mergeCell ref="AC567:AD567"/>
    <mergeCell ref="AC565:AD565"/>
    <mergeCell ref="B550:AF551"/>
    <mergeCell ref="BO567:BS567"/>
    <mergeCell ref="Y557:Z557"/>
    <mergeCell ref="Q556:R556"/>
    <mergeCell ref="AA556:AB556"/>
    <mergeCell ref="AE563:AF563"/>
    <mergeCell ref="AE564:AF564"/>
    <mergeCell ref="AE565:AF565"/>
    <mergeCell ref="BQ546:BT546"/>
    <mergeCell ref="AZ568:BD568"/>
    <mergeCell ref="O561:P561"/>
    <mergeCell ref="CC547:CF547"/>
    <mergeCell ref="BT573:BX573"/>
    <mergeCell ref="BU547:BX547"/>
    <mergeCell ref="AV551:AY551"/>
    <mergeCell ref="AP571:AT571"/>
    <mergeCell ref="CD572:CH572"/>
    <mergeCell ref="BY571:CC571"/>
    <mergeCell ref="BJ573:BN573"/>
    <mergeCell ref="BT569:BX569"/>
    <mergeCell ref="BT570:BX570"/>
    <mergeCell ref="CD573:CH573"/>
    <mergeCell ref="AU568:AY568"/>
    <mergeCell ref="AP569:AT569"/>
    <mergeCell ref="AP572:AT572"/>
    <mergeCell ref="CH547:CK547"/>
    <mergeCell ref="BY547:CB547"/>
    <mergeCell ref="CI567:CM567"/>
    <mergeCell ref="CI568:CM568"/>
    <mergeCell ref="CI570:CM570"/>
    <mergeCell ref="BY572:CC572"/>
    <mergeCell ref="CD569:CH569"/>
    <mergeCell ref="CD571:CH571"/>
    <mergeCell ref="BY569:CC569"/>
    <mergeCell ref="AP573:AT573"/>
    <mergeCell ref="CI569:CM569"/>
    <mergeCell ref="BY570:CC570"/>
    <mergeCell ref="CI572:CM572"/>
    <mergeCell ref="CI571:CM571"/>
    <mergeCell ref="CD567:CH567"/>
    <mergeCell ref="CD568:CH568"/>
    <mergeCell ref="CD570:CH570"/>
    <mergeCell ref="BY567:CC567"/>
    <mergeCell ref="BY568:CC568"/>
    <mergeCell ref="CI574:CM574"/>
    <mergeCell ref="BY574:CC574"/>
    <mergeCell ref="BH580:BI580"/>
    <mergeCell ref="AX580:AY580"/>
    <mergeCell ref="BT574:BX574"/>
    <mergeCell ref="CD574:CH574"/>
    <mergeCell ref="AP574:AT574"/>
    <mergeCell ref="BO574:BS574"/>
    <mergeCell ref="BH579:BI579"/>
    <mergeCell ref="BF580:BG580"/>
    <mergeCell ref="BN580:BO580"/>
    <mergeCell ref="BP580:BQ580"/>
    <mergeCell ref="BF579:BG579"/>
    <mergeCell ref="BJ574:BN574"/>
    <mergeCell ref="AU574:AY574"/>
    <mergeCell ref="AP579:AT579"/>
    <mergeCell ref="AP578:AT578"/>
    <mergeCell ref="BN586:BQ586"/>
    <mergeCell ref="BP584:BQ584"/>
    <mergeCell ref="BP585:BQ585"/>
    <mergeCell ref="BJ584:BK584"/>
    <mergeCell ref="BP583:BQ583"/>
    <mergeCell ref="AX586:BA586"/>
    <mergeCell ref="CI573:CM573"/>
    <mergeCell ref="BO573:BS573"/>
    <mergeCell ref="CN574:CR574"/>
    <mergeCell ref="BY573:CC573"/>
    <mergeCell ref="BH585:BI585"/>
    <mergeCell ref="BJ582:BK582"/>
    <mergeCell ref="BH582:BI582"/>
    <mergeCell ref="BN585:BO585"/>
    <mergeCell ref="BF586:BI586"/>
    <mergeCell ref="BJ586:BM586"/>
    <mergeCell ref="BB583:BC583"/>
    <mergeCell ref="BB584:BC584"/>
    <mergeCell ref="BB586:BE586"/>
    <mergeCell ref="BD585:BE585"/>
    <mergeCell ref="BF582:BG582"/>
    <mergeCell ref="AX585:AY585"/>
    <mergeCell ref="AZ585:BA585"/>
    <mergeCell ref="BL584:BM584"/>
    <mergeCell ref="BM526:BN526"/>
    <mergeCell ref="Y556:Z556"/>
    <mergeCell ref="AC571:AD571"/>
    <mergeCell ref="AU570:AY570"/>
    <mergeCell ref="BE572:BI572"/>
    <mergeCell ref="BM545:BP545"/>
    <mergeCell ref="AU571:AY571"/>
    <mergeCell ref="U557:V557"/>
    <mergeCell ref="AA557:AB557"/>
    <mergeCell ref="AP570:AT570"/>
    <mergeCell ref="BF562:BJ562"/>
    <mergeCell ref="BJ568:BN568"/>
    <mergeCell ref="AT557:AX557"/>
    <mergeCell ref="B548:AG549"/>
    <mergeCell ref="AA567:AB567"/>
    <mergeCell ref="W567:X567"/>
    <mergeCell ref="Y567:Z567"/>
    <mergeCell ref="AC562:AD562"/>
    <mergeCell ref="S558:T558"/>
    <mergeCell ref="O566:P566"/>
    <mergeCell ref="AC560:AD560"/>
    <mergeCell ref="Q558:R558"/>
    <mergeCell ref="U558:V558"/>
    <mergeCell ref="S557:T557"/>
    <mergeCell ref="A708:AE709"/>
    <mergeCell ref="A690:AM690"/>
    <mergeCell ref="J608:N608"/>
    <mergeCell ref="K584:L584"/>
    <mergeCell ref="M584:P584"/>
    <mergeCell ref="E580:J580"/>
    <mergeCell ref="K581:P581"/>
    <mergeCell ref="Q586:V586"/>
    <mergeCell ref="AC582:AH582"/>
    <mergeCell ref="K582:P582"/>
    <mergeCell ref="Q580:V580"/>
    <mergeCell ref="K585:L585"/>
    <mergeCell ref="M585:P585"/>
    <mergeCell ref="E584:J584"/>
    <mergeCell ref="E581:J581"/>
    <mergeCell ref="Q584:V584"/>
    <mergeCell ref="T705:Y705"/>
    <mergeCell ref="T703:Y703"/>
    <mergeCell ref="E582:J582"/>
    <mergeCell ref="Z699:AE699"/>
    <mergeCell ref="E696:S696"/>
    <mergeCell ref="Q582:V582"/>
    <mergeCell ref="T692:Y693"/>
    <mergeCell ref="O605:S605"/>
    <mergeCell ref="A707:S707"/>
    <mergeCell ref="E695:S695"/>
    <mergeCell ref="U568:V568"/>
    <mergeCell ref="S568:T568"/>
    <mergeCell ref="AF692:AK693"/>
    <mergeCell ref="T695:Y695"/>
    <mergeCell ref="W579:AB579"/>
    <mergeCell ref="AA559:AB559"/>
    <mergeCell ref="E586:J586"/>
    <mergeCell ref="Q585:V585"/>
    <mergeCell ref="B706:S706"/>
    <mergeCell ref="C666:D666"/>
    <mergeCell ref="B694:S694"/>
    <mergeCell ref="E704:S704"/>
    <mergeCell ref="J609:N609"/>
    <mergeCell ref="AK684:AM684"/>
    <mergeCell ref="AK641:AM641"/>
    <mergeCell ref="Y609:AC609"/>
    <mergeCell ref="K586:P586"/>
    <mergeCell ref="K579:P579"/>
    <mergeCell ref="Q581:V581"/>
    <mergeCell ref="W582:AB582"/>
    <mergeCell ref="O609:S609"/>
    <mergeCell ref="B705:S705"/>
    <mergeCell ref="H318:R318"/>
    <mergeCell ref="AE330:AK330"/>
    <mergeCell ref="C331:AJ338"/>
    <mergeCell ref="C339:AJ343"/>
    <mergeCell ref="AQ365:AR365"/>
    <mergeCell ref="AQ378:AR378"/>
    <mergeCell ref="AA316:AK316"/>
    <mergeCell ref="H320:R320"/>
    <mergeCell ref="H327:R327"/>
    <mergeCell ref="AA326:AK326"/>
    <mergeCell ref="AA323:AK323"/>
    <mergeCell ref="H322:R322"/>
    <mergeCell ref="AI324:AK324"/>
    <mergeCell ref="H325:R325"/>
    <mergeCell ref="H326:R326"/>
    <mergeCell ref="P324:R324"/>
    <mergeCell ref="C347:AJ355"/>
    <mergeCell ref="C356:AJ362"/>
    <mergeCell ref="AG541:AJ541"/>
    <mergeCell ref="AE558:AF558"/>
    <mergeCell ref="B20:AK30"/>
    <mergeCell ref="AK61:AM61"/>
    <mergeCell ref="B75:AK85"/>
    <mergeCell ref="H305:R305"/>
    <mergeCell ref="F426:AE428"/>
    <mergeCell ref="F432:AE440"/>
    <mergeCell ref="F444:AE447"/>
    <mergeCell ref="F411:AE414"/>
    <mergeCell ref="C422:D422"/>
    <mergeCell ref="AK280:AM280"/>
    <mergeCell ref="AF179:AL179"/>
    <mergeCell ref="AF156:AL156"/>
    <mergeCell ref="AF176:AL176"/>
    <mergeCell ref="AA284:AK284"/>
    <mergeCell ref="AA288:AF288"/>
    <mergeCell ref="E193:AB196"/>
    <mergeCell ref="C408:D408"/>
    <mergeCell ref="AF408:AL408"/>
    <mergeCell ref="C411:D411"/>
    <mergeCell ref="AF422:AL422"/>
    <mergeCell ref="C429:D429"/>
    <mergeCell ref="C507:D507"/>
    <mergeCell ref="V500:X500"/>
    <mergeCell ref="AF406:AL406"/>
    <mergeCell ref="F452:AE454"/>
    <mergeCell ref="U367:W367"/>
    <mergeCell ref="U368:W368"/>
    <mergeCell ref="C386:D386"/>
    <mergeCell ref="C456:D456"/>
    <mergeCell ref="C452:D452"/>
    <mergeCell ref="C376:D376"/>
    <mergeCell ref="C448:D448"/>
    <mergeCell ref="D497:E497"/>
    <mergeCell ref="F480:AE481"/>
    <mergeCell ref="V489:X489"/>
    <mergeCell ref="AF452:AL452"/>
    <mergeCell ref="AF456:AL456"/>
    <mergeCell ref="C480:D480"/>
    <mergeCell ref="AK471:AM471"/>
    <mergeCell ref="F482:Z482"/>
    <mergeCell ref="C420:D420"/>
    <mergeCell ref="C441:D441"/>
    <mergeCell ref="F416:AE419"/>
    <mergeCell ref="AF412:AL412"/>
    <mergeCell ref="AE474:AK474"/>
    <mergeCell ref="V494:X494"/>
    <mergeCell ref="F526:AF527"/>
    <mergeCell ref="C484:D484"/>
    <mergeCell ref="F507:AE508"/>
    <mergeCell ref="Q559:R559"/>
    <mergeCell ref="Q564:R564"/>
    <mergeCell ref="U562:V562"/>
    <mergeCell ref="W561:X561"/>
    <mergeCell ref="AA568:AB568"/>
    <mergeCell ref="S567:T567"/>
    <mergeCell ref="U563:V563"/>
    <mergeCell ref="W562:X562"/>
    <mergeCell ref="O567:P567"/>
    <mergeCell ref="Q554:AF555"/>
    <mergeCell ref="W558:X558"/>
    <mergeCell ref="AA564:AB564"/>
    <mergeCell ref="Y558:Z558"/>
    <mergeCell ref="AC559:AD559"/>
    <mergeCell ref="AC557:AD557"/>
    <mergeCell ref="F505:Z505"/>
    <mergeCell ref="F510:H510"/>
    <mergeCell ref="Y560:Z560"/>
    <mergeCell ref="AA561:AB561"/>
    <mergeCell ref="F503:AE504"/>
    <mergeCell ref="O559:P559"/>
    <mergeCell ref="AE165:AK165"/>
    <mergeCell ref="AF160:AL160"/>
    <mergeCell ref="E172:AC174"/>
    <mergeCell ref="E210:AB212"/>
    <mergeCell ref="AF219:AL219"/>
    <mergeCell ref="AF222:AL222"/>
    <mergeCell ref="P288:R288"/>
    <mergeCell ref="E176:AC177"/>
    <mergeCell ref="AJ278:AK278"/>
    <mergeCell ref="H286:R286"/>
    <mergeCell ref="H182:I182"/>
    <mergeCell ref="AF193:AL193"/>
    <mergeCell ref="AF245:AL245"/>
    <mergeCell ref="H251:I251"/>
    <mergeCell ref="AJ253:AK253"/>
    <mergeCell ref="H266:I266"/>
    <mergeCell ref="AF261:AL261"/>
    <mergeCell ref="E198:AB200"/>
    <mergeCell ref="H149:I149"/>
    <mergeCell ref="E179:AC180"/>
    <mergeCell ref="E579:J579"/>
    <mergeCell ref="Q570:R570"/>
    <mergeCell ref="O568:P568"/>
    <mergeCell ref="Q568:R568"/>
    <mergeCell ref="Q571:R571"/>
    <mergeCell ref="S570:T570"/>
    <mergeCell ref="S569:T569"/>
    <mergeCell ref="O569:P569"/>
    <mergeCell ref="Y566:Z566"/>
    <mergeCell ref="O564:P564"/>
    <mergeCell ref="Y565:Z565"/>
    <mergeCell ref="Q557:R557"/>
    <mergeCell ref="W556:X556"/>
    <mergeCell ref="W557:X557"/>
    <mergeCell ref="AA289:AK289"/>
    <mergeCell ref="H288:M288"/>
    <mergeCell ref="E261:AD264"/>
    <mergeCell ref="H276:I276"/>
    <mergeCell ref="E272:AD274"/>
    <mergeCell ref="AE540:AK540"/>
    <mergeCell ref="W571:X571"/>
    <mergeCell ref="U561:V561"/>
    <mergeCell ref="Q562:R562"/>
    <mergeCell ref="Q561:R561"/>
    <mergeCell ref="S561:T561"/>
    <mergeCell ref="U559:V559"/>
    <mergeCell ref="O563:P563"/>
    <mergeCell ref="O562:P562"/>
    <mergeCell ref="AA562:AB562"/>
    <mergeCell ref="W563:X563"/>
    <mergeCell ref="S560:T560"/>
    <mergeCell ref="AA560:AB560"/>
    <mergeCell ref="Y562:Z562"/>
    <mergeCell ref="S562:T562"/>
    <mergeCell ref="Y561:Z561"/>
    <mergeCell ref="O558:P558"/>
    <mergeCell ref="Q560:R560"/>
    <mergeCell ref="K580:P580"/>
    <mergeCell ref="E583:J583"/>
    <mergeCell ref="K583:P583"/>
    <mergeCell ref="AC581:AH581"/>
    <mergeCell ref="U570:V570"/>
    <mergeCell ref="V498:X498"/>
    <mergeCell ref="Q565:R565"/>
    <mergeCell ref="U565:V565"/>
    <mergeCell ref="U567:V567"/>
    <mergeCell ref="AA566:AB566"/>
    <mergeCell ref="W566:X566"/>
    <mergeCell ref="AE566:AF566"/>
    <mergeCell ref="Y570:Z570"/>
    <mergeCell ref="Q578:V578"/>
    <mergeCell ref="S566:T566"/>
    <mergeCell ref="W581:AB581"/>
    <mergeCell ref="W580:AB580"/>
    <mergeCell ref="O571:P571"/>
    <mergeCell ref="O570:P570"/>
    <mergeCell ref="AC580:AH580"/>
    <mergeCell ref="U560:V560"/>
    <mergeCell ref="O560:P560"/>
    <mergeCell ref="F623:AE625"/>
    <mergeCell ref="O565:P565"/>
    <mergeCell ref="I563:N571"/>
    <mergeCell ref="Q569:R569"/>
    <mergeCell ref="K587:P587"/>
    <mergeCell ref="Q587:V587"/>
    <mergeCell ref="W587:AB587"/>
    <mergeCell ref="AC587:AH587"/>
    <mergeCell ref="K588:P588"/>
    <mergeCell ref="Q588:V588"/>
    <mergeCell ref="W588:AB588"/>
    <mergeCell ref="AC588:AH588"/>
    <mergeCell ref="AC579:AH579"/>
    <mergeCell ref="Q563:R563"/>
    <mergeCell ref="S565:T565"/>
    <mergeCell ref="AA563:AB563"/>
    <mergeCell ref="W564:X564"/>
    <mergeCell ref="Q579:V579"/>
    <mergeCell ref="S563:T563"/>
    <mergeCell ref="AA565:AB565"/>
    <mergeCell ref="Q566:R566"/>
    <mergeCell ref="Q567:R567"/>
    <mergeCell ref="S564:T564"/>
    <mergeCell ref="AC570:AD570"/>
  </mergeCells>
  <phoneticPr fontId="0" type="noConversion"/>
  <conditionalFormatting sqref="O112">
    <cfRule type="expression" dxfId="7" priority="1">
      <formula>$H$112="(iv)"</formula>
    </cfRule>
  </conditionalFormatting>
  <conditionalFormatting sqref="T112:Y112">
    <cfRule type="expression" dxfId="6" priority="2">
      <formula>$H$112="(iv)"</formula>
    </cfRule>
  </conditionalFormatting>
  <conditionalFormatting sqref="AP453 AQ454:AQ456 AN454:AN458 W578:W588 AC578:AC590 AJ613 T694:AK694 T695:AE707 AF695:AF708 AG697:AK697 AF698:AK698 AG701:AK701 AG705:AK705 AG707:AL707">
    <cfRule type="expression" dxfId="5" priority="4" stopIfTrue="1">
      <formula>ISERROR(T453)</formula>
    </cfRule>
  </conditionalFormatting>
  <conditionalFormatting sqref="AP473">
    <cfRule type="expression" dxfId="4" priority="3" stopIfTrue="1">
      <formula>ISERROR(AP473)</formula>
    </cfRule>
  </conditionalFormatting>
  <dataValidations count="31">
    <dataValidation type="list" allowBlank="1" showInputMessage="1" showErrorMessage="1" sqref="C661:D661 C659:D659 C655:D655 C651:D651 C623:D623 C646:D646 C525:D525 C448:D448 C517:D517 S133:T133 C465:D465 C398:D398 C512:D512 C456:D456 C484:D484 C521:D521 C507:D507 C480:D480 C452:D452 C441:D441 C429:D429 C420:D420 C396:D396 C503:D503 C376:D376 C666:D666 C386:D386 C422:D422 C411:D411 C408:D408 C406:D406 C669:D669">
      <formula1>"N/A, Yes"</formula1>
    </dataValidation>
    <dataValidation type="whole" allowBlank="1" showInputMessage="1" showErrorMessage="1" error="Please enter whole numbers only" sqref="E578:E588">
      <formula1>0</formula1>
      <formula2>100000000</formula2>
    </dataValidation>
    <dataValidation type="list" allowBlank="1" showInputMessage="1" showErrorMessage="1" sqref="G515:AF515">
      <formula1>$AO$490:$AO$493</formula1>
    </dataValidation>
    <dataValidation type="list" allowBlank="1" showInputMessage="1" showErrorMessage="1" sqref="H251:I251 H239:I239 H225:I225 H213:I213 H201:I201 H149:I149 H137:I137">
      <formula1>$AO$96:$AO$98</formula1>
    </dataValidation>
    <dataValidation type="list" allowBlank="1" showInputMessage="1" showErrorMessage="1" sqref="H266:I266">
      <formula1>$AP$211:$AP$213</formula1>
    </dataValidation>
    <dataValidation type="list" showInputMessage="1" showErrorMessage="1" sqref="AA298:AK298 AA289:AK289 H289:R289 H325:R325 AA325:AK325 H316:R316 AA316:AK316 H307:R307 AA307:AK307 H298:R298">
      <formula1>$AP$200:$AP$210</formula1>
    </dataValidation>
    <dataValidation type="list" allowBlank="1" showInputMessage="1" showErrorMessage="1" sqref="H182:I182">
      <formula1>$AO$132:$AO$139</formula1>
    </dataValidation>
    <dataValidation type="list" allowBlank="1" showInputMessage="1" showErrorMessage="1" sqref="H149:I149">
      <formula1>$AO$96:$AO$97</formula1>
    </dataValidation>
    <dataValidation type="list" showInputMessage="1" showErrorMessage="1" sqref="B120:C120">
      <formula1>$AP$86:$AP$87</formula1>
    </dataValidation>
    <dataValidation type="list" allowBlank="1" showInputMessage="1" showErrorMessage="1" sqref="AB13:AC13 AC37:AD37">
      <formula1>"N/A,Yes,"</formula1>
    </dataValidation>
    <dataValidation type="list" allowBlank="1" showInputMessage="1" showErrorMessage="1" sqref="B16">
      <formula1>$AO$14:$AO$16</formula1>
    </dataValidation>
    <dataValidation type="list" allowBlank="1" showInputMessage="1" showErrorMessage="1" sqref="C40:AD40">
      <formula1>$AO$35:$AO$37</formula1>
    </dataValidation>
    <dataValidation type="list" allowBlank="1" showInputMessage="1" showErrorMessage="1" sqref="C36:AD36">
      <formula1>$AO$29:$AO$34</formula1>
    </dataValidation>
    <dataValidation type="list" allowBlank="1" showInputMessage="1" showErrorMessage="1" sqref="B11">
      <formula1>$AO$9:$AO$11</formula1>
    </dataValidation>
    <dataValidation type="list" allowBlank="1" showInputMessage="1" showErrorMessage="1" sqref="V489:X489">
      <formula1>$AO$463:$AO$465</formula1>
    </dataValidation>
    <dataValidation type="list" allowBlank="1" showInputMessage="1" showErrorMessage="1" sqref="V498:X498">
      <formula1>$AW$463:$AW$466</formula1>
    </dataValidation>
    <dataValidation type="list" allowBlank="1" showInputMessage="1" showErrorMessage="1" sqref="V500:X500">
      <formula1>$BA$463:$BA$465</formula1>
    </dataValidation>
    <dataValidation type="list" allowBlank="1" showInputMessage="1" showErrorMessage="1" sqref="H112:I116">
      <formula1>$AO$96:$AO$101</formula1>
    </dataValidation>
    <dataValidation type="list" allowBlank="1" showInputMessage="1" showErrorMessage="1" sqref="H118:AE118">
      <formula1>$AO$116:$AO$118</formula1>
    </dataValidation>
    <dataValidation type="list" showInputMessage="1" showErrorMessage="1" sqref="T67:AC67">
      <formula1>$AP$66:$AP$68</formula1>
    </dataValidation>
    <dataValidation type="list" allowBlank="1" showInputMessage="1" showErrorMessage="1" sqref="F482:Z482">
      <formula1>$AO$453:$AO$461</formula1>
    </dataValidation>
    <dataValidation type="list" allowBlank="1" showInputMessage="1" showErrorMessage="1" sqref="F505:Z505">
      <formula1>$AO$473:$AO$481</formula1>
    </dataValidation>
    <dataValidation type="list" allowBlank="1" showInputMessage="1" showErrorMessage="1" sqref="F510:H510">
      <formula1>$AO$483:$AO$485</formula1>
    </dataValidation>
    <dataValidation type="list" allowBlank="1" showInputMessage="1" showErrorMessage="1" sqref="V494:X494">
      <formula1>$AO$467:$AO$469</formula1>
    </dataValidation>
    <dataValidation type="whole" allowBlank="1" showInputMessage="1" showErrorMessage="1" sqref="AJ613:AK613">
      <formula1>0</formula1>
      <formula2>2</formula2>
    </dataValidation>
    <dataValidation type="list" allowBlank="1" showInputMessage="1" showErrorMessage="1" sqref="F526">
      <formula1>$AO$496:$AO$499</formula1>
    </dataValidation>
    <dataValidation type="list" allowBlank="1" showInputMessage="1" showErrorMessage="1" sqref="H276:I276">
      <formula1>$AO$271:$AO$272</formula1>
    </dataValidation>
    <dataValidation type="list" allowBlank="1" showInputMessage="1" showErrorMessage="1" sqref="V487:X487">
      <formula1>$AR$463:$AR$465</formula1>
    </dataValidation>
    <dataValidation type="list" showInputMessage="1" showErrorMessage="1" sqref="B66:K66">
      <formula1>$AP$45:$AP$50</formula1>
    </dataValidation>
    <dataValidation type="list" allowBlank="1" showInputMessage="1" showErrorMessage="1" sqref="C35:AD35">
      <formula1>$AO$29:$AO$31</formula1>
    </dataValidation>
    <dataValidation type="list" allowBlank="1" showInputMessage="1" showErrorMessage="1" sqref="T112:Y112">
      <formula1>$AO$107:$AO$109</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3" max="16383" man="1"/>
    <brk id="281" max="16383" man="1"/>
    <brk id="328" max="16383" man="1"/>
    <brk id="370" max="16383" man="1"/>
    <brk id="424" max="16383" man="1"/>
    <brk id="472" max="16383" man="1"/>
    <brk id="538" max="16383" man="1"/>
    <brk id="589" max="16383" man="1"/>
    <brk id="613" max="16383" man="1"/>
    <brk id="640" max="16383" man="1"/>
    <brk id="684" max="16383" man="1"/>
  </rowBreaks>
  <ignoredErrors>
    <ignoredError sqref="E372 E381 E391 E402 E416 E426 E432 E444 E452 E456" numberStoredAsText="1"/>
    <ignoredError sqref="W584 BF585" formula="1"/>
  </ignoredErrors>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E39"/>
  <sheetViews>
    <sheetView workbookViewId="0">
      <selection sqref="A1:AQ2"/>
    </sheetView>
  </sheetViews>
  <sheetFormatPr defaultColWidth="0" defaultRowHeight="12.75"/>
  <cols>
    <col min="1" max="10" width="2.42578125" style="903" customWidth="1"/>
    <col min="11" max="11" width="2.42578125" style="904" customWidth="1"/>
    <col min="12" max="43" width="2.42578125" style="903" customWidth="1"/>
    <col min="44" max="47" width="2.42578125" style="903" hidden="1" customWidth="1"/>
    <col min="48" max="16384" width="9.140625" style="903" hidden="1"/>
  </cols>
  <sheetData>
    <row r="1" spans="1:57" ht="15" customHeight="1">
      <c r="A1" s="1881" t="s">
        <v>2131</v>
      </c>
      <c r="B1" s="1881"/>
      <c r="C1" s="1881"/>
      <c r="D1" s="1881"/>
      <c r="E1" s="1881"/>
      <c r="F1" s="1881"/>
      <c r="G1" s="1881"/>
      <c r="H1" s="1881"/>
      <c r="I1" s="1881"/>
      <c r="J1" s="1881"/>
      <c r="K1" s="1881"/>
      <c r="L1" s="1881"/>
      <c r="M1" s="1881"/>
      <c r="N1" s="1881"/>
      <c r="O1" s="1881"/>
      <c r="P1" s="1881"/>
      <c r="Q1" s="1881"/>
      <c r="R1" s="1881"/>
      <c r="S1" s="1881"/>
      <c r="T1" s="1881"/>
      <c r="U1" s="1881"/>
      <c r="V1" s="1881"/>
      <c r="W1" s="1881"/>
      <c r="X1" s="1881"/>
      <c r="Y1" s="1881"/>
      <c r="Z1" s="1881"/>
      <c r="AA1" s="1881"/>
      <c r="AB1" s="1881"/>
      <c r="AC1" s="1881"/>
      <c r="AD1" s="1881"/>
      <c r="AE1" s="1881"/>
      <c r="AF1" s="1881"/>
      <c r="AG1" s="1881"/>
      <c r="AH1" s="1881"/>
      <c r="AI1" s="1881"/>
      <c r="AJ1" s="1881"/>
      <c r="AK1" s="1881"/>
      <c r="AL1" s="1881"/>
      <c r="AM1" s="1881"/>
      <c r="AN1" s="1881"/>
      <c r="AO1" s="1881"/>
      <c r="AP1" s="1881"/>
      <c r="AQ1" s="1881"/>
    </row>
    <row r="2" spans="1:57" ht="15" customHeight="1">
      <c r="A2" s="1881"/>
      <c r="B2" s="1881"/>
      <c r="C2" s="1881"/>
      <c r="D2" s="1881"/>
      <c r="E2" s="1881"/>
      <c r="F2" s="1881"/>
      <c r="G2" s="1881"/>
      <c r="H2" s="1881"/>
      <c r="I2" s="1881"/>
      <c r="J2" s="1881"/>
      <c r="K2" s="1881"/>
      <c r="L2" s="1881"/>
      <c r="M2" s="1881"/>
      <c r="N2" s="1881"/>
      <c r="O2" s="1881"/>
      <c r="P2" s="1881"/>
      <c r="Q2" s="1881"/>
      <c r="R2" s="1881"/>
      <c r="S2" s="1881"/>
      <c r="T2" s="1881"/>
      <c r="U2" s="1881"/>
      <c r="V2" s="1881"/>
      <c r="W2" s="1881"/>
      <c r="X2" s="1881"/>
      <c r="Y2" s="1881"/>
      <c r="Z2" s="1881"/>
      <c r="AA2" s="1881"/>
      <c r="AB2" s="1881"/>
      <c r="AC2" s="1881"/>
      <c r="AD2" s="1881"/>
      <c r="AE2" s="1881"/>
      <c r="AF2" s="1881"/>
      <c r="AG2" s="1881"/>
      <c r="AH2" s="1881"/>
      <c r="AI2" s="1881"/>
      <c r="AJ2" s="1881"/>
      <c r="AK2" s="1881"/>
      <c r="AL2" s="1881"/>
      <c r="AM2" s="1881"/>
      <c r="AN2" s="1881"/>
      <c r="AO2" s="1881"/>
      <c r="AP2" s="1881"/>
      <c r="AQ2" s="1881"/>
    </row>
    <row r="3" spans="1:57">
      <c r="A3" s="905"/>
      <c r="B3" s="905"/>
      <c r="I3" s="906"/>
      <c r="K3" s="907"/>
    </row>
    <row r="4" spans="1:57" ht="14.25" customHeight="1">
      <c r="A4" s="1880" t="s">
        <v>2132</v>
      </c>
      <c r="B4" s="1880"/>
      <c r="C4" s="1880"/>
      <c r="D4" s="1880"/>
      <c r="E4" s="1880"/>
      <c r="F4" s="1880"/>
      <c r="G4" s="1880"/>
      <c r="H4" s="1880"/>
      <c r="I4" s="1880"/>
      <c r="J4" s="1880"/>
      <c r="K4" s="1880"/>
      <c r="L4" s="1880"/>
      <c r="M4" s="1880"/>
      <c r="N4" s="1880"/>
      <c r="O4" s="1880"/>
      <c r="P4" s="1880"/>
      <c r="Q4" s="1880"/>
      <c r="R4" s="1880"/>
      <c r="S4" s="1880"/>
      <c r="T4" s="1880"/>
      <c r="U4" s="1880"/>
      <c r="V4" s="1880"/>
      <c r="W4" s="1880"/>
      <c r="X4" s="1880"/>
      <c r="Y4" s="1880"/>
      <c r="Z4" s="1880"/>
      <c r="AA4" s="1880"/>
      <c r="AB4" s="1880"/>
      <c r="AC4" s="1880"/>
      <c r="AD4" s="1880"/>
      <c r="AE4" s="1880"/>
      <c r="AF4" s="1880"/>
      <c r="AG4" s="1880"/>
      <c r="AH4" s="1880"/>
      <c r="AI4" s="1880"/>
      <c r="AJ4" s="1880"/>
      <c r="AK4" s="1880"/>
      <c r="AL4" s="1880"/>
      <c r="AM4" s="1880"/>
      <c r="AN4" s="1880"/>
      <c r="AO4" s="1880"/>
      <c r="AP4" s="1880"/>
      <c r="AQ4" s="1880"/>
    </row>
    <row r="5" spans="1:57">
      <c r="A5" s="905"/>
      <c r="B5" s="905"/>
      <c r="I5" s="906"/>
      <c r="K5" s="907"/>
    </row>
    <row r="6" spans="1:57">
      <c r="A6" s="905"/>
      <c r="B6" s="905"/>
      <c r="D6" s="903" t="s">
        <v>2135</v>
      </c>
      <c r="I6" s="906"/>
      <c r="K6" s="907"/>
      <c r="U6" s="1879"/>
      <c r="V6" s="1879"/>
      <c r="W6" s="1879"/>
      <c r="BC6" s="903" t="s">
        <v>2133</v>
      </c>
    </row>
    <row r="7" spans="1:57">
      <c r="A7" s="905"/>
      <c r="B7" s="905"/>
      <c r="D7" s="508" t="s">
        <v>2136</v>
      </c>
      <c r="I7" s="906"/>
      <c r="K7" s="907"/>
      <c r="BC7" s="903" t="s">
        <v>2134</v>
      </c>
    </row>
    <row r="8" spans="1:57">
      <c r="A8" s="905"/>
      <c r="B8" s="905"/>
      <c r="D8" s="508"/>
      <c r="E8" s="903" t="s">
        <v>2148</v>
      </c>
      <c r="BC8" s="903" t="s">
        <v>2137</v>
      </c>
    </row>
    <row r="9" spans="1:57">
      <c r="A9" s="905"/>
      <c r="B9" s="905"/>
      <c r="E9" s="903" t="s">
        <v>2147</v>
      </c>
      <c r="I9" s="906"/>
      <c r="K9" s="907"/>
      <c r="P9" s="1887"/>
      <c r="Q9" s="1887"/>
      <c r="R9" s="1887"/>
      <c r="S9" s="1887"/>
      <c r="T9" s="1887"/>
    </row>
    <row r="10" spans="1:57">
      <c r="A10" s="905"/>
      <c r="B10" s="905"/>
      <c r="I10" s="906"/>
      <c r="K10" s="907"/>
    </row>
    <row r="11" spans="1:57">
      <c r="A11" s="1880" t="s">
        <v>2138</v>
      </c>
      <c r="B11" s="1880"/>
      <c r="C11" s="1880"/>
      <c r="D11" s="1880"/>
      <c r="E11" s="1880"/>
      <c r="F11" s="1880"/>
      <c r="G11" s="1880"/>
      <c r="H11" s="1880"/>
      <c r="I11" s="1880"/>
      <c r="J11" s="1880"/>
      <c r="K11" s="1880"/>
      <c r="L11" s="1880"/>
      <c r="M11" s="1880"/>
      <c r="N11" s="1880"/>
      <c r="O11" s="1880"/>
      <c r="P11" s="1880"/>
      <c r="Q11" s="1880"/>
      <c r="R11" s="1880"/>
      <c r="S11" s="1880"/>
      <c r="T11" s="1880"/>
      <c r="U11" s="1880"/>
      <c r="V11" s="1880"/>
      <c r="W11" s="1880"/>
      <c r="X11" s="1880"/>
      <c r="Y11" s="1880"/>
      <c r="Z11" s="1880"/>
      <c r="AA11" s="1880"/>
      <c r="AB11" s="1880"/>
      <c r="AC11" s="1880"/>
      <c r="AD11" s="1880"/>
      <c r="AE11" s="1880"/>
      <c r="AF11" s="1880"/>
      <c r="AG11" s="1880"/>
      <c r="AH11" s="1880"/>
      <c r="AI11" s="1880"/>
      <c r="AJ11" s="1880"/>
      <c r="AK11" s="1880"/>
      <c r="AL11" s="1880"/>
      <c r="AM11" s="1880"/>
      <c r="AN11" s="1880"/>
      <c r="AO11" s="1880"/>
      <c r="AP11" s="1880"/>
      <c r="AQ11" s="1880"/>
      <c r="BC11" s="903" t="s">
        <v>116</v>
      </c>
    </row>
    <row r="12" spans="1:57">
      <c r="A12" s="905"/>
      <c r="B12" s="905"/>
      <c r="I12" s="906"/>
      <c r="K12" s="907"/>
      <c r="BC12" s="903" t="s">
        <v>510</v>
      </c>
    </row>
    <row r="13" spans="1:57">
      <c r="A13" s="905"/>
      <c r="B13" s="905"/>
      <c r="D13" s="903" t="s">
        <v>2139</v>
      </c>
      <c r="I13" s="906"/>
      <c r="K13" s="907"/>
      <c r="T13" s="1879"/>
      <c r="U13" s="1879"/>
      <c r="V13" s="1879"/>
    </row>
    <row r="14" spans="1:57">
      <c r="A14" s="905"/>
      <c r="B14" s="905"/>
      <c r="E14" s="903" t="s">
        <v>2146</v>
      </c>
      <c r="I14" s="906"/>
      <c r="K14" s="907"/>
      <c r="N14" s="1885"/>
      <c r="O14" s="1885"/>
      <c r="P14" s="1885"/>
      <c r="Q14" s="1885"/>
      <c r="R14" s="1885"/>
      <c r="S14" s="1885"/>
      <c r="T14" s="1885"/>
      <c r="U14" s="1885"/>
      <c r="V14" s="1885"/>
      <c r="W14" s="1885"/>
      <c r="X14" s="1885"/>
      <c r="Y14" s="1885"/>
      <c r="Z14" s="1885"/>
      <c r="AA14" s="1885"/>
      <c r="AB14" s="1885"/>
      <c r="AC14" s="1885"/>
      <c r="AD14" s="1885"/>
      <c r="AE14" s="1885"/>
    </row>
    <row r="15" spans="1:57">
      <c r="A15" s="905"/>
      <c r="B15" s="905"/>
      <c r="E15" s="903" t="s">
        <v>2140</v>
      </c>
      <c r="I15" s="906"/>
      <c r="K15" s="907"/>
      <c r="N15" s="924"/>
      <c r="O15" s="924"/>
      <c r="P15" s="924"/>
      <c r="Q15" s="924"/>
      <c r="R15" s="924"/>
      <c r="S15" s="924"/>
      <c r="T15" s="924"/>
      <c r="U15" s="924"/>
      <c r="V15" s="924"/>
      <c r="W15" s="924"/>
      <c r="X15" s="924"/>
      <c r="Y15" s="924"/>
      <c r="Z15" s="924"/>
      <c r="AA15" s="924"/>
      <c r="AB15" s="924"/>
      <c r="AC15" s="924"/>
      <c r="AD15" s="924"/>
      <c r="AE15" s="924"/>
      <c r="BC15" s="903" t="s">
        <v>2149</v>
      </c>
      <c r="BE15" s="903">
        <f>'Basis &amp; Credits'!AB55</f>
        <v>2283015</v>
      </c>
    </row>
    <row r="16" spans="1:57">
      <c r="A16" s="905"/>
      <c r="B16" s="905"/>
      <c r="BC16" s="903" t="s">
        <v>2150</v>
      </c>
      <c r="BE16" s="903">
        <f>'Basis &amp; Credits'!T11+'Basis &amp; Credits'!AD11</f>
        <v>23326938</v>
      </c>
    </row>
    <row r="17" spans="1:43">
      <c r="A17" s="905"/>
      <c r="B17" s="905"/>
      <c r="D17" s="903" t="s">
        <v>2141</v>
      </c>
      <c r="I17" s="906"/>
      <c r="K17" s="907"/>
      <c r="U17" s="1886" t="str">
        <f>IF(T13="yes",(BE15/BE16)," ")</f>
        <v xml:space="preserve"> </v>
      </c>
      <c r="V17" s="1886"/>
      <c r="W17" s="1886"/>
      <c r="X17" s="1886"/>
      <c r="Y17" s="1886"/>
    </row>
    <row r="18" spans="1:43">
      <c r="A18" s="905"/>
      <c r="B18" s="905"/>
      <c r="I18" s="906"/>
      <c r="K18" s="907"/>
    </row>
    <row r="19" spans="1:43">
      <c r="A19" s="1880" t="s">
        <v>2143</v>
      </c>
      <c r="B19" s="1880"/>
      <c r="C19" s="1880"/>
      <c r="D19" s="1880"/>
      <c r="E19" s="1880"/>
      <c r="F19" s="1880"/>
      <c r="G19" s="1880"/>
      <c r="H19" s="1880"/>
      <c r="I19" s="1880"/>
      <c r="J19" s="1880"/>
      <c r="K19" s="1880"/>
      <c r="L19" s="1880"/>
      <c r="M19" s="1880"/>
      <c r="N19" s="1880"/>
      <c r="O19" s="1880"/>
      <c r="P19" s="1880"/>
      <c r="Q19" s="1880"/>
      <c r="R19" s="1880"/>
      <c r="S19" s="1880"/>
      <c r="T19" s="1880"/>
      <c r="U19" s="1880"/>
      <c r="V19" s="1880"/>
      <c r="W19" s="1880"/>
      <c r="X19" s="1880"/>
      <c r="Y19" s="1880"/>
      <c r="Z19" s="1880"/>
      <c r="AA19" s="1880"/>
      <c r="AB19" s="1880"/>
      <c r="AC19" s="1880"/>
      <c r="AD19" s="1880"/>
      <c r="AE19" s="1880"/>
      <c r="AF19" s="1880"/>
      <c r="AG19" s="1880"/>
      <c r="AH19" s="1880"/>
      <c r="AI19" s="1880"/>
      <c r="AJ19" s="1880"/>
      <c r="AK19" s="1880"/>
      <c r="AL19" s="1880"/>
      <c r="AM19" s="1880"/>
      <c r="AN19" s="1880"/>
      <c r="AO19" s="1880"/>
      <c r="AP19" s="1880"/>
      <c r="AQ19" s="1880"/>
    </row>
    <row r="20" spans="1:43">
      <c r="C20" s="905"/>
      <c r="D20" s="905"/>
      <c r="K20" s="906"/>
      <c r="M20" s="907"/>
    </row>
    <row r="21" spans="1:43">
      <c r="C21" s="905"/>
      <c r="D21" s="905"/>
      <c r="K21" s="906"/>
      <c r="M21" s="907"/>
    </row>
    <row r="22" spans="1:43">
      <c r="C22" s="908" t="s">
        <v>763</v>
      </c>
      <c r="D22" s="908"/>
      <c r="E22" s="903" t="s">
        <v>2144</v>
      </c>
      <c r="H22" s="909"/>
      <c r="K22" s="903"/>
      <c r="Q22" s="1888">
        <f>ROUND('Basis &amp; Credits'!AB55,0)</f>
        <v>2283015</v>
      </c>
      <c r="R22" s="1888"/>
      <c r="S22" s="1888"/>
      <c r="T22" s="1888"/>
      <c r="U22" s="1888"/>
      <c r="V22" s="1888"/>
      <c r="W22" s="1888"/>
      <c r="X22" s="1888"/>
      <c r="Y22" s="923"/>
    </row>
    <row r="23" spans="1:43">
      <c r="C23" s="905"/>
      <c r="D23" s="905"/>
      <c r="G23" s="910"/>
      <c r="H23" s="910"/>
      <c r="I23" s="911"/>
      <c r="J23" s="911"/>
      <c r="K23" s="910"/>
      <c r="M23" s="904"/>
    </row>
    <row r="24" spans="1:43">
      <c r="C24" s="912"/>
      <c r="D24" s="912"/>
      <c r="E24" s="913"/>
      <c r="J24" s="911"/>
      <c r="K24" s="903"/>
      <c r="L24" s="1891" t="s">
        <v>2121</v>
      </c>
      <c r="M24" s="1891"/>
      <c r="N24" s="1891"/>
      <c r="P24" s="1876" t="s">
        <v>2122</v>
      </c>
      <c r="Q24" s="1876"/>
      <c r="R24" s="1876"/>
      <c r="S24" s="1876"/>
      <c r="T24" s="1876"/>
      <c r="V24" s="1876" t="s">
        <v>2123</v>
      </c>
      <c r="W24" s="1876"/>
      <c r="X24" s="1876"/>
    </row>
    <row r="25" spans="1:43">
      <c r="C25" s="908" t="s">
        <v>201</v>
      </c>
      <c r="D25" s="908"/>
      <c r="E25" s="903" t="s">
        <v>1029</v>
      </c>
      <c r="J25" s="911"/>
      <c r="L25" s="1877" t="s">
        <v>2124</v>
      </c>
      <c r="M25" s="1877"/>
      <c r="N25" s="1877"/>
      <c r="P25" s="1877" t="s">
        <v>2125</v>
      </c>
      <c r="Q25" s="1877"/>
      <c r="R25" s="1877"/>
      <c r="S25" s="1877"/>
      <c r="T25" s="1877"/>
      <c r="V25" s="1877" t="s">
        <v>2124</v>
      </c>
      <c r="W25" s="1877"/>
      <c r="X25" s="1877"/>
    </row>
    <row r="26" spans="1:43">
      <c r="C26" s="905"/>
      <c r="D26" s="905"/>
      <c r="E26" s="914" t="s">
        <v>2126</v>
      </c>
      <c r="F26" s="914"/>
      <c r="J26" s="915"/>
      <c r="L26" s="1889">
        <f>Application!BN613</f>
        <v>12</v>
      </c>
      <c r="M26" s="1889"/>
      <c r="N26" s="1889"/>
      <c r="P26" s="1878">
        <v>0.9</v>
      </c>
      <c r="Q26" s="1878"/>
      <c r="R26" s="1878"/>
      <c r="S26" s="1878"/>
      <c r="T26" s="1878"/>
      <c r="V26" s="1878">
        <f>L26*P26</f>
        <v>10.8</v>
      </c>
      <c r="W26" s="1878"/>
      <c r="X26" s="1878"/>
    </row>
    <row r="27" spans="1:43">
      <c r="C27" s="905"/>
      <c r="D27" s="905"/>
      <c r="E27" s="903" t="s">
        <v>2127</v>
      </c>
      <c r="J27" s="915"/>
      <c r="L27" s="1869">
        <f>Application!BS613</f>
        <v>7</v>
      </c>
      <c r="M27" s="1869">
        <f>Application!BS621+Application!BS630+Application!CX644</f>
        <v>0</v>
      </c>
      <c r="N27" s="1869"/>
      <c r="P27" s="1874">
        <v>1</v>
      </c>
      <c r="Q27" s="1874"/>
      <c r="R27" s="1874"/>
      <c r="S27" s="1874"/>
      <c r="T27" s="1874"/>
      <c r="V27" s="1874">
        <f>L27*P27</f>
        <v>7</v>
      </c>
      <c r="W27" s="1874"/>
      <c r="X27" s="1874"/>
    </row>
    <row r="28" spans="1:43">
      <c r="C28" s="905"/>
      <c r="D28" s="905"/>
      <c r="E28" s="903" t="s">
        <v>2128</v>
      </c>
      <c r="J28" s="915"/>
      <c r="L28" s="1869">
        <f>Application!BX613</f>
        <v>10</v>
      </c>
      <c r="M28" s="1869">
        <f>Application!BX621+Application!BX630+Application!DC644</f>
        <v>0</v>
      </c>
      <c r="N28" s="1869"/>
      <c r="P28" s="1874">
        <v>1.25</v>
      </c>
      <c r="Q28" s="1874"/>
      <c r="R28" s="1874"/>
      <c r="S28" s="1874"/>
      <c r="T28" s="1874"/>
      <c r="V28" s="1874">
        <f>L28*P28</f>
        <v>12.5</v>
      </c>
      <c r="W28" s="1874"/>
      <c r="X28" s="1874"/>
    </row>
    <row r="29" spans="1:43">
      <c r="C29" s="905"/>
      <c r="D29" s="905"/>
      <c r="E29" s="903" t="s">
        <v>2129</v>
      </c>
      <c r="J29" s="915"/>
      <c r="L29" s="1869">
        <f>Application!CC613</f>
        <v>9</v>
      </c>
      <c r="M29" s="1869">
        <f>Application!CC621+Application!CC630+Application!DH644</f>
        <v>0</v>
      </c>
      <c r="N29" s="1869"/>
      <c r="P29" s="1874">
        <v>1.5</v>
      </c>
      <c r="Q29" s="1874"/>
      <c r="R29" s="1874"/>
      <c r="S29" s="1874"/>
      <c r="T29" s="1874"/>
      <c r="V29" s="1874">
        <f>L29*P29</f>
        <v>13.5</v>
      </c>
      <c r="W29" s="1874"/>
      <c r="X29" s="1874"/>
    </row>
    <row r="30" spans="1:43">
      <c r="C30" s="905"/>
      <c r="D30" s="905"/>
      <c r="E30" s="903" t="s">
        <v>2130</v>
      </c>
      <c r="J30" s="915"/>
      <c r="L30" s="1870">
        <f>Application!CH613+Application!CM613</f>
        <v>0</v>
      </c>
      <c r="M30" s="1870"/>
      <c r="N30" s="1870"/>
      <c r="P30" s="1874">
        <v>1.75</v>
      </c>
      <c r="Q30" s="1874"/>
      <c r="R30" s="1874">
        <f>1.75+0.25*0</f>
        <v>1.75</v>
      </c>
      <c r="S30" s="1874"/>
      <c r="T30" s="1874"/>
      <c r="V30" s="1875">
        <f>L30*P30</f>
        <v>0</v>
      </c>
      <c r="W30" s="1875"/>
      <c r="X30" s="1875"/>
    </row>
    <row r="31" spans="1:43">
      <c r="C31" s="905"/>
      <c r="D31" s="905"/>
      <c r="L31" s="1889">
        <f>SUM(L26:N30)</f>
        <v>38</v>
      </c>
      <c r="M31" s="1890"/>
      <c r="N31" s="1890"/>
      <c r="V31" s="1878">
        <f>SUM(V26:X30)</f>
        <v>43.8</v>
      </c>
      <c r="W31" s="1878"/>
      <c r="X31" s="1878"/>
    </row>
    <row r="32" spans="1:43">
      <c r="C32" s="905"/>
      <c r="D32" s="905"/>
      <c r="K32" s="916"/>
    </row>
    <row r="33" spans="1:27">
      <c r="C33" s="908" t="s">
        <v>202</v>
      </c>
      <c r="D33" s="908"/>
      <c r="E33" s="905" t="s">
        <v>2145</v>
      </c>
      <c r="H33" s="917"/>
      <c r="I33" s="918"/>
      <c r="J33" s="919"/>
      <c r="K33" s="916"/>
      <c r="M33" s="904"/>
      <c r="V33" s="1871">
        <f>IF(V31&gt;0,V31/Q22," ")</f>
        <v>1.9185156470719638E-5</v>
      </c>
      <c r="W33" s="1872"/>
      <c r="X33" s="1872"/>
      <c r="Y33" s="1872"/>
      <c r="Z33" s="1872"/>
      <c r="AA33" s="1873"/>
    </row>
    <row r="34" spans="1:27">
      <c r="K34" s="903"/>
      <c r="M34" s="904"/>
    </row>
    <row r="35" spans="1:27">
      <c r="E35" s="905" t="s">
        <v>2151</v>
      </c>
      <c r="F35" s="905"/>
      <c r="G35" s="905"/>
      <c r="H35" s="905"/>
      <c r="I35" s="905"/>
      <c r="J35" s="905"/>
      <c r="K35" s="905"/>
      <c r="L35" s="905"/>
      <c r="M35" s="925"/>
      <c r="N35" s="905"/>
      <c r="O35" s="905"/>
      <c r="P35" s="905"/>
      <c r="Q35" s="905"/>
      <c r="R35" s="905"/>
      <c r="V35" s="1882">
        <f>IF(V31&gt;0,1/V33," ")</f>
        <v>52123.630136986307</v>
      </c>
      <c r="W35" s="1883"/>
      <c r="X35" s="1883"/>
      <c r="Y35" s="1883"/>
      <c r="Z35" s="1883"/>
      <c r="AA35" s="1884"/>
    </row>
    <row r="36" spans="1:27" ht="12.75" customHeight="1">
      <c r="B36" s="920"/>
      <c r="C36" s="920"/>
      <c r="D36" s="920"/>
      <c r="E36" s="920"/>
      <c r="F36" s="920"/>
      <c r="G36" s="920"/>
      <c r="H36" s="920"/>
      <c r="I36" s="920"/>
    </row>
    <row r="37" spans="1:27">
      <c r="A37" s="920"/>
      <c r="B37" s="920"/>
      <c r="C37" s="920"/>
      <c r="D37" s="920"/>
      <c r="E37" s="920"/>
      <c r="F37" s="920"/>
      <c r="G37" s="920"/>
      <c r="H37" s="920"/>
      <c r="I37" s="920"/>
    </row>
    <row r="38" spans="1:27">
      <c r="A38" s="920"/>
      <c r="B38" s="920"/>
      <c r="C38" s="920"/>
      <c r="D38" s="920"/>
      <c r="E38" s="920"/>
      <c r="F38" s="920"/>
      <c r="G38" s="920"/>
      <c r="H38" s="920"/>
      <c r="I38" s="920"/>
    </row>
    <row r="39" spans="1:27">
      <c r="A39" s="920"/>
      <c r="B39" s="920"/>
      <c r="C39" s="920"/>
      <c r="D39" s="920"/>
      <c r="E39" s="920"/>
      <c r="F39" s="920"/>
      <c r="G39" s="920"/>
      <c r="H39" s="920"/>
      <c r="I39" s="920"/>
    </row>
  </sheetData>
  <sheetProtection algorithmName="SHA-512" hashValue="CbNd8PwnsM+agsWHyGo/kq0y2Kt9v3bOtPiX1GmjJDVo0qbGFi9rnw4PXU1i5RAp9rgVKxYcDHxXhsfJg6DhXQ==" saltValue="+hkkaokmn85c3qj3CDCRKg==" spinCount="100000" sheet="1" objects="1" scenarios="1"/>
  <mergeCells count="35">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 ref="U6:W6"/>
    <mergeCell ref="A4:AQ4"/>
    <mergeCell ref="A1:AQ2"/>
    <mergeCell ref="A11:AQ11"/>
    <mergeCell ref="T13:V13"/>
    <mergeCell ref="V24:X24"/>
    <mergeCell ref="V25:X25"/>
    <mergeCell ref="V26:X26"/>
    <mergeCell ref="V27:X27"/>
    <mergeCell ref="V28:X28"/>
    <mergeCell ref="L27:N27"/>
    <mergeCell ref="L28:N28"/>
    <mergeCell ref="L29:N29"/>
    <mergeCell ref="L30:N30"/>
    <mergeCell ref="V33:AA33"/>
    <mergeCell ref="P29:T29"/>
    <mergeCell ref="P30:T30"/>
    <mergeCell ref="V29:X29"/>
    <mergeCell ref="V30:X30"/>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formula1>$BC$5:$BC$8</formula1>
    </dataValidation>
    <dataValidation type="list" allowBlank="1" showInputMessage="1" showErrorMessage="1" sqref="T13:V13 U6:W6">
      <formula1>$BC$10:$BC$12</formula1>
    </dataValidation>
  </dataValidations>
  <hyperlinks>
    <hyperlink ref="D7" r:id="rId1"/>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21</vt:i4>
      </vt:variant>
    </vt:vector>
  </HeadingPairs>
  <TitlesOfParts>
    <vt:vector size="38"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Final Tie Breaker </vt:lpstr>
      <vt:lpstr>15 Year Pro Forma</vt:lpstr>
      <vt:lpstr>Subsidy Contract Calculation</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'Basis &amp; Credits'!Print_Area</vt:lpstr>
      <vt:lpstr>'Checklist Items'!Print_Area</vt:lpstr>
      <vt:lpstr>'FCE Basis and Credits'!Print_Area</vt:lpstr>
      <vt:lpstr>'Final Tie Breaker '!Print_Area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'Post-award Project Cost Changes'!Print_Titles</vt:lpstr>
      <vt:lpstr>'Sources and Basis Breakdown'!Print_Titles</vt:lpstr>
      <vt:lpstr>'Sources and Uses Budget'!Print_Titles</vt:lpstr>
      <vt:lpstr>set_aside</vt:lpstr>
      <vt:lpstr>TC_Rent</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Christina Husbands</cp:lastModifiedBy>
  <cp:lastPrinted>2023-08-08T22:26:08Z</cp:lastPrinted>
  <dcterms:created xsi:type="dcterms:W3CDTF">2007-12-27T18:26:28Z</dcterms:created>
  <dcterms:modified xsi:type="dcterms:W3CDTF">2023-08-08T22:33:46Z</dcterms:modified>
</cp:coreProperties>
</file>