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F:\PROJECTS\Active Potential Deals\Alma (Los Angeles, CA)\Project Management\Financing\9% TCAC Round 1 2024 (02.13.2024)\Final\TCAC Application\"/>
    </mc:Choice>
  </mc:AlternateContent>
  <xr:revisionPtr revIDLastSave="0" documentId="13_ncr:1_{B54064AE-46EC-40F7-8F63-88D94AE08CED}" xr6:coauthVersionLast="47" xr6:coauthVersionMax="47" xr10:uidLastSave="{00000000-0000-0000-0000-000000000000}"/>
  <bookViews>
    <workbookView xWindow="-108" yWindow="-108" windowWidth="23256" windowHeight="12576"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8" i="9" l="1"/>
  <c r="C93" i="4" l="1"/>
  <c r="C92" i="4"/>
  <c r="C27" i="4"/>
  <c r="S93" i="4" l="1"/>
  <c r="AG441" i="3"/>
  <c r="AG435" i="3"/>
  <c r="Q622" i="3"/>
  <c r="G53" i="9" l="1"/>
  <c r="S29" i="4"/>
  <c r="S30" i="4"/>
  <c r="S31" i="4"/>
  <c r="S32" i="4"/>
  <c r="S33" i="4"/>
  <c r="S35" i="4"/>
  <c r="S37" i="4"/>
  <c r="S10" i="4"/>
  <c r="S40" i="4"/>
  <c r="S41" i="4"/>
  <c r="S43" i="4"/>
  <c r="S48" i="4"/>
  <c r="S49" i="4"/>
  <c r="S50" i="4"/>
  <c r="S51" i="4"/>
  <c r="S52" i="4"/>
  <c r="S79" i="4"/>
  <c r="S83" i="4"/>
  <c r="S84" i="4"/>
  <c r="S85" i="4"/>
  <c r="S88" i="4"/>
  <c r="S90" i="4"/>
  <c r="S91" i="4"/>
  <c r="S92" i="4"/>
  <c r="S94" i="4"/>
  <c r="S98" i="4"/>
  <c r="E98" i="4"/>
  <c r="E83" i="4"/>
  <c r="E84" i="4"/>
  <c r="E85" i="4"/>
  <c r="E87" i="4"/>
  <c r="E88" i="4"/>
  <c r="E89" i="4"/>
  <c r="E90" i="4"/>
  <c r="E91" i="4"/>
  <c r="E94" i="4"/>
  <c r="E82" i="4"/>
  <c r="E79" i="4"/>
  <c r="E78" i="4"/>
  <c r="E74" i="4"/>
  <c r="E68" i="4"/>
  <c r="E64" i="4"/>
  <c r="E57" i="4"/>
  <c r="E60" i="4"/>
  <c r="E55" i="4"/>
  <c r="E46" i="4"/>
  <c r="E48" i="4"/>
  <c r="E49" i="4"/>
  <c r="E50" i="4"/>
  <c r="E51" i="4"/>
  <c r="E52" i="4"/>
  <c r="E45" i="4"/>
  <c r="E43" i="4"/>
  <c r="E41" i="4"/>
  <c r="E40" i="4"/>
  <c r="E13" i="4"/>
  <c r="E6" i="4"/>
  <c r="E31" i="4"/>
  <c r="E32" i="4"/>
  <c r="E33" i="4"/>
  <c r="E35" i="4"/>
  <c r="E37" i="4"/>
  <c r="E30" i="4"/>
  <c r="R10" i="4"/>
  <c r="F30" i="4"/>
  <c r="G30" i="4"/>
  <c r="H30" i="4"/>
  <c r="H29" i="4"/>
  <c r="H10" i="4"/>
  <c r="H5" i="4"/>
  <c r="C52" i="4"/>
  <c r="C68" i="4"/>
  <c r="C94" i="4"/>
  <c r="C83" i="4"/>
  <c r="C64" i="4"/>
  <c r="C43" i="4"/>
  <c r="C33" i="4"/>
  <c r="C32" i="4"/>
  <c r="C30" i="4"/>
  <c r="C29" i="4"/>
  <c r="F4" i="4"/>
  <c r="C13" i="4"/>
  <c r="L937" i="3"/>
  <c r="AC865" i="3" l="1"/>
  <c r="H650" i="3"/>
  <c r="G649" i="3"/>
  <c r="G648" i="3"/>
  <c r="G647" i="3"/>
  <c r="G646" i="3"/>
  <c r="AA642" i="3"/>
  <c r="Z641" i="3"/>
  <c r="Z640" i="3"/>
  <c r="Z639" i="3"/>
  <c r="Z638" i="3"/>
  <c r="T623" i="3"/>
  <c r="Q623" i="3"/>
  <c r="T622" i="3"/>
  <c r="T621" i="3"/>
  <c r="Q621" i="3"/>
  <c r="H584" i="3"/>
  <c r="AA576" i="3"/>
  <c r="H576" i="3"/>
  <c r="AA568" i="3"/>
  <c r="AG436" i="3"/>
  <c r="H310" i="3" l="1"/>
  <c r="H309" i="3"/>
  <c r="H307" i="3"/>
  <c r="H306" i="3"/>
  <c r="H305" i="3"/>
  <c r="H295" i="3"/>
  <c r="H293" i="3"/>
  <c r="H292" i="3"/>
  <c r="H290" i="3"/>
  <c r="H289" i="3"/>
  <c r="L281" i="3"/>
  <c r="L280" i="3"/>
  <c r="L279" i="3"/>
  <c r="AB278" i="3"/>
  <c r="V278" i="3"/>
  <c r="L278" i="3"/>
  <c r="L277" i="3"/>
  <c r="L276" i="3"/>
  <c r="AA251" i="3"/>
  <c r="AC247" i="3"/>
  <c r="W247" i="3"/>
  <c r="M247" i="3"/>
  <c r="M246" i="3"/>
  <c r="AJ31" i="6" l="1"/>
  <c r="AJ47" i="6"/>
  <c r="AQ6" i="6"/>
  <c r="AJ995" i="3"/>
  <c r="BI734" i="3"/>
  <c r="BI737" i="3"/>
  <c r="BH722" i="3"/>
  <c r="BI722" i="3" s="1"/>
  <c r="BH723" i="3"/>
  <c r="BI723" i="3" s="1"/>
  <c r="BH724" i="3"/>
  <c r="BI724" i="3" s="1"/>
  <c r="BH725" i="3"/>
  <c r="BI725" i="3" s="1"/>
  <c r="BH726" i="3"/>
  <c r="BI726" i="3" s="1"/>
  <c r="BH727" i="3"/>
  <c r="BI727" i="3" s="1"/>
  <c r="BH728" i="3"/>
  <c r="BI728" i="3" s="1"/>
  <c r="BH729" i="3"/>
  <c r="BI729" i="3" s="1"/>
  <c r="BH730" i="3"/>
  <c r="BI730" i="3" s="1"/>
  <c r="BH731" i="3"/>
  <c r="BI731" i="3" s="1"/>
  <c r="BH732" i="3"/>
  <c r="BI732" i="3" s="1"/>
  <c r="BH733" i="3"/>
  <c r="BI733" i="3" s="1"/>
  <c r="BH734" i="3"/>
  <c r="BH735" i="3"/>
  <c r="BI735" i="3" s="1"/>
  <c r="BH736" i="3"/>
  <c r="BI736" i="3" s="1"/>
  <c r="BH737" i="3"/>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M697" i="3"/>
  <c r="AM696" i="3"/>
  <c r="AM69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BI720" i="3" s="1"/>
  <c r="AZ260" i="3"/>
  <c r="BO245" i="3" s="1"/>
  <c r="T269" i="3" s="1"/>
  <c r="BG714" i="3"/>
  <c r="Y22" i="5"/>
  <c r="AD22" i="5"/>
  <c r="AI22" i="5"/>
  <c r="T22" i="5"/>
  <c r="BH721" i="3" l="1"/>
  <c r="BI721" i="3" s="1"/>
  <c r="BH692" i="3"/>
  <c r="BI692" i="3" s="1"/>
  <c r="BH704" i="3"/>
  <c r="BI704" i="3" s="1"/>
  <c r="BH693" i="3"/>
  <c r="BI693" i="3" s="1"/>
  <c r="BH705" i="3"/>
  <c r="BI705" i="3" s="1"/>
  <c r="BH707" i="3"/>
  <c r="BI707" i="3" s="1"/>
  <c r="BH689" i="3"/>
  <c r="BI689" i="3" s="1"/>
  <c r="BH694" i="3"/>
  <c r="BI694" i="3" s="1"/>
  <c r="BH706" i="3"/>
  <c r="BI706" i="3" s="1"/>
  <c r="BH695" i="3"/>
  <c r="BI695" i="3" s="1"/>
  <c r="BH709" i="3"/>
  <c r="BI709" i="3" s="1"/>
  <c r="BH712" i="3"/>
  <c r="BI712" i="3" s="1"/>
  <c r="BH696" i="3"/>
  <c r="BI696" i="3" s="1"/>
  <c r="BH708" i="3"/>
  <c r="BI708" i="3" s="1"/>
  <c r="BH691" i="3"/>
  <c r="BI691" i="3" s="1"/>
  <c r="BH703" i="3"/>
  <c r="BI703" i="3" s="1"/>
  <c r="BH697" i="3"/>
  <c r="BI697" i="3" s="1"/>
  <c r="BH698" i="3"/>
  <c r="BI698" i="3" s="1"/>
  <c r="BH710" i="3"/>
  <c r="BI710" i="3" s="1"/>
  <c r="BH699" i="3"/>
  <c r="BI699" i="3" s="1"/>
  <c r="BH711" i="3"/>
  <c r="BI711" i="3" s="1"/>
  <c r="BH702" i="3"/>
  <c r="BI702" i="3" s="1"/>
  <c r="BH700" i="3"/>
  <c r="BI700" i="3" s="1"/>
  <c r="BH701" i="3"/>
  <c r="BI701" i="3" s="1"/>
  <c r="BH713" i="3"/>
  <c r="BI713" i="3" s="1"/>
  <c r="BH690" i="3"/>
  <c r="BI690" i="3" s="1"/>
  <c r="AO654" i="6"/>
  <c r="AO648" i="6"/>
  <c r="AO653" i="6"/>
  <c r="BI714" i="3" l="1"/>
  <c r="AH730" i="3" s="1"/>
  <c r="BI745" i="3"/>
  <c r="AM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E85" i="15" s="1"/>
  <c r="D85" i="15"/>
  <c r="B86" i="15"/>
  <c r="C86" i="15"/>
  <c r="D86" i="15"/>
  <c r="B87" i="15"/>
  <c r="C87" i="15"/>
  <c r="D87" i="15"/>
  <c r="B88" i="15"/>
  <c r="C88" i="15"/>
  <c r="E88" i="15" s="1"/>
  <c r="D88" i="15"/>
  <c r="B89" i="15"/>
  <c r="C89" i="15"/>
  <c r="D89" i="15"/>
  <c r="B90" i="15"/>
  <c r="C90" i="15"/>
  <c r="E90" i="15" s="1"/>
  <c r="D90" i="15"/>
  <c r="B91" i="15"/>
  <c r="C91" i="15"/>
  <c r="D91" i="15"/>
  <c r="B92" i="15"/>
  <c r="C92" i="15"/>
  <c r="D92" i="15"/>
  <c r="B93" i="15"/>
  <c r="C93" i="15"/>
  <c r="E93" i="15" s="1"/>
  <c r="D93" i="15"/>
  <c r="B94" i="15"/>
  <c r="C94" i="15"/>
  <c r="E94" i="15" s="1"/>
  <c r="D94" i="15"/>
  <c r="B95" i="15"/>
  <c r="C95" i="15"/>
  <c r="E95" i="15"/>
  <c r="D95" i="15"/>
  <c r="E86"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E49" i="15"/>
  <c r="D49" i="15"/>
  <c r="B50" i="15"/>
  <c r="C50" i="15"/>
  <c r="D50" i="15"/>
  <c r="B51" i="15"/>
  <c r="C51" i="15"/>
  <c r="D51" i="15"/>
  <c r="B52" i="15"/>
  <c r="C52" i="15"/>
  <c r="E52" i="15" s="1"/>
  <c r="D52" i="15"/>
  <c r="B53" i="15"/>
  <c r="C53" i="15"/>
  <c r="E53" i="15" s="1"/>
  <c r="D53" i="15"/>
  <c r="D46" i="15"/>
  <c r="C46" i="15"/>
  <c r="E46" i="15" s="1"/>
  <c r="B46" i="15"/>
  <c r="B44" i="15"/>
  <c r="C44" i="15"/>
  <c r="E44" i="15" s="1"/>
  <c r="D44" i="15"/>
  <c r="B42" i="15"/>
  <c r="C42" i="15"/>
  <c r="E42" i="15" s="1"/>
  <c r="D42" i="15"/>
  <c r="D41" i="15"/>
  <c r="C41" i="15"/>
  <c r="E41" i="15" s="1"/>
  <c r="B41" i="15"/>
  <c r="B38" i="15"/>
  <c r="C38" i="15"/>
  <c r="E38" i="15" s="1"/>
  <c r="D38" i="15"/>
  <c r="B31" i="15"/>
  <c r="C31" i="15"/>
  <c r="D31" i="15"/>
  <c r="B32" i="15"/>
  <c r="C32" i="15"/>
  <c r="E32" i="15" s="1"/>
  <c r="D32" i="15"/>
  <c r="B33" i="15"/>
  <c r="C33" i="15"/>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C5" i="15"/>
  <c r="E5" i="15" s="1"/>
  <c r="B6" i="15"/>
  <c r="C6" i="15"/>
  <c r="B7" i="15"/>
  <c r="C7" i="15"/>
  <c r="B8" i="15"/>
  <c r="C8" i="15"/>
  <c r="B10" i="15"/>
  <c r="B12" i="15" s="1"/>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73" i="15"/>
  <c r="E22" i="15"/>
  <c r="E91" i="15"/>
  <c r="E87" i="15"/>
  <c r="E67" i="15"/>
  <c r="E33" i="15"/>
  <c r="E79" i="15"/>
  <c r="E58" i="15"/>
  <c r="E89" i="15"/>
  <c r="E16" i="15"/>
  <c r="E7" i="15"/>
  <c r="E31" i="15"/>
  <c r="E51" i="15"/>
  <c r="E57" i="15"/>
  <c r="E84" i="15"/>
  <c r="E14" i="15"/>
  <c r="E21" i="15"/>
  <c r="E8" i="15"/>
  <c r="E48" i="15"/>
  <c r="E19" i="15"/>
  <c r="E47" i="15"/>
  <c r="E72" i="15"/>
  <c r="E50" i="15"/>
  <c r="E6" i="15"/>
  <c r="E23" i="15"/>
  <c r="C9" i="15"/>
  <c r="E11" i="15"/>
  <c r="E35" i="15"/>
  <c r="E83"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24" i="4"/>
  <c r="B24" i="4"/>
  <c r="I53" i="9"/>
  <c r="K53" i="9" s="1"/>
  <c r="G54" i="9"/>
  <c r="I54" i="9" s="1"/>
  <c r="G55" i="9"/>
  <c r="I55" i="9"/>
  <c r="K55" i="9"/>
  <c r="M55" i="9"/>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B11" i="18" s="1"/>
  <c r="C26" i="4"/>
  <c r="C38" i="4"/>
  <c r="B37" i="18" s="1"/>
  <c r="C42" i="4"/>
  <c r="B41" i="18" s="1"/>
  <c r="C53" i="4"/>
  <c r="B53" i="4" s="1"/>
  <c r="C61" i="4"/>
  <c r="B61" i="4" s="1"/>
  <c r="C69" i="4"/>
  <c r="C70" i="15" s="1"/>
  <c r="C76" i="4"/>
  <c r="B76" i="4" s="1"/>
  <c r="C80" i="4"/>
  <c r="C81" i="15" s="1"/>
  <c r="C95" i="4"/>
  <c r="C96" i="15" s="1"/>
  <c r="C103" i="4"/>
  <c r="C104" i="15" s="1"/>
  <c r="C66" i="25"/>
  <c r="Y20" i="5"/>
  <c r="AI20" i="5"/>
  <c r="S26" i="4"/>
  <c r="S38" i="4"/>
  <c r="S42" i="4"/>
  <c r="S53" i="4"/>
  <c r="S69" i="4"/>
  <c r="S80" i="4"/>
  <c r="E79" i="18" s="1"/>
  <c r="S95" i="4"/>
  <c r="E94" i="18" s="1"/>
  <c r="S103" i="4"/>
  <c r="E102" i="18" s="1"/>
  <c r="F25" i="18"/>
  <c r="F37" i="18"/>
  <c r="F41" i="18"/>
  <c r="F52" i="18"/>
  <c r="F68" i="18"/>
  <c r="F79" i="18"/>
  <c r="F94" i="18"/>
  <c r="F102" i="18"/>
  <c r="T20" i="5"/>
  <c r="T26" i="4"/>
  <c r="T38" i="4"/>
  <c r="T62" i="4" s="1"/>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60" i="4"/>
  <c r="R59" i="4"/>
  <c r="R58" i="4"/>
  <c r="R57" i="4"/>
  <c r="R56" i="4"/>
  <c r="R52" i="4"/>
  <c r="R51" i="4"/>
  <c r="R50" i="4"/>
  <c r="R49" i="4"/>
  <c r="R48" i="4"/>
  <c r="R53" i="4"/>
  <c r="R46" i="4"/>
  <c r="R45" i="4"/>
  <c r="R43" i="4"/>
  <c r="R41" i="4"/>
  <c r="R40" i="4"/>
  <c r="R37" i="4"/>
  <c r="R35" i="4"/>
  <c r="R33" i="4"/>
  <c r="R32" i="4"/>
  <c r="R30" i="4"/>
  <c r="R31" i="4"/>
  <c r="R29" i="4"/>
  <c r="R25" i="4"/>
  <c r="R23" i="4"/>
  <c r="R22" i="4"/>
  <c r="R21" i="4"/>
  <c r="R20" i="4"/>
  <c r="R19" i="4"/>
  <c r="R18" i="4"/>
  <c r="R17" i="4"/>
  <c r="R15" i="4"/>
  <c r="R14" i="4"/>
  <c r="R13" i="4"/>
  <c r="R7" i="4"/>
  <c r="R6" i="4"/>
  <c r="D5" i="15"/>
  <c r="D6" i="15"/>
  <c r="D7" i="15"/>
  <c r="D9" i="15" s="1"/>
  <c r="D8" i="15"/>
  <c r="D10" i="15"/>
  <c r="D11" i="15"/>
  <c r="D14" i="15"/>
  <c r="D15" i="15"/>
  <c r="D16" i="15"/>
  <c r="D18" i="15"/>
  <c r="E37" i="18"/>
  <c r="E41" i="18"/>
  <c r="E52" i="18"/>
  <c r="E68" i="18"/>
  <c r="H25"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E11" i="4" s="1"/>
  <c r="B10" i="4"/>
  <c r="F11" i="4"/>
  <c r="G11" i="4"/>
  <c r="I12" i="4"/>
  <c r="O12" i="4"/>
  <c r="B13" i="4"/>
  <c r="B14" i="4"/>
  <c r="B17" i="4"/>
  <c r="B18" i="4"/>
  <c r="B19" i="4"/>
  <c r="B20" i="4"/>
  <c r="B21" i="4"/>
  <c r="B22" i="4"/>
  <c r="B23" i="4"/>
  <c r="B25" i="4"/>
  <c r="E26" i="4"/>
  <c r="F26" i="4"/>
  <c r="G26" i="4"/>
  <c r="H26" i="4"/>
  <c r="M103" i="4"/>
  <c r="Q103" i="4"/>
  <c r="B27" i="4"/>
  <c r="E27" i="4" s="1"/>
  <c r="R27" i="4" s="1"/>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E92" i="4" s="1"/>
  <c r="R92" i="4" s="1"/>
  <c r="B93" i="4"/>
  <c r="E93" i="4" s="1"/>
  <c r="B94"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c r="D43" i="15"/>
  <c r="G12" i="4"/>
  <c r="F12" i="4"/>
  <c r="D96" i="15"/>
  <c r="B27" i="15"/>
  <c r="D27" i="15"/>
  <c r="C27" i="15"/>
  <c r="B11" i="4"/>
  <c r="B77" i="15"/>
  <c r="C77" i="15"/>
  <c r="E77" i="15" s="1"/>
  <c r="D77" i="15"/>
  <c r="B8" i="4"/>
  <c r="B70" i="15"/>
  <c r="C62" i="15"/>
  <c r="D62" i="15"/>
  <c r="B62" i="15"/>
  <c r="G52" i="25"/>
  <c r="AB47" i="26"/>
  <c r="I61" i="18"/>
  <c r="I95" i="18"/>
  <c r="I103" i="18"/>
  <c r="I105" i="18"/>
  <c r="J61" i="18"/>
  <c r="J95" i="18"/>
  <c r="J103" i="18"/>
  <c r="J105" i="18"/>
  <c r="R76" i="4"/>
  <c r="K12" i="4"/>
  <c r="B42" i="4"/>
  <c r="J12" i="4"/>
  <c r="C61" i="18"/>
  <c r="C95" i="18"/>
  <c r="C103" i="18"/>
  <c r="C12" i="18"/>
  <c r="M62" i="4"/>
  <c r="M96" i="4"/>
  <c r="M104" i="4"/>
  <c r="J62" i="4"/>
  <c r="J96" i="4"/>
  <c r="J104" i="4"/>
  <c r="O62" i="4"/>
  <c r="O96" i="4"/>
  <c r="O104" i="4"/>
  <c r="N62" i="4"/>
  <c r="N96" i="4"/>
  <c r="N104" i="4"/>
  <c r="D62" i="4"/>
  <c r="D96" i="4"/>
  <c r="D104" i="4"/>
  <c r="B75" i="18"/>
  <c r="B8" i="18"/>
  <c r="R26" i="4"/>
  <c r="L62" i="4"/>
  <c r="L96" i="4"/>
  <c r="L104" i="4"/>
  <c r="S62" i="4"/>
  <c r="H11" i="18"/>
  <c r="Q62" i="4"/>
  <c r="Q96" i="4"/>
  <c r="Q104" i="4"/>
  <c r="K62" i="4"/>
  <c r="K96" i="4"/>
  <c r="K104" i="4"/>
  <c r="I62" i="4"/>
  <c r="I96" i="4"/>
  <c r="I104" i="4"/>
  <c r="M12" i="4"/>
  <c r="D12" i="18"/>
  <c r="P62" i="4"/>
  <c r="P96" i="4"/>
  <c r="P104" i="4"/>
  <c r="G61" i="18"/>
  <c r="G95" i="18"/>
  <c r="G103" i="18"/>
  <c r="G105" i="18"/>
  <c r="F61" i="18"/>
  <c r="F95" i="18"/>
  <c r="F103" i="18"/>
  <c r="F105" i="18"/>
  <c r="D61" i="18"/>
  <c r="D95" i="18"/>
  <c r="D103" i="18"/>
  <c r="T24" i="27"/>
  <c r="T24" i="26"/>
  <c r="E95" i="4" l="1"/>
  <c r="B94" i="18"/>
  <c r="R93" i="4"/>
  <c r="R95" i="4" s="1"/>
  <c r="D12" i="15"/>
  <c r="D13" i="15" s="1"/>
  <c r="E10" i="15"/>
  <c r="K54" i="9"/>
  <c r="M54" i="9" s="1"/>
  <c r="O54" i="9" s="1"/>
  <c r="Q54" i="9" s="1"/>
  <c r="S54" i="9" s="1"/>
  <c r="U54" i="9" s="1"/>
  <c r="W54" i="9" s="1"/>
  <c r="Y54" i="9" s="1"/>
  <c r="AA54" i="9" s="1"/>
  <c r="AC54" i="9" s="1"/>
  <c r="AE54" i="9" s="1"/>
  <c r="AG54" i="9" s="1"/>
  <c r="I58" i="9"/>
  <c r="M53" i="9"/>
  <c r="K58" i="9"/>
  <c r="S96" i="4"/>
  <c r="E95" i="18" s="1"/>
  <c r="R80" i="4"/>
  <c r="R69" i="4"/>
  <c r="R61" i="4"/>
  <c r="T96" i="4"/>
  <c r="H61" i="18"/>
  <c r="H37" i="18"/>
  <c r="E61" i="18"/>
  <c r="R42" i="4"/>
  <c r="R38" i="4"/>
  <c r="E62" i="4"/>
  <c r="E96" i="4" s="1"/>
  <c r="E104" i="4" s="1"/>
  <c r="E12" i="4"/>
  <c r="F62" i="4"/>
  <c r="F96" i="4" s="1"/>
  <c r="F104" i="4" s="1"/>
  <c r="R11" i="4"/>
  <c r="R62" i="4" s="1"/>
  <c r="H12" i="4"/>
  <c r="R8" i="4"/>
  <c r="H62" i="4"/>
  <c r="H96" i="4" s="1"/>
  <c r="H104" i="4" s="1"/>
  <c r="D54" i="15"/>
  <c r="C54" i="15"/>
  <c r="B54" i="15"/>
  <c r="B68" i="18"/>
  <c r="E70" i="15"/>
  <c r="D70" i="15"/>
  <c r="B69" i="4"/>
  <c r="B96" i="15"/>
  <c r="E96" i="15" s="1"/>
  <c r="E92" i="15"/>
  <c r="D81" i="15"/>
  <c r="B81" i="15"/>
  <c r="E81" i="15" s="1"/>
  <c r="E62" i="15"/>
  <c r="B38" i="4"/>
  <c r="E30" i="15"/>
  <c r="B39" i="15"/>
  <c r="D39" i="15"/>
  <c r="C39" i="15"/>
  <c r="C12" i="4"/>
  <c r="B12" i="18" s="1"/>
  <c r="B12" i="4"/>
  <c r="C62" i="4"/>
  <c r="C96" i="4" s="1"/>
  <c r="B95" i="18" s="1"/>
  <c r="C12" i="15"/>
  <c r="E12" i="15" s="1"/>
  <c r="B9" i="15"/>
  <c r="B13" i="15" s="1"/>
  <c r="AC28" i="9"/>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96" i="4" l="1"/>
  <c r="R104" i="4" s="1"/>
  <c r="R12" i="4"/>
  <c r="AS355" i="6"/>
  <c r="O53" i="9"/>
  <c r="M58" i="9"/>
  <c r="S104" i="4"/>
  <c r="E104" i="18" s="1"/>
  <c r="H95" i="18"/>
  <c r="T104" i="4"/>
  <c r="E54" i="15"/>
  <c r="C97" i="15"/>
  <c r="C63" i="15"/>
  <c r="B96" i="4"/>
  <c r="D97" i="15"/>
  <c r="B97" i="15"/>
  <c r="E39" i="15"/>
  <c r="C104" i="4"/>
  <c r="D105" i="15" s="1"/>
  <c r="B61" i="18"/>
  <c r="D63" i="15"/>
  <c r="B62" i="4"/>
  <c r="B63" i="15"/>
  <c r="C13" i="15"/>
  <c r="E13" i="15" s="1"/>
  <c r="E9" i="15"/>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O58" i="9" l="1"/>
  <c r="Q53" i="9"/>
  <c r="E103" i="18"/>
  <c r="S106" i="4"/>
  <c r="AC449" i="3" s="1"/>
  <c r="H103" i="18"/>
  <c r="T106" i="4"/>
  <c r="H105" i="18" s="1"/>
  <c r="AC448" i="3"/>
  <c r="E97" i="15"/>
  <c r="E63" i="15"/>
  <c r="B103" i="18"/>
  <c r="B105" i="15"/>
  <c r="C105" i="15"/>
  <c r="B104" i="4"/>
  <c r="AC447" i="3" s="1"/>
  <c r="F450" i="3" s="1"/>
  <c r="AO197" i="6"/>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8" i="9" l="1"/>
  <c r="S53" i="9"/>
  <c r="E105" i="18"/>
  <c r="T11" i="5" s="1"/>
  <c r="X1024" i="3"/>
  <c r="AI11" i="27"/>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AI11" i="5"/>
  <c r="AI23" i="5" s="1"/>
  <c r="AI26" i="5" s="1"/>
  <c r="AI28" i="5" s="1"/>
  <c r="AB46" i="26"/>
  <c r="AB48" i="26" s="1"/>
  <c r="AB53" i="26" s="1"/>
  <c r="AB54" i="26" s="1"/>
  <c r="J58" i="25"/>
  <c r="G71" i="25" s="1"/>
  <c r="G72" i="25" s="1"/>
  <c r="B75" i="25" s="1"/>
  <c r="AB46" i="27"/>
  <c r="AB48" i="27" s="1"/>
  <c r="AB53" i="27" s="1"/>
  <c r="AB54" i="27" s="1"/>
  <c r="AB46" i="5"/>
  <c r="AB48" i="5"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S58" i="9"/>
  <c r="U53" i="9"/>
  <c r="Y11" i="5"/>
  <c r="Y23" i="5" s="1"/>
  <c r="Y26" i="5" s="1"/>
  <c r="Y28" i="5" s="1"/>
  <c r="T11" i="26"/>
  <c r="T23" i="26" s="1"/>
  <c r="T11" i="27"/>
  <c r="T23" i="27" s="1"/>
  <c r="T26" i="27" s="1"/>
  <c r="T28" i="27" s="1"/>
  <c r="Y11" i="27"/>
  <c r="Y23" i="27" s="1"/>
  <c r="Y26" i="27" s="1"/>
  <c r="Y28" i="27" s="1"/>
  <c r="Y63" i="27" s="1"/>
  <c r="Y67" i="27" s="1"/>
  <c r="Y11" i="26"/>
  <c r="Y23" i="26" s="1"/>
  <c r="Y26" i="26" s="1"/>
  <c r="Y28" i="26" s="1"/>
  <c r="Y63" i="26" s="1"/>
  <c r="Y67" i="26" s="1"/>
  <c r="BE16" i="28"/>
  <c r="T23" i="5"/>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38" i="27" l="1"/>
  <c r="Y40" i="27" s="1"/>
  <c r="T29" i="27"/>
  <c r="AD38" i="27"/>
  <c r="AD40" i="27" s="1"/>
  <c r="W53" i="9"/>
  <c r="U58" i="9"/>
  <c r="AD38" i="26"/>
  <c r="AD40" i="26" s="1"/>
  <c r="T26" i="26"/>
  <c r="T28" i="26" s="1"/>
  <c r="T29" i="26" s="1"/>
  <c r="Y38" i="26"/>
  <c r="Y40" i="26" s="1"/>
  <c r="Y41" i="26" s="1"/>
  <c r="AB55" i="26" s="1"/>
  <c r="AB56" i="26" s="1"/>
  <c r="AB58" i="26" s="1"/>
  <c r="AB75" i="26" s="1"/>
  <c r="AB76" i="26" s="1"/>
  <c r="AB77" i="26" s="1"/>
  <c r="AB79" i="26" s="1"/>
  <c r="J80" i="26" s="1"/>
  <c r="Y63" i="5"/>
  <c r="Y67" i="5" s="1"/>
  <c r="T26" i="5"/>
  <c r="T28" i="5" s="1"/>
  <c r="T29" i="5" s="1"/>
  <c r="Q71" i="25"/>
  <c r="O75" i="25" s="1"/>
  <c r="R75" i="25" s="1"/>
  <c r="Y41" i="27"/>
  <c r="AB55" i="27" s="1"/>
  <c r="AB56" i="27" s="1"/>
  <c r="AB58"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53" i="9" l="1"/>
  <c r="W58" i="9"/>
  <c r="F59" i="26"/>
  <c r="AB75" i="27"/>
  <c r="AB76" i="27" s="1"/>
  <c r="AB77" i="27" s="1"/>
  <c r="AB79" i="27" s="1"/>
  <c r="J80" i="27" s="1"/>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W4" i="9"/>
  <c r="Y4" i="9" s="1"/>
  <c r="G62" i="9"/>
  <c r="G67"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8" i="9" l="1"/>
  <c r="AC53" i="9"/>
  <c r="W5" i="9"/>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AE53" i="9"/>
  <c r="AC58"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BE15" i="28" l="1"/>
  <c r="M25" i="3"/>
  <c r="P203" i="3" s="1"/>
  <c r="Q22" i="28"/>
  <c r="V33" i="28" s="1"/>
  <c r="V35" i="28" s="1"/>
  <c r="AB56" i="5"/>
  <c r="AB58" i="5" s="1"/>
  <c r="AB75" i="5" s="1"/>
  <c r="AB76" i="5" s="1"/>
  <c r="AG53" i="9"/>
  <c r="AG58" i="9" s="1"/>
  <c r="AE58"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<sst xmlns="http://schemas.openxmlformats.org/spreadsheetml/2006/main" count="4631" uniqueCount="2475">
  <si>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</si>
  <si>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</si>
  <si>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</si>
  <si>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</si>
  <si>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</si>
  <si>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</si>
  <si>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</si>
  <si>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</si>
  <si>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</si>
  <si>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</si>
  <si>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</si>
  <si>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</si>
  <si>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</si>
  <si>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</si>
  <si>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</si>
  <si>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</si>
  <si>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</si>
  <si>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</si>
  <si>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</si>
  <si>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</si>
  <si>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</si>
  <si>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</si>
  <si>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</si>
  <si>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</si>
  <si>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</si>
  <si>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</si>
  <si>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</si>
  <si>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</si>
  <si>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</si>
  <si>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</si>
  <si>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</si>
  <si>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</si>
  <si>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</si>
  <si>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</si>
  <si>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</si>
  <si>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</si>
  <si>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</si>
  <si>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</si>
  <si>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</si>
  <si>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</si>
  <si>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</si>
  <si>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</si>
  <si>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</si>
  <si>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</si>
  <si>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</si>
  <si>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</si>
  <si>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</si>
  <si>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</si>
  <si>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</si>
  <si>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</si>
  <si>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</si>
  <si>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</si>
  <si>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</si>
  <si>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</si>
  <si>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</si>
  <si>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</si>
  <si>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</si>
  <si>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</si>
  <si>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</si>
  <si>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</si>
  <si>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</si>
  <si>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</si>
  <si>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</si>
  <si>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</si>
  <si>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</si>
  <si>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</si>
  <si>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</si>
  <si>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</si>
  <si>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</si>
  <si>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</si>
  <si>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</si>
  <si>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</si>
  <si>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</si>
  <si>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</si>
  <si>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</si>
  <si>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</si>
  <si>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</si>
  <si>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</si>
  <si>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</si>
  <si>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</si>
  <si>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</si>
  <si>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</si>
  <si>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</si>
  <si>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</si>
  <si>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</si>
  <si>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</si>
  <si>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</si>
  <si>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</si>
  <si>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</si>
  <si>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</si>
  <si>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</si>
  <si>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</si>
  <si>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</si>
  <si>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</si>
  <si>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</si>
  <si>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</si>
  <si>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</si>
  <si>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</si>
  <si>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</si>
  <si>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</si>
  <si>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</si>
  <si>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</si>
  <si>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</si>
  <si>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</si>
  <si>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</si>
  <si>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</si>
  <si>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</si>
  <si>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</si>
  <si>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</si>
  <si>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</si>
  <si>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</si>
  <si>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</si>
  <si>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</si>
  <si>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</si>
  <si>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</si>
  <si>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</si>
  <si>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</si>
  <si>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</si>
  <si>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</si>
  <si>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</si>
  <si>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</si>
  <si>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</si>
  <si>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</si>
  <si>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</si>
  <si>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</si>
  <si>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</si>
  <si>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</si>
  <si>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</si>
  <si>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</si>
  <si>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</si>
  <si>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</si>
  <si>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</si>
  <si>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</si>
  <si>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</si>
  <si>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</si>
  <si>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</si>
  <si>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</si>
  <si>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</si>
  <si>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</si>
  <si>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</si>
  <si>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</si>
  <si>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</si>
  <si>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</si>
  <si>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</si>
  <si>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</si>
  <si>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</si>
  <si>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</si>
  <si>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</si>
  <si>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</si>
  <si>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</si>
  <si>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</si>
  <si>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</si>
  <si>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</si>
  <si>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</si>
  <si>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</si>
  <si>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</si>
  <si>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</si>
  <si>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</si>
  <si>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</si>
  <si>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</si>
  <si>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</si>
  <si>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</si>
  <si>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</si>
  <si>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</si>
  <si>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</si>
  <si>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</si>
  <si>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</si>
  <si>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</si>
  <si>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</si>
  <si>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</si>
  <si>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</si>
  <si>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</si>
  <si>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</si>
  <si>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</si>
  <si>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</si>
  <si>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</si>
  <si>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</si>
  <si>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</si>
  <si>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</si>
  <si>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</si>
  <si>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</si>
  <si>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</si>
  <si>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</si>
  <si>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</si>
  <si>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</si>
  <si>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</si>
  <si>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</si>
  <si>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</si>
  <si>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</si>
  <si>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</si>
  <si>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</si>
  <si>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</si>
  <si>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</si>
  <si>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</si>
  <si>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</si>
  <si>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</si>
  <si>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</si>
  <si>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</si>
  <si>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</si>
  <si>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</si>
  <si>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</si>
  <si>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</si>
  <si>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</si>
  <si>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</si>
  <si>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</si>
  <si>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</si>
  <si>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</si>
  <si>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</si>
  <si>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</si>
  <si>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</si>
  <si>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</si>
  <si>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</si>
  <si>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</si>
  <si>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</si>
  <si>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</si>
  <si>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</si>
  <si>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</si>
  <si>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</si>
  <si>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</si>
  <si>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</si>
  <si>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</si>
  <si>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</si>
  <si>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</si>
  <si>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</si>
  <si>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</si>
  <si>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</si>
  <si>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</si>
  <si>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</si>
  <si>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</si>
  <si>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</si>
  <si>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</si>
  <si>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</si>
  <si>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</si>
  <si>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</si>
  <si>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</si>
  <si>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</si>
  <si>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</si>
  <si>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</si>
  <si>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</si>
  <si>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</si>
  <si>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</si>
  <si>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</si>
  <si>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</si>
  <si>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</si>
  <si>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</si>
  <si>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</si>
  <si>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</si>
  <si>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</si>
  <si>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</si>
  <si>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</si>
  <si>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</si>
  <si>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</si>
  <si>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</si>
  <si>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</si>
  <si>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</si>
  <si>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</si>
  <si>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</si>
  <si>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</si>
  <si>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</si>
  <si>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</si>
  <si>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</si>
  <si>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</si>
  <si>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</si>
  <si>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</si>
  <si>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</si>
  <si>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</si>
  <si>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</si>
  <si>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</si>
  <si>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</si>
  <si>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</si>
  <si>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</si>
  <si>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</si>
  <si>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</si>
  <si>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</si>
  <si>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</si>
  <si>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</si>
  <si>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</si>
  <si>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</si>
  <si>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</si>
  <si>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</si>
  <si>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</si>
  <si>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</si>
  <si>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</si>
  <si>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</si>
  <si>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</si>
  <si>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</si>
  <si>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</si>
  <si>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</si>
  <si>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</si>
  <si>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</si>
  <si>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</si>
  <si>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</si>
  <si>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</si>
  <si>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</si>
  <si>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</si>
  <si>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</si>
  <si>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</si>
  <si>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</si>
  <si>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</si>
  <si>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</si>
  <si>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</si>
  <si>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</si>
  <si>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</si>
  <si>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</si>
  <si>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</si>
  <si>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</si>
  <si>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</si>
  <si>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</si>
  <si>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</si>
  <si>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</si>
  <si>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</si>
  <si>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</si>
  <si>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</si>
  <si>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</si>
  <si>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</si>
  <si>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</si>
  <si>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</si>
  <si>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</si>
  <si>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</si>
  <si>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</si>
  <si>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</si>
  <si>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</si>
  <si>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</si>
  <si>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</si>
  <si>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</si>
  <si>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</si>
  <si>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</si>
  <si>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</si>
  <si>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</si>
  <si>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</si>
  <si>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</si>
  <si>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</si>
  <si>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</si>
  <si>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</si>
  <si>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</si>
  <si>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</si>
  <si>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</si>
  <si>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</si>
  <si>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</si>
  <si>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</si>
  <si>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</si>
  <si>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</si>
  <si>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</si>
  <si>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</si>
  <si>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</si>
  <si>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</si>
  <si>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</si>
  <si>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</si>
  <si>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</si>
  <si>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</si>
  <si>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</si>
  <si>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</si>
  <si>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</si>
  <si>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</si>
  <si>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</si>
  <si>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</si>
  <si>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</si>
  <si>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</si>
  <si>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</si>
  <si>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</si>
  <si>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</si>
  <si>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</si>
  <si>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</si>
  <si>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</si>
  <si>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</si>
  <si>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</si>
  <si>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</si>
  <si>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</si>
  <si>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</si>
  <si>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</si>
  <si>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</si>
  <si>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</si>
  <si>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</si>
  <si>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</si>
  <si>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</si>
  <si>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</si>
  <si>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</si>
  <si>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</si>
  <si>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</si>
  <si>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</si>
  <si>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</si>
  <si>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</si>
  <si>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</si>
  <si>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</si>
  <si>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</si>
  <si>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</si>
  <si>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</si>
  <si>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</si>
  <si>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</si>
  <si>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</si>
  <si>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</si>
  <si>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</si>
  <si>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</si>
  <si>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</si>
  <si>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</si>
  <si>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</si>
  <si>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</si>
  <si>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</si>
  <si>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</si>
  <si>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</si>
  <si>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</si>
  <si>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</si>
  <si>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</si>
  <si>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</si>
  <si>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</si>
  <si>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</si>
  <si>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</si>
  <si>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</si>
  <si>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</si>
  <si>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</si>
  <si>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</si>
  <si>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</si>
  <si>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</si>
  <si>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</si>
  <si>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</si>
  <si>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</si>
  <si>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</si>
  <si>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</si>
  <si>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</si>
  <si>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</si>
  <si>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</si>
  <si>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</si>
  <si>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</si>
  <si>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</si>
  <si>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</si>
  <si>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</si>
  <si>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</si>
  <si>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</si>
  <si>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</si>
  <si>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</si>
  <si>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</si>
  <si>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</si>
  <si>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</si>
  <si>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</si>
  <si>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</si>
  <si>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</si>
  <si>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</si>
  <si>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</si>
  <si>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</si>
  <si>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</si>
  <si>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</si>
  <si>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</si>
  <si>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</si>
  <si>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</si>
  <si>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</si>
  <si>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</si>
  <si>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</si>
  <si>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</si>
  <si>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</si>
  <si>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</si>
  <si>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</si>
  <si>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</si>
  <si>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</si>
  <si>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</si>
  <si>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</si>
  <si>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</si>
  <si>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</si>
  <si>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</si>
  <si>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</si>
  <si>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</si>
  <si>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</si>
  <si>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</si>
  <si>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</si>
  <si>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</si>
  <si>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</si>
  <si>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</si>
  <si>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</si>
  <si>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</si>
  <si>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</si>
  <si>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</si>
  <si>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</si>
  <si>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</si>
  <si>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</si>
  <si>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</si>
  <si>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</si>
  <si>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</si>
  <si>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</si>
  <si>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</si>
  <si>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</si>
  <si>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</si>
  <si>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</si>
  <si>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</si>
  <si>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</si>
  <si>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</si>
  <si>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</si>
  <si>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</si>
  <si>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</si>
  <si>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</si>
  <si>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</si>
  <si>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</si>
  <si>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</si>
  <si>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</si>
  <si>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</si>
  <si>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</si>
  <si>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</si>
  <si>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</si>
  <si>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</si>
  <si>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</si>
  <si>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</si>
  <si>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</si>
  <si>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</si>
  <si>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</si>
  <si>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</si>
  <si>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</si>
  <si>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</si>
  <si>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</si>
  <si>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</si>
  <si>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</si>
  <si>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</si>
  <si>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</si>
  <si>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</si>
  <si>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</si>
  <si>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</si>
  <si>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</si>
  <si>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</si>
  <si>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</si>
  <si>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</si>
  <si>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</si>
  <si>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</si>
  <si>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</si>
  <si>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</si>
  <si>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</si>
  <si>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</si>
  <si>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</si>
  <si>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</si>
  <si>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</si>
  <si>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</si>
  <si>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</si>
  <si>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</si>
  <si>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</si>
  <si>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</si>
  <si>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</si>
  <si>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</si>
  <si>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</si>
  <si>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</si>
  <si>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</si>
  <si>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</si>
  <si>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</si>
  <si>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</si>
  <si>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</si>
  <si>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</si>
  <si>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</si>
  <si>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</si>
  <si>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</si>
  <si>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</si>
  <si>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</si>
  <si>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</si>
  <si>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</si>
  <si>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</si>
  <si>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</si>
  <si>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</si>
  <si>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</si>
  <si>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</si>
  <si>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</si>
  <si>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</si>
  <si>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</si>
  <si>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</si>
  <si>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</si>
  <si>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</si>
  <si>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</si>
  <si>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</si>
  <si>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</si>
  <si>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</si>
  <si>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</si>
  <si>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</si>
  <si>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</si>
  <si>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</si>
  <si>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</si>
  <si>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</si>
  <si>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</si>
  <si>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</si>
  <si>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</si>
  <si>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</si>
  <si>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</si>
  <si>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</si>
  <si>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</si>
  <si>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</si>
  <si>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</si>
  <si>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</si>
  <si>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</si>
  <si>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</si>
  <si>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</si>
  <si>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</si>
  <si>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</si>
  <si>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</si>
  <si>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</si>
  <si>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</si>
  <si>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</si>
  <si>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</si>
  <si>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</si>
  <si>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</si>
  <si>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</si>
  <si>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</si>
  <si>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</si>
  <si>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</si>
  <si>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</si>
  <si>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</si>
  <si>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</si>
  <si>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</si>
  <si>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</si>
  <si>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</si>
  <si>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</si>
  <si>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</si>
  <si>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</si>
  <si>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</si>
  <si>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</si>
  <si>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</si>
  <si>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</si>
  <si>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</si>
  <si>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</si>
  <si>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</si>
  <si>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</si>
  <si>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</si>
  <si>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</si>
  <si>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</si>
  <si>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</si>
  <si>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</si>
  <si>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</si>
  <si>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</si>
  <si>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</si>
  <si>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</si>
  <si>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</si>
  <si>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</si>
  <si>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</si>
  <si>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</si>
  <si>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</si>
  <si>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</si>
  <si>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</si>
  <si>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</si>
  <si>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</si>
  <si>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</si>
  <si>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</si>
  <si>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</si>
  <si>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</si>
  <si>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</si>
  <si>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</si>
  <si>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</si>
  <si>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</si>
  <si>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</si>
  <si>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</si>
  <si>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</si>
  <si>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</si>
  <si>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</si>
  <si>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</si>
  <si>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</si>
  <si>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</si>
  <si>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</si>
  <si>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</si>
  <si>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</si>
  <si>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</si>
  <si>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</si>
  <si>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</si>
  <si>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</si>
  <si>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</si>
  <si>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</si>
  <si>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</si>
  <si>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</si>
  <si>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</si>
  <si>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</si>
  <si>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</si>
  <si>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</si>
  <si>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</si>
  <si>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</si>
  <si>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</si>
  <si>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</si>
  <si>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</si>
  <si>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</si>
  <si>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</si>
  <si>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</si>
  <si>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</si>
  <si>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</si>
  <si>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</si>
  <si>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</si>
  <si>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</si>
  <si>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</si>
  <si>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</si>
  <si>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</si>
  <si>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</si>
  <si>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</si>
  <si>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</si>
  <si>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</si>
  <si>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</si>
  <si>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</si>
  <si>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</si>
  <si>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</si>
  <si>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</si>
  <si>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</si>
  <si>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</si>
  <si>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</si>
  <si>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</si>
  <si>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</si>
  <si>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</si>
  <si>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</si>
  <si>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</si>
  <si>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</si>
  <si>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</si>
  <si>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</si>
  <si>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</si>
  <si>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</si>
  <si>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</si>
  <si>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</si>
  <si>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</si>
  <si>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</si>
  <si>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</si>
  <si>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</si>
  <si>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</si>
  <si>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</si>
  <si>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</si>
  <si>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</si>
  <si>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</si>
  <si>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</si>
  <si>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</si>
  <si>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</si>
  <si>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</si>
  <si>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</si>
  <si>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</si>
  <si>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</si>
  <si>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</si>
  <si>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</si>
  <si>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</si>
  <si>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</si>
  <si>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</si>
  <si>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</si>
  <si>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</si>
  <si>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</si>
  <si>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</si>
  <si>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</si>
  <si>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</si>
  <si>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</si>
  <si>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</si>
  <si>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</si>
  <si>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</si>
  <si>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</si>
  <si>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</si>
  <si>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</si>
  <si>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</si>
  <si>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</si>
  <si>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</si>
  <si>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</si>
  <si>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</si>
  <si>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</si>
  <si>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</si>
  <si>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</si>
  <si>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</si>
  <si>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</si>
  <si>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</si>
  <si>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</si>
  <si>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</si>
  <si>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</si>
  <si>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</si>
  <si>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</si>
  <si>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</si>
  <si>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</si>
  <si>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</si>
  <si>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</si>
  <si>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</si>
  <si>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</si>
  <si>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</si>
  <si>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</si>
  <si>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</si>
  <si>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</si>
  <si>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</si>
  <si>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</si>
  <si>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</si>
  <si>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</si>
  <si>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</si>
  <si>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</si>
  <si>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</si>
  <si>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</si>
  <si>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</si>
  <si>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</si>
  <si>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</si>
  <si>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</si>
  <si>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</si>
  <si>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</si>
  <si>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</si>
  <si>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</si>
  <si>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</si>
  <si>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</si>
  <si>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</si>
  <si>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</si>
  <si>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</si>
  <si>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</si>
  <si>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</si>
  <si>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</si>
  <si>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</si>
  <si>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</si>
  <si>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</si>
  <si>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</si>
  <si>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</si>
  <si>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</si>
  <si>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</si>
  <si>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</si>
  <si>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</si>
  <si>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</si>
  <si>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</si>
  <si>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</si>
  <si>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</si>
  <si>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</si>
  <si>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</si>
  <si>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</si>
  <si>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</si>
  <si>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</si>
  <si>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</si>
  <si>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</si>
  <si>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</si>
  <si>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</si>
  <si>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</si>
  <si>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</si>
  <si>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</si>
  <si>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</si>
  <si>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</si>
  <si>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</si>
  <si>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</si>
  <si>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</si>
  <si>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</si>
  <si>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</si>
  <si>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</si>
  <si>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</si>
  <si>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</si>
  <si>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</si>
  <si>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</si>
  <si>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</si>
  <si>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</si>
  <si>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</si>
  <si>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</si>
  <si>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</si>
  <si>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</si>
  <si>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</si>
  <si>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</si>
  <si>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</si>
  <si>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</si>
  <si>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</si>
  <si>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</si>
  <si>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</si>
  <si>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</si>
  <si>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</si>
  <si>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</si>
  <si>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</si>
  <si>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</si>
  <si>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</si>
  <si>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</si>
  <si>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</si>
  <si>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</si>
  <si>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</si>
  <si>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</si>
  <si>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</si>
  <si>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</si>
  <si>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</si>
  <si>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</si>
  <si>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</si>
  <si>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</si>
  <si>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</si>
  <si>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</si>
  <si>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</si>
  <si>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</si>
  <si>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</si>
  <si>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</si>
  <si>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</si>
  <si>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</si>
  <si>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</si>
  <si>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</si>
  <si>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</si>
  <si>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</si>
  <si>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</si>
  <si>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</si>
  <si>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</si>
  <si>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</si>
  <si>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</si>
  <si>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</si>
  <si>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</si>
  <si>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</si>
  <si>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</si>
  <si>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</si>
  <si>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</si>
  <si>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</si>
  <si>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</si>
  <si>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</si>
  <si>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</si>
  <si>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</si>
  <si>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</si>
  <si>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</si>
  <si>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</si>
  <si>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</si>
  <si>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</si>
  <si>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</si>
  <si>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</si>
  <si>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</si>
  <si>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</si>
  <si>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</si>
  <si>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</si>
  <si>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</si>
  <si>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</si>
  <si>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</si>
  <si>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</si>
  <si>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</si>
  <si>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</si>
  <si>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</si>
  <si>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</si>
  <si>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</si>
  <si>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</si>
  <si>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</si>
  <si>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</si>
  <si>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</si>
  <si>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</si>
  <si>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</si>
  <si>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</si>
  <si>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</si>
  <si>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</si>
  <si>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</si>
  <si>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</si>
  <si>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</si>
  <si>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</si>
  <si>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</si>
  <si>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</si>
  <si>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</si>
  <si>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</si>
  <si>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</si>
  <si>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</si>
  <si>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</si>
  <si>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</si>
  <si>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</si>
  <si>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</si>
  <si>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</si>
  <si>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</si>
  <si>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</si>
  <si>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</si>
  <si>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</si>
  <si>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</si>
  <si>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</si>
  <si>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</si>
  <si>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</si>
  <si>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</si>
  <si>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</si>
  <si>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</si>
  <si>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</si>
  <si>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</si>
  <si>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</si>
  <si>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</si>
  <si>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</si>
  <si>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</si>
  <si>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</si>
  <si>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</si>
  <si>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</si>
  <si>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</si>
  <si>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</si>
  <si>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</si>
  <si>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</si>
  <si>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</si>
  <si>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</si>
  <si>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</si>
  <si>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</si>
  <si>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</si>
  <si>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</si>
  <si>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</si>
  <si>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</si>
  <si>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</si>
  <si>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</si>
  <si>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</si>
  <si>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</si>
  <si>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</si>
  <si>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</si>
  <si>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</si>
  <si>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</si>
  <si>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</si>
  <si>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</si>
  <si>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</si>
  <si>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</si>
  <si>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</si>
  <si>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</si>
  <si>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</si>
  <si>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</si>
  <si>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</si>
  <si>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</si>
  <si>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</si>
  <si>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</si>
  <si>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</si>
  <si>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</si>
  <si>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</si>
  <si>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</si>
  <si>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</si>
  <si>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</si>
  <si>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</si>
  <si>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</si>
  <si>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</si>
  <si>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</si>
  <si>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</si>
  <si>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</si>
  <si>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</si>
  <si>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</si>
  <si>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</si>
  <si>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</si>
  <si>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</si>
  <si>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</si>
  <si>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</si>
  <si>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</si>
  <si>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</si>
  <si>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</si>
  <si>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</si>
  <si>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</si>
  <si>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</si>
  <si>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</si>
  <si>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</si>
  <si>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</si>
  <si>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</si>
  <si>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</si>
  <si>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</si>
  <si>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</si>
  <si>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</si>
  <si>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</si>
  <si>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</si>
  <si>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</si>
  <si>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</si>
  <si>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</si>
  <si>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</si>
  <si>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</si>
  <si>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</si>
  <si>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</si>
  <si>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</si>
  <si>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</si>
  <si>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</si>
  <si>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</si>
  <si>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</si>
  <si>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</si>
  <si>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</si>
  <si>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</si>
  <si>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</si>
  <si>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</si>
  <si>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</si>
  <si>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</si>
  <si>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</si>
  <si>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</si>
  <si>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</si>
  <si>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</si>
  <si>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</si>
  <si>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</si>
  <si>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</si>
  <si>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</si>
  <si>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</si>
  <si>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</si>
  <si>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</si>
  <si>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</si>
  <si>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</si>
  <si>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</si>
  <si>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</si>
  <si>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</si>
  <si>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</si>
  <si>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</si>
  <si>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</si>
  <si>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</si>
  <si>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</si>
  <si>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</si>
  <si>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</si>
  <si>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</si>
  <si>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</si>
  <si>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</si>
  <si>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</si>
  <si>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</si>
  <si>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</si>
  <si>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</si>
  <si>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</si>
  <si>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</si>
  <si>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</si>
  <si>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</si>
  <si>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</si>
  <si>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</si>
  <si>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</si>
  <si>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</si>
  <si>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</si>
  <si>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</si>
  <si>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</si>
  <si>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</si>
  <si>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</si>
  <si>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</si>
  <si>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</si>
  <si>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</si>
  <si>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</si>
  <si>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</si>
  <si>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</si>
  <si>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</si>
  <si>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</si>
  <si>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</si>
  <si>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</si>
  <si>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</si>
  <si>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</si>
  <si>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</si>
  <si>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</si>
  <si>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</si>
  <si>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</si>
  <si>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</si>
  <si>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</si>
  <si>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</si>
  <si>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</si>
  <si>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</si>
  <si>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</si>
  <si>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</si>
  <si>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</si>
  <si>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</si>
  <si>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</si>
  <si>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</si>
  <si>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</si>
  <si>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</si>
  <si>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</si>
  <si>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</si>
  <si>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</si>
  <si>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</si>
  <si>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</si>
  <si>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</si>
  <si>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</si>
  <si>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</si>
  <si>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</si>
  <si>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</si>
  <si>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</si>
  <si>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</si>
  <si>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</si>
  <si>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</si>
  <si>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</si>
  <si>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</si>
  <si>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</si>
  <si>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</si>
  <si>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</si>
  <si>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</si>
  <si>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</si>
  <si>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</si>
  <si>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</si>
  <si>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</si>
  <si>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</si>
  <si>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</si>
  <si>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</si>
  <si>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</si>
  <si>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</si>
  <si>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</si>
  <si>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</si>
  <si>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</si>
  <si>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</si>
  <si>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</si>
  <si>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</si>
  <si>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</si>
  <si>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</si>
  <si>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</si>
  <si>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</si>
  <si>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</si>
  <si>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</si>
  <si>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</si>
  <si>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</si>
  <si>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</si>
  <si>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</si>
  <si>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</si>
  <si>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</si>
  <si>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</si>
  <si>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</si>
  <si>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</si>
  <si>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</si>
  <si>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</si>
  <si>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</si>
  <si>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</si>
  <si>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</si>
  <si>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</si>
  <si>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</si>
  <si>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</si>
  <si>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</si>
  <si>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</si>
  <si>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</si>
  <si>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</si>
  <si>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</si>
  <si>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</si>
  <si>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</si>
  <si>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</si>
  <si>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</si>
  <si>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</si>
  <si>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</si>
  <si>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</si>
  <si>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</si>
  <si>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</si>
  <si>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</si>
  <si>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</si>
  <si>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</si>
  <si>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</si>
  <si>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</si>
  <si>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</si>
  <si>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</si>
  <si>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</si>
  <si>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</si>
  <si>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</si>
  <si>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</si>
  <si>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</si>
  <si>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</si>
  <si>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</si>
  <si>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</si>
  <si>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</si>
  <si>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</si>
  <si>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</si>
  <si>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</si>
  <si>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</si>
  <si>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</si>
  <si>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</si>
  <si>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</si>
  <si>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</si>
  <si>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</si>
  <si>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</si>
  <si>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</si>
  <si>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</si>
  <si>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</si>
  <si>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</si>
  <si>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</si>
  <si>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</si>
  <si>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</si>
  <si>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</si>
  <si>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</si>
  <si>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</si>
  <si>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</si>
  <si>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</si>
  <si>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</si>
  <si>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</si>
  <si>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</si>
  <si>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</si>
  <si>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</si>
  <si>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</si>
  <si>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</si>
  <si>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</si>
  <si>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</si>
  <si>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</si>
  <si>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</si>
  <si>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</si>
  <si>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</si>
  <si>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</si>
  <si>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</si>
  <si>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</si>
  <si>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</si>
  <si>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</si>
  <si>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</si>
  <si>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</si>
  <si>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</si>
  <si>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</si>
  <si>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</si>
  <si>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</si>
  <si>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</si>
  <si>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</si>
  <si>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</si>
  <si>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</si>
  <si>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</si>
  <si>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</si>
  <si>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</si>
  <si>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</si>
  <si>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</si>
  <si>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</si>
  <si>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</si>
  <si>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</si>
  <si>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</si>
  <si>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</si>
  <si>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</si>
  <si>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</si>
  <si>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</si>
  <si>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</si>
  <si>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</si>
  <si>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</si>
  <si>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</si>
  <si>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</si>
  <si>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</si>
  <si>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</si>
  <si>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</si>
  <si>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</si>
  <si>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</si>
  <si>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</si>
  <si>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</si>
  <si>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</si>
  <si>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</si>
  <si>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</si>
  <si>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</si>
  <si>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</si>
  <si>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</si>
  <si>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</si>
  <si>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</si>
  <si>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</si>
  <si>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</si>
  <si>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</si>
  <si>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</si>
  <si>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</si>
  <si>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</si>
  <si>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</si>
  <si>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</si>
  <si>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</si>
  <si>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</si>
  <si>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</si>
  <si>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</si>
  <si>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</si>
  <si>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</si>
  <si>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</si>
  <si>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</si>
  <si>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</si>
  <si>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</si>
  <si>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</si>
  <si>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</si>
  <si>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</si>
  <si>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</si>
  <si>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</si>
  <si>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</si>
  <si>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</si>
  <si>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</si>
  <si>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</si>
  <si>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</si>
  <si>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</si>
  <si>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</si>
  <si>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</si>
  <si>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</si>
  <si>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</si>
  <si>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</si>
  <si>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</si>
  <si>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</si>
  <si>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</si>
  <si>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</si>
  <si>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</si>
  <si>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</si>
  <si>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</si>
  <si>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</si>
  <si>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</si>
  <si>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</si>
  <si>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</si>
  <si>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</si>
  <si>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</si>
  <si>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</si>
  <si>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</si>
  <si>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</si>
  <si>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</si>
  <si>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</si>
  <si>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</si>
  <si>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</si>
  <si>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</si>
  <si>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</si>
  <si>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</si>
  <si>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</si>
  <si>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</si>
  <si>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</si>
  <si>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</si>
  <si>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</si>
  <si>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</si>
  <si>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</si>
  <si>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</si>
  <si>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</si>
  <si>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</si>
  <si>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</si>
  <si>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</si>
  <si>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</si>
  <si>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</si>
  <si>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</si>
  <si>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</si>
  <si>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</si>
  <si>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</si>
  <si>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</si>
  <si>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</si>
  <si>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</si>
  <si>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</si>
  <si>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</si>
  <si>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</si>
  <si>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</si>
  <si>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</si>
  <si>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</si>
  <si>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</si>
  <si>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</si>
  <si>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</si>
  <si>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</si>
  <si>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</si>
  <si>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</si>
  <si>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</si>
  <si>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</si>
  <si>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</si>
  <si>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</si>
  <si>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</si>
  <si>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</si>
  <si>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</si>
  <si>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</si>
  <si>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</si>
  <si>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</si>
  <si>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</si>
  <si>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</si>
  <si>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</si>
  <si>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</si>
  <si>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</si>
  <si>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</si>
  <si>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</si>
  <si>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</si>
  <si>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</si>
  <si>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</si>
  <si>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</si>
  <si>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</si>
  <si>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</si>
  <si>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</si>
  <si>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</si>
  <si>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</si>
  <si>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</si>
  <si>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</si>
  <si>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</si>
  <si>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</si>
  <si>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</si>
  <si>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</si>
  <si>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</si>
  <si>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</si>
  <si>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</si>
  <si>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</si>
  <si>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</si>
  <si>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</si>
  <si>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</si>
  <si>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</si>
  <si>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</si>
  <si>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</si>
  <si>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</si>
  <si>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</si>
  <si>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</si>
  <si>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</si>
  <si>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</si>
  <si>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</si>
  <si>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</si>
  <si>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</si>
  <si>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</si>
  <si>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</si>
  <si>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</si>
  <si>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</si>
  <si>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</si>
  <si>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</si>
  <si>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</si>
  <si>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</si>
  <si>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</si>
  <si>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</si>
  <si>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</si>
  <si>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</si>
  <si>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</si>
  <si>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</si>
  <si>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</si>
  <si>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</si>
  <si>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</si>
  <si>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</si>
  <si>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</si>
  <si>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</si>
  <si>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</si>
  <si>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</si>
  <si>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</si>
  <si>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</si>
  <si>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</si>
  <si>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</si>
  <si>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</si>
  <si>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</si>
  <si>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</si>
  <si>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</si>
  <si>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</si>
  <si>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</si>
  <si>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</si>
  <si>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</si>
  <si>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</si>
  <si>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</si>
  <si>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</si>
  <si>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</si>
  <si>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</si>
  <si>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</si>
  <si>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</si>
  <si>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</si>
  <si>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</si>
  <si>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</si>
  <si>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</si>
  <si>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</si>
  <si>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</si>
  <si>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</si>
  <si>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</si>
  <si>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</si>
  <si>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</si>
  <si>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</si>
  <si>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</si>
  <si>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</si>
  <si>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</si>
  <si>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</si>
  <si>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</si>
  <si>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</si>
  <si>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</si>
  <si>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</si>
  <si>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</si>
  <si>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</si>
  <si>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</si>
  <si>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</si>
  <si>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</si>
  <si>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</si>
  <si>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</si>
  <si>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</si>
  <si>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</si>
  <si>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</si>
  <si>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</si>
  <si>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</si>
  <si>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</si>
  <si>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</si>
  <si>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</si>
  <si>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</si>
  <si>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</si>
  <si>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</si>
  <si>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</si>
  <si>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</si>
  <si>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</si>
  <si>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</si>
  <si>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</si>
  <si>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</si>
  <si>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</si>
  <si>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</si>
  <si>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</si>
  <si>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</si>
  <si>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</si>
  <si>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</si>
  <si>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</si>
  <si>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</si>
  <si>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</si>
  <si>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</si>
  <si>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</si>
  <si>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</si>
  <si>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</si>
  <si>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</si>
  <si>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</si>
  <si>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</si>
  <si>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</si>
  <si>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</si>
  <si>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</si>
  <si>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</si>
  <si>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</si>
  <si>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</si>
  <si>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</si>
  <si>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</si>
  <si>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</si>
  <si>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</si>
  <si>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</si>
  <si>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</si>
  <si>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</si>
  <si>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</si>
  <si>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</si>
  <si>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</si>
  <si>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</si>
  <si>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</si>
  <si>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</si>
  <si>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</si>
  <si>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</si>
  <si>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</si>
  <si>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</si>
  <si>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</si>
  <si>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</si>
  <si>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</si>
  <si>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</si>
  <si>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</si>
  <si>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</si>
  <si>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</si>
  <si>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</si>
  <si>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</si>
  <si>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</si>
  <si>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</si>
  <si>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</si>
  <si>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</si>
  <si>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</si>
  <si>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</si>
  <si>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</si>
  <si>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</si>
  <si>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</si>
  <si>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</si>
  <si>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</si>
  <si>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</si>
  <si>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</si>
  <si>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</si>
  <si>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</si>
  <si>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</si>
  <si>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</si>
  <si>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</si>
  <si>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</si>
  <si>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</si>
  <si>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</si>
  <si>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</si>
  <si>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</si>
  <si>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</si>
  <si>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</si>
  <si>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</si>
  <si>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</si>
  <si>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</si>
  <si>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</si>
  <si>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</si>
  <si>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</si>
  <si>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</si>
  <si>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</si>
  <si>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</si>
  <si>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</si>
  <si>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</si>
  <si>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</si>
  <si>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</si>
  <si>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</si>
  <si>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</si>
  <si>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</si>
  <si>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</si>
  <si>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</si>
  <si>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</si>
  <si>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</si>
  <si>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</si>
  <si>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</si>
  <si>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</si>
  <si>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</si>
  <si>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</si>
  <si>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</si>
  <si>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</si>
  <si>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</si>
  <si>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</si>
  <si>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</si>
  <si>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</si>
  <si>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</si>
  <si>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</si>
  <si>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</si>
  <si>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</si>
  <si>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</si>
  <si>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</si>
  <si>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</si>
  <si>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</si>
  <si>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</si>
  <si>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</si>
  <si>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</si>
  <si>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</si>
  <si>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</si>
  <si>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</si>
  <si>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</si>
  <si>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</si>
  <si>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</si>
  <si>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</si>
  <si>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</si>
  <si>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</si>
  <si>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</si>
  <si>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</si>
  <si>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</si>
  <si>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</si>
  <si>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</si>
  <si>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</si>
  <si>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</si>
  <si>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</si>
  <si>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</si>
  <si>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</si>
  <si>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</si>
  <si>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</si>
  <si>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</si>
  <si>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</si>
  <si>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</si>
  <si>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</si>
  <si>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</si>
  <si>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</si>
  <si>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</si>
  <si>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</si>
  <si>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</si>
  <si>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</si>
  <si>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</si>
  <si>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</si>
  <si>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</si>
  <si>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</si>
  <si>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</si>
  <si>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</si>
  <si>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</si>
  <si>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</si>
  <si>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</si>
  <si>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</si>
  <si>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</si>
  <si>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</si>
  <si>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</si>
  <si>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</si>
  <si>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</si>
  <si>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</si>
  <si>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</si>
  <si>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</si>
  <si>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</si>
  <si>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</si>
  <si>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</si>
  <si>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</si>
  <si>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</si>
  <si>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</si>
  <si>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</si>
  <si>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</si>
  <si>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</si>
  <si>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</si>
  <si>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</si>
  <si>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</si>
  <si>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</si>
  <si>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</si>
  <si>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</si>
  <si>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</si>
  <si>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</si>
  <si>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</si>
  <si>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</si>
  <si>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</si>
  <si>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</si>
  <si>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</si>
  <si>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</si>
  <si>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</si>
  <si>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</si>
  <si>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</si>
  <si>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</si>
  <si>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</si>
  <si>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</si>
  <si>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</si>
  <si>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</si>
  <si>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</si>
  <si>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</si>
  <si>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</si>
  <si>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</si>
  <si>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</si>
  <si>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</si>
  <si>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</si>
  <si>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</si>
  <si>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</si>
  <si>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</si>
  <si>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</si>
  <si>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</si>
  <si>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</si>
  <si>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</si>
  <si>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</si>
  <si>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</si>
  <si>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</si>
  <si>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</si>
  <si>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</si>
  <si>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</si>
  <si>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</si>
  <si>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</si>
  <si>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</si>
  <si>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</si>
  <si>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</si>
  <si>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</si>
  <si>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</si>
  <si>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</si>
  <si>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</si>
  <si>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</si>
  <si>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</si>
  <si>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</si>
  <si>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</si>
  <si>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</si>
  <si>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</si>
  <si>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</si>
  <si>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</si>
  <si>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</si>
  <si>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</si>
  <si>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</si>
  <si>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</si>
  <si>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</si>
  <si>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</si>
  <si>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</si>
  <si>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</si>
  <si>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</si>
  <si>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</si>
  <si>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</si>
  <si>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</si>
  <si>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</si>
  <si>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</si>
  <si>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</si>
  <si>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</si>
  <si>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</si>
  <si>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</si>
  <si>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</si>
  <si>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</si>
  <si>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</si>
  <si>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</si>
  <si>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</si>
  <si>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</si>
  <si>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</si>
  <si>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</si>
  <si>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</si>
  <si>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</si>
  <si>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</si>
  <si>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</si>
  <si>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</si>
  <si>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</si>
  <si>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</si>
  <si>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</si>
  <si>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</si>
  <si>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</si>
  <si>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</si>
  <si>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</si>
  <si>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</si>
  <si>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</si>
  <si>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</si>
  <si>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</si>
  <si>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</si>
  <si>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</si>
  <si>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</si>
  <si>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</si>
  <si>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</si>
  <si>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</si>
  <si>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</si>
  <si>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</si>
  <si>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</si>
  <si>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</si>
  <si>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</si>
  <si>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</si>
  <si>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</si>
  <si>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</si>
  <si>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</si>
  <si>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</si>
  <si>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</si>
  <si>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</si>
  <si>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</si>
  <si>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</si>
  <si>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</si>
  <si>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</si>
  <si>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</si>
  <si>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</si>
  <si>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</si>
  <si>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</si>
  <si>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</si>
  <si>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</si>
  <si>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</si>
  <si>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</si>
  <si>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</si>
  <si>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</si>
  <si>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</si>
  <si>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</si>
  <si>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</si>
  <si>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</si>
  <si>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</si>
  <si>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</si>
  <si>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</si>
  <si>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</si>
  <si>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</si>
  <si>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</si>
  <si>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</si>
  <si>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</si>
  <si>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</si>
  <si>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</si>
  <si>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</si>
  <si>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</si>
  <si>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</si>
  <si>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</si>
  <si>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</si>
  <si>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</si>
  <si>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</si>
  <si>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</si>
  <si>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</si>
  <si>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</si>
  <si>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</si>
  <si>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</si>
  <si>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</si>
  <si>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</si>
  <si>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</si>
  <si>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</si>
  <si>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</si>
  <si>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</si>
  <si>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</si>
  <si>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</si>
  <si>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</si>
  <si>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</si>
  <si>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</si>
  <si>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</si>
  <si>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</si>
  <si>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</si>
  <si>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</si>
  <si>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</si>
  <si>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</si>
  <si>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</si>
  <si>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</si>
  <si>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</si>
  <si>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</si>
  <si>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</si>
  <si>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</si>
  <si>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</si>
  <si>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</si>
  <si>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</si>
  <si>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</si>
  <si>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</si>
  <si>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</si>
  <si>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</si>
  <si>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</si>
  <si>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</si>
  <si>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</si>
  <si>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</si>
  <si>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</si>
  <si>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</si>
  <si>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</si>
  <si>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</si>
  <si>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</si>
  <si>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</si>
  <si>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</si>
  <si>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</si>
  <si>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</si>
  <si>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</si>
  <si>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</si>
  <si>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</si>
  <si>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</si>
  <si>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</si>
  <si>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</si>
  <si>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</si>
  <si>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</si>
  <si>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</si>
  <si>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</si>
  <si>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</si>
  <si>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</si>
  <si>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</si>
  <si>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</si>
  <si>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</si>
  <si>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</si>
  <si>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</si>
  <si>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</si>
  <si>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</si>
  <si>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</si>
  <si>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</si>
  <si>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</si>
  <si>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</si>
  <si>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</si>
  <si>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</si>
  <si>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</si>
  <si>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</si>
  <si>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</si>
  <si>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</si>
  <si>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</si>
  <si>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</si>
  <si>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</si>
  <si>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</si>
  <si>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</si>
  <si>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</si>
  <si>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</si>
  <si>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</si>
  <si>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</si>
  <si>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</si>
  <si>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</si>
  <si>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</si>
  <si>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</si>
  <si>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</si>
  <si>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</si>
  <si>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</si>
  <si>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</si>
  <si>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</si>
  <si>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</si>
  <si>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</si>
  <si>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</si>
  <si>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</si>
  <si>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</si>
  <si>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</si>
  <si>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</si>
  <si>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</si>
  <si>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</si>
  <si>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</si>
  <si>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</si>
  <si>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</si>
  <si>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</si>
  <si>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</si>
  <si>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</si>
  <si>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</si>
  <si>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</si>
  <si>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</si>
  <si>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</si>
  <si>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</si>
  <si>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</si>
  <si>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</si>
  <si>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</si>
  <si>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</si>
  <si>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</si>
  <si>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</si>
  <si>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</si>
  <si>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</si>
  <si>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</si>
  <si>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</si>
  <si>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</si>
  <si>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</si>
  <si>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</si>
  <si>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</si>
  <si>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</si>
  <si>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</si>
  <si>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</si>
  <si>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</si>
  <si>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</si>
  <si>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</si>
  <si>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</si>
  <si>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</si>
  <si>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</si>
  <si>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</si>
  <si>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</si>
  <si>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</si>
  <si>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</si>
  <si>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</si>
  <si>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</si>
  <si>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</si>
  <si>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</si>
  <si>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</si>
  <si>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</si>
  <si>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</si>
  <si>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</si>
  <si>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</si>
  <si>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</si>
  <si>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</si>
  <si>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</si>
  <si>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</si>
  <si>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</si>
  <si>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</si>
  <si>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</si>
  <si>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</si>
  <si>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</si>
  <si>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</si>
  <si>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</si>
  <si>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</si>
  <si>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</si>
  <si>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</si>
  <si>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</si>
  <si>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</si>
  <si>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</si>
  <si>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</si>
  <si>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</si>
  <si>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</si>
  <si>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</si>
  <si>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</si>
  <si>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</si>
  <si>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</si>
  <si>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</si>
  <si>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</si>
  <si>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</si>
  <si>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</si>
  <si>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</si>
  <si>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</si>
  <si>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</si>
  <si>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</si>
  <si>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</si>
  <si>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</si>
  <si>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</si>
  <si>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</si>
  <si>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</si>
  <si>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</si>
  <si>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</si>
  <si>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</si>
  <si>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</si>
  <si>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</si>
  <si>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</si>
  <si>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</si>
  <si>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</si>
  <si>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</si>
  <si>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</si>
  <si>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</si>
  <si>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</si>
  <si>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</si>
  <si>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</si>
  <si>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</si>
  <si>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</si>
  <si>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</si>
  <si>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</si>
  <si>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</si>
  <si>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</si>
  <si>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</si>
  <si>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</si>
  <si>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</si>
  <si>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</si>
  <si>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</si>
  <si>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</si>
  <si>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</si>
  <si>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</si>
  <si>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</si>
  <si>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</si>
  <si>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</si>
  <si>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</si>
  <si>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</si>
  <si>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</si>
  <si>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</si>
  <si>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</si>
  <si>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</si>
  <si>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</si>
  <si>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</si>
  <si>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</si>
  <si>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</si>
  <si>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</si>
  <si>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</si>
  <si>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</si>
  <si>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</si>
  <si>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</si>
  <si>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</si>
  <si>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</si>
  <si>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</si>
  <si>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</si>
  <si>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</si>
  <si>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</si>
  <si>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</si>
  <si>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</si>
  <si>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</si>
  <si>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</si>
  <si>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</si>
  <si>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</si>
  <si>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</si>
  <si>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</si>
  <si>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</si>
  <si>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</si>
  <si>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</si>
  <si>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</si>
  <si>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</si>
  <si>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</si>
  <si>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</si>
  <si>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</si>
  <si>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</si>
  <si>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</si>
  <si>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</si>
  <si>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</si>
  <si>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</si>
  <si>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</si>
  <si>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</si>
  <si>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</si>
  <si>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</si>
  <si>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</si>
  <si>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</si>
  <si>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</si>
  <si>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</si>
  <si>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</si>
  <si>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</si>
  <si>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</si>
  <si>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</si>
  <si>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</si>
  <si>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</si>
  <si>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</si>
  <si>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</si>
  <si>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</si>
  <si>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</si>
  <si>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</si>
  <si>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</si>
  <si>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</si>
  <si>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</si>
  <si>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</si>
  <si>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</si>
  <si>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</si>
  <si>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</si>
  <si>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</si>
  <si>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</si>
  <si>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</si>
  <si>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</si>
  <si>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</si>
  <si>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</si>
  <si>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</si>
  <si>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</si>
  <si>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</si>
  <si>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</si>
  <si>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</si>
  <si>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</si>
  <si>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</si>
  <si>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</si>
  <si>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</si>
  <si>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</si>
  <si>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</si>
  <si>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</si>
  <si>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</si>
  <si>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</si>
  <si>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</si>
  <si>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</si>
  <si>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</si>
  <si>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</si>
  <si>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</si>
  <si>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</si>
  <si>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</si>
  <si>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</si>
  <si>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</si>
  <si>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</si>
  <si>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</si>
  <si>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</si>
  <si>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</si>
  <si>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</si>
  <si>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</si>
  <si>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</si>
  <si>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</si>
  <si>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</si>
  <si>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</si>
  <si>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</si>
  <si>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</si>
  <si>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</si>
  <si>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</si>
  <si>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</si>
  <si>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</si>
  <si>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</si>
  <si>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</si>
  <si>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</si>
  <si>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</si>
  <si>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</si>
  <si>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</si>
  <si>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</si>
  <si>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</si>
  <si>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</si>
  <si>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</si>
  <si>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</si>
  <si>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</si>
  <si>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</si>
  <si>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</si>
  <si>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</si>
  <si>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</si>
  <si>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</si>
  <si>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</si>
  <si>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</si>
  <si>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</si>
  <si>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</si>
  <si>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</si>
  <si>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</si>
  <si>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</si>
  <si>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</si>
  <si>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</si>
  <si>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</si>
  <si>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</si>
  <si>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</si>
  <si>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</si>
  <si>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</si>
  <si>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</si>
  <si>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</si>
  <si>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</si>
  <si>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</si>
  <si>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</si>
  <si>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</si>
  <si>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</si>
  <si>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</si>
  <si>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</si>
  <si>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</si>
  <si>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</si>
  <si>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</si>
  <si>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</si>
  <si>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</si>
  <si>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</si>
  <si>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</si>
  <si>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</si>
  <si>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</si>
  <si>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</si>
  <si>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</si>
  <si>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</si>
  <si>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</si>
  <si>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</si>
  <si>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</si>
  <si>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</si>
  <si>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</si>
  <si>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</si>
  <si>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</si>
  <si>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</si>
  <si>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</si>
  <si>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</si>
  <si>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</si>
  <si>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</si>
  <si>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</si>
  <si>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</si>
  <si>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</si>
  <si>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</si>
  <si>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</si>
  <si>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</si>
  <si>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</si>
  <si>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</si>
  <si>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</si>
  <si>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</si>
  <si>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</si>
  <si>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</si>
  <si>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</si>
  <si>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</si>
  <si>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</si>
  <si>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</si>
  <si>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</si>
  <si>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</si>
  <si>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</si>
  <si>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</si>
  <si>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</si>
  <si>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</si>
  <si>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</si>
  <si>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</si>
  <si>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</si>
  <si>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</si>
  <si>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</si>
  <si>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</si>
  <si>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</si>
  <si>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</si>
  <si>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</si>
  <si>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</si>
  <si>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</si>
  <si>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</si>
  <si>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</si>
  <si>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</si>
  <si>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</si>
  <si>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</si>
  <si>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</si>
  <si>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</si>
  <si>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</si>
  <si>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</si>
  <si>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</si>
  <si>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</si>
  <si>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</si>
  <si>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</si>
  <si>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</si>
  <si>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</si>
  <si>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</si>
  <si>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</si>
  <si>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</si>
  <si>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</si>
  <si>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</si>
  <si>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</si>
  <si>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</si>
  <si>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</si>
  <si>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</si>
  <si>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</si>
  <si>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</si>
  <si>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</si>
  <si>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</si>
  <si>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</si>
  <si>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</si>
  <si>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</si>
  <si>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</si>
  <si>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</si>
  <si>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</si>
  <si>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</si>
  <si>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</si>
  <si>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</si>
  <si>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</si>
  <si>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</si>
  <si>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</si>
  <si>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</si>
  <si>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</si>
  <si>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</si>
  <si>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</si>
  <si>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</si>
  <si>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</si>
  <si>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</si>
  <si>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</si>
  <si>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</si>
  <si>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</si>
  <si>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</si>
  <si>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</si>
  <si>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</si>
  <si>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</si>
  <si>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</si>
  <si>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</si>
  <si>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</si>
  <si>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</si>
  <si>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</si>
  <si>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</si>
  <si>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</si>
  <si>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</si>
  <si>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</si>
  <si>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</si>
  <si>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</si>
  <si>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</si>
  <si>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Alma</t>
  </si>
  <si>
    <t>Wakeland Alma LP</t>
  </si>
  <si>
    <t>Rebecca Louie</t>
  </si>
  <si>
    <t>President and CEO</t>
  </si>
  <si>
    <t>February</t>
  </si>
  <si>
    <t>County of Los Angeles</t>
  </si>
  <si>
    <t>Lynn Katano</t>
  </si>
  <si>
    <t>Director, Houisng Investment and Finance Division</t>
  </si>
  <si>
    <t xml:space="preserve">700 W. Main Street </t>
  </si>
  <si>
    <t>Alhambra</t>
  </si>
  <si>
    <t>626-586-1806</t>
  </si>
  <si>
    <t>lynn.katano@lacda.org</t>
  </si>
  <si>
    <t>NA</t>
  </si>
  <si>
    <t>3518 and 3524 E. 1st Street</t>
  </si>
  <si>
    <t>40%/60%</t>
  </si>
  <si>
    <t>1230 Columbia Street, #950</t>
  </si>
  <si>
    <t xml:space="preserve">CA </t>
  </si>
  <si>
    <t>Taylor Holland</t>
  </si>
  <si>
    <t>619-994-7843</t>
  </si>
  <si>
    <t>tholland@wakelandhdc.com</t>
  </si>
  <si>
    <t>Wakeland Housing and Development Corporation</t>
  </si>
  <si>
    <t>Wakeland Alma LLC</t>
  </si>
  <si>
    <t>Managing GP</t>
  </si>
  <si>
    <t>619-677-2325</t>
  </si>
  <si>
    <t>rlouie@wakelandhdc.com</t>
  </si>
  <si>
    <t>Parent company of general partner/Developer</t>
  </si>
  <si>
    <t>San Diego, CA 92101</t>
  </si>
  <si>
    <t>Koning Eizenberg</t>
  </si>
  <si>
    <t>1454 25th Street</t>
  </si>
  <si>
    <t>Santa Monica, CA 90404</t>
  </si>
  <si>
    <t>Brian Lane</t>
  </si>
  <si>
    <t>424-220-2744</t>
  </si>
  <si>
    <t>blane@kearch.com</t>
  </si>
  <si>
    <t>TBD</t>
  </si>
  <si>
    <t>Bocarsly Emden Cowan Esmail &amp; Ardnt LLP</t>
  </si>
  <si>
    <t>633 W. 5th Street, 64th Floor</t>
  </si>
  <si>
    <t>Los Angeles, CA 90071</t>
  </si>
  <si>
    <t>Nicole Deddens</t>
  </si>
  <si>
    <t>213-239-8029</t>
  </si>
  <si>
    <t>213-559-0765</t>
  </si>
  <si>
    <t>ndeddens@bocarsly.com</t>
  </si>
  <si>
    <t>Eugene Cowan</t>
  </si>
  <si>
    <t>ecowan@bocarsly.com</t>
  </si>
  <si>
    <t xml:space="preserve">g.r.e.g. Consulting, Inc. </t>
  </si>
  <si>
    <t>2647 Gateway Road 105-345</t>
  </si>
  <si>
    <t>Carlsbad, CA 92009</t>
  </si>
  <si>
    <t>Carol Roberts</t>
  </si>
  <si>
    <t>760-585-5310</t>
  </si>
  <si>
    <t>carol@gregconsulting.net</t>
  </si>
  <si>
    <t>Novogradac &amp; Company LLP</t>
  </si>
  <si>
    <t>1000 SW Broadway, Suite 1680</t>
  </si>
  <si>
    <t>Portland, OR 97205</t>
  </si>
  <si>
    <t>Warren Sebra</t>
  </si>
  <si>
    <t>503-821-2710</t>
  </si>
  <si>
    <t>Warren.Sebra@novoco.com</t>
  </si>
  <si>
    <t>California Housing Partnership</t>
  </si>
  <si>
    <t>340 East 2nd Street, Suite 406</t>
  </si>
  <si>
    <t>Los Angeles, CA 90012</t>
  </si>
  <si>
    <t>Ben Creed</t>
  </si>
  <si>
    <t xml:space="preserve">213-347-4980 </t>
  </si>
  <si>
    <t xml:space="preserve">bcreed@chpc.net </t>
  </si>
  <si>
    <t>Raney Planning &amp; Management, Inc.</t>
  </si>
  <si>
    <t>1501 Sports Drive, Suite A</t>
  </si>
  <si>
    <t>Sacramento, CA 95834</t>
  </si>
  <si>
    <t>Stefanie Williams</t>
  </si>
  <si>
    <t>swilliams@laurinassociates.com</t>
  </si>
  <si>
    <t>CBRE</t>
  </si>
  <si>
    <t>400 S. Hope St., Ste. 2500</t>
  </si>
  <si>
    <t>Michael Thiel</t>
  </si>
  <si>
    <t>213-613-3355</t>
  </si>
  <si>
    <t>213-613-3005</t>
  </si>
  <si>
    <t>michael.thiel2@cbre.com</t>
  </si>
  <si>
    <t>ConAm Management Company</t>
  </si>
  <si>
    <t>3990 Ruffin Road, #100</t>
  </si>
  <si>
    <t>San Diego, CA 92123</t>
  </si>
  <si>
    <t>Michelle Sites</t>
  </si>
  <si>
    <t>858-614-7376</t>
  </si>
  <si>
    <t>msites@conam.com</t>
  </si>
  <si>
    <t>Elene C. Kallimanis and Constantino G. Kallimanis</t>
  </si>
  <si>
    <t>1583 Webster Avenue, Claremont, CA 91711</t>
  </si>
  <si>
    <t>Inner City Infill Site</t>
  </si>
  <si>
    <t>SP (Specific Plan - 3rd Street Specific Plan)</t>
  </si>
  <si>
    <t>SP-FS (East Los Angeles 3rd St. Specific Plan - 1st St. Zone)</t>
  </si>
  <si>
    <t>SP-FS, Maximum of 47 units per density bonus</t>
  </si>
  <si>
    <t>60 feet, 4 stories</t>
  </si>
  <si>
    <t>Pursuant to SB35, 0 spaces are required</t>
  </si>
  <si>
    <t>Capital - LACDA AHTF</t>
  </si>
  <si>
    <t>Capital - HCD IIG</t>
  </si>
  <si>
    <t>LACDA  PBV</t>
  </si>
  <si>
    <t>Wells Fargo Construction Loan</t>
  </si>
  <si>
    <t>Fixed</t>
  </si>
  <si>
    <t>LACDA AHTF</t>
  </si>
  <si>
    <t>Variable</t>
  </si>
  <si>
    <t>HCD IIG (GP Loan)</t>
  </si>
  <si>
    <t>Costs Deferred Until Conversion</t>
  </si>
  <si>
    <t>LP Capital Contributions</t>
  </si>
  <si>
    <t>333 S. Grand Ave., 9th Floor</t>
  </si>
  <si>
    <t>Jessica Gonzalez</t>
  </si>
  <si>
    <t>747-260-4646</t>
  </si>
  <si>
    <t>700 W. Main Street</t>
  </si>
  <si>
    <t>626-262-4511</t>
  </si>
  <si>
    <t>2020 W. El Camino Avenue, Suite 650</t>
  </si>
  <si>
    <t>Sheila Anadon</t>
  </si>
  <si>
    <t>916-841-8309</t>
  </si>
  <si>
    <t>1230 Columbia Street, Suite 950</t>
  </si>
  <si>
    <t>CCRC Permanent Loan</t>
  </si>
  <si>
    <t>100 West Broadway, Suite 1000</t>
  </si>
  <si>
    <t>Glendale</t>
  </si>
  <si>
    <t xml:space="preserve">Aaron Smith </t>
  </si>
  <si>
    <t>818-550-9811</t>
  </si>
  <si>
    <t>Permanent Loan, Taxable</t>
  </si>
  <si>
    <t>Construction Loan, Conventional</t>
  </si>
  <si>
    <t>Los Angeles County Development Authority (LACDA) - Owner will pay all utilities</t>
  </si>
  <si>
    <t>Payroll Taxes/Benefits</t>
  </si>
  <si>
    <t>Janitor, Turnover</t>
  </si>
  <si>
    <t>Misc Taxes/Licenses/Permits</t>
  </si>
  <si>
    <t>Misc Admin</t>
  </si>
  <si>
    <t>HCD IIG</t>
  </si>
  <si>
    <t>Los Angeles County Development Authority (LACDA)</t>
  </si>
  <si>
    <t>Project-based vouchers (PBVs)</t>
  </si>
  <si>
    <t>Los Angeles County Development Authority (LACDA) PBV</t>
  </si>
  <si>
    <t>Other: Bond Premium</t>
  </si>
  <si>
    <t>Other: 3rd-Party Constructon Mgmt, Prevailing Wage Monitoring</t>
  </si>
  <si>
    <t>Other: Utility Connection Fees, Entitlements, Lease-up Expenses</t>
  </si>
  <si>
    <t>Other: Owner Transaction Legal</t>
  </si>
  <si>
    <t>Other: Construction Lender Expenses, LACDA Lender Fees</t>
  </si>
  <si>
    <t>Other: Permanent Lender Expenses</t>
  </si>
  <si>
    <t>ConAm Property Management</t>
  </si>
  <si>
    <t>Metro E-Line (Indiana Station)</t>
  </si>
  <si>
    <t>Los Angeles, 90063</t>
  </si>
  <si>
    <t>210 S Indiana Street</t>
  </si>
  <si>
    <t>https://www.metro.net/</t>
  </si>
  <si>
    <t>323-466-3876</t>
  </si>
  <si>
    <t>Metro Transit</t>
  </si>
  <si>
    <t>Eugene A. Obregón Park</t>
  </si>
  <si>
    <t>323-260-2344</t>
  </si>
  <si>
    <t>https://parks.lacounty.gov/eugene-a-obregon-park/</t>
  </si>
  <si>
    <t>4021 E. 1st Street</t>
  </si>
  <si>
    <t>Mercedes Santoro</t>
  </si>
  <si>
    <t>Anthony Quinn Library</t>
  </si>
  <si>
    <t>3965 E. Cesar E Chavez Avenue</t>
  </si>
  <si>
    <t>323-264-7715</t>
  </si>
  <si>
    <t>https://lacountylibrary.org/location/anthony-quinn-library/</t>
  </si>
  <si>
    <t>Raquel Villanueva</t>
  </si>
  <si>
    <t>Superior Grocers</t>
  </si>
  <si>
    <t>3600 E. Cesar E Chavez Avenue</t>
  </si>
  <si>
    <t>323-269-1790</t>
  </si>
  <si>
    <t>https://superiorgrocers.com/location/cesar-chavez/?y_source=1_MTczNzIwNjctNzE1LWxvY2F0aW9uLndlYnNpdGU=</t>
  </si>
  <si>
    <t>customerservice@superiorgrocers.com</t>
  </si>
  <si>
    <t>CVS Pharmacy</t>
  </si>
  <si>
    <t>3627 E. Cesar E Chavez Avenue</t>
  </si>
  <si>
    <t>323-268-2703</t>
  </si>
  <si>
    <t>https://www.cvs.com/store-locator/los-angeles-ca-pharmacies/3627-east-cesar-east-chavez-ave-los-angeles-ca-90063/storeid=10509?cjdata=MXxOfDB8WXww&amp;WT.mc_id=LS_BING_10509&amp;CID=aff_9042334-15507594&amp;cjevent=b7b722b1995711ee81fb00350a1cb826</t>
  </si>
  <si>
    <t>Customer Service</t>
  </si>
  <si>
    <t>5232-020-047</t>
  </si>
  <si>
    <t>Other: PV/Battery, EBM/OPOS, CASp, Expeditor, Dry Utilities, Env Remediation, Relocation Consultant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</si>
</sst>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7" fontId="3" fillId="7" borderId="5"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12" fillId="7" borderId="5" xfId="0" applyNumberFormat="1"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104140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7" workbookViewId="0">
      <selection activeCell="E26" sqref="E26:AK26"/>
    </sheetView>
  </sheetViews>
  <sheetFormatPr defaultColWidth="0" defaultRowHeight="13.2" zeroHeight="1"/>
  <cols>
    <col min="1" max="38" width="2.44140625" customWidth="1"/>
    <col min="39" max="16384" width="8.664062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25"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95" customHeight="1">
      <c r="A19" s="5"/>
      <c r="C19" s="3"/>
      <c r="D19" s="972" t="s">
        <v>2302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2309</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2310</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95" customHeight="1">
      <c r="A42" s="5"/>
      <c r="C42" s="3"/>
      <c r="D42" s="5"/>
      <c r="E42" s="5" t="s">
        <v>536</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1049</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900</v>
      </c>
      <c r="F155" t="s">
        <v>505</v>
      </c>
    </row>
    <row r="156" spans="4:37">
      <c r="E156" t="s">
        <v>901</v>
      </c>
      <c r="F156" t="s">
        <v>367</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95"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D91" sqref="D91"/>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6640625" style="754" customWidth="1"/>
    <col min="21" max="16384" width="8.6640625" style="754" hidden="1"/>
  </cols>
  <sheetData>
    <row r="1" spans="1:19" ht="15" customHeight="1">
      <c r="A1" s="1943" t="s">
        <v>1864</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2122</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2230</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2208</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2123</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1803</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1804</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992</v>
      </c>
      <c r="K32" s="1956">
        <v>1</v>
      </c>
      <c r="M32" s="509"/>
      <c r="O32" s="1953"/>
      <c r="P32" s="1922" t="s">
        <v>1943</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6331835.96290009</v>
      </c>
      <c r="H38" s="384"/>
      <c r="I38" s="519"/>
      <c r="J38" s="384"/>
      <c r="K38" s="1940" t="s">
        <v>2227</v>
      </c>
      <c r="L38" s="1940"/>
      <c r="M38" s="1940"/>
      <c r="N38" s="1940"/>
      <c r="O38" s="1940"/>
      <c r="P38" s="1940"/>
      <c r="Q38" s="1940"/>
      <c r="R38" s="1940"/>
      <c r="S38" s="1940"/>
    </row>
    <row r="39" spans="1:21" ht="15" customHeight="1">
      <c r="B39" s="1939" t="s">
        <v>1283</v>
      </c>
      <c r="C39" s="1939"/>
      <c r="D39" s="1939"/>
      <c r="E39" s="1939"/>
      <c r="F39" s="650"/>
      <c r="G39" s="632"/>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t="s">
        <v>2410</v>
      </c>
      <c r="C42" s="634"/>
      <c r="D42" s="628"/>
      <c r="E42" s="652">
        <v>6560000</v>
      </c>
      <c r="F42" s="650"/>
      <c r="G42" s="384"/>
      <c r="H42" s="384"/>
      <c r="I42" s="519"/>
      <c r="J42" s="384"/>
      <c r="K42" s="1938"/>
      <c r="L42" s="1938"/>
      <c r="M42" s="1938"/>
      <c r="N42" s="1938"/>
      <c r="O42" s="1938"/>
      <c r="Q42" s="1918"/>
      <c r="R42" s="1918"/>
      <c r="U42" s="754" t="s">
        <v>124</v>
      </c>
    </row>
    <row r="43" spans="1:21" ht="15" customHeight="1">
      <c r="B43" s="634" t="s">
        <v>2412</v>
      </c>
      <c r="C43" s="634"/>
      <c r="D43" s="504"/>
      <c r="E43" s="652">
        <v>3512264</v>
      </c>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18"/>
      <c r="R44" s="1918"/>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5" t="s">
        <v>1851</v>
      </c>
      <c r="L46" s="1915"/>
      <c r="M46" s="1915"/>
      <c r="N46" s="1915"/>
      <c r="O46" s="1915"/>
      <c r="Q46" s="1913"/>
      <c r="R46" s="1913"/>
    </row>
    <row r="47" spans="1:21" ht="15" customHeight="1">
      <c r="B47" s="634"/>
      <c r="C47" s="634"/>
      <c r="D47" s="504"/>
      <c r="E47" s="652"/>
      <c r="F47" s="650"/>
      <c r="G47" s="384"/>
      <c r="H47" s="384"/>
      <c r="I47" s="519"/>
      <c r="J47" s="384"/>
      <c r="K47" s="1914" t="s">
        <v>1852</v>
      </c>
      <c r="L47" s="1914"/>
      <c r="M47" s="1914"/>
      <c r="N47" s="1914"/>
      <c r="O47" s="1914"/>
      <c r="Q47" s="1951"/>
      <c r="R47" s="1951"/>
    </row>
    <row r="48" spans="1:21" ht="15" customHeight="1">
      <c r="B48" s="634"/>
      <c r="C48" s="634"/>
      <c r="D48" s="504"/>
      <c r="E48" s="652"/>
      <c r="F48" s="650"/>
      <c r="G48" s="384"/>
      <c r="H48" s="384"/>
      <c r="I48" s="519"/>
      <c r="J48" s="384"/>
      <c r="K48" s="1950" t="s">
        <v>1853</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10072264</v>
      </c>
      <c r="H52" s="384"/>
      <c r="I52" s="519"/>
      <c r="J52" s="384"/>
    </row>
    <row r="53" spans="1:29" ht="15" customHeight="1">
      <c r="C53" s="523"/>
      <c r="D53" s="523" t="s">
        <v>875</v>
      </c>
      <c r="E53" s="523"/>
      <c r="F53" s="523"/>
      <c r="G53" s="524">
        <f>SUM(G38:G40)+G52</f>
        <v>16404099.962900091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0" t="s">
        <v>1264</v>
      </c>
      <c r="C56" s="1930"/>
      <c r="D56" s="650"/>
      <c r="E56" s="650"/>
      <c r="F56" s="650"/>
      <c r="G56" s="650"/>
      <c r="H56" s="650"/>
      <c r="I56" s="650"/>
      <c r="J56" s="650"/>
      <c r="K56" s="650"/>
      <c r="L56" s="650"/>
      <c r="M56" s="650"/>
      <c r="N56" s="650"/>
      <c r="O56" s="650"/>
      <c r="P56" s="650"/>
      <c r="U56" s="952" t="s">
        <v>1798</v>
      </c>
      <c r="AC56" s="953">
        <v>0.2</v>
      </c>
    </row>
    <row r="57" spans="1:29" ht="15" customHeight="1">
      <c r="A57" s="521"/>
      <c r="B57" s="1929" t="s">
        <v>1604</v>
      </c>
      <c r="C57" s="1929"/>
      <c r="D57" s="1929"/>
      <c r="E57" s="1929"/>
      <c r="F57" s="1929"/>
      <c r="G57" s="1929"/>
      <c r="H57" s="1929"/>
      <c r="I57" s="1929"/>
      <c r="J57" s="1929"/>
      <c r="K57" s="1929"/>
      <c r="L57" s="1929"/>
      <c r="M57" s="1929"/>
      <c r="N57" s="1929"/>
      <c r="O57" s="1929"/>
      <c r="P57" s="650"/>
      <c r="U57" s="952" t="s">
        <v>1799</v>
      </c>
      <c r="AC57" s="953">
        <v>0.1</v>
      </c>
    </row>
    <row r="58" spans="1:29" ht="15" customHeight="1">
      <c r="B58" s="1944" t="s">
        <v>2225</v>
      </c>
      <c r="C58" s="1945"/>
      <c r="D58" s="1945"/>
      <c r="E58" s="1945"/>
      <c r="F58" s="526"/>
      <c r="G58" s="526"/>
      <c r="H58" s="516"/>
      <c r="I58" s="516"/>
      <c r="J58" s="1946">
        <f>('Sources and Uses Budget'!D104+Q47)/('Sources and Uses Budget'!B104+Q48)</f>
        <v>0</v>
      </c>
      <c r="K58" s="1947"/>
      <c r="L58" s="1947"/>
      <c r="M58" s="1947"/>
      <c r="N58" s="1948"/>
      <c r="O58" s="516"/>
      <c r="P58" s="516"/>
      <c r="U58" s="952" t="s">
        <v>1800</v>
      </c>
      <c r="AC58" s="953">
        <v>0.1</v>
      </c>
    </row>
    <row r="59" spans="1:29" ht="15" customHeight="1">
      <c r="B59" s="1928" t="s">
        <v>2124</v>
      </c>
      <c r="C59" s="1928"/>
      <c r="D59" s="1928"/>
      <c r="E59" s="1928"/>
      <c r="F59" s="1928"/>
      <c r="G59" s="1928"/>
      <c r="H59" s="1928"/>
      <c r="I59" s="1928"/>
      <c r="J59" s="1928"/>
      <c r="K59" s="1928"/>
      <c r="L59" s="1928"/>
      <c r="M59" s="1928"/>
      <c r="N59" s="1928"/>
      <c r="O59" s="1928"/>
      <c r="P59" s="516"/>
      <c r="U59" s="952" t="s">
        <v>1801</v>
      </c>
      <c r="AC59" s="953">
        <v>0.05</v>
      </c>
    </row>
    <row r="60" spans="1:29" ht="15" customHeight="1">
      <c r="B60" s="1928"/>
      <c r="C60" s="1928"/>
      <c r="D60" s="1928"/>
      <c r="E60" s="1928"/>
      <c r="F60" s="1928"/>
      <c r="G60" s="1928"/>
      <c r="H60" s="1928"/>
      <c r="I60" s="1928"/>
      <c r="J60" s="1928"/>
      <c r="K60" s="1928"/>
      <c r="L60" s="1928"/>
      <c r="M60" s="1928"/>
      <c r="N60" s="1928"/>
      <c r="O60" s="1928"/>
      <c r="P60" s="516"/>
      <c r="AC60" s="954"/>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2228</v>
      </c>
      <c r="K63" s="1935"/>
      <c r="L63" s="1935"/>
      <c r="M63" s="1935"/>
      <c r="N63" s="1935"/>
      <c r="O63" s="1935"/>
      <c r="P63" s="1935"/>
      <c r="Q63" s="1935"/>
      <c r="R63" s="1935"/>
    </row>
    <row r="64" spans="1:29" ht="15" customHeight="1" thickBot="1">
      <c r="B64" s="1930" t="s">
        <v>1614</v>
      </c>
      <c r="C64" s="1930"/>
      <c r="D64" s="376"/>
      <c r="F64" s="376"/>
      <c r="G64" s="523" t="s">
        <v>1854</v>
      </c>
      <c r="H64" s="376"/>
      <c r="I64" s="758"/>
      <c r="J64" s="1936"/>
      <c r="K64" s="1937"/>
      <c r="L64" s="1937"/>
      <c r="M64" s="1937"/>
      <c r="N64" s="1937"/>
      <c r="O64" s="1937"/>
      <c r="P64" s="1937"/>
      <c r="Q64" s="1937"/>
      <c r="R64" s="193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6"/>
      <c r="K65" s="1937"/>
      <c r="L65" s="1937"/>
      <c r="M65" s="1937"/>
      <c r="N65" s="1937"/>
      <c r="O65" s="1937"/>
      <c r="P65" s="1937"/>
      <c r="Q65" s="1937"/>
      <c r="R65" s="1937"/>
      <c r="U65" s="951">
        <f>IF(J67="Non-rural project, Census Tract is Highest Resource (20 percentage points)",AC56,0)</f>
        <v>0</v>
      </c>
    </row>
    <row r="66" spans="1:22" ht="15" customHeight="1" thickBot="1">
      <c r="B66" s="528" t="s">
        <v>1683</v>
      </c>
      <c r="C66" s="638">
        <f>Application!AG430-Application!AG431</f>
        <v>47</v>
      </c>
      <c r="D66" s="788"/>
      <c r="E66" s="528" t="s">
        <v>1857</v>
      </c>
      <c r="F66" s="788"/>
      <c r="G66" s="655"/>
      <c r="H66" s="529"/>
      <c r="I66" s="759"/>
      <c r="J66" s="1936"/>
      <c r="K66" s="1937"/>
      <c r="L66" s="1937"/>
      <c r="M66" s="1937"/>
      <c r="N66" s="1937"/>
      <c r="O66" s="1937"/>
      <c r="P66" s="1937"/>
      <c r="Q66" s="1937"/>
      <c r="R66" s="1937"/>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47</v>
      </c>
      <c r="H67" s="529"/>
      <c r="I67" s="759"/>
      <c r="J67" s="1932" t="s">
        <v>124</v>
      </c>
      <c r="K67" s="1933"/>
      <c r="L67" s="1933"/>
      <c r="M67" s="1933"/>
      <c r="N67" s="1933"/>
      <c r="O67" s="1933"/>
      <c r="P67" s="1933"/>
      <c r="Q67" s="1933"/>
      <c r="R67" s="193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1802</v>
      </c>
    </row>
    <row r="71" spans="1:22" ht="15" customHeight="1">
      <c r="B71" s="1931" t="s">
        <v>1615</v>
      </c>
      <c r="C71" s="1931"/>
      <c r="D71" s="1931"/>
      <c r="E71" s="508"/>
      <c r="F71" s="508"/>
      <c r="G71" s="518">
        <f>G53*(1-J58)</f>
        <v>16404099.962900091</v>
      </c>
      <c r="J71" s="530"/>
      <c r="K71" s="687" t="s">
        <v>1617</v>
      </c>
      <c r="L71" s="687"/>
      <c r="M71" s="687"/>
      <c r="N71" s="687"/>
      <c r="O71" s="687"/>
      <c r="Q71" s="1915">
        <f>'Basis &amp; Credits'!T23+'Basis &amp; Credits'!Y23+'Basis &amp; Credits'!AD23+'Basis &amp; Credits'!AI23</f>
        <v>20308641</v>
      </c>
      <c r="R71" s="1915"/>
    </row>
    <row r="72" spans="1:22" ht="15" customHeight="1">
      <c r="B72" s="1917" t="s">
        <v>1616</v>
      </c>
      <c r="C72" s="1917"/>
      <c r="D72" s="1917"/>
      <c r="E72" s="508"/>
      <c r="F72" s="508"/>
      <c r="G72" s="518">
        <f>G71*C67</f>
        <v>16404099.962900091</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16404099.962900091</v>
      </c>
      <c r="C75" s="1920"/>
      <c r="D75" s="1920"/>
      <c r="E75" s="1920"/>
      <c r="F75" s="1920"/>
      <c r="G75" s="1920"/>
      <c r="H75" s="531"/>
      <c r="I75" s="1921" t="s">
        <v>139</v>
      </c>
      <c r="J75" s="1922" t="s">
        <v>992</v>
      </c>
      <c r="K75" s="1921">
        <v>1</v>
      </c>
      <c r="M75" s="395"/>
      <c r="N75" s="510"/>
      <c r="O75" s="657">
        <f>$Q$71</f>
        <v>20308641</v>
      </c>
      <c r="P75" s="1922" t="s">
        <v>1943</v>
      </c>
      <c r="Q75" s="1923" t="s">
        <v>138</v>
      </c>
      <c r="R75" s="1926">
        <f>((B75/B76)+((1-(O75/O76))/2))+U69</f>
        <v>0.67804688897521803</v>
      </c>
    </row>
    <row r="76" spans="1:22" ht="15" customHeight="1" thickBot="1">
      <c r="B76" s="1924">
        <f>'Sources and Uses Budget'!$C$104+$Q$46-($E$50+$E$51)*(1-$J$58)</f>
        <v>35101874</v>
      </c>
      <c r="C76" s="1925"/>
      <c r="D76" s="1925"/>
      <c r="E76" s="1925"/>
      <c r="F76" s="1925"/>
      <c r="G76" s="1924"/>
      <c r="I76" s="1921"/>
      <c r="J76" s="1922"/>
      <c r="K76" s="1921"/>
      <c r="M76" s="648"/>
      <c r="O76" s="656">
        <f>B76</f>
        <v>35101874</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3"/>
      <c r="R84" s="1913"/>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3"/>
      <c r="R89" s="1913"/>
    </row>
    <row r="90" spans="2:18" ht="15" customHeight="1">
      <c r="B90" s="497" t="s">
        <v>615</v>
      </c>
      <c r="C90" s="498">
        <v>34</v>
      </c>
      <c r="D90" s="499">
        <v>662</v>
      </c>
      <c r="E90" s="499">
        <v>1840</v>
      </c>
      <c r="F90" s="540"/>
      <c r="G90" s="384">
        <f>MAX(($E90-$D90)*$C90*12,0)</f>
        <v>480624</v>
      </c>
      <c r="I90" s="519"/>
      <c r="K90" s="756" t="s">
        <v>1626</v>
      </c>
      <c r="L90" s="684"/>
      <c r="M90" s="684"/>
      <c r="N90" s="684"/>
      <c r="O90" s="684"/>
      <c r="P90" s="684"/>
      <c r="Q90" s="1916"/>
      <c r="R90" s="1916"/>
    </row>
    <row r="91" spans="2:18" ht="15" customHeight="1">
      <c r="B91" s="497" t="s">
        <v>615</v>
      </c>
      <c r="C91" s="498">
        <v>12</v>
      </c>
      <c r="D91" s="499">
        <v>709</v>
      </c>
      <c r="E91" s="499">
        <v>2096</v>
      </c>
      <c r="F91" s="540"/>
      <c r="G91" s="384">
        <f t="shared" ref="G91:G97" si="0">MAX(($E91-$D91)*$C91*12,0)</f>
        <v>199728</v>
      </c>
      <c r="I91" s="519"/>
      <c r="K91" s="756" t="s">
        <v>1629</v>
      </c>
      <c r="L91" s="684"/>
      <c r="M91" s="684"/>
      <c r="N91" s="684"/>
      <c r="O91" s="684"/>
      <c r="P91" s="684"/>
      <c r="Q91" s="1914">
        <f>IFERROR(Q89/Q90,0)</f>
        <v>0</v>
      </c>
      <c r="R91" s="1914"/>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680352</v>
      </c>
      <c r="I98" s="519"/>
    </row>
    <row r="99" spans="2:9" ht="15" customHeight="1">
      <c r="I99" s="519"/>
    </row>
    <row r="100" spans="2:9" ht="15" customHeight="1">
      <c r="B100" s="376" t="s">
        <v>1627</v>
      </c>
      <c r="D100" s="520">
        <f>G98+Q93</f>
        <v>680352</v>
      </c>
      <c r="I100" s="519"/>
    </row>
    <row r="101" spans="2:9" ht="15" customHeight="1">
      <c r="B101" s="376" t="s">
        <v>988</v>
      </c>
      <c r="D101" s="536">
        <v>0.05</v>
      </c>
      <c r="I101" s="519"/>
    </row>
    <row r="102" spans="2:9" ht="15" customHeight="1">
      <c r="B102" s="376" t="s">
        <v>1017</v>
      </c>
      <c r="D102" s="520">
        <f>D100-(D100*D101)</f>
        <v>646334.4</v>
      </c>
    </row>
    <row r="103" spans="2:9" ht="15" customHeight="1">
      <c r="B103" s="376" t="s">
        <v>1619</v>
      </c>
      <c r="D103" s="537"/>
    </row>
    <row r="104" spans="2:9" ht="15" customHeight="1">
      <c r="B104" s="376" t="s">
        <v>1628</v>
      </c>
      <c r="D104" s="520">
        <f>D102/D108</f>
        <v>562029.91304347827</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6331835.96290009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workbookViewId="0">
      <selection activeCell="S75" sqref="S75"/>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372192</v>
      </c>
      <c r="F4" s="384"/>
      <c r="G4" s="384">
        <f>E4*$C$4</f>
        <v>381496.8</v>
      </c>
      <c r="H4" s="384"/>
      <c r="I4" s="384">
        <f>G4*$C$4</f>
        <v>391034.22</v>
      </c>
      <c r="J4" s="384"/>
      <c r="K4" s="384">
        <f>I4*$C$4</f>
        <v>400810.07549999992</v>
      </c>
      <c r="L4" s="384"/>
      <c r="M4" s="384">
        <f>K4*$C$4</f>
        <v>410830.32738749986</v>
      </c>
      <c r="N4" s="384"/>
      <c r="O4" s="384">
        <f>M4*$C$4</f>
        <v>421101.08557218732</v>
      </c>
      <c r="P4" s="384"/>
      <c r="Q4" s="384">
        <f>O4*$C$4</f>
        <v>431628.61271149199</v>
      </c>
      <c r="R4" s="384"/>
      <c r="S4" s="384">
        <f>Q4*$C$4</f>
        <v>442419.32802927925</v>
      </c>
      <c r="T4" s="384"/>
      <c r="U4" s="384">
        <f>S4*$C$4</f>
        <v>453479.81123001117</v>
      </c>
      <c r="V4" s="384"/>
      <c r="W4" s="384">
        <f>U4*$C$4</f>
        <v>464816.80651076138</v>
      </c>
      <c r="X4" s="384"/>
      <c r="Y4" s="384">
        <f>W4*$C$4</f>
        <v>476437.22667353036</v>
      </c>
      <c r="Z4" s="384"/>
      <c r="AA4" s="384">
        <f>Y4*$C$4</f>
        <v>488348.15734036855</v>
      </c>
      <c r="AB4" s="384"/>
      <c r="AC4" s="384">
        <f>AA4*$C$4</f>
        <v>500556.86127387773</v>
      </c>
      <c r="AD4" s="384"/>
      <c r="AE4" s="384">
        <f>AC4*$C$4</f>
        <v>513070.78280572465</v>
      </c>
      <c r="AF4" s="384"/>
      <c r="AG4" s="384">
        <f>AE4*$C$4</f>
        <v>525897.55237586773</v>
      </c>
      <c r="AH4" s="384"/>
    </row>
    <row r="5" spans="1:34" ht="13.8">
      <c r="A5" s="376"/>
      <c r="B5" s="376" t="s">
        <v>988</v>
      </c>
      <c r="C5" s="408">
        <f>IF(Application!$D$214="Special Needs",0.1,0.05)</f>
        <v>0.1</v>
      </c>
      <c r="D5" s="376"/>
      <c r="E5" s="386">
        <f>-E4*$C$5</f>
        <v>-37219.200000000004</v>
      </c>
      <c r="F5" s="386"/>
      <c r="G5" s="386">
        <f>-G4*$C$5</f>
        <v>-38149.68</v>
      </c>
      <c r="H5" s="386"/>
      <c r="I5" s="386">
        <f>-I4*$C$5</f>
        <v>-39103.421999999999</v>
      </c>
      <c r="J5" s="386"/>
      <c r="K5" s="386">
        <f>-K4*$C$5</f>
        <v>-40081.007549999995</v>
      </c>
      <c r="L5" s="386"/>
      <c r="M5" s="386">
        <f>-M4*$C$5</f>
        <v>-41083.032738749986</v>
      </c>
      <c r="N5" s="386"/>
      <c r="O5" s="386">
        <f>-O4*$C$5</f>
        <v>-42110.108557218737</v>
      </c>
      <c r="P5" s="386"/>
      <c r="Q5" s="386">
        <f>-Q4*$C$5</f>
        <v>-43162.861271149202</v>
      </c>
      <c r="R5" s="386"/>
      <c r="S5" s="386">
        <f>-S4*$C$5</f>
        <v>-44241.932802927928</v>
      </c>
      <c r="T5" s="386"/>
      <c r="U5" s="386">
        <f>-U4*$C$5</f>
        <v>-45347.981123001118</v>
      </c>
      <c r="V5" s="386"/>
      <c r="W5" s="386">
        <f>-W4*$C$5</f>
        <v>-46481.680651076138</v>
      </c>
      <c r="X5" s="386"/>
      <c r="Y5" s="386">
        <f>-Y4*$C$5</f>
        <v>-47643.722667353039</v>
      </c>
      <c r="Z5" s="386"/>
      <c r="AA5" s="386">
        <f>-AA4*$C$5</f>
        <v>-48834.815734036856</v>
      </c>
      <c r="AB5" s="386"/>
      <c r="AC5" s="386">
        <f>-AC4*$C$5</f>
        <v>-50055.686127387773</v>
      </c>
      <c r="AD5" s="386"/>
      <c r="AE5" s="386">
        <f>-AE4*$C$5</f>
        <v>-51307.078280572467</v>
      </c>
      <c r="AF5" s="386"/>
      <c r="AG5" s="386">
        <f>-AG4*$C$5</f>
        <v>-52589.755237586774</v>
      </c>
      <c r="AH5" s="376"/>
    </row>
    <row r="6" spans="1:34" ht="13.8">
      <c r="A6" s="376" t="s">
        <v>1074</v>
      </c>
      <c r="B6" s="376"/>
      <c r="C6" s="407">
        <v>1.0249999999999999</v>
      </c>
      <c r="D6" s="376"/>
      <c r="E6" s="387">
        <f>Application!Z788</f>
        <v>680352</v>
      </c>
      <c r="F6" s="387"/>
      <c r="G6" s="387">
        <f>E6*$C$6</f>
        <v>697360.79999999993</v>
      </c>
      <c r="H6" s="387"/>
      <c r="I6" s="387">
        <f>G6*$C$6</f>
        <v>714794.81999999983</v>
      </c>
      <c r="J6" s="387"/>
      <c r="K6" s="387">
        <f>I6*$C$6</f>
        <v>732664.69049999979</v>
      </c>
      <c r="L6" s="387"/>
      <c r="M6" s="387">
        <f>K6*$C$6</f>
        <v>750981.30776249967</v>
      </c>
      <c r="N6" s="387"/>
      <c r="O6" s="387">
        <f>M6*$C$6</f>
        <v>769755.84045656212</v>
      </c>
      <c r="P6" s="387"/>
      <c r="Q6" s="387">
        <f>O6*$C$6</f>
        <v>788999.73646797612</v>
      </c>
      <c r="R6" s="387"/>
      <c r="S6" s="387">
        <f>Q6*$C$6</f>
        <v>808724.72987967543</v>
      </c>
      <c r="T6" s="387"/>
      <c r="U6" s="387">
        <f>S6*$C$6</f>
        <v>828942.8481266672</v>
      </c>
      <c r="V6" s="387"/>
      <c r="W6" s="387">
        <f>U6*$C$6</f>
        <v>849666.41932983382</v>
      </c>
      <c r="X6" s="387"/>
      <c r="Y6" s="387">
        <f>W6*$C$6</f>
        <v>870908.07981307956</v>
      </c>
      <c r="Z6" s="387"/>
      <c r="AA6" s="387">
        <f>Y6*$C$6</f>
        <v>892680.78180840646</v>
      </c>
      <c r="AB6" s="387"/>
      <c r="AC6" s="387">
        <f>AA6*$C$6</f>
        <v>914997.80135361652</v>
      </c>
      <c r="AD6" s="387"/>
      <c r="AE6" s="387">
        <f>AC6*$C$6</f>
        <v>937872.74638745689</v>
      </c>
      <c r="AF6" s="387"/>
      <c r="AG6" s="387">
        <f>AE6*$C$6</f>
        <v>961319.56504714326</v>
      </c>
      <c r="AH6" s="376"/>
    </row>
    <row r="7" spans="1:34" ht="13.8">
      <c r="A7" s="376"/>
      <c r="B7" s="376" t="s">
        <v>988</v>
      </c>
      <c r="C7" s="408">
        <f>IF(Application!$D$214="Special Needs",0.1,0.05)</f>
        <v>0.1</v>
      </c>
      <c r="D7" s="376"/>
      <c r="E7" s="386">
        <f>-E6*$C$7</f>
        <v>-68035.199999999997</v>
      </c>
      <c r="F7" s="386"/>
      <c r="G7" s="386">
        <f>-G6*$C$7</f>
        <v>-69736.08</v>
      </c>
      <c r="H7" s="386"/>
      <c r="I7" s="386">
        <f>-I6*$C$7</f>
        <v>-71479.481999999989</v>
      </c>
      <c r="J7" s="386"/>
      <c r="K7" s="386">
        <f>-K6*$C$7</f>
        <v>-73266.469049999985</v>
      </c>
      <c r="L7" s="386"/>
      <c r="M7" s="386">
        <f>-M6*$C$7</f>
        <v>-75098.130776249964</v>
      </c>
      <c r="N7" s="386"/>
      <c r="O7" s="386">
        <f>-O6*$C$7</f>
        <v>-76975.584045656215</v>
      </c>
      <c r="P7" s="386"/>
      <c r="Q7" s="386">
        <f>-Q6*$C$7</f>
        <v>-78899.973646797618</v>
      </c>
      <c r="R7" s="386"/>
      <c r="S7" s="386">
        <f>-S6*$C$7</f>
        <v>-80872.472987967543</v>
      </c>
      <c r="T7" s="386"/>
      <c r="U7" s="386">
        <f>-U6*$C$7</f>
        <v>-82894.284812666723</v>
      </c>
      <c r="V7" s="386"/>
      <c r="W7" s="386">
        <f>-W6*$C$7</f>
        <v>-84966.641932983388</v>
      </c>
      <c r="X7" s="386"/>
      <c r="Y7" s="386">
        <f>-Y6*$C$7</f>
        <v>-87090.807981307968</v>
      </c>
      <c r="Z7" s="386"/>
      <c r="AA7" s="386">
        <f>-AA6*$C$7</f>
        <v>-89268.078180840646</v>
      </c>
      <c r="AB7" s="386"/>
      <c r="AC7" s="386">
        <f>-AC6*$C$7</f>
        <v>-91499.780135361652</v>
      </c>
      <c r="AD7" s="386"/>
      <c r="AE7" s="386">
        <f>-AE6*$C$7</f>
        <v>-93787.274638745701</v>
      </c>
      <c r="AF7" s="386"/>
      <c r="AG7" s="386">
        <f>-AG6*$C$7</f>
        <v>-96131.956504714326</v>
      </c>
      <c r="AH7" s="376"/>
    </row>
    <row r="8" spans="1:34" ht="13.8">
      <c r="A8" s="376" t="s">
        <v>261</v>
      </c>
      <c r="B8" s="376"/>
      <c r="C8" s="407">
        <v>1.0249999999999999</v>
      </c>
      <c r="D8" s="376"/>
      <c r="E8" s="387">
        <f>Application!Z796</f>
        <v>1692</v>
      </c>
      <c r="F8" s="387"/>
      <c r="G8" s="387">
        <f>E8*$C$8</f>
        <v>1734.3</v>
      </c>
      <c r="H8" s="387"/>
      <c r="I8" s="387">
        <f>G8*$C$8</f>
        <v>1777.6574999999998</v>
      </c>
      <c r="J8" s="387"/>
      <c r="K8" s="387">
        <f>I8*$C$8</f>
        <v>1822.0989374999997</v>
      </c>
      <c r="L8" s="387"/>
      <c r="M8" s="387">
        <f>K8*$C$8</f>
        <v>1867.6514109374996</v>
      </c>
      <c r="N8" s="387"/>
      <c r="O8" s="387">
        <f>M8*$C$8</f>
        <v>1914.342696210937</v>
      </c>
      <c r="P8" s="387"/>
      <c r="Q8" s="387">
        <f>O8*$C$8</f>
        <v>1962.2012636162103</v>
      </c>
      <c r="R8" s="387"/>
      <c r="S8" s="387">
        <f>Q8*$C$8</f>
        <v>2011.2562952066155</v>
      </c>
      <c r="T8" s="387"/>
      <c r="U8" s="387">
        <f>S8*$C$8</f>
        <v>2061.5377025867806</v>
      </c>
      <c r="V8" s="387"/>
      <c r="W8" s="387">
        <f>U8*$C$8</f>
        <v>2113.07614515145</v>
      </c>
      <c r="X8" s="387"/>
      <c r="Y8" s="387">
        <f>W8*$C$8</f>
        <v>2165.9030487802361</v>
      </c>
      <c r="Z8" s="387"/>
      <c r="AA8" s="387">
        <f>Y8*$C$8</f>
        <v>2220.050624999742</v>
      </c>
      <c r="AB8" s="387"/>
      <c r="AC8" s="387">
        <f>AA8*$C$8</f>
        <v>2275.5518906247353</v>
      </c>
      <c r="AD8" s="387"/>
      <c r="AE8" s="387">
        <f>AC8*$C$8</f>
        <v>2332.4406878903533</v>
      </c>
      <c r="AF8" s="387"/>
      <c r="AG8" s="387">
        <f>AE8*$C$8</f>
        <v>2390.7517050876118</v>
      </c>
      <c r="AH8" s="376"/>
    </row>
    <row r="9" spans="1:34" ht="13.8">
      <c r="A9" s="376"/>
      <c r="B9" s="376" t="s">
        <v>988</v>
      </c>
      <c r="C9" s="408">
        <f>IF(Application!$D$214="Special Needs",0.1,0.05)</f>
        <v>0.1</v>
      </c>
      <c r="D9" s="376"/>
      <c r="E9" s="386">
        <f>-E8*$C$9</f>
        <v>-169.20000000000002</v>
      </c>
      <c r="F9" s="386"/>
      <c r="G9" s="386">
        <f>-G8*$C$9</f>
        <v>-173.43</v>
      </c>
      <c r="H9" s="386"/>
      <c r="I9" s="386">
        <f>-I8*$C$9</f>
        <v>-177.76575</v>
      </c>
      <c r="J9" s="386"/>
      <c r="K9" s="386">
        <f>-K8*$C$9</f>
        <v>-182.20989374999999</v>
      </c>
      <c r="L9" s="386"/>
      <c r="M9" s="386">
        <f>-M8*$C$9</f>
        <v>-186.76514109374997</v>
      </c>
      <c r="N9" s="386"/>
      <c r="O9" s="386">
        <f>-O8*$C$9</f>
        <v>-191.4342696210937</v>
      </c>
      <c r="P9" s="386"/>
      <c r="Q9" s="386">
        <f>-Q8*$C$9</f>
        <v>-196.22012636162106</v>
      </c>
      <c r="R9" s="386"/>
      <c r="S9" s="386">
        <f>-S8*$C$9</f>
        <v>-201.12562952066156</v>
      </c>
      <c r="T9" s="386"/>
      <c r="U9" s="386">
        <f>-U8*$C$9</f>
        <v>-206.15377025867807</v>
      </c>
      <c r="V9" s="386"/>
      <c r="W9" s="386">
        <f>-W8*$C$9</f>
        <v>-211.30761451514502</v>
      </c>
      <c r="X9" s="386"/>
      <c r="Y9" s="386">
        <f>-Y8*$C$9</f>
        <v>-216.59030487802363</v>
      </c>
      <c r="Z9" s="386"/>
      <c r="AA9" s="386">
        <f>-AA8*$C$9</f>
        <v>-222.0050624999742</v>
      </c>
      <c r="AB9" s="386"/>
      <c r="AC9" s="386">
        <f>-AC8*$C$9</f>
        <v>-227.55518906247354</v>
      </c>
      <c r="AD9" s="386"/>
      <c r="AE9" s="386">
        <f>-AE8*$C$9</f>
        <v>-233.24406878903534</v>
      </c>
      <c r="AF9" s="386"/>
      <c r="AG9" s="386">
        <f>-AG8*$C$9</f>
        <v>-239.07517050876118</v>
      </c>
      <c r="AH9" s="376"/>
    </row>
    <row r="10" spans="1:34" ht="13.8">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948812.40000000014</v>
      </c>
      <c r="F11" s="388"/>
      <c r="G11" s="388">
        <f>SUM(G4:G10)</f>
        <v>972532.71</v>
      </c>
      <c r="H11" s="388"/>
      <c r="I11" s="388">
        <f>SUM(I4:I10)</f>
        <v>996846.02774999978</v>
      </c>
      <c r="J11" s="388"/>
      <c r="K11" s="388">
        <f>SUM(K4:K10)</f>
        <v>1021767.1784437497</v>
      </c>
      <c r="L11" s="388"/>
      <c r="M11" s="388">
        <f>SUM(M4:M10)</f>
        <v>1047311.3579048435</v>
      </c>
      <c r="N11" s="388"/>
      <c r="O11" s="388">
        <f>SUM(O4:O10)</f>
        <v>1073494.1418524643</v>
      </c>
      <c r="P11" s="388"/>
      <c r="Q11" s="388">
        <f>SUM(Q4:Q10)</f>
        <v>1100331.4953987757</v>
      </c>
      <c r="R11" s="388"/>
      <c r="S11" s="388">
        <f>SUM(S4:S10)</f>
        <v>1127839.7827837453</v>
      </c>
      <c r="T11" s="388"/>
      <c r="U11" s="388">
        <f>SUM(U4:U10)</f>
        <v>1156035.7773533387</v>
      </c>
      <c r="V11" s="388"/>
      <c r="W11" s="388">
        <f>SUM(W4:W10)</f>
        <v>1184936.6717871719</v>
      </c>
      <c r="X11" s="388"/>
      <c r="Y11" s="388">
        <f>SUM(Y4:Y10)</f>
        <v>1214560.0885818512</v>
      </c>
      <c r="Z11" s="388"/>
      <c r="AA11" s="388">
        <f>SUM(AA4:AA10)</f>
        <v>1244924.0907963971</v>
      </c>
      <c r="AB11" s="388"/>
      <c r="AC11" s="388">
        <f>SUM(AC4:AC10)</f>
        <v>1276047.1930663071</v>
      </c>
      <c r="AD11" s="388"/>
      <c r="AE11" s="388">
        <f>SUM(AE4:AE10)</f>
        <v>1307948.3728929646</v>
      </c>
      <c r="AF11" s="388"/>
      <c r="AG11" s="388">
        <f>SUM(AG4:AG10)</f>
        <v>1340647.0822152889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89540</v>
      </c>
      <c r="F15" s="384"/>
      <c r="G15" s="384">
        <f t="shared" ref="G15:G21" si="0">E15*$C$14</f>
        <v>92673.9</v>
      </c>
      <c r="H15" s="384"/>
      <c r="I15" s="384">
        <f t="shared" ref="I15:I21" si="1">G15*$C$14</f>
        <v>95917.486499999985</v>
      </c>
      <c r="J15" s="384"/>
      <c r="K15" s="384">
        <f t="shared" ref="K15:K21" si="2">I15*$C$14</f>
        <v>99274.598527499969</v>
      </c>
      <c r="L15" s="384"/>
      <c r="M15" s="384">
        <f t="shared" ref="M15:M21" si="3">K15*$C$14</f>
        <v>102749.20947596246</v>
      </c>
      <c r="N15" s="384"/>
      <c r="O15" s="384">
        <f t="shared" ref="O15:O21" si="4">M15*$C$14</f>
        <v>106345.43180762113</v>
      </c>
      <c r="P15" s="384"/>
      <c r="Q15" s="384">
        <f t="shared" ref="Q15:Q21" si="5">O15*$C$14</f>
        <v>110067.52192088787</v>
      </c>
      <c r="R15" s="384"/>
      <c r="S15" s="384">
        <f t="shared" ref="S15:S21" si="6">Q15*$C$14</f>
        <v>113919.88518811893</v>
      </c>
      <c r="T15" s="384"/>
      <c r="U15" s="384">
        <f t="shared" ref="U15:U21" si="7">S15*$C$14</f>
        <v>117907.08116970309</v>
      </c>
      <c r="V15" s="384"/>
      <c r="W15" s="384">
        <f t="shared" ref="W15:W21" si="8">U15*$C$14</f>
        <v>122033.82901064269</v>
      </c>
      <c r="X15" s="384"/>
      <c r="Y15" s="384">
        <f t="shared" ref="Y15:Y21" si="9">W15*$C$14</f>
        <v>126305.01302601516</v>
      </c>
      <c r="Z15" s="384"/>
      <c r="AA15" s="384">
        <f t="shared" ref="AA15:AA21" si="10">Y15*$C$14</f>
        <v>130725.68848192568</v>
      </c>
      <c r="AB15" s="384"/>
      <c r="AC15" s="384">
        <f t="shared" ref="AC15:AC21" si="11">AA15*$C$14</f>
        <v>135301.08757879306</v>
      </c>
      <c r="AD15" s="384"/>
      <c r="AE15" s="384">
        <f t="shared" ref="AE15:AE21" si="12">AC15*$C$14</f>
        <v>140036.6256440508</v>
      </c>
      <c r="AF15" s="384"/>
      <c r="AG15" s="384">
        <f t="shared" ref="AG15:AG21" si="13">AE15*$C$14</f>
        <v>144937.90754159258</v>
      </c>
      <c r="AH15" s="384"/>
    </row>
    <row r="16" spans="1:34" ht="13.8">
      <c r="A16" s="376" t="s">
        <v>469</v>
      </c>
      <c r="B16" s="376"/>
      <c r="C16" s="398"/>
      <c r="D16" s="376"/>
      <c r="E16" s="387">
        <f>Application!W828</f>
        <v>36660</v>
      </c>
      <c r="F16" s="387"/>
      <c r="G16" s="387">
        <f t="shared" si="0"/>
        <v>37943.1</v>
      </c>
      <c r="H16" s="387"/>
      <c r="I16" s="387">
        <f t="shared" si="1"/>
        <v>39271.108499999995</v>
      </c>
      <c r="J16" s="387"/>
      <c r="K16" s="387">
        <f t="shared" si="2"/>
        <v>40645.59729749999</v>
      </c>
      <c r="L16" s="387"/>
      <c r="M16" s="387">
        <f t="shared" si="3"/>
        <v>42068.193202912487</v>
      </c>
      <c r="N16" s="387"/>
      <c r="O16" s="387">
        <f t="shared" si="4"/>
        <v>43540.579965014418</v>
      </c>
      <c r="P16" s="387"/>
      <c r="Q16" s="387">
        <f t="shared" si="5"/>
        <v>45064.500263789916</v>
      </c>
      <c r="R16" s="387"/>
      <c r="S16" s="387">
        <f t="shared" si="6"/>
        <v>46641.75777302256</v>
      </c>
      <c r="T16" s="387"/>
      <c r="U16" s="387">
        <f t="shared" si="7"/>
        <v>48274.219295078343</v>
      </c>
      <c r="V16" s="387"/>
      <c r="W16" s="387">
        <f t="shared" si="8"/>
        <v>49963.816970406078</v>
      </c>
      <c r="X16" s="387"/>
      <c r="Y16" s="387">
        <f t="shared" si="9"/>
        <v>51712.550564370285</v>
      </c>
      <c r="Z16" s="387"/>
      <c r="AA16" s="387">
        <f t="shared" si="10"/>
        <v>53522.48983412324</v>
      </c>
      <c r="AB16" s="387"/>
      <c r="AC16" s="387">
        <f t="shared" si="11"/>
        <v>55395.776978317546</v>
      </c>
      <c r="AD16" s="387"/>
      <c r="AE16" s="387">
        <f t="shared" si="12"/>
        <v>57334.629172558656</v>
      </c>
      <c r="AF16" s="387"/>
      <c r="AG16" s="387">
        <f t="shared" si="13"/>
        <v>59341.341193598208</v>
      </c>
      <c r="AH16" s="376"/>
    </row>
    <row r="17" spans="1:34" ht="13.8">
      <c r="A17" s="376" t="s">
        <v>734</v>
      </c>
      <c r="B17" s="376"/>
      <c r="C17" s="398"/>
      <c r="D17" s="376"/>
      <c r="E17" s="387">
        <f>Application!W834</f>
        <v>105071</v>
      </c>
      <c r="F17" s="387"/>
      <c r="G17" s="387">
        <f t="shared" si="0"/>
        <v>108748.48499999999</v>
      </c>
      <c r="H17" s="387"/>
      <c r="I17" s="387">
        <f t="shared" si="1"/>
        <v>112554.68197499997</v>
      </c>
      <c r="J17" s="387"/>
      <c r="K17" s="387">
        <f t="shared" si="2"/>
        <v>116494.09584412495</v>
      </c>
      <c r="L17" s="387"/>
      <c r="M17" s="387">
        <f t="shared" si="3"/>
        <v>120571.38919866932</v>
      </c>
      <c r="N17" s="387"/>
      <c r="O17" s="387">
        <f t="shared" si="4"/>
        <v>124791.38782062274</v>
      </c>
      <c r="P17" s="387"/>
      <c r="Q17" s="387">
        <f t="shared" si="5"/>
        <v>129159.08639434453</v>
      </c>
      <c r="R17" s="387"/>
      <c r="S17" s="387">
        <f t="shared" si="6"/>
        <v>133679.65441814659</v>
      </c>
      <c r="T17" s="387"/>
      <c r="U17" s="387">
        <f t="shared" si="7"/>
        <v>138358.44232278172</v>
      </c>
      <c r="V17" s="387"/>
      <c r="W17" s="387">
        <f t="shared" si="8"/>
        <v>143200.98780407908</v>
      </c>
      <c r="X17" s="387"/>
      <c r="Y17" s="387">
        <f t="shared" si="9"/>
        <v>148213.02237722185</v>
      </c>
      <c r="Z17" s="387"/>
      <c r="AA17" s="387">
        <f t="shared" si="10"/>
        <v>153400.47816042459</v>
      </c>
      <c r="AB17" s="387"/>
      <c r="AC17" s="387">
        <f t="shared" si="11"/>
        <v>158769.49489603945</v>
      </c>
      <c r="AD17" s="387"/>
      <c r="AE17" s="387">
        <f t="shared" si="12"/>
        <v>164326.42721740084</v>
      </c>
      <c r="AF17" s="387"/>
      <c r="AG17" s="387">
        <f t="shared" si="13"/>
        <v>170077.85217000986</v>
      </c>
      <c r="AH17" s="376"/>
    </row>
    <row r="18" spans="1:34" ht="13.8">
      <c r="A18" s="376" t="s">
        <v>1079</v>
      </c>
      <c r="B18" s="376"/>
      <c r="C18" s="398"/>
      <c r="D18" s="376"/>
      <c r="E18" s="387">
        <f>Application!W841</f>
        <v>164480</v>
      </c>
      <c r="F18" s="387"/>
      <c r="G18" s="387">
        <f t="shared" si="0"/>
        <v>170236.79999999999</v>
      </c>
      <c r="H18" s="387"/>
      <c r="I18" s="387">
        <f t="shared" si="1"/>
        <v>176195.08799999999</v>
      </c>
      <c r="J18" s="387"/>
      <c r="K18" s="387">
        <f t="shared" si="2"/>
        <v>182361.91607999997</v>
      </c>
      <c r="L18" s="387"/>
      <c r="M18" s="387">
        <f t="shared" si="3"/>
        <v>188744.58314279994</v>
      </c>
      <c r="N18" s="387"/>
      <c r="O18" s="387">
        <f t="shared" si="4"/>
        <v>195350.6435527979</v>
      </c>
      <c r="P18" s="387"/>
      <c r="Q18" s="387">
        <f t="shared" si="5"/>
        <v>202187.91607714581</v>
      </c>
      <c r="R18" s="387"/>
      <c r="S18" s="387">
        <f t="shared" si="6"/>
        <v>209264.4931398459</v>
      </c>
      <c r="T18" s="387"/>
      <c r="U18" s="387">
        <f t="shared" si="7"/>
        <v>216588.7503997405</v>
      </c>
      <c r="V18" s="387"/>
      <c r="W18" s="387">
        <f t="shared" si="8"/>
        <v>224169.35666373139</v>
      </c>
      <c r="X18" s="387"/>
      <c r="Y18" s="387">
        <f t="shared" si="9"/>
        <v>232015.28414696196</v>
      </c>
      <c r="Z18" s="387"/>
      <c r="AA18" s="387">
        <f t="shared" si="10"/>
        <v>240135.81909210561</v>
      </c>
      <c r="AB18" s="387"/>
      <c r="AC18" s="387">
        <f t="shared" si="11"/>
        <v>248540.57276032929</v>
      </c>
      <c r="AD18" s="387"/>
      <c r="AE18" s="387">
        <f t="shared" si="12"/>
        <v>257239.49280694081</v>
      </c>
      <c r="AF18" s="387"/>
      <c r="AG18" s="387">
        <f t="shared" si="13"/>
        <v>266242.87505518371</v>
      </c>
    </row>
    <row r="19" spans="1:34" ht="13.8">
      <c r="A19" s="376" t="s">
        <v>931</v>
      </c>
      <c r="B19" s="376"/>
      <c r="C19" s="398"/>
      <c r="D19" s="376"/>
      <c r="E19" s="387">
        <f>Application!W842</f>
        <v>70000</v>
      </c>
      <c r="F19" s="387"/>
      <c r="G19" s="387">
        <f t="shared" si="0"/>
        <v>72450</v>
      </c>
      <c r="H19" s="387"/>
      <c r="I19" s="387">
        <f t="shared" si="1"/>
        <v>74985.75</v>
      </c>
      <c r="J19" s="387"/>
      <c r="K19" s="387">
        <f t="shared" si="2"/>
        <v>77610.251250000001</v>
      </c>
      <c r="L19" s="387"/>
      <c r="M19" s="387">
        <f t="shared" si="3"/>
        <v>80326.610043749999</v>
      </c>
      <c r="N19" s="387"/>
      <c r="O19" s="387">
        <f t="shared" si="4"/>
        <v>83138.041395281238</v>
      </c>
      <c r="P19" s="387"/>
      <c r="Q19" s="387">
        <f t="shared" si="5"/>
        <v>86047.872844116078</v>
      </c>
      <c r="R19" s="387"/>
      <c r="S19" s="387">
        <f t="shared" si="6"/>
        <v>89059.548393660138</v>
      </c>
      <c r="T19" s="387"/>
      <c r="U19" s="387">
        <f t="shared" si="7"/>
        <v>92176.632587438231</v>
      </c>
      <c r="V19" s="387"/>
      <c r="W19" s="387">
        <f t="shared" si="8"/>
        <v>95402.814727998557</v>
      </c>
      <c r="X19" s="387"/>
      <c r="Y19" s="387">
        <f t="shared" si="9"/>
        <v>98741.913243478499</v>
      </c>
      <c r="Z19" s="387"/>
      <c r="AA19" s="387">
        <f t="shared" si="10"/>
        <v>102197.88020700024</v>
      </c>
      <c r="AB19" s="387"/>
      <c r="AC19" s="387">
        <f t="shared" si="11"/>
        <v>105774.80601424525</v>
      </c>
      <c r="AD19" s="387"/>
      <c r="AE19" s="387">
        <f t="shared" si="12"/>
        <v>109476.92422474382</v>
      </c>
      <c r="AF19" s="387"/>
      <c r="AG19" s="387">
        <f t="shared" si="13"/>
        <v>113308.61657260986</v>
      </c>
    </row>
    <row r="20" spans="1:34" ht="13.8">
      <c r="A20" s="376" t="s">
        <v>55</v>
      </c>
      <c r="B20" s="376"/>
      <c r="C20" s="398"/>
      <c r="D20" s="376"/>
      <c r="E20" s="387">
        <f>Application!W851</f>
        <v>62170</v>
      </c>
      <c r="F20" s="387"/>
      <c r="G20" s="387">
        <f t="shared" si="0"/>
        <v>64345.95</v>
      </c>
      <c r="H20" s="387"/>
      <c r="I20" s="387">
        <f t="shared" si="1"/>
        <v>66598.058249999987</v>
      </c>
      <c r="J20" s="387"/>
      <c r="K20" s="387">
        <f t="shared" si="2"/>
        <v>68928.990288749977</v>
      </c>
      <c r="L20" s="387"/>
      <c r="M20" s="387">
        <f t="shared" si="3"/>
        <v>71341.504948856222</v>
      </c>
      <c r="N20" s="387"/>
      <c r="O20" s="387">
        <f t="shared" si="4"/>
        <v>73838.457622066184</v>
      </c>
      <c r="P20" s="387"/>
      <c r="Q20" s="387">
        <f t="shared" si="5"/>
        <v>76422.803638838493</v>
      </c>
      <c r="R20" s="387"/>
      <c r="S20" s="387">
        <f t="shared" si="6"/>
        <v>79097.60176619784</v>
      </c>
      <c r="T20" s="387"/>
      <c r="U20" s="387">
        <f t="shared" si="7"/>
        <v>81866.017828014752</v>
      </c>
      <c r="V20" s="387"/>
      <c r="W20" s="387">
        <f t="shared" si="8"/>
        <v>84731.328451995258</v>
      </c>
      <c r="X20" s="387"/>
      <c r="Y20" s="387">
        <f t="shared" si="9"/>
        <v>87696.924947815089</v>
      </c>
      <c r="Z20" s="387"/>
      <c r="AA20" s="387">
        <f t="shared" si="10"/>
        <v>90766.317320988615</v>
      </c>
      <c r="AB20" s="387"/>
      <c r="AC20" s="387">
        <f t="shared" si="11"/>
        <v>93943.13842722321</v>
      </c>
      <c r="AD20" s="387"/>
      <c r="AE20" s="387">
        <f t="shared" si="12"/>
        <v>97231.148272176011</v>
      </c>
      <c r="AF20" s="387"/>
      <c r="AG20" s="387">
        <f t="shared" si="13"/>
        <v>100634.23846170216</v>
      </c>
    </row>
    <row r="21" spans="1:34" ht="13.8">
      <c r="A21" s="599" t="s">
        <v>1219</v>
      </c>
      <c r="B21" s="599"/>
      <c r="C21" s="398"/>
      <c r="D21" s="376"/>
      <c r="E21" s="397">
        <f>Application!W858</f>
        <v>840</v>
      </c>
      <c r="F21" s="387"/>
      <c r="G21" s="397">
        <f t="shared" si="0"/>
        <v>869.4</v>
      </c>
      <c r="H21" s="387"/>
      <c r="I21" s="397">
        <f t="shared" si="1"/>
        <v>899.82899999999995</v>
      </c>
      <c r="J21" s="387"/>
      <c r="K21" s="397">
        <f t="shared" si="2"/>
        <v>931.32301499999983</v>
      </c>
      <c r="L21" s="387"/>
      <c r="M21" s="397">
        <f t="shared" si="3"/>
        <v>963.91932052499976</v>
      </c>
      <c r="N21" s="387"/>
      <c r="O21" s="397">
        <f t="shared" si="4"/>
        <v>997.65649674337465</v>
      </c>
      <c r="P21" s="387"/>
      <c r="Q21" s="397">
        <f t="shared" si="5"/>
        <v>1032.5744741293927</v>
      </c>
      <c r="R21" s="387"/>
      <c r="S21" s="397">
        <f t="shared" si="6"/>
        <v>1068.7145807239212</v>
      </c>
      <c r="T21" s="387"/>
      <c r="U21" s="397">
        <f t="shared" si="7"/>
        <v>1106.1195910492584</v>
      </c>
      <c r="V21" s="387"/>
      <c r="W21" s="397">
        <f t="shared" si="8"/>
        <v>1144.8337767359824</v>
      </c>
      <c r="X21" s="387"/>
      <c r="Y21" s="397">
        <f t="shared" si="9"/>
        <v>1184.9029589217416</v>
      </c>
      <c r="Z21" s="387"/>
      <c r="AA21" s="397">
        <f t="shared" si="10"/>
        <v>1226.3745624840026</v>
      </c>
      <c r="AB21" s="387"/>
      <c r="AC21" s="397">
        <f t="shared" si="11"/>
        <v>1269.2976721709426</v>
      </c>
      <c r="AD21" s="387"/>
      <c r="AE21" s="397">
        <f t="shared" si="12"/>
        <v>1313.7230906969255</v>
      </c>
      <c r="AF21" s="387"/>
      <c r="AG21" s="397">
        <f t="shared" si="13"/>
        <v>1359.7033988713179</v>
      </c>
    </row>
    <row r="22" spans="1:34" ht="13.8">
      <c r="A22" s="388" t="s">
        <v>1080</v>
      </c>
      <c r="B22" s="388"/>
      <c r="C22" s="398"/>
      <c r="D22" s="388"/>
      <c r="E22" s="388">
        <f>SUM(E15:E21)</f>
        <v>528761</v>
      </c>
      <c r="F22" s="388"/>
      <c r="G22" s="388">
        <f>SUM(G15:G21)</f>
        <v>547267.63500000001</v>
      </c>
      <c r="H22" s="388"/>
      <c r="I22" s="388">
        <f>SUM(I15:I21)</f>
        <v>566422.00222499995</v>
      </c>
      <c r="J22" s="388"/>
      <c r="K22" s="388">
        <f>SUM(K15:K21)</f>
        <v>586246.77230287483</v>
      </c>
      <c r="L22" s="388"/>
      <c r="M22" s="388">
        <f>SUM(M15:M21)</f>
        <v>606765.4093334754</v>
      </c>
      <c r="N22" s="388"/>
      <c r="O22" s="388">
        <f>SUM(O15:O21)</f>
        <v>628002.19866014691</v>
      </c>
      <c r="P22" s="388"/>
      <c r="Q22" s="388">
        <f>SUM(Q15:Q21)</f>
        <v>649982.27561325196</v>
      </c>
      <c r="R22" s="388"/>
      <c r="S22" s="388">
        <f>SUM(S15:S21)</f>
        <v>672731.65525971586</v>
      </c>
      <c r="T22" s="388"/>
      <c r="U22" s="388">
        <f>SUM(U15:U21)</f>
        <v>696277.26319380593</v>
      </c>
      <c r="V22" s="388"/>
      <c r="W22" s="388">
        <f>SUM(W15:W21)</f>
        <v>720646.96740558906</v>
      </c>
      <c r="X22" s="388"/>
      <c r="Y22" s="388">
        <f>SUM(Y15:Y21)</f>
        <v>745869.6112647847</v>
      </c>
      <c r="Z22" s="388"/>
      <c r="AA22" s="388">
        <f>SUM(AA15:AA21)</f>
        <v>771975.04765905195</v>
      </c>
      <c r="AB22" s="388"/>
      <c r="AC22" s="388">
        <f>SUM(AC15:AC21)</f>
        <v>798994.17432711879</v>
      </c>
      <c r="AD22" s="388"/>
      <c r="AE22" s="388">
        <f>SUM(AE15:AE21)</f>
        <v>826958.97042856796</v>
      </c>
      <c r="AF22" s="388"/>
      <c r="AG22" s="388">
        <f>SUM(AG15:AG21)</f>
        <v>855902.53439356771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3.8">
      <c r="A28" s="599" t="s">
        <v>1082</v>
      </c>
      <c r="B28" s="376"/>
      <c r="C28" s="407"/>
      <c r="D28" s="376"/>
      <c r="E28" s="387">
        <f>Application!AC868</f>
        <v>23500</v>
      </c>
      <c r="F28" s="387"/>
      <c r="G28" s="387">
        <f>$E$28</f>
        <v>23500</v>
      </c>
      <c r="H28" s="387"/>
      <c r="I28" s="387">
        <f>$E$28</f>
        <v>23500</v>
      </c>
      <c r="J28" s="387"/>
      <c r="K28" s="387">
        <f>$E$28</f>
        <v>23500</v>
      </c>
      <c r="L28" s="387"/>
      <c r="M28" s="387">
        <f>$E$28</f>
        <v>23500</v>
      </c>
      <c r="N28" s="387"/>
      <c r="O28" s="387">
        <f>$E$28</f>
        <v>23500</v>
      </c>
      <c r="P28" s="387"/>
      <c r="Q28" s="387">
        <f>$E$28</f>
        <v>23500</v>
      </c>
      <c r="R28" s="387"/>
      <c r="S28" s="387">
        <f>$E$28</f>
        <v>23500</v>
      </c>
      <c r="T28" s="387"/>
      <c r="U28" s="387">
        <f>$E$28</f>
        <v>23500</v>
      </c>
      <c r="V28" s="387"/>
      <c r="W28" s="387">
        <f>$E$28</f>
        <v>23500</v>
      </c>
      <c r="X28" s="387"/>
      <c r="Y28" s="387">
        <f>$E$28</f>
        <v>23500</v>
      </c>
      <c r="Z28" s="387"/>
      <c r="AA28" s="387">
        <f>$E$28</f>
        <v>23500</v>
      </c>
      <c r="AB28" s="387"/>
      <c r="AC28" s="387">
        <f>$E$28</f>
        <v>23500</v>
      </c>
      <c r="AD28" s="387"/>
      <c r="AE28" s="387">
        <f>$E$28</f>
        <v>23500</v>
      </c>
      <c r="AF28" s="387"/>
      <c r="AG28" s="387">
        <f>$E$28</f>
        <v>23500</v>
      </c>
    </row>
    <row r="29" spans="1:34" ht="13.8">
      <c r="A29" s="599" t="s">
        <v>1940</v>
      </c>
      <c r="B29" s="376"/>
      <c r="C29" s="407"/>
      <c r="D29" s="376"/>
      <c r="E29" s="387">
        <f>Application!AC869</f>
        <v>7150</v>
      </c>
      <c r="F29" s="387"/>
      <c r="G29" s="387">
        <f>$E$29</f>
        <v>7150</v>
      </c>
      <c r="H29" s="387"/>
      <c r="I29" s="387">
        <f>$E$29</f>
        <v>7150</v>
      </c>
      <c r="J29" s="387"/>
      <c r="K29" s="387">
        <f>$E$29</f>
        <v>7150</v>
      </c>
      <c r="L29" s="387"/>
      <c r="M29" s="387">
        <f>$E$29</f>
        <v>7150</v>
      </c>
      <c r="N29" s="387"/>
      <c r="O29" s="387">
        <f>$E$29</f>
        <v>7150</v>
      </c>
      <c r="P29" s="387"/>
      <c r="Q29" s="387">
        <f>$E$29</f>
        <v>7150</v>
      </c>
      <c r="R29" s="387"/>
      <c r="S29" s="387">
        <f>$E$29</f>
        <v>7150</v>
      </c>
      <c r="T29" s="387"/>
      <c r="U29" s="387">
        <f>$E$29</f>
        <v>7150</v>
      </c>
      <c r="V29" s="387"/>
      <c r="W29" s="387">
        <f>$E$29</f>
        <v>7150</v>
      </c>
      <c r="X29" s="387"/>
      <c r="Y29" s="387">
        <f>$E$29</f>
        <v>7150</v>
      </c>
      <c r="Z29" s="387"/>
      <c r="AA29" s="387">
        <f>$E$29</f>
        <v>7150</v>
      </c>
      <c r="AB29" s="387"/>
      <c r="AC29" s="387">
        <f>$E$29</f>
        <v>7150</v>
      </c>
      <c r="AD29" s="387"/>
      <c r="AE29" s="387">
        <f>$E$29</f>
        <v>7150</v>
      </c>
      <c r="AF29" s="387"/>
      <c r="AG29" s="387">
        <f>$E$29</f>
        <v>7150</v>
      </c>
    </row>
    <row r="30" spans="1:34" ht="13.8">
      <c r="A30" s="599" t="s">
        <v>1083</v>
      </c>
      <c r="B30" s="376"/>
      <c r="C30" s="407">
        <v>1.02</v>
      </c>
      <c r="D30" s="376"/>
      <c r="E30" s="387">
        <f>Application!AC870</f>
        <v>3525</v>
      </c>
      <c r="F30" s="387"/>
      <c r="G30" s="387">
        <f>E30*$C$30</f>
        <v>3595.5</v>
      </c>
      <c r="H30" s="387"/>
      <c r="I30" s="387">
        <f>G30*$C$30</f>
        <v>3667.41</v>
      </c>
      <c r="J30" s="387"/>
      <c r="K30" s="387">
        <f>I30*$C$30</f>
        <v>3740.7581999999998</v>
      </c>
      <c r="L30" s="387"/>
      <c r="M30" s="387">
        <f>K30*$C$30</f>
        <v>3815.5733639999999</v>
      </c>
      <c r="N30" s="387"/>
      <c r="O30" s="387">
        <f>M30*$C$30</f>
        <v>3891.8848312800001</v>
      </c>
      <c r="P30" s="387"/>
      <c r="Q30" s="387">
        <f>O30*$C$30</f>
        <v>3969.7225279056001</v>
      </c>
      <c r="R30" s="387"/>
      <c r="S30" s="387">
        <f>Q30*$C$30</f>
        <v>4049.1169784637123</v>
      </c>
      <c r="T30" s="387"/>
      <c r="U30" s="387">
        <f>S30*$C$30</f>
        <v>4130.099318032987</v>
      </c>
      <c r="V30" s="387"/>
      <c r="W30" s="387">
        <f>U30*$C$30</f>
        <v>4212.7013043936468</v>
      </c>
      <c r="X30" s="387"/>
      <c r="Y30" s="387">
        <f>W30*$C$30</f>
        <v>4296.9553304815199</v>
      </c>
      <c r="Z30" s="387"/>
      <c r="AA30" s="387">
        <f>Y30*$C$30</f>
        <v>4382.8944370911504</v>
      </c>
      <c r="AB30" s="387"/>
      <c r="AC30" s="387">
        <f>AA30*$C$30</f>
        <v>4470.5523258329731</v>
      </c>
      <c r="AD30" s="387"/>
      <c r="AE30" s="387">
        <f>AC30*$C$30</f>
        <v>4559.9633723496327</v>
      </c>
      <c r="AF30" s="387"/>
      <c r="AG30" s="387">
        <f>AE30*$C$30</f>
        <v>4651.1626397966256</v>
      </c>
    </row>
    <row r="31" spans="1:34" ht="13.8">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562936</v>
      </c>
      <c r="F35" s="388"/>
      <c r="G35" s="388">
        <f>SUM(G22:G33)</f>
        <v>581513.13500000001</v>
      </c>
      <c r="H35" s="388"/>
      <c r="I35" s="388">
        <f>SUM(I22:I33)</f>
        <v>600739.41222499998</v>
      </c>
      <c r="J35" s="388"/>
      <c r="K35" s="388">
        <f>SUM(K22:K33)</f>
        <v>620637.53050287487</v>
      </c>
      <c r="L35" s="388"/>
      <c r="M35" s="388">
        <f>SUM(M22:M33)</f>
        <v>641230.98269747535</v>
      </c>
      <c r="N35" s="388"/>
      <c r="O35" s="388">
        <f>SUM(O22:O33)</f>
        <v>662544.08349142689</v>
      </c>
      <c r="P35" s="388"/>
      <c r="Q35" s="388">
        <f>SUM(Q22:Q33)</f>
        <v>684601.99814115756</v>
      </c>
      <c r="R35" s="388"/>
      <c r="S35" s="388">
        <f>SUM(S22:S33)</f>
        <v>707430.77223817958</v>
      </c>
      <c r="T35" s="388"/>
      <c r="U35" s="388">
        <f>SUM(U22:U33)</f>
        <v>731057.3625118389</v>
      </c>
      <c r="V35" s="388"/>
      <c r="W35" s="388">
        <f>SUM(W22:W33)</f>
        <v>755509.66870998277</v>
      </c>
      <c r="X35" s="388"/>
      <c r="Y35" s="388">
        <f>SUM(Y22:Y33)</f>
        <v>780816.56659526622</v>
      </c>
      <c r="Z35" s="388"/>
      <c r="AA35" s="388">
        <f>SUM(AA22:AA33)</f>
        <v>807007.94209614315</v>
      </c>
      <c r="AB35" s="388"/>
      <c r="AC35" s="388">
        <f>SUM(AC22:AC33)</f>
        <v>834114.72665295179</v>
      </c>
      <c r="AD35" s="388"/>
      <c r="AE35" s="388">
        <f>SUM(AE22:AE33)</f>
        <v>862168.93380091758</v>
      </c>
      <c r="AF35" s="388"/>
      <c r="AG35" s="388">
        <f>SUM(AG22:AG33)</f>
        <v>891203.69703336433</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385876.40000000014</v>
      </c>
      <c r="F37" s="388"/>
      <c r="G37" s="388">
        <f>G11-G35</f>
        <v>391019.57499999995</v>
      </c>
      <c r="H37" s="388"/>
      <c r="I37" s="388">
        <f>I11-I35</f>
        <v>396106.6155249998</v>
      </c>
      <c r="J37" s="388"/>
      <c r="K37" s="388">
        <f>K11-K35</f>
        <v>401129.6479408748</v>
      </c>
      <c r="L37" s="388"/>
      <c r="M37" s="388">
        <f>M11-M35</f>
        <v>406080.37520736817</v>
      </c>
      <c r="N37" s="388"/>
      <c r="O37" s="388">
        <f>O11-O35</f>
        <v>410950.0583610374</v>
      </c>
      <c r="P37" s="388"/>
      <c r="Q37" s="388">
        <f>Q11-Q35</f>
        <v>415729.49725761812</v>
      </c>
      <c r="R37" s="388"/>
      <c r="S37" s="388">
        <f>S11-S35</f>
        <v>420409.01054556575</v>
      </c>
      <c r="T37" s="388"/>
      <c r="U37" s="388">
        <f>U11-U35</f>
        <v>424978.41484149976</v>
      </c>
      <c r="V37" s="388"/>
      <c r="W37" s="388">
        <f>W11-W35</f>
        <v>429427.00307718909</v>
      </c>
      <c r="X37" s="388"/>
      <c r="Y37" s="388">
        <f>Y11-Y35</f>
        <v>433743.52198658499</v>
      </c>
      <c r="Z37" s="388"/>
      <c r="AA37" s="388">
        <f>AA11-AA35</f>
        <v>437916.14870025392</v>
      </c>
      <c r="AB37" s="388"/>
      <c r="AC37" s="388">
        <f>AC11-AC35</f>
        <v>441932.46641335532</v>
      </c>
      <c r="AD37" s="388"/>
      <c r="AE37" s="388">
        <f>AE11-AE35</f>
        <v>445779.43909204705</v>
      </c>
      <c r="AF37" s="388"/>
      <c r="AG37" s="388">
        <f>AG11-AG35</f>
        <v>449443.38518192456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CCRC Permanent Loan</v>
      </c>
      <c r="B40" s="391"/>
      <c r="C40" s="385"/>
      <c r="D40" s="376"/>
      <c r="E40" s="384">
        <f>Application!AF621</f>
        <v>335480</v>
      </c>
      <c r="F40" s="384"/>
      <c r="G40" s="384">
        <f>$E$40</f>
        <v>335480</v>
      </c>
      <c r="H40" s="384"/>
      <c r="I40" s="384">
        <f>$E$40</f>
        <v>335480</v>
      </c>
      <c r="J40" s="384"/>
      <c r="K40" s="384">
        <f>$E$40</f>
        <v>335480</v>
      </c>
      <c r="L40" s="384"/>
      <c r="M40" s="384">
        <f>$E$40</f>
        <v>335480</v>
      </c>
      <c r="N40" s="384"/>
      <c r="O40" s="384">
        <f>$E$40</f>
        <v>335480</v>
      </c>
      <c r="P40" s="384"/>
      <c r="Q40" s="384">
        <f>$E$40</f>
        <v>335480</v>
      </c>
      <c r="R40" s="384"/>
      <c r="S40" s="384">
        <f>$E$40</f>
        <v>335480</v>
      </c>
      <c r="T40" s="384"/>
      <c r="U40" s="384">
        <f>$E$40</f>
        <v>335480</v>
      </c>
      <c r="V40" s="384"/>
      <c r="W40" s="384">
        <f>$E$40</f>
        <v>335480</v>
      </c>
      <c r="X40" s="384"/>
      <c r="Y40" s="384">
        <f>$E$40</f>
        <v>335480</v>
      </c>
      <c r="Z40" s="384"/>
      <c r="AA40" s="384">
        <f>$E$40</f>
        <v>335480</v>
      </c>
      <c r="AB40" s="384"/>
      <c r="AC40" s="384">
        <f>$E$40</f>
        <v>335480</v>
      </c>
      <c r="AD40" s="384"/>
      <c r="AE40" s="384">
        <f>$E$40</f>
        <v>335480</v>
      </c>
      <c r="AF40" s="384"/>
      <c r="AG40" s="384">
        <f>$E$40</f>
        <v>335480</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335480</v>
      </c>
      <c r="F43" s="388"/>
      <c r="G43" s="388">
        <f>SUM(G40:G42)</f>
        <v>335480</v>
      </c>
      <c r="H43" s="388"/>
      <c r="I43" s="388">
        <f>SUM(I40:I42)</f>
        <v>335480</v>
      </c>
      <c r="J43" s="388"/>
      <c r="K43" s="388">
        <f>SUM(K40:K42)</f>
        <v>335480</v>
      </c>
      <c r="L43" s="388"/>
      <c r="M43" s="388">
        <f>SUM(M40:M42)</f>
        <v>335480</v>
      </c>
      <c r="N43" s="388"/>
      <c r="O43" s="388">
        <f>SUM(O40:O42)</f>
        <v>335480</v>
      </c>
      <c r="P43" s="388"/>
      <c r="Q43" s="388">
        <f>SUM(Q40:Q42)</f>
        <v>335480</v>
      </c>
      <c r="R43" s="388"/>
      <c r="S43" s="388">
        <f>SUM(S40:S42)</f>
        <v>335480</v>
      </c>
      <c r="T43" s="388"/>
      <c r="U43" s="388">
        <f>SUM(U40:U42)</f>
        <v>335480</v>
      </c>
      <c r="V43" s="388"/>
      <c r="W43" s="388">
        <f>SUM(W40:W42)</f>
        <v>335480</v>
      </c>
      <c r="X43" s="388"/>
      <c r="Y43" s="388">
        <f>SUM(Y40:Y42)</f>
        <v>335480</v>
      </c>
      <c r="Z43" s="388"/>
      <c r="AA43" s="388">
        <f>SUM(AA40:AA42)</f>
        <v>335480</v>
      </c>
      <c r="AB43" s="388"/>
      <c r="AC43" s="388">
        <f>SUM(AC40:AC42)</f>
        <v>335480</v>
      </c>
      <c r="AD43" s="388"/>
      <c r="AE43" s="388">
        <f>SUM(AE40:AE42)</f>
        <v>335480</v>
      </c>
      <c r="AF43" s="388"/>
      <c r="AG43" s="388">
        <f>SUM(AG40:AG42)</f>
        <v>335480</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50396.40000000014</v>
      </c>
      <c r="F45" s="388"/>
      <c r="G45" s="388">
        <f>G37-G43</f>
        <v>55539.574999999953</v>
      </c>
      <c r="H45" s="388"/>
      <c r="I45" s="388">
        <f>I37-I43</f>
        <v>60626.615524999797</v>
      </c>
      <c r="J45" s="388"/>
      <c r="K45" s="388">
        <f>K37-K43</f>
        <v>65649.647940874798</v>
      </c>
      <c r="L45" s="388"/>
      <c r="M45" s="388">
        <f>M37-M43</f>
        <v>70600.375207368168</v>
      </c>
      <c r="N45" s="388"/>
      <c r="O45" s="388">
        <f>O37-O43</f>
        <v>75470.058361037401</v>
      </c>
      <c r="P45" s="388"/>
      <c r="Q45" s="388">
        <f>Q37-Q43</f>
        <v>80249.497257618117</v>
      </c>
      <c r="R45" s="388"/>
      <c r="S45" s="388">
        <f>S37-S43</f>
        <v>84929.010545565747</v>
      </c>
      <c r="T45" s="388"/>
      <c r="U45" s="388">
        <f>U37-U43</f>
        <v>89498.414841499762</v>
      </c>
      <c r="V45" s="388"/>
      <c r="W45" s="388">
        <f>W37-W43</f>
        <v>93947.003077189089</v>
      </c>
      <c r="X45" s="388"/>
      <c r="Y45" s="388">
        <f>Y37-Y43</f>
        <v>98263.521986584994</v>
      </c>
      <c r="Z45" s="388"/>
      <c r="AA45" s="388">
        <f>AA37-AA43</f>
        <v>102436.14870025392</v>
      </c>
      <c r="AB45" s="388"/>
      <c r="AC45" s="388">
        <f>AC37-AC43</f>
        <v>106452.46641335532</v>
      </c>
      <c r="AD45" s="388"/>
      <c r="AE45" s="388">
        <f>AE37-AE43</f>
        <v>110299.43909204705</v>
      </c>
      <c r="AF45" s="388"/>
      <c r="AG45" s="388">
        <f>AG37-AG43</f>
        <v>113963.38518192456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4.780371757367434E-2</v>
      </c>
      <c r="F47" s="392"/>
      <c r="G47" s="392">
        <f>G45/(G4+G6+G8)</f>
        <v>5.1397363796637709E-2</v>
      </c>
      <c r="H47" s="392"/>
      <c r="I47" s="392">
        <f>I45/(I4+I6+I8)</f>
        <v>5.4736591663666616E-2</v>
      </c>
      <c r="J47" s="392"/>
      <c r="K47" s="392">
        <f>K45/(K4+K6+K8)</f>
        <v>5.7825974833894157E-2</v>
      </c>
      <c r="L47" s="392"/>
      <c r="M47" s="392">
        <f>M45/(M4+M6+M8)</f>
        <v>6.0669959517811803E-2</v>
      </c>
      <c r="N47" s="392"/>
      <c r="O47" s="392">
        <f>O45/(O4+O6+O8)</f>
        <v>6.3272867430578555E-2</v>
      </c>
      <c r="P47" s="392"/>
      <c r="Q47" s="392">
        <f>Q45/(Q4+Q6+Q8)</f>
        <v>6.5638898671787183E-2</v>
      </c>
      <c r="R47" s="392"/>
      <c r="S47" s="392">
        <f>S45/(S4+S6+S8)</f>
        <v>6.7772134533460787E-2</v>
      </c>
      <c r="T47" s="392"/>
      <c r="U47" s="392">
        <f>U45/(U4+U6+U8)</f>
        <v>6.9676540238019266E-2</v>
      </c>
      <c r="V47" s="392"/>
      <c r="W47" s="392">
        <f>W45/(W4+W6+W8)</f>
        <v>7.1355967607910048E-2</v>
      </c>
      <c r="X47" s="392"/>
      <c r="Y47" s="392">
        <f>Y45/(Y4+Y6+Y8)</f>
        <v>7.2814157668549609E-2</v>
      </c>
      <c r="Z47" s="392"/>
      <c r="AA47" s="392">
        <f>AA45/(AA4+AA6+AA8)</f>
        <v>7.4054743186190194E-2</v>
      </c>
      <c r="AB47" s="392"/>
      <c r="AC47" s="392">
        <f>AC45/(AC4+AC6+AC8)</f>
        <v>7.5081251142285435E-2</v>
      </c>
      <c r="AD47" s="392"/>
      <c r="AE47" s="392">
        <f>AE45/(AE4+AE6+AE8)</f>
        <v>7.5897105145881785E-2</v>
      </c>
      <c r="AF47" s="392"/>
      <c r="AG47" s="392">
        <f>AG45/(AG4+AG6+AG8)</f>
        <v>7.6505627785539237E-2</v>
      </c>
      <c r="AH47" s="392"/>
      <c r="AI47" s="392"/>
    </row>
    <row r="48" spans="1:35" ht="13.8">
      <c r="A48" s="392" t="s">
        <v>1089</v>
      </c>
      <c r="B48" s="392"/>
      <c r="C48" s="385"/>
      <c r="D48" s="392"/>
      <c r="E48" s="392">
        <f>E45/E43</f>
        <v>0.15022177178967491</v>
      </c>
      <c r="F48" s="392"/>
      <c r="G48" s="392">
        <f>G45/G43</f>
        <v>0.16555256647192068</v>
      </c>
      <c r="H48" s="392"/>
      <c r="I48" s="392">
        <f>I45/I43</f>
        <v>0.18071603530761832</v>
      </c>
      <c r="J48" s="392"/>
      <c r="K48" s="392">
        <f>K45/K43</f>
        <v>0.19568870853962919</v>
      </c>
      <c r="L48" s="392"/>
      <c r="M48" s="392">
        <f>M45/M43</f>
        <v>0.2104458543202819</v>
      </c>
      <c r="N48" s="392"/>
      <c r="O48" s="392">
        <f>O45/O43</f>
        <v>0.22496142351567128</v>
      </c>
      <c r="P48" s="392"/>
      <c r="Q48" s="392">
        <f>Q45/Q43</f>
        <v>0.23920799230242673</v>
      </c>
      <c r="R48" s="392"/>
      <c r="S48" s="392">
        <f>S45/S43</f>
        <v>0.25315670247277261</v>
      </c>
      <c r="T48" s="392"/>
      <c r="U48" s="392">
        <f>U45/U43</f>
        <v>0.26677719936061689</v>
      </c>
      <c r="V48" s="392"/>
      <c r="W48" s="392">
        <f>W45/W43</f>
        <v>0.28003756729816709</v>
      </c>
      <c r="X48" s="392"/>
      <c r="Y48" s="392">
        <f>Y45/Y43</f>
        <v>0.29290426250919577</v>
      </c>
      <c r="Z48" s="392"/>
      <c r="AA48" s="392">
        <f>AA45/AA43</f>
        <v>0.30534204334164161</v>
      </c>
      <c r="AB48" s="392"/>
      <c r="AC48" s="392">
        <f>AC45/AC43</f>
        <v>0.31731389773862917</v>
      </c>
      <c r="AD48" s="392"/>
      <c r="AE48" s="392">
        <f>AE45/AE43</f>
        <v>0.32878096784323074</v>
      </c>
      <c r="AF48" s="392"/>
      <c r="AG48" s="392">
        <f>AG45/AG43</f>
        <v>0.33970247162848621</v>
      </c>
      <c r="AH48" s="392"/>
      <c r="AI48" s="392"/>
    </row>
    <row r="49" spans="1:35" ht="13.8">
      <c r="A49" s="393" t="s">
        <v>1090</v>
      </c>
      <c r="B49" s="393"/>
      <c r="C49" s="394"/>
      <c r="D49" s="393"/>
      <c r="E49" s="393">
        <f>E37/E43</f>
        <v>1.150221771789675</v>
      </c>
      <c r="F49" s="393"/>
      <c r="G49" s="393">
        <f>G37/G43</f>
        <v>1.1655525664719206</v>
      </c>
      <c r="H49" s="393"/>
      <c r="I49" s="393">
        <f>I37/I43</f>
        <v>1.1807160353076183</v>
      </c>
      <c r="J49" s="393"/>
      <c r="K49" s="393">
        <f>K37/K43</f>
        <v>1.1956887085396293</v>
      </c>
      <c r="L49" s="393"/>
      <c r="M49" s="393">
        <f>M37/M43</f>
        <v>1.2104458543202818</v>
      </c>
      <c r="N49" s="393"/>
      <c r="O49" s="393">
        <f>O37/O43</f>
        <v>1.2249614235156714</v>
      </c>
      <c r="P49" s="393"/>
      <c r="Q49" s="393">
        <f>Q37/Q43</f>
        <v>1.2392079923024266</v>
      </c>
      <c r="R49" s="393"/>
      <c r="S49" s="393">
        <f>S37/S43</f>
        <v>1.2531567024727726</v>
      </c>
      <c r="T49" s="393"/>
      <c r="U49" s="393">
        <f>U37/U43</f>
        <v>1.2667771993606169</v>
      </c>
      <c r="V49" s="393"/>
      <c r="W49" s="393">
        <f>W37/W43</f>
        <v>1.280037567298167</v>
      </c>
      <c r="X49" s="393"/>
      <c r="Y49" s="393">
        <f>Y37/Y43</f>
        <v>1.2929042625091958</v>
      </c>
      <c r="Z49" s="393"/>
      <c r="AA49" s="393">
        <f>AA37/AA43</f>
        <v>1.3053420433416416</v>
      </c>
      <c r="AB49" s="393"/>
      <c r="AC49" s="393">
        <f>AC37/AC43</f>
        <v>1.3173138977386292</v>
      </c>
      <c r="AD49" s="393"/>
      <c r="AE49" s="393">
        <f>AE37/AE43</f>
        <v>1.3287809678432307</v>
      </c>
      <c r="AF49" s="393"/>
      <c r="AG49" s="393">
        <f>AG37/AG43</f>
        <v>1.3397024716284862</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20000</v>
      </c>
      <c r="F53" s="374"/>
      <c r="G53" s="819">
        <f>E53*$C$53</f>
        <v>20000</v>
      </c>
      <c r="H53" s="819"/>
      <c r="I53" s="819">
        <f>G53*$C$53</f>
        <v>20000</v>
      </c>
      <c r="J53" s="819"/>
      <c r="K53" s="819">
        <f>I53*$C$53</f>
        <v>20000</v>
      </c>
      <c r="L53" s="819"/>
      <c r="M53" s="819">
        <f>K53*$C$53</f>
        <v>20000</v>
      </c>
      <c r="N53" s="819"/>
      <c r="O53" s="819">
        <f>M53*$C$53</f>
        <v>20000</v>
      </c>
      <c r="P53" s="819"/>
      <c r="Q53" s="819">
        <f>O53*$C$53</f>
        <v>20000</v>
      </c>
      <c r="R53" s="819"/>
      <c r="S53" s="819">
        <f>Q53*$C$53</f>
        <v>20000</v>
      </c>
      <c r="T53" s="819"/>
      <c r="U53" s="819">
        <f>S53*$C$53</f>
        <v>20000</v>
      </c>
      <c r="V53" s="819"/>
      <c r="W53" s="819">
        <f>U53*$C$53</f>
        <v>20000</v>
      </c>
      <c r="X53" s="819"/>
      <c r="Y53" s="819">
        <f>W53*$C$53</f>
        <v>20000</v>
      </c>
      <c r="Z53" s="819"/>
      <c r="AA53" s="819">
        <f>Y53*$C$53</f>
        <v>20000</v>
      </c>
      <c r="AB53" s="819"/>
      <c r="AC53" s="819">
        <f>AA53*$C$53</f>
        <v>20000</v>
      </c>
      <c r="AD53" s="819"/>
      <c r="AE53" s="819">
        <f>AC53*$C$53</f>
        <v>20000</v>
      </c>
      <c r="AF53" s="819"/>
      <c r="AG53" s="819">
        <f>AE53*$C$53</f>
        <v>20000</v>
      </c>
      <c r="AH53" s="374"/>
      <c r="AI53" s="374"/>
    </row>
    <row r="54" spans="1:35">
      <c r="A54" s="361" t="s">
        <v>1093</v>
      </c>
      <c r="B54" s="361"/>
      <c r="C54" s="409">
        <v>1</v>
      </c>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25000</v>
      </c>
      <c r="F58" s="380"/>
      <c r="G58" s="380">
        <f>SUM(G53:G57)</f>
        <v>25000</v>
      </c>
      <c r="H58" s="380"/>
      <c r="I58" s="380">
        <f>SUM(I53:I57)</f>
        <v>25000</v>
      </c>
      <c r="J58" s="380"/>
      <c r="K58" s="380">
        <f>SUM(K53:K57)</f>
        <v>25000</v>
      </c>
      <c r="L58" s="380"/>
      <c r="M58" s="380">
        <f>SUM(M53:M57)</f>
        <v>25000</v>
      </c>
      <c r="N58" s="380"/>
      <c r="O58" s="380">
        <f>SUM(O53:O57)</f>
        <v>25000</v>
      </c>
      <c r="P58" s="380"/>
      <c r="Q58" s="380">
        <f>SUM(Q53:Q57)</f>
        <v>25000</v>
      </c>
      <c r="R58" s="380"/>
      <c r="S58" s="380">
        <f>SUM(S53:S57)</f>
        <v>25000</v>
      </c>
      <c r="T58" s="380"/>
      <c r="U58" s="380">
        <f>SUM(U53:U57)</f>
        <v>25000</v>
      </c>
      <c r="V58" s="380"/>
      <c r="W58" s="380">
        <f>SUM(W53:W57)</f>
        <v>25000</v>
      </c>
      <c r="X58" s="380"/>
      <c r="Y58" s="380">
        <f>SUM(Y53:Y57)</f>
        <v>25000</v>
      </c>
      <c r="Z58" s="380"/>
      <c r="AA58" s="380">
        <f>SUM(AA53:AA57)</f>
        <v>25000</v>
      </c>
      <c r="AB58" s="380"/>
      <c r="AC58" s="380">
        <f>SUM(AC53:AC57)</f>
        <v>25000</v>
      </c>
      <c r="AD58" s="380"/>
      <c r="AE58" s="380">
        <f>SUM(AE53:AE57)</f>
        <v>25000</v>
      </c>
      <c r="AF58" s="380"/>
      <c r="AG58" s="380">
        <f>SUM(AG53:AG57)</f>
        <v>25000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25396.40000000014</v>
      </c>
      <c r="F60" s="374"/>
      <c r="G60" s="374">
        <f>G45-G58</f>
        <v>30539.574999999953</v>
      </c>
      <c r="H60" s="374"/>
      <c r="I60" s="374">
        <f>I45-I58</f>
        <v>35626.615524999797</v>
      </c>
      <c r="J60" s="374"/>
      <c r="K60" s="374">
        <f>K45-K58</f>
        <v>40649.647940874798</v>
      </c>
      <c r="L60" s="374"/>
      <c r="M60" s="374">
        <f>M45-M58</f>
        <v>45600.375207368168</v>
      </c>
      <c r="N60" s="374"/>
      <c r="O60" s="374">
        <f>O45-O58</f>
        <v>50470.058361037401</v>
      </c>
      <c r="P60" s="374"/>
      <c r="Q60" s="374">
        <f>Q45-Q58</f>
        <v>55249.497257618117</v>
      </c>
      <c r="R60" s="374"/>
      <c r="S60" s="374">
        <f>S45-S58</f>
        <v>59929.010545565747</v>
      </c>
      <c r="T60" s="374"/>
      <c r="U60" s="374">
        <f>U45-U58</f>
        <v>64498.414841499762</v>
      </c>
      <c r="V60" s="374"/>
      <c r="W60" s="374">
        <f>W45-W58</f>
        <v>68947.003077189089</v>
      </c>
      <c r="X60" s="374"/>
      <c r="Y60" s="374">
        <f>Y45-Y58</f>
        <v>73263.521986584994</v>
      </c>
      <c r="Z60" s="374"/>
      <c r="AA60" s="374">
        <f>AA45-AA58</f>
        <v>77436.148700253922</v>
      </c>
      <c r="AB60" s="374"/>
      <c r="AC60" s="374">
        <f>AC45-AC58</f>
        <v>81452.466413355316</v>
      </c>
      <c r="AD60" s="374"/>
      <c r="AE60" s="374">
        <f>AE45-AE58</f>
        <v>85299.439092047047</v>
      </c>
      <c r="AF60" s="374"/>
      <c r="AG60" s="374">
        <f>AG45-AG58</f>
        <v>88963.385181924561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0.25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c r="F66" s="374"/>
      <c r="G66" s="374">
        <f>G60*$C$65</f>
        <v>7634.8937499999884</v>
      </c>
      <c r="H66" s="374"/>
      <c r="I66" s="374">
        <f>I60*$C$65</f>
        <v>8906.6538812499493</v>
      </c>
      <c r="J66" s="374"/>
      <c r="K66" s="374">
        <f>K60*$C$65</f>
        <v>10162.4119852187</v>
      </c>
      <c r="L66" s="374"/>
      <c r="M66" s="374">
        <f>M60*$C$65</f>
        <v>11400.093801842042</v>
      </c>
      <c r="N66" s="374"/>
      <c r="O66" s="374">
        <f>O60*$C$65</f>
        <v>12617.51459025935</v>
      </c>
      <c r="P66" s="374"/>
      <c r="Q66" s="374">
        <f>Q60*$C$65</f>
        <v>13812.374314404529</v>
      </c>
      <c r="R66" s="374"/>
      <c r="S66" s="374">
        <f>S60*$C$65</f>
        <v>14982.252636391437</v>
      </c>
      <c r="T66" s="374"/>
      <c r="U66" s="374">
        <f>U60*$C$65</f>
        <v>16124.60371037494</v>
      </c>
      <c r="V66" s="374"/>
      <c r="W66" s="374">
        <f>W60*$C$65</f>
        <v>17236.750769297272</v>
      </c>
      <c r="X66" s="374"/>
      <c r="Y66" s="374">
        <f>Y60*$C$65</f>
        <v>18315.880496646249</v>
      </c>
      <c r="Z66" s="374"/>
      <c r="AA66" s="374">
        <f>AA60*$C$65</f>
        <v>19359.03717506348</v>
      </c>
      <c r="AB66" s="374"/>
      <c r="AC66" s="374">
        <f>AC60*$C$65</f>
        <v>20363.116603338829</v>
      </c>
      <c r="AD66" s="374"/>
      <c r="AE66" s="374">
        <f>AE60*$C$65</f>
        <v>21324.859773011762</v>
      </c>
      <c r="AF66" s="374"/>
      <c r="AG66" s="374">
        <f>AG60*$C$65</f>
        <v>22240.84629548114</v>
      </c>
      <c r="AH66" s="374"/>
      <c r="AI66" s="374"/>
    </row>
    <row r="67" spans="1:35">
      <c r="A67" s="402"/>
      <c r="B67" s="402"/>
      <c r="C67" s="382"/>
      <c r="D67" s="380"/>
      <c r="E67" s="401"/>
      <c r="F67" s="380"/>
      <c r="G67" s="824">
        <f>G60*$C$65</f>
        <v>7634.8937499999884</v>
      </c>
      <c r="H67" s="380"/>
      <c r="I67" s="824">
        <f>I60*$C$65</f>
        <v>8906.6538812499493</v>
      </c>
      <c r="J67" s="380"/>
      <c r="K67" s="824">
        <f>K60*$C$65</f>
        <v>10162.4119852187</v>
      </c>
      <c r="L67" s="380"/>
      <c r="M67" s="824">
        <f>M60*$C$65</f>
        <v>11400.093801842042</v>
      </c>
      <c r="N67" s="380"/>
      <c r="O67" s="824">
        <f>O60*$C$65</f>
        <v>12617.51459025935</v>
      </c>
      <c r="P67" s="380"/>
      <c r="Q67" s="824">
        <f>Q60*$C$65</f>
        <v>13812.374314404529</v>
      </c>
      <c r="R67" s="380"/>
      <c r="S67" s="824">
        <f>S60*$C$65</f>
        <v>14982.252636391437</v>
      </c>
      <c r="T67" s="380"/>
      <c r="U67" s="824">
        <f>U60*$C$65</f>
        <v>16124.60371037494</v>
      </c>
      <c r="V67" s="380"/>
      <c r="W67" s="824">
        <f>W60*$C$65</f>
        <v>17236.750769297272</v>
      </c>
      <c r="X67" s="380"/>
      <c r="Y67" s="824">
        <f>Y60*$C$65</f>
        <v>18315.880496646249</v>
      </c>
      <c r="Z67" s="380"/>
      <c r="AA67" s="824">
        <f>AA60*$C$65</f>
        <v>19359.03717506348</v>
      </c>
      <c r="AB67" s="380"/>
      <c r="AC67" s="824">
        <f>AC60*$C$65</f>
        <v>20363.116603338829</v>
      </c>
      <c r="AD67" s="380"/>
      <c r="AE67" s="824">
        <f>AE60*$C$65</f>
        <v>21324.859773011762</v>
      </c>
      <c r="AF67" s="380"/>
      <c r="AG67" s="824">
        <f>AG60*$C$65</f>
        <v>22240.84629548114</v>
      </c>
      <c r="AH67" s="380"/>
      <c r="AI67" s="380"/>
    </row>
    <row r="68" spans="1:35">
      <c r="A68" s="401"/>
      <c r="B68" s="401"/>
      <c r="C68" s="399"/>
      <c r="D68" s="374"/>
      <c r="E68" s="401"/>
      <c r="F68" s="374"/>
      <c r="G68" s="824">
        <f>G60*$C$65</f>
        <v>7634.8937499999884</v>
      </c>
      <c r="H68" s="374"/>
      <c r="I68" s="824">
        <f>I60*$C$65</f>
        <v>8906.6538812499493</v>
      </c>
      <c r="J68" s="374"/>
      <c r="K68" s="824">
        <f>K60*$C$65</f>
        <v>10162.4119852187</v>
      </c>
      <c r="L68" s="374"/>
      <c r="M68" s="824">
        <f>M60*$C$65</f>
        <v>11400.093801842042</v>
      </c>
      <c r="N68" s="374"/>
      <c r="O68" s="824">
        <f>O60*$C$65</f>
        <v>12617.51459025935</v>
      </c>
      <c r="P68" s="374"/>
      <c r="Q68" s="824">
        <f>Q60*$C$65</f>
        <v>13812.374314404529</v>
      </c>
      <c r="R68" s="374"/>
      <c r="S68" s="824">
        <f>S60*$C$65</f>
        <v>14982.252636391437</v>
      </c>
      <c r="T68" s="374"/>
      <c r="U68" s="824">
        <f>U60*$C$65</f>
        <v>16124.60371037494</v>
      </c>
      <c r="V68" s="374"/>
      <c r="W68" s="824">
        <f>W60*$C$65</f>
        <v>17236.750769297272</v>
      </c>
      <c r="X68" s="374"/>
      <c r="Y68" s="824">
        <f>Y60*$C$65</f>
        <v>18315.880496646249</v>
      </c>
      <c r="Z68" s="374"/>
      <c r="AA68" s="824">
        <f>AA60*$C$65</f>
        <v>19359.03717506348</v>
      </c>
      <c r="AB68" s="374"/>
      <c r="AC68" s="824">
        <f>AC60*$C$65</f>
        <v>20363.116603338829</v>
      </c>
      <c r="AD68" s="374"/>
      <c r="AE68" s="824">
        <f>AE60*$C$65</f>
        <v>21324.859773011762</v>
      </c>
      <c r="AF68" s="374"/>
      <c r="AG68" s="824">
        <f>AG60*$C$65</f>
        <v>22240.84629548114</v>
      </c>
      <c r="AH68" s="374"/>
      <c r="AI68" s="374"/>
    </row>
    <row r="69" spans="1:35">
      <c r="A69" s="402"/>
      <c r="B69" s="402"/>
      <c r="C69" s="382"/>
      <c r="D69" s="380"/>
      <c r="E69" s="406"/>
      <c r="F69" s="380"/>
      <c r="G69" s="825">
        <f>G60*$C$65</f>
        <v>7634.8937499999884</v>
      </c>
      <c r="H69" s="380"/>
      <c r="I69" s="825">
        <f>I60*$C$65</f>
        <v>8906.6538812499493</v>
      </c>
      <c r="J69" s="380"/>
      <c r="K69" s="825">
        <f>K60*$C$65</f>
        <v>10162.4119852187</v>
      </c>
      <c r="L69" s="380"/>
      <c r="M69" s="825">
        <f>M60*$C$65</f>
        <v>11400.093801842042</v>
      </c>
      <c r="N69" s="380"/>
      <c r="O69" s="825">
        <f>O60*$C$65</f>
        <v>12617.51459025935</v>
      </c>
      <c r="P69" s="380"/>
      <c r="Q69" s="825">
        <f>Q60*$C$65</f>
        <v>13812.374314404529</v>
      </c>
      <c r="R69" s="380"/>
      <c r="S69" s="825">
        <f>S60*$C$65</f>
        <v>14982.252636391437</v>
      </c>
      <c r="T69" s="380"/>
      <c r="U69" s="825">
        <f>U60*$C$65</f>
        <v>16124.60371037494</v>
      </c>
      <c r="V69" s="380"/>
      <c r="W69" s="825">
        <f>W60*$C$65</f>
        <v>17236.750769297272</v>
      </c>
      <c r="X69" s="380"/>
      <c r="Y69" s="825">
        <f>Y60*$C$65</f>
        <v>18315.880496646249</v>
      </c>
      <c r="Z69" s="380"/>
      <c r="AA69" s="825">
        <f>AA60*$C$65</f>
        <v>19359.03717506348</v>
      </c>
      <c r="AB69" s="380"/>
      <c r="AC69" s="825">
        <f>AC60*$C$65</f>
        <v>20363.116603338829</v>
      </c>
      <c r="AD69" s="380"/>
      <c r="AE69" s="825">
        <f>AE60*$C$65</f>
        <v>21324.859773011762</v>
      </c>
      <c r="AF69" s="380"/>
      <c r="AG69" s="825">
        <f>AG60*$C$65</f>
        <v>22240.84629548114</v>
      </c>
      <c r="AH69" s="380"/>
      <c r="AI69" s="380"/>
    </row>
    <row r="70" spans="1:35">
      <c r="A70" s="821" t="s">
        <v>1095</v>
      </c>
      <c r="B70" s="380"/>
      <c r="C70" s="382"/>
      <c r="D70" s="380"/>
      <c r="E70" s="374">
        <f>SUM(E66:E69)</f>
        <v>0</v>
      </c>
      <c r="F70" s="374"/>
      <c r="G70" s="374">
        <f>SUM(G66:G69)</f>
        <v>30539.574999999953</v>
      </c>
      <c r="H70" s="374"/>
      <c r="I70" s="374">
        <f>SUM(I66:I69)</f>
        <v>35626.615524999797</v>
      </c>
      <c r="J70" s="374"/>
      <c r="K70" s="374">
        <f>SUM(K66:K69)</f>
        <v>40649.647940874798</v>
      </c>
      <c r="L70" s="374"/>
      <c r="M70" s="374">
        <f>SUM(M66:M69)</f>
        <v>45600.375207368168</v>
      </c>
      <c r="N70" s="374"/>
      <c r="O70" s="374">
        <f>SUM(O66:O69)</f>
        <v>50470.058361037401</v>
      </c>
      <c r="P70" s="374"/>
      <c r="Q70" s="374">
        <f>SUM(Q66:Q69)</f>
        <v>55249.497257618117</v>
      </c>
      <c r="R70" s="374"/>
      <c r="S70" s="374">
        <f>SUM(S66:S69)</f>
        <v>59929.010545565747</v>
      </c>
      <c r="T70" s="374"/>
      <c r="U70" s="374">
        <f>SUM(U66:U69)</f>
        <v>64498.414841499762</v>
      </c>
      <c r="V70" s="374"/>
      <c r="W70" s="374">
        <f>SUM(W66:W69)</f>
        <v>68947.003077189089</v>
      </c>
      <c r="X70" s="374"/>
      <c r="Y70" s="374">
        <f>SUM(Y66:Y69)</f>
        <v>73263.521986584994</v>
      </c>
      <c r="Z70" s="374"/>
      <c r="AA70" s="374">
        <f>SUM(AA66:AA69)</f>
        <v>77436.148700253922</v>
      </c>
      <c r="AB70" s="374"/>
      <c r="AC70" s="374">
        <f>SUM(AC66:AC69)</f>
        <v>81452.466413355316</v>
      </c>
      <c r="AD70" s="374"/>
      <c r="AE70" s="374">
        <f>SUM(AE66:AE69)</f>
        <v>85299.439092047047</v>
      </c>
      <c r="AF70" s="374"/>
      <c r="AG70" s="374">
        <f>SUM(AG66:AG69)</f>
        <v>88963.385181924561</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25396.40000000014</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6" sqref="E6"/>
    </sheetView>
  </sheetViews>
  <sheetFormatPr defaultColWidth="9.3320312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33203125" style="288"/>
    <col min="16384" max="16384" width="0.441406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34</v>
      </c>
      <c r="C4" s="602">
        <f>Application!$O695</f>
        <v>662</v>
      </c>
      <c r="D4" s="603"/>
      <c r="E4" s="942">
        <v>1840</v>
      </c>
      <c r="F4" s="602">
        <f>$E4*$B4</f>
        <v>62560</v>
      </c>
      <c r="G4" s="603"/>
      <c r="H4" s="602">
        <f>IF($E4=0,0,MAX($E4-$C4,0))</f>
        <v>1178</v>
      </c>
      <c r="I4" s="602">
        <f>IF($H4=0,0,($H4*$B4))</f>
        <v>40052</v>
      </c>
    </row>
    <row r="5" spans="1:9">
      <c r="A5" s="602" t="str">
        <f>Application!$B696</f>
        <v>1 Bedroom</v>
      </c>
      <c r="B5" s="943">
        <f>Application!$G696</f>
        <v>12</v>
      </c>
      <c r="C5" s="602">
        <f>Application!$O696</f>
        <v>709</v>
      </c>
      <c r="D5" s="603"/>
      <c r="E5" s="942">
        <v>2096</v>
      </c>
      <c r="F5" s="602">
        <f t="shared" ref="F5:F38" si="0">$E5*$B5</f>
        <v>25152</v>
      </c>
      <c r="G5" s="603"/>
      <c r="H5" s="602">
        <f t="shared" ref="H5:H38" si="1">IF($E5=0,0,MAX($E5-$C5,0))</f>
        <v>1387</v>
      </c>
      <c r="I5" s="602">
        <f t="shared" ref="I5:I38" si="2">IF($H5=0,0,($H5*$B5))</f>
        <v>16644</v>
      </c>
    </row>
    <row r="6" spans="1:9">
      <c r="A6" s="602">
        <f>Application!$B697</f>
        <v>0</v>
      </c>
      <c r="B6" s="943">
        <f>Application!$G697</f>
        <v>0</v>
      </c>
      <c r="C6" s="602">
        <f>Application!$O697</f>
        <v>0</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372192</v>
      </c>
      <c r="D40" s="603"/>
      <c r="E40" s="603"/>
      <c r="F40" s="606">
        <f>SUM(F4:F38)*12</f>
        <v>1052544</v>
      </c>
      <c r="G40" s="607"/>
      <c r="H40" s="605"/>
      <c r="I40" s="606">
        <f>SUM(I4:I38)*12</f>
        <v>680352</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33203125" defaultRowHeight="13.2"/>
  <cols>
    <col min="1" max="16384" width="9.332031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10" t="s">
        <v>1100</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2"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653</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3.2"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2"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2"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2" customHeight="1">
      <c r="B11" s="1104" t="s">
        <v>509</v>
      </c>
      <c r="C11" s="1105"/>
      <c r="D11" s="1105"/>
      <c r="E11" s="1105"/>
      <c r="F11" s="1105"/>
      <c r="G11" s="1105"/>
      <c r="H11" s="1105"/>
      <c r="I11" s="1105"/>
      <c r="J11" s="1105"/>
      <c r="K11" s="1105"/>
      <c r="L11" s="1105"/>
      <c r="M11" s="1105"/>
      <c r="N11" s="1105"/>
      <c r="O11" s="1105"/>
      <c r="P11" s="1105"/>
      <c r="Q11" s="1105"/>
      <c r="R11" s="1105"/>
      <c r="S11" s="1107"/>
      <c r="T11" s="1628">
        <f>IF('Sources and Basis Breakdown'!F105=0,'Sources and Basis Breakdown'!E105,'Sources and Basis Breakdown'!F105)</f>
        <v>29366284</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2"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2"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3.2" customHeight="1">
      <c r="B14" s="8"/>
      <c r="C14" s="1625" t="s">
        <v>768</v>
      </c>
      <c r="D14" s="1625"/>
      <c r="E14" s="1625"/>
      <c r="F14" s="1625"/>
      <c r="G14" s="1625"/>
      <c r="H14" s="1625"/>
      <c r="I14" s="1625"/>
      <c r="J14" s="1625"/>
      <c r="K14" s="1625"/>
      <c r="L14" s="1625"/>
      <c r="M14" s="1625"/>
      <c r="N14" s="1625"/>
      <c r="O14" s="1625"/>
      <c r="P14" s="1625"/>
      <c r="Q14" s="1625"/>
      <c r="R14" s="1625"/>
      <c r="S14" s="1626"/>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2" customHeight="1">
      <c r="B15" s="8"/>
      <c r="C15" s="1625" t="s">
        <v>769</v>
      </c>
      <c r="D15" s="1625"/>
      <c r="E15" s="1625"/>
      <c r="F15" s="1625"/>
      <c r="G15" s="1625"/>
      <c r="H15" s="1625"/>
      <c r="I15" s="1625"/>
      <c r="J15" s="1625"/>
      <c r="K15" s="1625"/>
      <c r="L15" s="1625"/>
      <c r="M15" s="1625"/>
      <c r="N15" s="1625"/>
      <c r="O15" s="1625"/>
      <c r="P15" s="1625"/>
      <c r="Q15" s="1625"/>
      <c r="R15" s="1625"/>
      <c r="S15" s="1626"/>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2" customHeight="1">
      <c r="B16" s="8"/>
      <c r="C16" s="1624" t="s">
        <v>1012</v>
      </c>
      <c r="D16" s="1624"/>
      <c r="E16" s="1624"/>
      <c r="F16" s="1624"/>
      <c r="G16" s="1624"/>
      <c r="H16" s="1624"/>
      <c r="I16" s="1624"/>
      <c r="J16" s="1624"/>
      <c r="K16" s="1624"/>
      <c r="L16" s="1624"/>
      <c r="M16" s="1624"/>
      <c r="N16" s="1624"/>
      <c r="O16" s="1624"/>
      <c r="P16" s="1624"/>
      <c r="Q16" s="1624"/>
      <c r="R16" s="1624"/>
      <c r="S16" s="1627"/>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2" customHeight="1">
      <c r="B17" s="8"/>
      <c r="C17" s="1625" t="s">
        <v>770</v>
      </c>
      <c r="D17" s="1625"/>
      <c r="E17" s="1625"/>
      <c r="F17" s="1625"/>
      <c r="G17" s="1625"/>
      <c r="H17" s="1625"/>
      <c r="I17" s="1625"/>
      <c r="J17" s="1625"/>
      <c r="K17" s="1625"/>
      <c r="L17" s="1625"/>
      <c r="M17" s="1625"/>
      <c r="N17" s="1625"/>
      <c r="O17" s="1625"/>
      <c r="P17" s="1625"/>
      <c r="Q17" s="1625"/>
      <c r="R17" s="1625"/>
      <c r="S17" s="1626"/>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2" customHeight="1">
      <c r="B18" s="593"/>
      <c r="C18" s="1624" t="s">
        <v>1364</v>
      </c>
      <c r="D18" s="1625"/>
      <c r="E18" s="1625"/>
      <c r="F18" s="1625"/>
      <c r="G18" s="1625"/>
      <c r="H18" s="1625"/>
      <c r="I18" s="1625"/>
      <c r="J18" s="1625"/>
      <c r="K18" s="1625"/>
      <c r="L18" s="1625"/>
      <c r="M18" s="1625"/>
      <c r="N18" s="1625"/>
      <c r="O18" s="1625"/>
      <c r="P18" s="1625"/>
      <c r="Q18" s="1625"/>
      <c r="R18" s="1625"/>
      <c r="S18" s="1626"/>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2"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2" customHeight="1">
      <c r="B20" s="1104" t="s">
        <v>771</v>
      </c>
      <c r="C20" s="1105"/>
      <c r="D20" s="1105"/>
      <c r="E20" s="1105"/>
      <c r="F20" s="1105"/>
      <c r="G20" s="1105"/>
      <c r="H20" s="1105"/>
      <c r="I20" s="1105"/>
      <c r="J20" s="1105"/>
      <c r="K20" s="1105"/>
      <c r="L20" s="1105"/>
      <c r="M20" s="1105"/>
      <c r="N20" s="1105"/>
      <c r="O20" s="1105"/>
      <c r="P20" s="1105"/>
      <c r="Q20" s="1105"/>
      <c r="R20" s="1105"/>
      <c r="S20" s="1107"/>
      <c r="T20" s="1595">
        <f>SUM(T13:X19)</f>
        <v>0</v>
      </c>
      <c r="U20" s="1296"/>
      <c r="V20" s="1296"/>
      <c r="W20" s="1296"/>
      <c r="X20" s="1296"/>
      <c r="Y20" s="1595">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2" customHeight="1">
      <c r="B21" s="1104" t="s">
        <v>1712</v>
      </c>
      <c r="C21" s="1105"/>
      <c r="D21" s="1105"/>
      <c r="E21" s="1105"/>
      <c r="F21" s="1105"/>
      <c r="G21" s="1105"/>
      <c r="H21" s="1105"/>
      <c r="I21" s="1105"/>
      <c r="J21" s="1105"/>
      <c r="K21" s="1105"/>
      <c r="L21" s="1105"/>
      <c r="M21" s="1105"/>
      <c r="N21" s="1105"/>
      <c r="O21" s="1105"/>
      <c r="P21" s="1105"/>
      <c r="Q21" s="1105"/>
      <c r="R21" s="1105"/>
      <c r="S21" s="1107"/>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9057643</v>
      </c>
      <c r="AJ21" s="1182"/>
      <c r="AK21" s="1182"/>
      <c r="AL21" s="1182"/>
      <c r="AM21" s="1182"/>
    </row>
    <row r="22" spans="1:39" ht="13.2" customHeight="1">
      <c r="B22" s="1104" t="s">
        <v>772</v>
      </c>
      <c r="C22" s="1105"/>
      <c r="D22" s="1105"/>
      <c r="E22" s="1105"/>
      <c r="F22" s="1105"/>
      <c r="G22" s="1105"/>
      <c r="H22" s="1105"/>
      <c r="I22" s="1105"/>
      <c r="J22" s="1105"/>
      <c r="K22" s="1105"/>
      <c r="L22" s="1105"/>
      <c r="M22" s="1105"/>
      <c r="N22" s="1105"/>
      <c r="O22" s="1105"/>
      <c r="P22" s="1105"/>
      <c r="Q22" s="1105"/>
      <c r="R22" s="1105"/>
      <c r="S22" s="1107"/>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-9057643</v>
      </c>
      <c r="AJ22" s="1630"/>
      <c r="AK22" s="1630"/>
      <c r="AL22" s="1630"/>
      <c r="AM22" s="1630"/>
    </row>
    <row r="23" spans="1:39" ht="13.2" customHeight="1">
      <c r="B23" s="1104" t="s">
        <v>773</v>
      </c>
      <c r="C23" s="1105"/>
      <c r="D23" s="1105"/>
      <c r="E23" s="1105"/>
      <c r="F23" s="1105"/>
      <c r="G23" s="1105"/>
      <c r="H23" s="1105"/>
      <c r="I23" s="1105"/>
      <c r="J23" s="1105"/>
      <c r="K23" s="1105"/>
      <c r="L23" s="1105"/>
      <c r="M23" s="1105"/>
      <c r="N23" s="1105"/>
      <c r="O23" s="1105"/>
      <c r="P23" s="1105"/>
      <c r="Q23" s="1105"/>
      <c r="R23" s="1105"/>
      <c r="S23" s="1107"/>
      <c r="T23" s="1595">
        <f>T11+T22</f>
        <v>29366284</v>
      </c>
      <c r="U23" s="1296"/>
      <c r="V23" s="1296"/>
      <c r="W23" s="1296"/>
      <c r="X23" s="1296"/>
      <c r="Y23" s="1595">
        <f>Y11+Y22</f>
        <v>0</v>
      </c>
      <c r="Z23" s="1296"/>
      <c r="AA23" s="1296"/>
      <c r="AB23" s="1296"/>
      <c r="AC23" s="1296"/>
      <c r="AD23" s="1595">
        <f>AD11+AD22</f>
        <v>0</v>
      </c>
      <c r="AE23" s="1296"/>
      <c r="AF23" s="1296"/>
      <c r="AG23" s="1296"/>
      <c r="AH23" s="1296"/>
      <c r="AI23" s="1595">
        <f>AI11+AI22</f>
        <v>-9057643</v>
      </c>
      <c r="AJ23" s="1296"/>
      <c r="AK23" s="1296"/>
      <c r="AL23" s="1296"/>
      <c r="AM23" s="1296"/>
    </row>
    <row r="24" spans="1:39" ht="13.2" customHeight="1">
      <c r="B24" s="1104" t="s">
        <v>1218</v>
      </c>
      <c r="C24" s="1105"/>
      <c r="D24" s="1105"/>
      <c r="E24" s="1105"/>
      <c r="F24" s="1105"/>
      <c r="G24" s="1105"/>
      <c r="H24" s="1105"/>
      <c r="I24" s="1105"/>
      <c r="J24" s="1105"/>
      <c r="K24" s="1105"/>
      <c r="L24" s="1105"/>
      <c r="M24" s="1105"/>
      <c r="N24" s="1105"/>
      <c r="O24" s="1105"/>
      <c r="P24" s="1105"/>
      <c r="Q24" s="1105"/>
      <c r="R24" s="1105"/>
      <c r="S24" s="1107"/>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2"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5"/>
      <c r="Y25" s="1631">
        <v>1</v>
      </c>
      <c r="Z25" s="1632"/>
      <c r="AA25" s="1632"/>
      <c r="AB25" s="1632"/>
      <c r="AC25" s="1635"/>
      <c r="AD25" s="1631">
        <v>1</v>
      </c>
      <c r="AE25" s="1632"/>
      <c r="AF25" s="1632"/>
      <c r="AG25" s="1632"/>
      <c r="AH25" s="1635"/>
      <c r="AI25" s="1631">
        <v>1</v>
      </c>
      <c r="AJ25" s="1632"/>
      <c r="AK25" s="1632"/>
      <c r="AL25" s="1632"/>
      <c r="AM25" s="1635"/>
    </row>
    <row r="26" spans="1:39" ht="13.2" customHeight="1">
      <c r="B26" s="1104" t="s">
        <v>774</v>
      </c>
      <c r="C26" s="1105"/>
      <c r="D26" s="1105"/>
      <c r="E26" s="1105"/>
      <c r="F26" s="1105"/>
      <c r="G26" s="1105"/>
      <c r="H26" s="1105"/>
      <c r="I26" s="1105"/>
      <c r="J26" s="1105"/>
      <c r="K26" s="1105"/>
      <c r="L26" s="1105"/>
      <c r="M26" s="1105"/>
      <c r="N26" s="1105"/>
      <c r="O26" s="1105"/>
      <c r="P26" s="1105"/>
      <c r="Q26" s="1105"/>
      <c r="R26" s="1105"/>
      <c r="S26" s="1107"/>
      <c r="T26" s="1093">
        <f>T23*T25</f>
        <v>29366284</v>
      </c>
      <c r="U26" s="1607"/>
      <c r="V26" s="1607"/>
      <c r="W26" s="1607"/>
      <c r="X26" s="1607"/>
      <c r="Y26" s="1093">
        <f>Y23*Y25</f>
        <v>0</v>
      </c>
      <c r="Z26" s="1607"/>
      <c r="AA26" s="1607"/>
      <c r="AB26" s="1607"/>
      <c r="AC26" s="1607"/>
      <c r="AD26" s="1093">
        <f>AD23*AD25</f>
        <v>0</v>
      </c>
      <c r="AE26" s="1607"/>
      <c r="AF26" s="1607"/>
      <c r="AG26" s="1607"/>
      <c r="AH26" s="1607"/>
      <c r="AI26" s="1093">
        <f>AI23*AI25</f>
        <v>-9057643</v>
      </c>
      <c r="AJ26" s="1607"/>
      <c r="AK26" s="1607"/>
      <c r="AL26" s="1607"/>
      <c r="AM26" s="1607"/>
    </row>
    <row r="27" spans="1:39" ht="13.2"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2"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3">
        <f>IF(ISERROR((T26*T27)),0,(T26*T27))</f>
        <v>29366284</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-9057643</v>
      </c>
      <c r="AJ28" s="1607"/>
      <c r="AK28" s="1607"/>
      <c r="AL28" s="1607"/>
      <c r="AM28" s="1607"/>
    </row>
    <row r="29" spans="1:39" ht="13.2" customHeight="1">
      <c r="B29" s="1104" t="s">
        <v>623</v>
      </c>
      <c r="C29" s="1105"/>
      <c r="D29" s="1105"/>
      <c r="E29" s="1105"/>
      <c r="F29" s="1105"/>
      <c r="G29" s="1105"/>
      <c r="H29" s="1105"/>
      <c r="I29" s="1105"/>
      <c r="J29" s="1105"/>
      <c r="K29" s="1105"/>
      <c r="L29" s="1105"/>
      <c r="M29" s="1105"/>
      <c r="N29" s="1105"/>
      <c r="O29" s="1105"/>
      <c r="P29" s="1105"/>
      <c r="Q29" s="1105"/>
      <c r="R29" s="1105"/>
      <c r="S29" s="1107"/>
      <c r="T29" s="1596">
        <f>T28+Y28+AD28+AI28</f>
        <v>20308641</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2"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7" t="s">
        <v>41</v>
      </c>
      <c r="AE35" s="1227"/>
      <c r="AF35" s="1227"/>
      <c r="AG35" s="1227"/>
      <c r="AH35" s="1227"/>
    </row>
    <row r="36" spans="1:40" ht="13.2" customHeight="1">
      <c r="B36" s="204"/>
      <c r="X36" s="71"/>
      <c r="Y36" s="1598"/>
      <c r="Z36" s="1598"/>
      <c r="AA36" s="1598"/>
      <c r="AB36" s="1598"/>
      <c r="AC36" s="1598"/>
      <c r="AD36" s="1227"/>
      <c r="AE36" s="1227"/>
      <c r="AF36" s="1227"/>
      <c r="AG36" s="1227"/>
      <c r="AH36" s="1227"/>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7"/>
      <c r="AE37" s="1227"/>
      <c r="AF37" s="1227"/>
      <c r="AG37" s="1227"/>
      <c r="AH37" s="1227"/>
    </row>
    <row r="38" spans="1:40" ht="13.2"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3.2"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1">
        <v>0.09</v>
      </c>
      <c r="Z39" s="1961"/>
      <c r="AA39" s="1961"/>
      <c r="AB39" s="1961"/>
      <c r="AC39" s="1961"/>
      <c r="AD39" s="1594">
        <v>0.04</v>
      </c>
      <c r="AE39" s="1594"/>
      <c r="AF39" s="1594"/>
      <c r="AG39" s="1594"/>
      <c r="AH39" s="1594"/>
    </row>
    <row r="40" spans="1:40" ht="13.2"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5">
        <f>ROUND(AD38*AD39,0)</f>
        <v>0</v>
      </c>
      <c r="AE40" s="1296"/>
      <c r="AF40" s="1296"/>
      <c r="AG40" s="1296"/>
      <c r="AH40" s="1296"/>
    </row>
    <row r="41" spans="1:40" ht="13.2"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6">
        <f>IF((Y40+AD40)&gt;2500000,2500000,Y40+AD40)</f>
        <v>0</v>
      </c>
      <c r="Z41" s="1597"/>
      <c r="AA41" s="1597"/>
      <c r="AB41" s="1597"/>
      <c r="AC41" s="1597"/>
      <c r="AD41" s="1597"/>
      <c r="AE41" s="1597"/>
      <c r="AF41" s="1597"/>
      <c r="AG41" s="1597"/>
      <c r="AH41" s="1595"/>
    </row>
    <row r="42" spans="1:40" ht="13.2"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228">
        <f>'Sources and Uses Budget'!B104-'Sources and Uses Budget'!$B$15</f>
        <v>35101874</v>
      </c>
      <c r="AC46" s="1229"/>
      <c r="AD46" s="1229"/>
      <c r="AE46" s="1229"/>
      <c r="AF46" s="1230"/>
    </row>
    <row r="47" spans="1:40" ht="13.2" customHeight="1">
      <c r="D47" s="3" t="s">
        <v>837</v>
      </c>
      <c r="AB47" s="1228">
        <f>Application!AG633-MIN('Sources and Uses Budget'!B15,Application!AG385)</f>
        <v>0</v>
      </c>
      <c r="AC47" s="1229"/>
      <c r="AD47" s="1229"/>
      <c r="AE47" s="1229"/>
      <c r="AF47" s="1230"/>
    </row>
    <row r="48" spans="1:40" ht="13.2" customHeight="1">
      <c r="D48" s="3" t="s">
        <v>379</v>
      </c>
      <c r="AB48" s="1228">
        <f>AB46-AB47</f>
        <v>35101874</v>
      </c>
      <c r="AC48" s="1229"/>
      <c r="AD48" s="1229"/>
      <c r="AE48" s="1229"/>
      <c r="AF48" s="1230"/>
    </row>
    <row r="49" spans="1:40" ht="13.2" customHeight="1">
      <c r="D49" s="3" t="s">
        <v>872</v>
      </c>
      <c r="AA49" s="34"/>
      <c r="AB49" s="1601"/>
      <c r="AC49" s="1602"/>
      <c r="AD49" s="1602"/>
      <c r="AE49" s="1602"/>
      <c r="AF49" s="1603"/>
    </row>
    <row r="50" spans="1:40" s="323" customFormat="1" ht="13.2"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2"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28">
        <f>ROUND(IF(ISERROR((AB48/AB49)),0,(AB48/AB49)),0)</f>
        <v>0</v>
      </c>
      <c r="AC53" s="1229"/>
      <c r="AD53" s="1229"/>
      <c r="AE53" s="1229"/>
      <c r="AF53" s="1230"/>
    </row>
    <row r="54" spans="1:40" ht="13.2" customHeight="1">
      <c r="D54" s="3" t="s">
        <v>561</v>
      </c>
      <c r="AB54" s="1228">
        <f>(AB53/10)</f>
        <v>0</v>
      </c>
      <c r="AC54" s="1229"/>
      <c r="AD54" s="1229"/>
      <c r="AE54" s="1229"/>
      <c r="AF54" s="1230"/>
    </row>
    <row r="55" spans="1:40" ht="13.2" customHeight="1">
      <c r="D55" s="3" t="s">
        <v>342</v>
      </c>
      <c r="AB55" s="1228">
        <f>(IF((Y41&lt;AB54),Y41,AB54))</f>
        <v>0</v>
      </c>
      <c r="AC55" s="1229"/>
      <c r="AD55" s="1229"/>
      <c r="AE55" s="1229"/>
      <c r="AF55" s="1230"/>
    </row>
    <row r="56" spans="1:40" ht="13.2" customHeight="1">
      <c r="D56" s="3" t="s">
        <v>107</v>
      </c>
      <c r="AB56" s="1228">
        <f>ROUND((10*AB55*AB49),0)</f>
        <v>0</v>
      </c>
      <c r="AC56" s="1229"/>
      <c r="AD56" s="1229"/>
      <c r="AE56" s="1229"/>
      <c r="AF56" s="1230"/>
    </row>
    <row r="57" spans="1:40" ht="13.2" customHeight="1">
      <c r="D57" s="3"/>
      <c r="AB57" s="276"/>
      <c r="AC57" s="276"/>
      <c r="AD57" s="276"/>
      <c r="AE57" s="276"/>
      <c r="AF57" s="276"/>
    </row>
    <row r="58" spans="1:40" ht="13.2" customHeight="1">
      <c r="D58" s="3" t="s">
        <v>106</v>
      </c>
      <c r="AB58" s="1300">
        <f>AB48-AB56</f>
        <v>35101874</v>
      </c>
      <c r="AC58" s="1300"/>
      <c r="AD58" s="1300"/>
      <c r="AE58" s="1300"/>
      <c r="AF58" s="1300"/>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2"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2" customHeight="1">
      <c r="A62" s="3" t="s">
        <v>122</v>
      </c>
      <c r="C62" s="3" t="s">
        <v>510</v>
      </c>
      <c r="Y62" s="1545" t="s">
        <v>298</v>
      </c>
      <c r="Z62" s="1545"/>
      <c r="AA62" s="1545"/>
      <c r="AB62" s="1545"/>
      <c r="AC62" s="1545"/>
      <c r="AD62" s="1545" t="s">
        <v>41</v>
      </c>
      <c r="AE62" s="1545"/>
      <c r="AF62" s="1545"/>
      <c r="AG62" s="1545"/>
      <c r="AH62" s="1545"/>
    </row>
    <row r="63" spans="1:40" ht="13.2"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4"/>
      <c r="AA63" s="1604"/>
      <c r="AB63" s="1604"/>
      <c r="AC63" s="1604"/>
      <c r="AD63" s="1296">
        <f>AI28</f>
        <v>-9057643</v>
      </c>
      <c r="AE63" s="1604"/>
      <c r="AF63" s="1604"/>
      <c r="AG63" s="1604"/>
      <c r="AH63" s="1604"/>
    </row>
    <row r="64" spans="1:40" ht="13.2"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2" customHeight="1">
      <c r="C67" s="3"/>
      <c r="D67" s="3" t="s">
        <v>941</v>
      </c>
      <c r="Y67" s="1296">
        <f>ROUND(Y63*Y66,0)</f>
        <v>0</v>
      </c>
      <c r="Z67" s="1604"/>
      <c r="AA67" s="1604"/>
      <c r="AB67" s="1604"/>
      <c r="AC67" s="1604"/>
      <c r="AD67" s="1296" t="str">
        <f>IF(OR(Application!D211="At-Risk",Application!D211="At-Risk/Located in Rural Census Tract",Application!D214="At-Risk"),ROUND(AD63*AD66,0),"$0")</f>
        <v>$0</v>
      </c>
      <c r="AE67" s="1296"/>
      <c r="AF67" s="1296"/>
      <c r="AG67" s="1296"/>
      <c r="AH67" s="1296"/>
    </row>
    <row r="68" spans="1:34" ht="13.2" customHeight="1">
      <c r="C68" s="3"/>
      <c r="E68" s="3"/>
      <c r="AB68" s="2"/>
      <c r="AC68" s="2"/>
      <c r="AD68" s="2"/>
      <c r="AE68" s="2"/>
      <c r="AF68" s="2"/>
    </row>
    <row r="69" spans="1:34" ht="13.2" customHeight="1">
      <c r="A69" s="3" t="s">
        <v>123</v>
      </c>
      <c r="C69" s="3" t="s">
        <v>255</v>
      </c>
    </row>
    <row r="70" spans="1:34" ht="13.2" customHeight="1">
      <c r="A70" s="3"/>
      <c r="C70" s="3"/>
      <c r="D70" s="3" t="s">
        <v>873</v>
      </c>
      <c r="AB70" s="1601"/>
      <c r="AC70" s="1602"/>
      <c r="AD70" s="1602"/>
      <c r="AE70" s="1602"/>
      <c r="AF70" s="1603"/>
    </row>
    <row r="71" spans="1:34" ht="13.2"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2"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2"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7">
        <f>ROUND(IF(ISERROR((AB58/AB70)),0,(AB58/AB70)),0)</f>
        <v>0</v>
      </c>
      <c r="AC75" s="1277"/>
      <c r="AD75" s="1277"/>
      <c r="AE75" s="1277"/>
      <c r="AF75" s="1277"/>
    </row>
    <row r="76" spans="1:34" ht="13.2" customHeight="1">
      <c r="C76" s="3"/>
      <c r="D76" s="3" t="s">
        <v>105</v>
      </c>
      <c r="AB76" s="1177">
        <f>IF((Y67+AD67&lt;AB75),Y67+AD67,AB75)</f>
        <v>0</v>
      </c>
      <c r="AC76" s="1178"/>
      <c r="AD76" s="1178"/>
      <c r="AE76" s="1178"/>
      <c r="AF76" s="1179"/>
    </row>
    <row r="77" spans="1:34" ht="13.2" customHeight="1">
      <c r="C77" s="3"/>
      <c r="D77" s="3" t="s">
        <v>942</v>
      </c>
      <c r="AB77" s="1599">
        <f>AB76*AB70</f>
        <v>0</v>
      </c>
      <c r="AC77" s="1599"/>
      <c r="AD77" s="1599"/>
      <c r="AE77" s="1599"/>
      <c r="AF77" s="1599"/>
    </row>
    <row r="78" spans="1:34" ht="13.2" customHeight="1">
      <c r="C78" s="3"/>
      <c r="D78" s="3"/>
      <c r="AB78" s="598"/>
      <c r="AC78" s="598"/>
      <c r="AD78" s="598"/>
      <c r="AE78" s="598"/>
      <c r="AF78" s="598"/>
    </row>
    <row r="79" spans="1:34" ht="13.2" customHeight="1">
      <c r="D79" s="3" t="s">
        <v>106</v>
      </c>
      <c r="AB79" s="1300">
        <f>AB48-(AB56+AB77)</f>
        <v>35101874</v>
      </c>
      <c r="AC79" s="1300"/>
      <c r="AD79" s="1300"/>
      <c r="AE79" s="1300"/>
      <c r="AF79" s="1300"/>
    </row>
    <row r="80" spans="1:34" ht="13.2" customHeight="1">
      <c r="F80" s="16"/>
      <c r="J80" s="16" t="str">
        <f>IF(AB79&gt;0,"FUNDING GAP MUST NOT EXCEED ZERO","")</f>
        <v>FUNDING GAP MUST NOT EXCEED ZERO</v>
      </c>
    </row>
    <row r="81" spans="4:4" ht="13.2"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10" t="s">
        <v>1354</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2"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653</v>
      </c>
      <c r="C5" s="3" t="s">
        <v>206</v>
      </c>
      <c r="F5" s="3"/>
    </row>
    <row r="6" spans="1:40" ht="13.2" customHeight="1">
      <c r="B6" s="90"/>
    </row>
    <row r="7" spans="1:40" ht="13.2"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3.2"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2"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2" customHeight="1">
      <c r="B11" s="1104" t="s">
        <v>509</v>
      </c>
      <c r="C11" s="1105"/>
      <c r="D11" s="1105"/>
      <c r="E11" s="1105"/>
      <c r="F11" s="1105"/>
      <c r="G11" s="1105"/>
      <c r="H11" s="1105"/>
      <c r="I11" s="1105"/>
      <c r="J11" s="1105"/>
      <c r="K11" s="1105"/>
      <c r="L11" s="1105"/>
      <c r="M11" s="1105"/>
      <c r="N11" s="1105"/>
      <c r="O11" s="1105"/>
      <c r="P11" s="1105"/>
      <c r="Q11" s="1105"/>
      <c r="R11" s="1105"/>
      <c r="S11" s="1107"/>
      <c r="T11" s="1628">
        <f>IF('Sources and Basis Breakdown'!F105=0,'Sources and Basis Breakdown'!E105,'Sources and Basis Breakdown'!F105)</f>
        <v>29366284</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2"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2"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3.2" customHeight="1">
      <c r="B14" s="8"/>
      <c r="C14" s="1625" t="s">
        <v>768</v>
      </c>
      <c r="D14" s="1625"/>
      <c r="E14" s="1625"/>
      <c r="F14" s="1625"/>
      <c r="G14" s="1625"/>
      <c r="H14" s="1625"/>
      <c r="I14" s="1625"/>
      <c r="J14" s="1625"/>
      <c r="K14" s="1625"/>
      <c r="L14" s="1625"/>
      <c r="M14" s="1625"/>
      <c r="N14" s="1625"/>
      <c r="O14" s="1625"/>
      <c r="P14" s="1625"/>
      <c r="Q14" s="1625"/>
      <c r="R14" s="1625"/>
      <c r="S14" s="1626"/>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3.2" customHeight="1">
      <c r="B15" s="8"/>
      <c r="C15" s="1625" t="s">
        <v>769</v>
      </c>
      <c r="D15" s="1625"/>
      <c r="E15" s="1625"/>
      <c r="F15" s="1625"/>
      <c r="G15" s="1625"/>
      <c r="H15" s="1625"/>
      <c r="I15" s="1625"/>
      <c r="J15" s="1625"/>
      <c r="K15" s="1625"/>
      <c r="L15" s="1625"/>
      <c r="M15" s="1625"/>
      <c r="N15" s="1625"/>
      <c r="O15" s="1625"/>
      <c r="P15" s="1625"/>
      <c r="Q15" s="1625"/>
      <c r="R15" s="1625"/>
      <c r="S15" s="1626"/>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3.2" customHeight="1">
      <c r="B16" s="8"/>
      <c r="C16" s="1624" t="s">
        <v>1012</v>
      </c>
      <c r="D16" s="1624"/>
      <c r="E16" s="1624"/>
      <c r="F16" s="1624"/>
      <c r="G16" s="1624"/>
      <c r="H16" s="1624"/>
      <c r="I16" s="1624"/>
      <c r="J16" s="1624"/>
      <c r="K16" s="1624"/>
      <c r="L16" s="1624"/>
      <c r="M16" s="1624"/>
      <c r="N16" s="1624"/>
      <c r="O16" s="1624"/>
      <c r="P16" s="1624"/>
      <c r="Q16" s="1624"/>
      <c r="R16" s="1624"/>
      <c r="S16" s="1627"/>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3.2" customHeight="1">
      <c r="B17" s="8"/>
      <c r="C17" s="1625" t="s">
        <v>770</v>
      </c>
      <c r="D17" s="1625"/>
      <c r="E17" s="1625"/>
      <c r="F17" s="1625"/>
      <c r="G17" s="1625"/>
      <c r="H17" s="1625"/>
      <c r="I17" s="1625"/>
      <c r="J17" s="1625"/>
      <c r="K17" s="1625"/>
      <c r="L17" s="1625"/>
      <c r="M17" s="1625"/>
      <c r="N17" s="1625"/>
      <c r="O17" s="1625"/>
      <c r="P17" s="1625"/>
      <c r="Q17" s="1625"/>
      <c r="R17" s="1625"/>
      <c r="S17" s="1626"/>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3.2" customHeight="1">
      <c r="B18" s="593"/>
      <c r="C18" s="1624" t="s">
        <v>1364</v>
      </c>
      <c r="D18" s="1625"/>
      <c r="E18" s="1625"/>
      <c r="F18" s="1625"/>
      <c r="G18" s="1625"/>
      <c r="H18" s="1625"/>
      <c r="I18" s="1625"/>
      <c r="J18" s="1625"/>
      <c r="K18" s="1625"/>
      <c r="L18" s="1625"/>
      <c r="M18" s="1625"/>
      <c r="N18" s="1625"/>
      <c r="O18" s="1625"/>
      <c r="P18" s="1625"/>
      <c r="Q18" s="1625"/>
      <c r="R18" s="1625"/>
      <c r="S18" s="1626"/>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3.2"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3.2" customHeight="1">
      <c r="B20" s="1104" t="s">
        <v>771</v>
      </c>
      <c r="C20" s="1105"/>
      <c r="D20" s="1105"/>
      <c r="E20" s="1105"/>
      <c r="F20" s="1105"/>
      <c r="G20" s="1105"/>
      <c r="H20" s="1105"/>
      <c r="I20" s="1105"/>
      <c r="J20" s="1105"/>
      <c r="K20" s="1105"/>
      <c r="L20" s="1105"/>
      <c r="M20" s="1105"/>
      <c r="N20" s="1105"/>
      <c r="O20" s="1105"/>
      <c r="P20" s="1105"/>
      <c r="Q20" s="1105"/>
      <c r="R20" s="1105"/>
      <c r="S20" s="1107"/>
      <c r="T20" s="1595">
        <f>SUM(T13:X19)</f>
        <v>0</v>
      </c>
      <c r="U20" s="1296"/>
      <c r="V20" s="1296"/>
      <c r="W20" s="1296"/>
      <c r="X20" s="1296"/>
      <c r="Y20" s="1595">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2" customHeight="1">
      <c r="B21" s="1104" t="s">
        <v>1712</v>
      </c>
      <c r="C21" s="1105"/>
      <c r="D21" s="1105"/>
      <c r="E21" s="1105"/>
      <c r="F21" s="1105"/>
      <c r="G21" s="1105"/>
      <c r="H21" s="1105"/>
      <c r="I21" s="1105"/>
      <c r="J21" s="1105"/>
      <c r="K21" s="1105"/>
      <c r="L21" s="1105"/>
      <c r="M21" s="1105"/>
      <c r="N21" s="1105"/>
      <c r="O21" s="1105"/>
      <c r="P21" s="1105"/>
      <c r="Q21" s="1105"/>
      <c r="R21" s="1105"/>
      <c r="S21" s="1107"/>
      <c r="T21" s="1167">
        <f>'Basis &amp; Credits'!T21</f>
        <v>9057643</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3.2" customHeight="1">
      <c r="B22" s="1104" t="s">
        <v>772</v>
      </c>
      <c r="C22" s="1105"/>
      <c r="D22" s="1105"/>
      <c r="E22" s="1105"/>
      <c r="F22" s="1105"/>
      <c r="G22" s="1105"/>
      <c r="H22" s="1105"/>
      <c r="I22" s="1105"/>
      <c r="J22" s="1105"/>
      <c r="K22" s="1105"/>
      <c r="L22" s="1105"/>
      <c r="M22" s="1105"/>
      <c r="N22" s="1105"/>
      <c r="O22" s="1105"/>
      <c r="P22" s="1105"/>
      <c r="Q22" s="1105"/>
      <c r="R22" s="1105"/>
      <c r="S22" s="1107"/>
      <c r="T22" s="1629">
        <f>(T20+T21)*-1</f>
        <v>-9057643</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3.2" customHeight="1">
      <c r="B23" s="1104" t="s">
        <v>773</v>
      </c>
      <c r="C23" s="1105"/>
      <c r="D23" s="1105"/>
      <c r="E23" s="1105"/>
      <c r="F23" s="1105"/>
      <c r="G23" s="1105"/>
      <c r="H23" s="1105"/>
      <c r="I23" s="1105"/>
      <c r="J23" s="1105"/>
      <c r="K23" s="1105"/>
      <c r="L23" s="1105"/>
      <c r="M23" s="1105"/>
      <c r="N23" s="1105"/>
      <c r="O23" s="1105"/>
      <c r="P23" s="1105"/>
      <c r="Q23" s="1105"/>
      <c r="R23" s="1105"/>
      <c r="S23" s="1107"/>
      <c r="T23" s="1595">
        <f>T11+T22</f>
        <v>20308641</v>
      </c>
      <c r="U23" s="1296"/>
      <c r="V23" s="1296"/>
      <c r="W23" s="1296"/>
      <c r="X23" s="1296"/>
      <c r="Y23" s="1595">
        <f>Y11+Y22</f>
        <v>0</v>
      </c>
      <c r="Z23" s="1296"/>
      <c r="AA23" s="1296"/>
      <c r="AB23" s="1296"/>
      <c r="AC23" s="1296"/>
      <c r="AD23" s="1595">
        <f>AD11+AD22</f>
        <v>0</v>
      </c>
      <c r="AE23" s="1296"/>
      <c r="AF23" s="1296"/>
      <c r="AG23" s="1296"/>
      <c r="AH23" s="1296"/>
      <c r="AI23" s="1595">
        <f>AI11+AI22</f>
        <v>0</v>
      </c>
      <c r="AJ23" s="1296"/>
      <c r="AK23" s="1296"/>
      <c r="AL23" s="1296"/>
      <c r="AM23" s="1296"/>
    </row>
    <row r="24" spans="1:39" ht="13.2" customHeight="1">
      <c r="B24" s="1104" t="s">
        <v>1218</v>
      </c>
      <c r="C24" s="1105"/>
      <c r="D24" s="1105"/>
      <c r="E24" s="1105"/>
      <c r="F24" s="1105"/>
      <c r="G24" s="1105"/>
      <c r="H24" s="1105"/>
      <c r="I24" s="1105"/>
      <c r="J24" s="1105"/>
      <c r="K24" s="1105"/>
      <c r="L24" s="1105"/>
      <c r="M24" s="1105"/>
      <c r="N24" s="1105"/>
      <c r="O24" s="1105"/>
      <c r="P24" s="1105"/>
      <c r="Q24" s="1105"/>
      <c r="R24" s="1105"/>
      <c r="S24" s="1107"/>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2"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3.2" customHeight="1">
      <c r="B26" s="1104" t="s">
        <v>774</v>
      </c>
      <c r="C26" s="1105"/>
      <c r="D26" s="1105"/>
      <c r="E26" s="1105"/>
      <c r="F26" s="1105"/>
      <c r="G26" s="1105"/>
      <c r="H26" s="1105"/>
      <c r="I26" s="1105"/>
      <c r="J26" s="1105"/>
      <c r="K26" s="1105"/>
      <c r="L26" s="1105"/>
      <c r="M26" s="1105"/>
      <c r="N26" s="1105"/>
      <c r="O26" s="1105"/>
      <c r="P26" s="1105"/>
      <c r="Q26" s="1105"/>
      <c r="R26" s="1105"/>
      <c r="S26" s="1107"/>
      <c r="T26" s="1093">
        <f>T23*T25</f>
        <v>20308641</v>
      </c>
      <c r="U26" s="1607"/>
      <c r="V26" s="1607"/>
      <c r="W26" s="1607"/>
      <c r="X26" s="1607"/>
      <c r="Y26" s="1093">
        <f>Y23*Y25</f>
        <v>0</v>
      </c>
      <c r="Z26" s="1607"/>
      <c r="AA26" s="1607"/>
      <c r="AB26" s="1607"/>
      <c r="AC26" s="1607"/>
      <c r="AD26" s="1093">
        <f>AD23*AD25</f>
        <v>0</v>
      </c>
      <c r="AE26" s="1607"/>
      <c r="AF26" s="1607"/>
      <c r="AG26" s="1607"/>
      <c r="AH26" s="1607"/>
      <c r="AI26" s="1093">
        <f>AI23*AI25</f>
        <v>0</v>
      </c>
      <c r="AJ26" s="1607"/>
      <c r="AK26" s="1607"/>
      <c r="AL26" s="1607"/>
      <c r="AM26" s="1607"/>
    </row>
    <row r="27" spans="1:39" ht="13.2"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2"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3">
        <f>IF(ISERROR((T26*T27)),0,(T26*T27))</f>
        <v>20308641</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3.2" customHeight="1">
      <c r="B29" s="1104" t="s">
        <v>623</v>
      </c>
      <c r="C29" s="1105"/>
      <c r="D29" s="1105"/>
      <c r="E29" s="1105"/>
      <c r="F29" s="1105"/>
      <c r="G29" s="1105"/>
      <c r="H29" s="1105"/>
      <c r="I29" s="1105"/>
      <c r="J29" s="1105"/>
      <c r="K29" s="1105"/>
      <c r="L29" s="1105"/>
      <c r="M29" s="1105"/>
      <c r="N29" s="1105"/>
      <c r="O29" s="1105"/>
      <c r="P29" s="1105"/>
      <c r="Q29" s="1105"/>
      <c r="R29" s="1105"/>
      <c r="S29" s="1107"/>
      <c r="T29" s="1596">
        <f>T28+Y28+AD28+AI28</f>
        <v>20308641</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2"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207</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7" t="s">
        <v>41</v>
      </c>
      <c r="AE35" s="1227"/>
      <c r="AF35" s="1227"/>
      <c r="AG35" s="1227"/>
      <c r="AH35" s="1227"/>
    </row>
    <row r="36" spans="1:40" ht="13.2" customHeight="1">
      <c r="B36" s="204"/>
      <c r="X36" s="71"/>
      <c r="Y36" s="1598"/>
      <c r="Z36" s="1598"/>
      <c r="AA36" s="1598"/>
      <c r="AB36" s="1598"/>
      <c r="AC36" s="1598"/>
      <c r="AD36" s="1227"/>
      <c r="AE36" s="1227"/>
      <c r="AF36" s="1227"/>
      <c r="AG36" s="1227"/>
      <c r="AH36" s="1227"/>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7"/>
      <c r="AE37" s="1227"/>
      <c r="AF37" s="1227"/>
      <c r="AG37" s="1227"/>
      <c r="AH37" s="1227"/>
    </row>
    <row r="38" spans="1:40" ht="13.2"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3.2"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1">
        <v>0.09</v>
      </c>
      <c r="Z39" s="1961"/>
      <c r="AA39" s="1961"/>
      <c r="AB39" s="1961"/>
      <c r="AC39" s="1961"/>
      <c r="AD39" s="1961">
        <f>'Basis &amp; Credits'!AD39:AH39</f>
        <v>0.04</v>
      </c>
      <c r="AE39" s="1961"/>
      <c r="AF39" s="1961"/>
      <c r="AG39" s="1961"/>
      <c r="AH39" s="1961"/>
    </row>
    <row r="40" spans="1:40" ht="13.2"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5">
        <f>ROUND(AD38*AD39,0)</f>
        <v>0</v>
      </c>
      <c r="AE40" s="1296"/>
      <c r="AF40" s="1296"/>
      <c r="AG40" s="1296"/>
      <c r="AH40" s="1296"/>
    </row>
    <row r="41" spans="1:40" ht="13.2"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6">
        <f>IF((Y40+AD40)&gt;2500000,2500000,Y40+AD40)</f>
        <v>0</v>
      </c>
      <c r="Z41" s="1597"/>
      <c r="AA41" s="1597"/>
      <c r="AB41" s="1597"/>
      <c r="AC41" s="1597"/>
      <c r="AD41" s="1597"/>
      <c r="AE41" s="1597"/>
      <c r="AF41" s="1597"/>
      <c r="AG41" s="1597"/>
      <c r="AH41" s="1595"/>
    </row>
    <row r="42" spans="1:40" ht="13.2"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2" customHeight="1">
      <c r="A45" s="3" t="s">
        <v>119</v>
      </c>
      <c r="C45" s="3" t="s">
        <v>253</v>
      </c>
    </row>
    <row r="46" spans="1:40" ht="13.2" customHeight="1">
      <c r="D46" s="3" t="s">
        <v>254</v>
      </c>
      <c r="AB46" s="1228">
        <f>'Sources and Uses Budget'!B104-'Sources and Uses Budget'!$B$15</f>
        <v>35101874</v>
      </c>
      <c r="AC46" s="1229"/>
      <c r="AD46" s="1229"/>
      <c r="AE46" s="1229"/>
      <c r="AF46" s="1230"/>
    </row>
    <row r="47" spans="1:40" ht="13.2" customHeight="1">
      <c r="D47" s="3" t="s">
        <v>837</v>
      </c>
      <c r="AB47" s="1228">
        <f>Application!AG633-MIN('Sources and Uses Budget'!B15,Application!AG385)</f>
        <v>0</v>
      </c>
      <c r="AC47" s="1229"/>
      <c r="AD47" s="1229"/>
      <c r="AE47" s="1229"/>
      <c r="AF47" s="1230"/>
    </row>
    <row r="48" spans="1:40" ht="13.2" customHeight="1">
      <c r="D48" s="3" t="s">
        <v>379</v>
      </c>
      <c r="AB48" s="1228">
        <f>AB46-AB47</f>
        <v>35101874</v>
      </c>
      <c r="AC48" s="1229"/>
      <c r="AD48" s="1229"/>
      <c r="AE48" s="1229"/>
      <c r="AF48" s="1230"/>
    </row>
    <row r="49" spans="1:40" ht="13.2" customHeight="1">
      <c r="D49" s="3" t="s">
        <v>872</v>
      </c>
      <c r="AA49" s="34"/>
      <c r="AB49" s="1601"/>
      <c r="AC49" s="1602"/>
      <c r="AD49" s="1602"/>
      <c r="AE49" s="1602"/>
      <c r="AF49" s="1603"/>
    </row>
    <row r="50" spans="1:40" s="323" customFormat="1" ht="13.2"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2"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28">
        <f>ROUND(IF(ISERROR((AB48/AB49)),0,(AB48/AB49)),0)</f>
        <v>0</v>
      </c>
      <c r="AC53" s="1229"/>
      <c r="AD53" s="1229"/>
      <c r="AE53" s="1229"/>
      <c r="AF53" s="1230"/>
    </row>
    <row r="54" spans="1:40" ht="13.2" customHeight="1">
      <c r="D54" s="3" t="s">
        <v>561</v>
      </c>
      <c r="AB54" s="1228">
        <f>(AB53/10)</f>
        <v>0</v>
      </c>
      <c r="AC54" s="1229"/>
      <c r="AD54" s="1229"/>
      <c r="AE54" s="1229"/>
      <c r="AF54" s="1230"/>
    </row>
    <row r="55" spans="1:40" ht="13.2" customHeight="1">
      <c r="D55" s="3" t="s">
        <v>342</v>
      </c>
      <c r="AB55" s="1962">
        <f>(IF((Y41&lt;AB54),Y41,AB54))</f>
        <v>0</v>
      </c>
      <c r="AC55" s="1963"/>
      <c r="AD55" s="1963"/>
      <c r="AE55" s="1963"/>
      <c r="AF55" s="1964"/>
    </row>
    <row r="56" spans="1:40" ht="13.2" customHeight="1">
      <c r="D56" s="3" t="s">
        <v>107</v>
      </c>
      <c r="AB56" s="1228">
        <f>ROUND((10*AB55*AB49),0)</f>
        <v>0</v>
      </c>
      <c r="AC56" s="1229"/>
      <c r="AD56" s="1229"/>
      <c r="AE56" s="1229"/>
      <c r="AF56" s="1230"/>
    </row>
    <row r="57" spans="1:40" ht="13.2" customHeight="1">
      <c r="D57" s="3"/>
      <c r="AB57" s="276"/>
      <c r="AC57" s="276"/>
      <c r="AD57" s="276"/>
      <c r="AE57" s="276"/>
      <c r="AF57" s="276"/>
    </row>
    <row r="58" spans="1:40" ht="13.2" customHeight="1">
      <c r="D58" s="3" t="s">
        <v>106</v>
      </c>
      <c r="AB58" s="1300">
        <f>AB48-AB56</f>
        <v>35101874</v>
      </c>
      <c r="AC58" s="1300"/>
      <c r="AD58" s="1300"/>
      <c r="AE58" s="1300"/>
      <c r="AF58" s="1300"/>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2"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2" customHeight="1">
      <c r="A62" s="3" t="s">
        <v>122</v>
      </c>
      <c r="C62" s="3" t="s">
        <v>510</v>
      </c>
      <c r="Y62" s="1545" t="s">
        <v>298</v>
      </c>
      <c r="Z62" s="1545"/>
      <c r="AA62" s="1545"/>
      <c r="AB62" s="1545"/>
      <c r="AC62" s="1545"/>
      <c r="AD62" s="1545" t="s">
        <v>41</v>
      </c>
      <c r="AE62" s="1545"/>
      <c r="AF62" s="1545"/>
      <c r="AG62" s="1545"/>
      <c r="AH62" s="1545"/>
    </row>
    <row r="63" spans="1:40" ht="13.2"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4"/>
      <c r="AA63" s="1604"/>
      <c r="AB63" s="1604"/>
      <c r="AC63" s="1604"/>
      <c r="AD63" s="1296">
        <f>AI28</f>
        <v>0</v>
      </c>
      <c r="AE63" s="1604"/>
      <c r="AF63" s="1604"/>
      <c r="AG63" s="1604"/>
      <c r="AH63" s="1604"/>
    </row>
    <row r="64" spans="1:40" ht="13.2"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2" customHeight="1">
      <c r="C67" s="3"/>
      <c r="D67" s="3" t="s">
        <v>941</v>
      </c>
      <c r="Y67" s="1296">
        <f>ROUND(Y63*Y66,0)</f>
        <v>0</v>
      </c>
      <c r="Z67" s="1604"/>
      <c r="AA67" s="1604"/>
      <c r="AB67" s="1604"/>
      <c r="AC67" s="1604"/>
      <c r="AD67" s="1296" t="str">
        <f>IF(OR(Application!D211="At-Risk",Application!D211="At-Risk/Located in Rural Census Tract",Application!D214="At-Risk"),ROUND(AD63*AD66,0),"$0")</f>
        <v>$0</v>
      </c>
      <c r="AE67" s="1296"/>
      <c r="AF67" s="1296"/>
      <c r="AG67" s="1296"/>
      <c r="AH67" s="1296"/>
    </row>
    <row r="68" spans="1:34" ht="13.2" customHeight="1">
      <c r="C68" s="3"/>
      <c r="E68" s="3"/>
      <c r="AB68" s="2"/>
      <c r="AC68" s="2"/>
      <c r="AD68" s="2"/>
      <c r="AE68" s="2"/>
      <c r="AF68" s="2"/>
    </row>
    <row r="69" spans="1:34" ht="13.2" customHeight="1">
      <c r="A69" s="3" t="s">
        <v>123</v>
      </c>
      <c r="C69" s="3" t="s">
        <v>255</v>
      </c>
    </row>
    <row r="70" spans="1:34" ht="13.2" customHeight="1">
      <c r="A70" s="3"/>
      <c r="C70" s="3"/>
      <c r="D70" s="3" t="s">
        <v>873</v>
      </c>
      <c r="AB70" s="1601"/>
      <c r="AC70" s="1602"/>
      <c r="AD70" s="1602"/>
      <c r="AE70" s="1602"/>
      <c r="AF70" s="1603"/>
    </row>
    <row r="71" spans="1:34" ht="13.2"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2"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2"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7">
        <f>ROUND(IF(ISERROR((AB58/AB70)),0,(AB58/AB70)),0)</f>
        <v>0</v>
      </c>
      <c r="AC75" s="1277"/>
      <c r="AD75" s="1277"/>
      <c r="AE75" s="1277"/>
      <c r="AF75" s="1277"/>
    </row>
    <row r="76" spans="1:34" ht="13.2" customHeight="1">
      <c r="C76" s="3"/>
      <c r="D76" s="3" t="s">
        <v>105</v>
      </c>
      <c r="AB76" s="1177">
        <f>IF((Y67+AD67&lt;AB75),Y67+AD67,AB75)</f>
        <v>0</v>
      </c>
      <c r="AC76" s="1178"/>
      <c r="AD76" s="1178"/>
      <c r="AE76" s="1178"/>
      <c r="AF76" s="1179"/>
    </row>
    <row r="77" spans="1:34" ht="13.2" customHeight="1">
      <c r="C77" s="3"/>
      <c r="D77" s="3" t="s">
        <v>942</v>
      </c>
      <c r="AB77" s="1599">
        <f>AB76*AB70</f>
        <v>0</v>
      </c>
      <c r="AC77" s="1599"/>
      <c r="AD77" s="1599"/>
      <c r="AE77" s="1599"/>
      <c r="AF77" s="1599"/>
    </row>
    <row r="78" spans="1:34" ht="13.2" customHeight="1">
      <c r="C78" s="3"/>
      <c r="D78" s="3"/>
      <c r="AB78" s="598"/>
      <c r="AC78" s="598"/>
      <c r="AD78" s="598"/>
      <c r="AE78" s="598"/>
      <c r="AF78" s="598"/>
    </row>
    <row r="79" spans="1:34" ht="13.2" customHeight="1">
      <c r="D79" s="3" t="s">
        <v>106</v>
      </c>
      <c r="AB79" s="1300">
        <f>AB48-(AB56+AB77)</f>
        <v>35101874</v>
      </c>
      <c r="AC79" s="1300"/>
      <c r="AD79" s="1300"/>
      <c r="AE79" s="1300"/>
      <c r="AF79" s="1300"/>
    </row>
    <row r="80" spans="1:34" ht="13.2" customHeight="1">
      <c r="F80" s="16"/>
      <c r="J80" s="16" t="str">
        <f>IF(AB79&gt;0,"FUNDING GAP MUST NOT EXCEED ZERO","")</f>
        <v>FUNDING GAP MUST NOT EXCEED ZERO</v>
      </c>
    </row>
    <row r="81" spans="4:4" ht="13.2"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55" workbookViewId="0">
      <selection activeCell="A85" sqref="A8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3320312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343</v>
      </c>
      <c r="B4" s="327"/>
      <c r="C4" s="327"/>
      <c r="D4" s="327"/>
      <c r="E4" s="327"/>
      <c r="F4" s="327"/>
      <c r="G4" s="327"/>
    </row>
    <row r="5" spans="1:7" s="568" customFormat="1" ht="13.2">
      <c r="A5" s="884" t="s">
        <v>956</v>
      </c>
      <c r="B5" s="329">
        <f>'Sources and Uses Budget'!C4</f>
        <v>2070000</v>
      </c>
      <c r="C5" s="329">
        <f>'Sources and Uses Budget'!C4</f>
        <v>2070000</v>
      </c>
      <c r="D5" s="329">
        <f>'Sources and Uses Budget'!C4</f>
        <v>2070000</v>
      </c>
      <c r="E5" s="331">
        <f>C5-B5</f>
        <v>0</v>
      </c>
      <c r="F5" s="330"/>
      <c r="G5" s="330"/>
    </row>
    <row r="6" spans="1:7" s="568" customFormat="1" ht="13.2">
      <c r="A6" s="884" t="s">
        <v>957</v>
      </c>
      <c r="B6" s="329">
        <f>'Sources and Uses Budget'!C5</f>
        <v>145000</v>
      </c>
      <c r="C6" s="329">
        <f>'Sources and Uses Budget'!C5</f>
        <v>145000</v>
      </c>
      <c r="D6" s="329">
        <f>'Sources and Uses Budget'!C5</f>
        <v>145000</v>
      </c>
      <c r="E6" s="331">
        <f t="shared" ref="E6:E73" si="0">C6-B6</f>
        <v>0</v>
      </c>
      <c r="F6" s="330"/>
      <c r="G6" s="330"/>
    </row>
    <row r="7" spans="1:7" s="568" customFormat="1" ht="13.2">
      <c r="A7" s="884" t="s">
        <v>344</v>
      </c>
      <c r="B7" s="329">
        <f>'Sources and Uses Budget'!C6</f>
        <v>25000</v>
      </c>
      <c r="C7" s="329">
        <f>'Sources and Uses Budget'!C6</f>
        <v>25000</v>
      </c>
      <c r="D7" s="329">
        <f>'Sources and Uses Budget'!C6</f>
        <v>25000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2240000</v>
      </c>
      <c r="C9" s="331">
        <f>SUM(C5:C8)</f>
        <v>2240000</v>
      </c>
      <c r="D9" s="331">
        <f>SUM(D5:D8)</f>
        <v>2240000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153797</v>
      </c>
      <c r="C11" s="329">
        <f>'Sources and Uses Budget'!C10</f>
        <v>153797</v>
      </c>
      <c r="D11" s="329">
        <f>'Sources and Uses Budget'!C10</f>
        <v>153797</v>
      </c>
      <c r="E11" s="331">
        <f t="shared" si="0"/>
        <v>0</v>
      </c>
      <c r="F11" s="330"/>
      <c r="G11" s="330"/>
    </row>
    <row r="12" spans="1:7" s="568" customFormat="1" ht="13.2">
      <c r="A12" s="885" t="s">
        <v>586</v>
      </c>
      <c r="B12" s="331">
        <f>SUM(B10:B11)</f>
        <v>153797</v>
      </c>
      <c r="C12" s="331">
        <f>SUM(C10:C11)</f>
        <v>153797</v>
      </c>
      <c r="D12" s="331">
        <f>SUM(D10:D11)</f>
        <v>153797</v>
      </c>
      <c r="E12" s="331">
        <f t="shared" si="0"/>
        <v>0</v>
      </c>
      <c r="F12" s="330"/>
      <c r="G12" s="330"/>
    </row>
    <row r="13" spans="1:7" s="568" customFormat="1" ht="13.2">
      <c r="A13" s="885" t="s">
        <v>711</v>
      </c>
      <c r="B13" s="331">
        <f>SUM(B9+B12)</f>
        <v>2393797</v>
      </c>
      <c r="C13" s="331">
        <f>SUM(C9+C12)</f>
        <v>2393797</v>
      </c>
      <c r="D13" s="331">
        <f>SUM(D9+D12)</f>
        <v>2393797</v>
      </c>
      <c r="E13" s="331">
        <f t="shared" si="0"/>
        <v>0</v>
      </c>
      <c r="F13" s="330"/>
      <c r="G13" s="330"/>
    </row>
    <row r="14" spans="1:7" s="568" customFormat="1" ht="13.2">
      <c r="A14" s="886" t="s">
        <v>1110</v>
      </c>
      <c r="B14" s="329">
        <f>'Sources and Uses Budget'!C13</f>
        <v>573468</v>
      </c>
      <c r="C14" s="329">
        <f>'Sources and Uses Budget'!C13</f>
        <v>573468</v>
      </c>
      <c r="D14" s="329">
        <f>'Sources and Uses Budget'!C13</f>
        <v>573468</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1955</v>
      </c>
      <c r="B25" s="329">
        <f>'Sources and Uses Budget'!C24</f>
        <v>0</v>
      </c>
      <c r="C25" s="329">
        <f>'Sources and Uses Budget'!C24</f>
        <v>0</v>
      </c>
      <c r="D25" s="329">
        <f>'Sources and Uses Budget'!C24</f>
        <v>0</v>
      </c>
      <c r="E25" s="331">
        <f t="shared" si="1"/>
        <v>0</v>
      </c>
      <c r="F25" s="330"/>
      <c r="G25" s="330"/>
    </row>
    <row r="26" spans="1:7" s="568" customFormat="1" ht="13.2">
      <c r="A26" s="250" t="s">
        <v>534</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75000</v>
      </c>
      <c r="C28" s="329">
        <f>'Sources and Uses Budget'!C27</f>
        <v>75000</v>
      </c>
      <c r="D28" s="329">
        <f>'Sources and Uses Budget'!C27</f>
        <v>75000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908138</v>
      </c>
      <c r="C30" s="329">
        <f>'Sources and Uses Budget'!C29</f>
        <v>908138</v>
      </c>
      <c r="D30" s="329">
        <f>'Sources and Uses Budget'!C29</f>
        <v>908138</v>
      </c>
      <c r="E30" s="331">
        <f t="shared" si="0"/>
        <v>0</v>
      </c>
      <c r="F30" s="330"/>
      <c r="G30" s="330"/>
    </row>
    <row r="31" spans="1:7" s="568" customFormat="1" ht="13.2">
      <c r="A31" s="239" t="s">
        <v>911</v>
      </c>
      <c r="B31" s="329">
        <f>'Sources and Uses Budget'!C30</f>
        <v>15231019</v>
      </c>
      <c r="C31" s="329">
        <f>'Sources and Uses Budget'!C30</f>
        <v>15231019</v>
      </c>
      <c r="D31" s="329">
        <f>'Sources and Uses Budget'!C30</f>
        <v>15231019</v>
      </c>
      <c r="E31" s="331">
        <f t="shared" si="0"/>
        <v>0</v>
      </c>
      <c r="F31" s="330"/>
      <c r="G31" s="330"/>
    </row>
    <row r="32" spans="1:7" s="568" customFormat="1" ht="13.2">
      <c r="A32" s="239" t="s">
        <v>912</v>
      </c>
      <c r="B32" s="329">
        <f>'Sources and Uses Budget'!C31</f>
        <v>1092914</v>
      </c>
      <c r="C32" s="329">
        <f>'Sources and Uses Budget'!C31</f>
        <v>1092914</v>
      </c>
      <c r="D32" s="329">
        <f>'Sources and Uses Budget'!C31</f>
        <v>1092914</v>
      </c>
      <c r="E32" s="331">
        <f t="shared" si="0"/>
        <v>0</v>
      </c>
      <c r="F32" s="330"/>
      <c r="G32" s="330"/>
    </row>
    <row r="33" spans="1:7" s="568" customFormat="1" ht="13.2">
      <c r="A33" s="239" t="s">
        <v>913</v>
      </c>
      <c r="B33" s="329">
        <f>'Sources and Uses Budget'!C32</f>
        <v>630505</v>
      </c>
      <c r="C33" s="329">
        <f>'Sources and Uses Budget'!C32</f>
        <v>630505</v>
      </c>
      <c r="D33" s="329">
        <f>'Sources and Uses Budget'!C32</f>
        <v>630505</v>
      </c>
      <c r="E33" s="331">
        <f t="shared" si="0"/>
        <v>0</v>
      </c>
      <c r="F33" s="330"/>
      <c r="G33" s="330"/>
    </row>
    <row r="34" spans="1:7" s="568" customFormat="1" ht="13.2">
      <c r="A34" s="239" t="s">
        <v>914</v>
      </c>
      <c r="B34" s="329">
        <f>'Sources and Uses Budget'!C33</f>
        <v>630505</v>
      </c>
      <c r="C34" s="329">
        <f>'Sources and Uses Budget'!C33</f>
        <v>630505</v>
      </c>
      <c r="D34" s="329">
        <f>'Sources and Uses Budget'!C33</f>
        <v>630505</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266814</v>
      </c>
      <c r="C36" s="329">
        <f>'Sources and Uses Budget'!C35</f>
        <v>266814</v>
      </c>
      <c r="D36" s="329">
        <f>'Sources and Uses Budget'!C35</f>
        <v>266814</v>
      </c>
      <c r="E36" s="331">
        <f t="shared" si="0"/>
        <v>0</v>
      </c>
      <c r="F36" s="330"/>
      <c r="G36" s="330"/>
    </row>
    <row r="37" spans="1:7" s="568" customFormat="1" ht="13.2">
      <c r="A37" s="239" t="s">
        <v>1955</v>
      </c>
      <c r="B37" s="329">
        <f>'Sources and Uses Budget'!C36</f>
        <v>0</v>
      </c>
      <c r="C37" s="329">
        <f>'Sources and Uses Budget'!C36</f>
        <v>0</v>
      </c>
      <c r="D37" s="329">
        <f>'Sources and Uses Budget'!C36</f>
        <v>0</v>
      </c>
      <c r="E37" s="331">
        <f t="shared" si="0"/>
        <v>0</v>
      </c>
      <c r="F37" s="330"/>
      <c r="G37" s="330"/>
    </row>
    <row r="38" spans="1:7" s="568" customFormat="1" ht="13.2">
      <c r="A38" s="250" t="s">
        <v>534</v>
      </c>
      <c r="B38" s="329">
        <f>'Sources and Uses Budget'!C37</f>
        <v>284720</v>
      </c>
      <c r="C38" s="329">
        <f>'Sources and Uses Budget'!C37</f>
        <v>284720</v>
      </c>
      <c r="D38" s="329">
        <f>'Sources and Uses Budget'!C37</f>
        <v>284720</v>
      </c>
      <c r="E38" s="331">
        <f>C38-B38</f>
        <v>0</v>
      </c>
      <c r="F38" s="330"/>
      <c r="G38" s="330"/>
    </row>
    <row r="39" spans="1:7" s="568" customFormat="1" ht="13.2">
      <c r="A39" s="887" t="s">
        <v>919</v>
      </c>
      <c r="B39" s="894">
        <f>'Sources and Uses Budget'!C38</f>
        <v>19044615</v>
      </c>
      <c r="C39" s="894">
        <f>'Sources and Uses Budget'!C38</f>
        <v>19044615</v>
      </c>
      <c r="D39" s="894">
        <f>'Sources and Uses Budget'!C38</f>
        <v>19044615</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751000</v>
      </c>
      <c r="C41" s="329">
        <f>'Sources and Uses Budget'!C40</f>
        <v>751000</v>
      </c>
      <c r="D41" s="329">
        <f>'Sources and Uses Budget'!C40</f>
        <v>751000</v>
      </c>
      <c r="E41" s="331">
        <f>C41-B41</f>
        <v>0</v>
      </c>
      <c r="F41" s="330"/>
      <c r="G41" s="330"/>
    </row>
    <row r="42" spans="1:7" s="568" customFormat="1" ht="13.2">
      <c r="A42" s="888" t="s">
        <v>922</v>
      </c>
      <c r="B42" s="329">
        <f>'Sources and Uses Budget'!C41</f>
        <v>260000</v>
      </c>
      <c r="C42" s="329">
        <f>'Sources and Uses Budget'!C41</f>
        <v>260000</v>
      </c>
      <c r="D42" s="329">
        <f>'Sources and Uses Budget'!C41</f>
        <v>260000</v>
      </c>
      <c r="E42" s="331">
        <f>C42-B42</f>
        <v>0</v>
      </c>
      <c r="F42" s="330"/>
      <c r="G42" s="330"/>
    </row>
    <row r="43" spans="1:7" s="568" customFormat="1" ht="12" customHeight="1">
      <c r="A43" s="887" t="s">
        <v>923</v>
      </c>
      <c r="B43" s="894">
        <f>'Sources and Uses Budget'!C42</f>
        <v>1011000</v>
      </c>
      <c r="C43" s="894">
        <f>'Sources and Uses Budget'!C42</f>
        <v>1011000</v>
      </c>
      <c r="D43" s="894">
        <f>'Sources and Uses Budget'!C42</f>
        <v>1011000</v>
      </c>
      <c r="E43" s="331">
        <f>C43-B43</f>
        <v>0</v>
      </c>
      <c r="F43" s="330"/>
      <c r="G43" s="330"/>
    </row>
    <row r="44" spans="1:7" s="568" customFormat="1" ht="13.2">
      <c r="A44" s="887" t="s">
        <v>924</v>
      </c>
      <c r="B44" s="329">
        <f>'Sources and Uses Budget'!C43</f>
        <v>486400</v>
      </c>
      <c r="C44" s="329">
        <f>'Sources and Uses Budget'!C43</f>
        <v>486400</v>
      </c>
      <c r="D44" s="329">
        <f>'Sources and Uses Budget'!C43</f>
        <v>486400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3298926</v>
      </c>
      <c r="C46" s="329">
        <f>'Sources and Uses Budget'!C45</f>
        <v>3298926</v>
      </c>
      <c r="D46" s="329">
        <f>'Sources and Uses Budget'!C45</f>
        <v>3298926</v>
      </c>
      <c r="E46" s="331">
        <f t="shared" si="0"/>
        <v>0</v>
      </c>
      <c r="F46" s="330"/>
      <c r="G46" s="330"/>
    </row>
    <row r="47" spans="1:7" s="568" customFormat="1" ht="13.2">
      <c r="A47" s="239" t="s">
        <v>927</v>
      </c>
      <c r="B47" s="329">
        <f>'Sources and Uses Budget'!C46</f>
        <v>164999</v>
      </c>
      <c r="C47" s="329">
        <f>'Sources and Uses Budget'!C46</f>
        <v>164999</v>
      </c>
      <c r="D47" s="329">
        <f>'Sources and Uses Budget'!C46</f>
        <v>164999</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15000</v>
      </c>
      <c r="C49" s="329">
        <f>'Sources and Uses Budget'!C48</f>
        <v>15000</v>
      </c>
      <c r="D49" s="329">
        <f>'Sources and Uses Budget'!C48</f>
        <v>15000</v>
      </c>
      <c r="E49" s="331">
        <f t="shared" si="0"/>
        <v>0</v>
      </c>
      <c r="F49" s="330"/>
      <c r="G49" s="330"/>
    </row>
    <row r="50" spans="1:7" s="568" customFormat="1" ht="13.2">
      <c r="A50" s="239" t="s">
        <v>932</v>
      </c>
      <c r="B50" s="329">
        <f>'Sources and Uses Budget'!C49</f>
        <v>105000</v>
      </c>
      <c r="C50" s="329">
        <f>'Sources and Uses Budget'!C49</f>
        <v>105000</v>
      </c>
      <c r="D50" s="329">
        <f>'Sources and Uses Budget'!C49</f>
        <v>105000</v>
      </c>
      <c r="E50" s="331">
        <f t="shared" si="0"/>
        <v>0</v>
      </c>
      <c r="F50" s="330"/>
      <c r="G50" s="330"/>
    </row>
    <row r="51" spans="1:7" s="568" customFormat="1" ht="13.2">
      <c r="A51" s="239" t="s">
        <v>930</v>
      </c>
      <c r="B51" s="329">
        <f>'Sources and Uses Budget'!C50</f>
        <v>183125</v>
      </c>
      <c r="C51" s="329">
        <f>'Sources and Uses Budget'!C50</f>
        <v>183125</v>
      </c>
      <c r="D51" s="329">
        <f>'Sources and Uses Budget'!C50</f>
        <v>183125</v>
      </c>
      <c r="E51" s="331">
        <f t="shared" si="0"/>
        <v>0</v>
      </c>
      <c r="F51" s="330"/>
      <c r="G51" s="330"/>
    </row>
    <row r="52" spans="1:7" s="569" customFormat="1" ht="13.2">
      <c r="A52" s="239" t="s">
        <v>931</v>
      </c>
      <c r="B52" s="329">
        <f>'Sources and Uses Budget'!C51</f>
        <v>390000</v>
      </c>
      <c r="C52" s="329">
        <f>'Sources and Uses Budget'!C51</f>
        <v>390000</v>
      </c>
      <c r="D52" s="329">
        <f>'Sources and Uses Budget'!C51</f>
        <v>390000</v>
      </c>
      <c r="E52" s="331">
        <f t="shared" si="0"/>
        <v>0</v>
      </c>
      <c r="F52" s="330"/>
      <c r="G52" s="330"/>
    </row>
    <row r="53" spans="1:7" s="568" customFormat="1" ht="13.2">
      <c r="A53" s="246" t="s">
        <v>534</v>
      </c>
      <c r="B53" s="329">
        <f>'Sources and Uses Budget'!C52</f>
        <v>68150</v>
      </c>
      <c r="C53" s="329">
        <f>'Sources and Uses Budget'!C52</f>
        <v>68150</v>
      </c>
      <c r="D53" s="329">
        <f>'Sources and Uses Budget'!C52</f>
        <v>68150</v>
      </c>
      <c r="E53" s="331">
        <f t="shared" si="0"/>
        <v>0</v>
      </c>
      <c r="F53" s="330"/>
      <c r="G53" s="330"/>
    </row>
    <row r="54" spans="1:7" s="568" customFormat="1" ht="13.2">
      <c r="A54" s="243" t="s">
        <v>933</v>
      </c>
      <c r="B54" s="894">
        <f>'Sources and Uses Budget'!C53</f>
        <v>4225200</v>
      </c>
      <c r="C54" s="894">
        <f>'Sources and Uses Budget'!C53</f>
        <v>4225200</v>
      </c>
      <c r="D54" s="894">
        <f>'Sources and Uses Budget'!C53</f>
        <v>4225200</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26940</v>
      </c>
      <c r="C56" s="329">
        <f>'Sources and Uses Budget'!C55</f>
        <v>26940</v>
      </c>
      <c r="D56" s="329">
        <f>'Sources and Uses Budget'!C55</f>
        <v>26940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10000</v>
      </c>
      <c r="C58" s="329">
        <f>'Sources and Uses Budget'!C57</f>
        <v>10000</v>
      </c>
      <c r="D58" s="329">
        <f>'Sources and Uses Budget'!C57</f>
        <v>10000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534</v>
      </c>
      <c r="B61" s="329">
        <f>'Sources and Uses Budget'!C60</f>
        <v>10000</v>
      </c>
      <c r="C61" s="329">
        <f>'Sources and Uses Budget'!C60</f>
        <v>10000</v>
      </c>
      <c r="D61" s="329">
        <f>'Sources and Uses Budget'!C60</f>
        <v>10000</v>
      </c>
      <c r="E61" s="331">
        <f t="shared" si="0"/>
        <v>0</v>
      </c>
      <c r="F61" s="330"/>
      <c r="G61" s="330"/>
    </row>
    <row r="62" spans="1:7" s="568" customFormat="1" ht="13.2">
      <c r="A62" s="887" t="s">
        <v>501</v>
      </c>
      <c r="B62" s="894">
        <f>'Sources and Uses Budget'!C61</f>
        <v>46940</v>
      </c>
      <c r="C62" s="894">
        <f>'Sources and Uses Budget'!C61</f>
        <v>46940</v>
      </c>
      <c r="D62" s="894">
        <f>'Sources and Uses Budget'!C61</f>
        <v>46940</v>
      </c>
      <c r="E62" s="331">
        <f t="shared" si="0"/>
        <v>0</v>
      </c>
      <c r="F62" s="330"/>
      <c r="G62" s="330"/>
    </row>
    <row r="63" spans="1:7" s="568" customFormat="1" ht="13.2">
      <c r="A63" s="890" t="s">
        <v>502</v>
      </c>
      <c r="B63" s="894">
        <f>'Sources and Uses Budget'!C62</f>
        <v>27856420</v>
      </c>
      <c r="C63" s="894">
        <f>'Sources and Uses Budget'!C62</f>
        <v>27856420</v>
      </c>
      <c r="D63" s="894">
        <f>'Sources and Uses Budget'!C62</f>
        <v>27856420</v>
      </c>
      <c r="E63" s="331">
        <f t="shared" si="0"/>
        <v>0</v>
      </c>
      <c r="F63" s="330"/>
      <c r="G63" s="330"/>
    </row>
    <row r="64" spans="1:7" s="568" customFormat="1" ht="22.8">
      <c r="A64" s="235" t="s">
        <v>1956</v>
      </c>
      <c r="B64" s="327"/>
      <c r="C64" s="327"/>
      <c r="D64" s="327"/>
      <c r="E64" s="327"/>
      <c r="F64" s="327"/>
      <c r="G64" s="327"/>
    </row>
    <row r="65" spans="1:7" s="568" customFormat="1" ht="13.2">
      <c r="A65" s="239" t="s">
        <v>284</v>
      </c>
      <c r="B65" s="329">
        <f>'Sources and Uses Budget'!C64</f>
        <v>84871</v>
      </c>
      <c r="C65" s="329">
        <f>'Sources and Uses Budget'!C64</f>
        <v>84871</v>
      </c>
      <c r="D65" s="329">
        <f>'Sources and Uses Budget'!C64</f>
        <v>84871</v>
      </c>
      <c r="E65" s="331">
        <f t="shared" si="0"/>
        <v>0</v>
      </c>
      <c r="F65" s="330"/>
      <c r="G65" s="330"/>
    </row>
    <row r="66" spans="1:7" s="568" customFormat="1" ht="22.8">
      <c r="A66" s="239" t="s">
        <v>1957</v>
      </c>
      <c r="B66" s="329">
        <f>'Sources and Uses Budget'!C65</f>
        <v>0</v>
      </c>
      <c r="C66" s="329">
        <f>'Sources and Uses Budget'!C65</f>
        <v>0</v>
      </c>
      <c r="D66" s="329">
        <f>'Sources and Uses Budget'!C65</f>
        <v>0</v>
      </c>
      <c r="E66" s="331">
        <f t="shared" si="0"/>
        <v>0</v>
      </c>
      <c r="F66" s="330"/>
      <c r="G66" s="330"/>
    </row>
    <row r="67" spans="1:7" s="568" customFormat="1" ht="22.8">
      <c r="A67" s="239" t="s">
        <v>1958</v>
      </c>
      <c r="B67" s="329">
        <f>'Sources and Uses Budget'!C66</f>
        <v>0</v>
      </c>
      <c r="C67" s="329">
        <f>'Sources and Uses Budget'!C66</f>
        <v>0</v>
      </c>
      <c r="D67" s="329">
        <f>'Sources and Uses Budget'!C66</f>
        <v>0</v>
      </c>
      <c r="E67" s="331">
        <f t="shared" si="0"/>
        <v>0</v>
      </c>
      <c r="F67" s="330"/>
      <c r="G67" s="330"/>
    </row>
    <row r="68" spans="1:7" s="568" customFormat="1" ht="13.2">
      <c r="A68" s="239" t="s">
        <v>1959</v>
      </c>
      <c r="B68" s="329">
        <f>'Sources and Uses Budget'!C67</f>
        <v>0</v>
      </c>
      <c r="C68" s="329">
        <f>'Sources and Uses Budget'!C67</f>
        <v>0</v>
      </c>
      <c r="D68" s="329">
        <f>'Sources and Uses Budget'!C67</f>
        <v>0</v>
      </c>
      <c r="E68" s="331">
        <f t="shared" si="0"/>
        <v>0</v>
      </c>
      <c r="F68" s="330"/>
      <c r="G68" s="330"/>
    </row>
    <row r="69" spans="1:7" s="568" customFormat="1" ht="13.2">
      <c r="A69" s="250" t="s">
        <v>2017</v>
      </c>
      <c r="B69" s="329">
        <f>'Sources and Uses Budget'!C68</f>
        <v>55000</v>
      </c>
      <c r="C69" s="329">
        <f>'Sources and Uses Budget'!C68</f>
        <v>55000</v>
      </c>
      <c r="D69" s="329">
        <f>'Sources and Uses Budget'!C68</f>
        <v>55000</v>
      </c>
      <c r="E69" s="331">
        <f t="shared" si="0"/>
        <v>0</v>
      </c>
      <c r="F69" s="330"/>
      <c r="G69" s="330"/>
    </row>
    <row r="70" spans="1:7" s="568" customFormat="1" ht="13.2">
      <c r="A70" s="243" t="s">
        <v>1960</v>
      </c>
      <c r="B70" s="894">
        <f>'Sources and Uses Budget'!C69</f>
        <v>139871</v>
      </c>
      <c r="C70" s="894">
        <f>'Sources and Uses Budget'!C69</f>
        <v>139871</v>
      </c>
      <c r="D70" s="894">
        <f>'Sources and Uses Budget'!C69</f>
        <v>139871</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449208</v>
      </c>
      <c r="C75" s="329">
        <f>'Sources and Uses Budget'!C74</f>
        <v>449208</v>
      </c>
      <c r="D75" s="329">
        <f>'Sources and Uses Budget'!C74</f>
        <v>449208</v>
      </c>
      <c r="E75" s="331">
        <f>C75-B75</f>
        <v>0</v>
      </c>
      <c r="F75" s="330"/>
      <c r="G75" s="330"/>
    </row>
    <row r="76" spans="1:7" s="568" customFormat="1" ht="13.2">
      <c r="A76" s="892" t="s">
        <v>534</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449208</v>
      </c>
      <c r="C77" s="894">
        <f>'Sources and Uses Budget'!C76</f>
        <v>449208</v>
      </c>
      <c r="D77" s="894">
        <f>'Sources and Uses Budget'!C76</f>
        <v>449208</v>
      </c>
      <c r="E77" s="331">
        <f>C77-B77</f>
        <v>0</v>
      </c>
      <c r="F77" s="330"/>
      <c r="G77" s="330"/>
    </row>
    <row r="78" spans="1:7" s="568" customFormat="1" ht="13.2">
      <c r="A78" s="883" t="s">
        <v>1744</v>
      </c>
      <c r="B78" s="327"/>
      <c r="C78" s="327"/>
      <c r="D78" s="327"/>
      <c r="E78" s="327"/>
      <c r="F78" s="327"/>
      <c r="G78" s="327"/>
    </row>
    <row r="79" spans="1:7" s="568" customFormat="1" ht="13.95" customHeight="1">
      <c r="A79" s="888" t="s">
        <v>1742</v>
      </c>
      <c r="B79" s="329">
        <f>'Sources and Uses Budget'!C78</f>
        <v>1934341</v>
      </c>
      <c r="C79" s="329">
        <f>'Sources and Uses Budget'!C78</f>
        <v>1934341</v>
      </c>
      <c r="D79" s="329">
        <f>'Sources and Uses Budget'!C78</f>
        <v>1934341</v>
      </c>
      <c r="E79" s="331">
        <f t="shared" ref="E79:E105" si="2">C79-B79</f>
        <v>0</v>
      </c>
      <c r="F79" s="330"/>
      <c r="G79" s="330"/>
    </row>
    <row r="80" spans="1:7" s="568" customFormat="1" ht="13.2">
      <c r="A80" s="888" t="s">
        <v>539</v>
      </c>
      <c r="B80" s="329">
        <f>'Sources and Uses Budget'!C79</f>
        <v>216291</v>
      </c>
      <c r="C80" s="329">
        <f>'Sources and Uses Budget'!C79</f>
        <v>216291</v>
      </c>
      <c r="D80" s="329">
        <f>'Sources and Uses Budget'!C79</f>
        <v>216291</v>
      </c>
      <c r="E80" s="331">
        <f t="shared" si="2"/>
        <v>0</v>
      </c>
      <c r="F80" s="330"/>
      <c r="G80" s="330"/>
    </row>
    <row r="81" spans="1:7" s="568" customFormat="1" ht="13.2">
      <c r="A81" s="887" t="s">
        <v>1743</v>
      </c>
      <c r="B81" s="894">
        <f>'Sources and Uses Budget'!C80</f>
        <v>2150632</v>
      </c>
      <c r="C81" s="894">
        <f>'Sources and Uses Budget'!C80</f>
        <v>2150632</v>
      </c>
      <c r="D81" s="894">
        <f>'Sources and Uses Budget'!C80</f>
        <v>2150632</v>
      </c>
      <c r="E81" s="331">
        <f t="shared" si="2"/>
        <v>0</v>
      </c>
      <c r="F81" s="330"/>
      <c r="G81" s="330"/>
    </row>
    <row r="82" spans="1:7" s="568" customFormat="1" ht="13.2">
      <c r="A82" s="883" t="s">
        <v>516</v>
      </c>
      <c r="B82" s="327"/>
      <c r="C82" s="327"/>
      <c r="D82" s="327"/>
      <c r="E82" s="327"/>
      <c r="F82" s="327"/>
      <c r="G82" s="327"/>
    </row>
    <row r="83" spans="1:7" s="568" customFormat="1" ht="13.2">
      <c r="A83" s="239" t="s">
        <v>2116</v>
      </c>
      <c r="B83" s="329">
        <f>'Sources and Uses Budget'!C82</f>
        <v>130444</v>
      </c>
      <c r="C83" s="329">
        <f>'Sources and Uses Budget'!C82</f>
        <v>130444</v>
      </c>
      <c r="D83" s="329">
        <f>'Sources and Uses Budget'!C82</f>
        <v>130444</v>
      </c>
      <c r="E83" s="331">
        <f t="shared" si="2"/>
        <v>0</v>
      </c>
      <c r="F83" s="330"/>
      <c r="G83" s="330"/>
    </row>
    <row r="84" spans="1:7" s="568" customFormat="1" ht="13.2">
      <c r="A84" s="239" t="s">
        <v>517</v>
      </c>
      <c r="B84" s="329">
        <f>'Sources and Uses Budget'!C83</f>
        <v>85000</v>
      </c>
      <c r="C84" s="329">
        <f>'Sources and Uses Budget'!C83</f>
        <v>85000</v>
      </c>
      <c r="D84" s="329">
        <f>'Sources and Uses Budget'!C83</f>
        <v>85000</v>
      </c>
      <c r="E84" s="331">
        <f t="shared" si="2"/>
        <v>0</v>
      </c>
      <c r="F84" s="330"/>
      <c r="G84" s="330"/>
    </row>
    <row r="85" spans="1:7" s="568" customFormat="1" ht="13.2">
      <c r="A85" s="239" t="s">
        <v>518</v>
      </c>
      <c r="B85" s="329">
        <f>'Sources and Uses Budget'!C84</f>
        <v>342299</v>
      </c>
      <c r="C85" s="329">
        <f>'Sources and Uses Budget'!C84</f>
        <v>342299</v>
      </c>
      <c r="D85" s="329">
        <f>'Sources and Uses Budget'!C84</f>
        <v>342299</v>
      </c>
      <c r="E85" s="331">
        <f t="shared" si="2"/>
        <v>0</v>
      </c>
      <c r="F85" s="330"/>
      <c r="G85" s="330"/>
    </row>
    <row r="86" spans="1:7" s="568" customFormat="1" ht="13.2">
      <c r="A86" s="239" t="s">
        <v>519</v>
      </c>
      <c r="B86" s="329">
        <f>'Sources and Uses Budget'!C85</f>
        <v>350000</v>
      </c>
      <c r="C86" s="329">
        <f>'Sources and Uses Budget'!C85</f>
        <v>350000</v>
      </c>
      <c r="D86" s="329">
        <f>'Sources and Uses Budget'!C85</f>
        <v>350000</v>
      </c>
      <c r="E86" s="331">
        <f t="shared" si="2"/>
        <v>0</v>
      </c>
      <c r="F86" s="330"/>
      <c r="G86" s="330"/>
    </row>
    <row r="87" spans="1:7" s="568" customFormat="1" ht="13.2">
      <c r="A87" s="239" t="s">
        <v>520</v>
      </c>
      <c r="B87" s="329">
        <f>'Sources and Uses Budget'!C86</f>
        <v>0</v>
      </c>
      <c r="C87" s="329">
        <f>'Sources and Uses Budget'!C86</f>
        <v>0</v>
      </c>
      <c r="D87" s="329">
        <f>'Sources and Uses Budget'!C86</f>
        <v>0</v>
      </c>
      <c r="E87" s="331">
        <f t="shared" si="2"/>
        <v>0</v>
      </c>
      <c r="F87" s="330"/>
      <c r="G87" s="330"/>
    </row>
    <row r="88" spans="1:7" s="568" customFormat="1" ht="13.2">
      <c r="A88" s="239" t="s">
        <v>521</v>
      </c>
      <c r="B88" s="329">
        <f>'Sources and Uses Budget'!C87</f>
        <v>135000</v>
      </c>
      <c r="C88" s="329">
        <f>'Sources and Uses Budget'!C87</f>
        <v>135000</v>
      </c>
      <c r="D88" s="329">
        <f>'Sources and Uses Budget'!C87</f>
        <v>135000</v>
      </c>
      <c r="E88" s="331">
        <f t="shared" si="2"/>
        <v>0</v>
      </c>
      <c r="F88" s="330"/>
      <c r="G88" s="330"/>
    </row>
    <row r="89" spans="1:7" s="568" customFormat="1" ht="13.2">
      <c r="A89" s="239" t="s">
        <v>522</v>
      </c>
      <c r="B89" s="329">
        <f>'Sources and Uses Budget'!C88</f>
        <v>260000</v>
      </c>
      <c r="C89" s="329">
        <f>'Sources and Uses Budget'!C88</f>
        <v>260000</v>
      </c>
      <c r="D89" s="329">
        <f>'Sources and Uses Budget'!C88</f>
        <v>260000</v>
      </c>
      <c r="E89" s="331">
        <f t="shared" si="2"/>
        <v>0</v>
      </c>
      <c r="F89" s="330"/>
      <c r="G89" s="330"/>
    </row>
    <row r="90" spans="1:7" s="568" customFormat="1" ht="13.2">
      <c r="A90" s="239" t="s">
        <v>523</v>
      </c>
      <c r="B90" s="329">
        <f>'Sources and Uses Budget'!C89</f>
        <v>13000</v>
      </c>
      <c r="C90" s="329">
        <f>'Sources and Uses Budget'!C89</f>
        <v>13000</v>
      </c>
      <c r="D90" s="329">
        <f>'Sources and Uses Budget'!C89</f>
        <v>13000</v>
      </c>
      <c r="E90" s="331">
        <f t="shared" si="2"/>
        <v>0</v>
      </c>
      <c r="F90" s="330"/>
      <c r="G90" s="330"/>
    </row>
    <row r="91" spans="1:7" s="568" customFormat="1" ht="13.2">
      <c r="A91" s="250" t="s">
        <v>1315</v>
      </c>
      <c r="B91" s="329">
        <f>'Sources and Uses Budget'!C90</f>
        <v>20000</v>
      </c>
      <c r="C91" s="329">
        <f>'Sources and Uses Budget'!C90</f>
        <v>20000</v>
      </c>
      <c r="D91" s="329">
        <f>'Sources and Uses Budget'!C90</f>
        <v>20000</v>
      </c>
      <c r="E91" s="331">
        <f t="shared" si="2"/>
        <v>0</v>
      </c>
      <c r="F91" s="330"/>
      <c r="G91" s="330"/>
    </row>
    <row r="92" spans="1:7" s="568" customFormat="1" ht="13.2">
      <c r="A92" s="250" t="s">
        <v>1741</v>
      </c>
      <c r="B92" s="329">
        <f>'Sources and Uses Budget'!C91</f>
        <v>25000</v>
      </c>
      <c r="C92" s="329">
        <f>'Sources and Uses Budget'!C91</f>
        <v>25000</v>
      </c>
      <c r="D92" s="329">
        <f>'Sources and Uses Budget'!C91</f>
        <v>25000</v>
      </c>
      <c r="E92" s="331">
        <f t="shared" si="2"/>
        <v>0</v>
      </c>
      <c r="F92" s="330"/>
      <c r="G92" s="330"/>
    </row>
    <row r="93" spans="1:7" s="568" customFormat="1" ht="13.2">
      <c r="A93" s="246" t="s">
        <v>534</v>
      </c>
      <c r="B93" s="329">
        <f>'Sources and Uses Budget'!C92</f>
        <v>190000</v>
      </c>
      <c r="C93" s="329">
        <f>'Sources and Uses Budget'!C92</f>
        <v>190000</v>
      </c>
      <c r="D93" s="329">
        <f>'Sources and Uses Budget'!C92</f>
        <v>190000</v>
      </c>
      <c r="E93" s="331">
        <f t="shared" si="2"/>
        <v>0</v>
      </c>
      <c r="F93" s="330"/>
      <c r="G93" s="330"/>
    </row>
    <row r="94" spans="1:7" s="568" customFormat="1" ht="13.2">
      <c r="A94" s="246" t="s">
        <v>534</v>
      </c>
      <c r="B94" s="329">
        <f>'Sources and Uses Budget'!C93</f>
        <v>230000</v>
      </c>
      <c r="C94" s="329">
        <f>'Sources and Uses Budget'!C93</f>
        <v>230000</v>
      </c>
      <c r="D94" s="329">
        <f>'Sources and Uses Budget'!C93</f>
        <v>230000</v>
      </c>
      <c r="E94" s="331">
        <f t="shared" si="2"/>
        <v>0</v>
      </c>
      <c r="F94" s="330"/>
      <c r="G94" s="330"/>
    </row>
    <row r="95" spans="1:7" s="568" customFormat="1" ht="13.2">
      <c r="A95" s="246" t="s">
        <v>534</v>
      </c>
      <c r="B95" s="329">
        <f>'Sources and Uses Budget'!C94</f>
        <v>225000</v>
      </c>
      <c r="C95" s="329">
        <f>'Sources and Uses Budget'!C94</f>
        <v>225000</v>
      </c>
      <c r="D95" s="329">
        <f>'Sources and Uses Budget'!C94</f>
        <v>225000</v>
      </c>
      <c r="E95" s="331">
        <f t="shared" si="2"/>
        <v>0</v>
      </c>
      <c r="F95" s="330"/>
      <c r="G95" s="330"/>
    </row>
    <row r="96" spans="1:7" s="568" customFormat="1" ht="13.2">
      <c r="A96" s="243" t="s">
        <v>524</v>
      </c>
      <c r="B96" s="894">
        <f>'Sources and Uses Budget'!C95</f>
        <v>2005743</v>
      </c>
      <c r="C96" s="894">
        <f>'Sources and Uses Budget'!C95</f>
        <v>2005743</v>
      </c>
      <c r="D96" s="894">
        <f>'Sources and Uses Budget'!C95</f>
        <v>2005743</v>
      </c>
      <c r="E96" s="331">
        <f t="shared" si="2"/>
        <v>0</v>
      </c>
      <c r="F96" s="330"/>
      <c r="G96" s="330"/>
    </row>
    <row r="97" spans="1:7" s="568" customFormat="1" ht="13.2">
      <c r="A97" s="243" t="s">
        <v>525</v>
      </c>
      <c r="B97" s="894">
        <f>'Sources and Uses Budget'!C96</f>
        <v>32601874</v>
      </c>
      <c r="C97" s="894">
        <f>'Sources and Uses Budget'!C96</f>
        <v>32601874</v>
      </c>
      <c r="D97" s="894">
        <f>'Sources and Uses Budget'!C96</f>
        <v>32601874</v>
      </c>
      <c r="E97" s="331">
        <f t="shared" si="2"/>
        <v>0</v>
      </c>
      <c r="F97" s="330"/>
      <c r="G97" s="330"/>
    </row>
    <row r="98" spans="1:7" s="568" customFormat="1" ht="13.2">
      <c r="A98" s="883" t="s">
        <v>526</v>
      </c>
      <c r="B98" s="327"/>
      <c r="C98" s="327"/>
      <c r="D98" s="327"/>
      <c r="E98" s="327"/>
      <c r="F98" s="327"/>
      <c r="G98" s="327"/>
    </row>
    <row r="99" spans="1:7" s="568" customFormat="1" ht="13.2">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3.2">
      <c r="A101" s="239" t="s">
        <v>528</v>
      </c>
      <c r="B101" s="329">
        <f>'Sources and Uses Budget'!C100</f>
        <v>0</v>
      </c>
      <c r="C101" s="329">
        <f>'Sources and Uses Budget'!C100</f>
        <v>0</v>
      </c>
      <c r="D101" s="329">
        <f>'Sources and Uses Budget'!C100</f>
        <v>0</v>
      </c>
      <c r="E101" s="331">
        <f t="shared" si="2"/>
        <v>0</v>
      </c>
      <c r="F101" s="330"/>
      <c r="G101" s="330"/>
    </row>
    <row r="102" spans="1:7" s="568" customFormat="1" ht="13.2">
      <c r="A102" s="239" t="s">
        <v>2016</v>
      </c>
      <c r="B102" s="329">
        <f>'Sources and Uses Budget'!C101</f>
        <v>0</v>
      </c>
      <c r="C102" s="329">
        <f>'Sources and Uses Budget'!C101</f>
        <v>0</v>
      </c>
      <c r="D102" s="329">
        <f>'Sources and Uses Budget'!C101</f>
        <v>0</v>
      </c>
      <c r="E102" s="331">
        <f t="shared" si="2"/>
        <v>0</v>
      </c>
      <c r="F102" s="330"/>
      <c r="G102" s="330"/>
    </row>
    <row r="103" spans="1:7" s="568" customFormat="1" ht="13.2">
      <c r="A103" s="889" t="s">
        <v>534</v>
      </c>
      <c r="B103" s="329">
        <f>'Sources and Uses Budget'!C102</f>
        <v>0</v>
      </c>
      <c r="C103" s="329">
        <f>'Sources and Uses Budget'!C102</f>
        <v>0</v>
      </c>
      <c r="D103" s="329">
        <f>'Sources and Uses Budget'!C102</f>
        <v>0</v>
      </c>
      <c r="E103" s="331">
        <f t="shared" si="2"/>
        <v>0</v>
      </c>
      <c r="F103" s="330"/>
      <c r="G103" s="330"/>
    </row>
    <row r="104" spans="1:7" s="568" customFormat="1" ht="13.2">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530</v>
      </c>
      <c r="B105" s="894">
        <f>'Sources and Uses Budget'!C104</f>
        <v>35101874</v>
      </c>
      <c r="C105" s="894">
        <f>'Sources and Uses Budget'!C104</f>
        <v>35101874</v>
      </c>
      <c r="D105" s="894">
        <f>'Sources and Uses Budget'!C104</f>
        <v>35101874</v>
      </c>
      <c r="E105" s="331">
        <f t="shared" si="2"/>
        <v>0</v>
      </c>
      <c r="F105" s="330"/>
      <c r="G105" s="893"/>
    </row>
    <row r="106" spans="1:7" s="568" customFormat="1" ht="13.2">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4" workbookViewId="0">
      <selection activeCell="A2" sqref="A2:J2"/>
    </sheetView>
  </sheetViews>
  <sheetFormatPr defaultColWidth="0" defaultRowHeight="13.2" zeroHeight="1"/>
  <cols>
    <col min="1" max="10" width="9.33203125" customWidth="1"/>
    <col min="11" max="16384" width="8.6640625" hidden="1"/>
  </cols>
  <sheetData>
    <row r="1" spans="1:10" ht="14.25" customHeight="1"/>
    <row r="2" spans="1:10" ht="15.6">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271" workbookViewId="0">
      <selection activeCell="B287" sqref="B287"/>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row r="2" spans="1:9" ht="13.2">
      <c r="A2" s="1017" t="s">
        <v>2304</v>
      </c>
      <c r="B2" s="1017"/>
      <c r="C2" s="986"/>
      <c r="D2" s="986"/>
      <c r="E2" s="986"/>
      <c r="F2" s="986"/>
      <c r="G2" s="986"/>
      <c r="I2" t="s">
        <v>79</v>
      </c>
    </row>
    <row r="3" spans="1:9" ht="13.2">
      <c r="A3" s="190"/>
      <c r="B3" s="190"/>
      <c r="C3"/>
      <c r="D3"/>
      <c r="E3"/>
      <c r="F3"/>
      <c r="G3"/>
      <c r="I3" s="5" t="s">
        <v>1392</v>
      </c>
    </row>
    <row r="4" spans="1:9" ht="13.2">
      <c r="A4" s="1018" t="s">
        <v>2136</v>
      </c>
      <c r="B4" s="1018"/>
      <c r="C4" s="1019"/>
      <c r="D4" s="1019"/>
      <c r="E4" s="1019"/>
      <c r="F4" s="1019"/>
      <c r="G4" s="1019"/>
      <c r="I4" s="5" t="s">
        <v>1376</v>
      </c>
    </row>
    <row r="5" spans="1:9" ht="13.2">
      <c r="A5" s="1018" t="s">
        <v>1041</v>
      </c>
      <c r="B5" s="1018"/>
      <c r="C5" s="1019"/>
      <c r="D5" s="1019"/>
      <c r="E5" s="1019"/>
      <c r="F5" s="1019"/>
      <c r="G5" s="1019"/>
      <c r="I5" t="s">
        <v>124</v>
      </c>
    </row>
    <row r="6" spans="1:9" ht="13.95" customHeight="1"/>
    <row r="7" spans="1:9" ht="13.2">
      <c r="A7" s="1021" t="s">
        <v>2316</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9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7" customHeight="1">
      <c r="A16" s="271"/>
      <c r="B16" s="609" t="s">
        <v>1376</v>
      </c>
      <c r="C16" s="191"/>
      <c r="D16" s="972" t="s">
        <v>2065</v>
      </c>
      <c r="E16" s="978"/>
      <c r="F16" s="978"/>
      <c r="G16" s="354"/>
    </row>
    <row r="17" spans="1:7" ht="14.7" customHeight="1">
      <c r="A17" s="271"/>
      <c r="C17" s="191"/>
      <c r="D17" s="978"/>
      <c r="E17" s="978"/>
      <c r="F17" s="978"/>
      <c r="G17" s="354"/>
    </row>
    <row r="18" spans="1:7" ht="13.2">
      <c r="A18" s="191"/>
      <c r="C18" s="191"/>
      <c r="D18" s="978"/>
      <c r="E18" s="978"/>
      <c r="F18" s="978"/>
      <c r="G18" s="354"/>
    </row>
    <row r="19" spans="1:7" ht="13.2">
      <c r="A19" s="191"/>
      <c r="C19" s="191"/>
      <c r="D19" s="24"/>
      <c r="E19" s="128" t="s">
        <v>2066</v>
      </c>
      <c r="F19" s="24"/>
      <c r="G19" s="354"/>
    </row>
    <row r="20" spans="1:7" ht="13.2">
      <c r="A20" s="191"/>
      <c r="B20" s="191"/>
      <c r="C20" s="191"/>
    </row>
    <row r="21" spans="1:7" ht="14.4">
      <c r="A21" s="271"/>
      <c r="B21" s="609" t="s">
        <v>1376</v>
      </c>
      <c r="D21" s="972" t="s">
        <v>2067</v>
      </c>
      <c r="E21" s="978"/>
      <c r="F21" s="978"/>
    </row>
    <row r="22" spans="1:7" ht="13.2">
      <c r="D22" s="978"/>
      <c r="E22" s="978"/>
      <c r="F22" s="978"/>
    </row>
    <row r="23" spans="1:7" ht="13.2">
      <c r="D23" s="102"/>
      <c r="E23" s="104" t="s">
        <v>2068</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2" t="s">
        <v>2137</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7" customHeight="1">
      <c r="A34" s="271"/>
      <c r="B34" s="609" t="s">
        <v>124</v>
      </c>
      <c r="D34" s="978" t="s">
        <v>2138</v>
      </c>
      <c r="E34" s="978"/>
      <c r="F34" s="978"/>
    </row>
    <row r="35" spans="1:6" ht="14.4">
      <c r="A35" s="271"/>
      <c r="B35" s="271"/>
      <c r="D35" s="978"/>
      <c r="E35" s="978"/>
      <c r="F35" s="978"/>
    </row>
    <row r="36" spans="1:6" ht="14.4">
      <c r="A36" s="271"/>
      <c r="B36" s="271"/>
      <c r="D36" s="209"/>
      <c r="E36" s="209"/>
      <c r="F36" s="209"/>
    </row>
    <row r="37" spans="1:6" ht="14.4">
      <c r="A37" s="271"/>
      <c r="B37" s="609" t="s">
        <v>124</v>
      </c>
      <c r="D37" s="972" t="s">
        <v>1754</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7"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1376</v>
      </c>
      <c r="D52" s="972" t="s">
        <v>1886</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1928</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124</v>
      </c>
      <c r="D64" s="978" t="s">
        <v>2139</v>
      </c>
      <c r="E64" s="978"/>
      <c r="F64" s="978"/>
    </row>
    <row r="65" spans="1:6" ht="15" customHeight="1">
      <c r="A65" s="271"/>
      <c r="B65" s="271"/>
      <c r="D65" s="978"/>
      <c r="E65" s="978"/>
      <c r="F65" s="978"/>
    </row>
    <row r="66" spans="1:6" ht="21.75" customHeight="1">
      <c r="A66" s="271"/>
      <c r="B66" s="271"/>
      <c r="D66" s="978"/>
      <c r="E66" s="978"/>
      <c r="F66" s="978"/>
    </row>
    <row r="67" spans="1:6" ht="14.4">
      <c r="A67" s="271"/>
      <c r="B67" s="271"/>
    </row>
    <row r="68" spans="1:6" ht="14.25" customHeight="1">
      <c r="A68" s="271"/>
      <c r="B68" s="609" t="s">
        <v>1376</v>
      </c>
      <c r="D68" s="972" t="s">
        <v>2069</v>
      </c>
      <c r="E68" s="978"/>
      <c r="F68" s="978"/>
    </row>
    <row r="69" spans="1:6" ht="13.2">
      <c r="D69" s="978"/>
      <c r="E69" s="978"/>
      <c r="F69" s="978"/>
    </row>
    <row r="70" spans="1:6" ht="13.2">
      <c r="D70" s="978"/>
      <c r="E70" s="978"/>
      <c r="F70" s="978"/>
    </row>
    <row r="71" spans="1:6" ht="14.4">
      <c r="A71" s="271"/>
      <c r="B71" s="271"/>
      <c r="D71" s="209"/>
      <c r="E71" s="128" t="s">
        <v>2066</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124</v>
      </c>
      <c r="D77" s="978" t="s">
        <v>1444</v>
      </c>
      <c r="E77" s="978"/>
      <c r="F77" s="978"/>
    </row>
    <row r="78" spans="1:6" ht="13.2">
      <c r="D78" s="978"/>
      <c r="E78" s="978"/>
      <c r="F78" s="978"/>
    </row>
    <row r="79" spans="1:6" ht="13.2"/>
    <row r="80" spans="1:6" ht="14.4">
      <c r="A80" s="271" t="s">
        <v>229</v>
      </c>
      <c r="B80" s="609" t="s">
        <v>1376</v>
      </c>
      <c r="D80" s="978" t="s">
        <v>1445</v>
      </c>
      <c r="E80" s="978"/>
      <c r="F80" s="978"/>
    </row>
    <row r="81" spans="1:7" ht="13.2">
      <c r="D81" s="978"/>
      <c r="E81" s="978"/>
      <c r="F81" s="978"/>
    </row>
    <row r="82" spans="1:7" ht="13.2">
      <c r="D82" s="978"/>
      <c r="E82" s="978"/>
      <c r="F82" s="978"/>
    </row>
    <row r="83" spans="1:7" ht="13.2">
      <c r="D83" s="44"/>
    </row>
    <row r="84" spans="1:7" ht="14.4">
      <c r="A84" s="271" t="s">
        <v>229</v>
      </c>
      <c r="B84" s="609" t="s">
        <v>1376</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95" customHeight="1">
      <c r="C89" s="590"/>
      <c r="D89" s="1005" t="s">
        <v>1381</v>
      </c>
      <c r="E89" s="1005"/>
      <c r="F89" s="1005"/>
      <c r="G89"/>
    </row>
    <row r="90" spans="1:7" ht="13.95" customHeight="1">
      <c r="A90" s="44"/>
      <c r="B90" s="44"/>
      <c r="D90" s="978" t="s">
        <v>1545</v>
      </c>
      <c r="E90" s="978"/>
      <c r="F90" s="978"/>
      <c r="G90"/>
    </row>
    <row r="91" spans="1:7" ht="13.2">
      <c r="A91" s="44"/>
      <c r="B91" s="44"/>
      <c r="E91"/>
      <c r="F91"/>
      <c r="G91"/>
    </row>
    <row r="92" spans="1:7" ht="14.25" customHeight="1">
      <c r="A92" s="271"/>
      <c r="B92" s="609" t="s">
        <v>1376</v>
      </c>
      <c r="D92" s="972" t="s">
        <v>1859</v>
      </c>
      <c r="E92" s="972"/>
      <c r="F92" s="972"/>
      <c r="G92"/>
    </row>
    <row r="93" spans="1:7" ht="14.7"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7" customHeight="1">
      <c r="A101" s="271"/>
      <c r="B101" s="609" t="s">
        <v>124</v>
      </c>
      <c r="D101" s="999" t="s">
        <v>1860</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1376</v>
      </c>
      <c r="D122" s="978" t="s">
        <v>1547</v>
      </c>
      <c r="E122" s="978"/>
      <c r="F122" s="978"/>
    </row>
    <row r="123" spans="1:7" ht="13.2">
      <c r="D123" s="978"/>
      <c r="E123" s="978"/>
      <c r="F123" s="978"/>
    </row>
    <row r="124" spans="1:7" ht="13.2">
      <c r="D124" s="978"/>
      <c r="E124" s="978"/>
      <c r="F124" s="978"/>
    </row>
    <row r="125" spans="1:7" ht="13.2">
      <c r="D125" s="978"/>
      <c r="E125" s="978"/>
      <c r="F125" s="978"/>
    </row>
    <row r="126" spans="1:7" ht="27" customHeight="1">
      <c r="D126" s="978"/>
      <c r="E126" s="978"/>
      <c r="F126" s="978"/>
    </row>
    <row r="127" spans="1:7" ht="13.2"/>
    <row r="128" spans="1:7" ht="14.4">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1731</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1732</v>
      </c>
      <c r="E159" s="1037"/>
      <c r="F159" s="1037"/>
      <c r="G159"/>
    </row>
    <row r="160" spans="1:7" ht="13.95" customHeight="1">
      <c r="A160" s="18"/>
      <c r="B160" s="18"/>
      <c r="D160" s="44"/>
      <c r="G160"/>
    </row>
    <row r="161" spans="1:7" ht="13.95" customHeight="1">
      <c r="A161" s="271"/>
      <c r="B161" s="609" t="s">
        <v>124</v>
      </c>
      <c r="D161" s="999" t="s">
        <v>2301</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2140</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1376</v>
      </c>
      <c r="D181" s="1001" t="s">
        <v>1734</v>
      </c>
      <c r="E181" s="1002"/>
      <c r="F181" s="1002"/>
    </row>
    <row r="182" spans="1:6" ht="14.4">
      <c r="A182" s="271"/>
      <c r="D182" s="312"/>
      <c r="E182" s="102"/>
      <c r="F182" s="102"/>
    </row>
    <row r="183" spans="1:6" ht="14.4">
      <c r="A183" s="271"/>
      <c r="B183" s="609" t="s">
        <v>1376</v>
      </c>
      <c r="D183" s="1002" t="s">
        <v>1550</v>
      </c>
      <c r="E183" s="1002"/>
      <c r="F183" s="1002"/>
    </row>
    <row r="184" spans="1:6" ht="14.4">
      <c r="A184" s="271"/>
      <c r="D184" s="102"/>
      <c r="E184" s="102"/>
      <c r="F184" s="102"/>
    </row>
    <row r="185" spans="1:6" ht="14.4">
      <c r="A185" s="271"/>
      <c r="B185" s="609" t="s">
        <v>1376</v>
      </c>
      <c r="D185" s="1038" t="s">
        <v>1812</v>
      </c>
      <c r="E185" s="1038"/>
      <c r="F185" s="1038"/>
    </row>
    <row r="186" spans="1:6" ht="13.95" customHeight="1">
      <c r="A186" s="271"/>
      <c r="D186" s="41" t="s">
        <v>900</v>
      </c>
      <c r="E186" s="972" t="s">
        <v>2135</v>
      </c>
      <c r="F186" s="972"/>
    </row>
    <row r="187" spans="1:6" ht="14.4">
      <c r="A187" s="271"/>
      <c r="D187" s="776"/>
      <c r="E187" s="972"/>
      <c r="F187" s="972"/>
    </row>
    <row r="188" spans="1:6" ht="14.4">
      <c r="A188" s="271"/>
      <c r="D188" s="776"/>
      <c r="E188" s="972"/>
      <c r="F188" s="972"/>
    </row>
    <row r="189" spans="1:6" ht="14.4">
      <c r="A189" s="271"/>
      <c r="D189"/>
      <c r="E189" s="972"/>
      <c r="F189" s="972"/>
    </row>
    <row r="190" spans="1:6" ht="13.95" customHeight="1">
      <c r="A190" s="271"/>
      <c r="D190" s="776" t="s">
        <v>901</v>
      </c>
      <c r="E190" s="972" t="s">
        <v>1813</v>
      </c>
      <c r="F190" s="972"/>
    </row>
    <row r="191" spans="1:6" ht="13.95" customHeight="1">
      <c r="A191" s="271"/>
      <c r="D191" s="776"/>
      <c r="E191" s="972"/>
      <c r="F191" s="972"/>
    </row>
    <row r="192" spans="1:6" ht="13.95" customHeight="1">
      <c r="A192" s="271"/>
      <c r="D192" s="776"/>
      <c r="E192" s="972"/>
      <c r="F192" s="972"/>
    </row>
    <row r="193" spans="1:7" ht="13.95" customHeight="1">
      <c r="A193" s="271"/>
      <c r="D193" s="776"/>
      <c r="E193" s="972"/>
      <c r="F193" s="972"/>
    </row>
    <row r="194" spans="1:7" ht="13.9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124</v>
      </c>
      <c r="D198" s="972" t="s">
        <v>2305</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2307</v>
      </c>
      <c r="E202" s="1037"/>
      <c r="F202" s="1037"/>
    </row>
    <row r="203" spans="1:7" ht="13.2">
      <c r="D203" s="625"/>
      <c r="E203" s="625"/>
      <c r="F203" s="625"/>
    </row>
    <row r="204" spans="1:7" ht="14.4">
      <c r="A204" s="271"/>
      <c r="B204" s="609" t="s">
        <v>124</v>
      </c>
      <c r="D204" s="997" t="s">
        <v>2308</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2141</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7" customHeight="1">
      <c r="A224" s="271"/>
      <c r="B224" s="609" t="s">
        <v>124</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2070</v>
      </c>
      <c r="F226" s="1010"/>
    </row>
    <row r="227" spans="1:6" ht="13.2">
      <c r="D227" s="1001" t="s">
        <v>1409</v>
      </c>
      <c r="E227" s="1002"/>
      <c r="F227" s="1002"/>
    </row>
    <row r="228" spans="1:6" ht="13.2"/>
    <row r="229" spans="1:6" ht="14.4">
      <c r="A229" s="271"/>
      <c r="B229" s="609" t="s">
        <v>124</v>
      </c>
      <c r="D229" s="1002" t="s">
        <v>293</v>
      </c>
      <c r="E229" s="1002"/>
      <c r="F229" s="1002"/>
    </row>
    <row r="230" spans="1:6" ht="14.4">
      <c r="A230" s="271"/>
      <c r="D230" s="998" t="s">
        <v>1111</v>
      </c>
      <c r="E230" s="998"/>
      <c r="F230" s="998"/>
    </row>
    <row r="231" spans="1:6" ht="14.4">
      <c r="A231" s="271"/>
      <c r="B231" s="271"/>
      <c r="D231" s="63" t="s">
        <v>1431</v>
      </c>
      <c r="E231" s="1010" t="s">
        <v>2071</v>
      </c>
      <c r="F231" s="1010"/>
    </row>
    <row r="232" spans="1:6" ht="13.2">
      <c r="D232" s="1002" t="s">
        <v>1410</v>
      </c>
      <c r="E232" s="1002"/>
      <c r="F232" s="1002"/>
    </row>
    <row r="233" spans="1:6" ht="13.2"/>
    <row r="234" spans="1:6" ht="14.4">
      <c r="A234" s="271"/>
      <c r="B234" s="609" t="s">
        <v>1376</v>
      </c>
      <c r="D234" s="1002" t="s">
        <v>641</v>
      </c>
      <c r="E234" s="1002"/>
      <c r="F234" s="1002"/>
    </row>
    <row r="235" spans="1:6" ht="14.4">
      <c r="A235" s="271"/>
      <c r="D235" s="44" t="s">
        <v>1111</v>
      </c>
    </row>
    <row r="236" spans="1:6" ht="14.4">
      <c r="A236" s="271"/>
      <c r="B236" s="271"/>
      <c r="D236" s="63" t="s">
        <v>1430</v>
      </c>
      <c r="E236" s="1010" t="s">
        <v>2072</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2" t="s">
        <v>642</v>
      </c>
      <c r="E244" s="1002"/>
      <c r="F244" s="1002"/>
    </row>
    <row r="245" spans="1:6" ht="14.4">
      <c r="A245" s="271"/>
      <c r="D245" s="1002" t="s">
        <v>1111</v>
      </c>
      <c r="E245" s="1002"/>
      <c r="F245" s="1002"/>
    </row>
    <row r="246" spans="1:6" ht="14.4">
      <c r="A246" s="271"/>
      <c r="B246" s="271"/>
      <c r="D246" s="63" t="s">
        <v>1430</v>
      </c>
      <c r="E246" s="1010" t="s">
        <v>2073</v>
      </c>
      <c r="F246" s="1010"/>
    </row>
    <row r="247" spans="1:6" ht="13.2">
      <c r="D247" s="1001" t="s">
        <v>1932</v>
      </c>
      <c r="E247" s="1002"/>
      <c r="F247" s="1002"/>
    </row>
    <row r="248" spans="1:6" ht="13.2">
      <c r="D248" s="102"/>
      <c r="E248" s="102"/>
      <c r="F248" s="102"/>
    </row>
    <row r="249" spans="1:6" ht="14.4">
      <c r="A249" s="271"/>
      <c r="B249" s="609" t="s">
        <v>124</v>
      </c>
      <c r="D249" s="1001" t="s">
        <v>1931</v>
      </c>
      <c r="E249" s="1002"/>
      <c r="F249" s="1002"/>
    </row>
    <row r="250" spans="1:6" ht="14.4">
      <c r="A250" s="271"/>
      <c r="D250" s="1002" t="s">
        <v>1111</v>
      </c>
      <c r="E250" s="1002"/>
      <c r="F250" s="1002"/>
    </row>
    <row r="251" spans="1:6" ht="14.4">
      <c r="A251" s="271"/>
      <c r="B251" s="271"/>
      <c r="D251" s="63" t="s">
        <v>1430</v>
      </c>
      <c r="E251" s="1010" t="s">
        <v>2074</v>
      </c>
      <c r="F251" s="1010"/>
    </row>
    <row r="252" spans="1:6" ht="13.2">
      <c r="D252" s="1001" t="s">
        <v>1933</v>
      </c>
      <c r="E252" s="1002"/>
      <c r="F252" s="1002"/>
    </row>
    <row r="253" spans="1:6" ht="13.2">
      <c r="D253" s="44"/>
    </row>
    <row r="254" spans="1:6" ht="14.4">
      <c r="A254" s="271"/>
      <c r="B254" s="609" t="s">
        <v>124</v>
      </c>
      <c r="D254" s="102" t="s">
        <v>1453</v>
      </c>
      <c r="E254" s="102"/>
      <c r="F254" s="102"/>
    </row>
    <row r="255" spans="1:6" ht="14.4">
      <c r="A255" s="271"/>
      <c r="B255"/>
      <c r="D255" s="972" t="s">
        <v>1755</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7" customHeight="1">
      <c r="A267" s="271"/>
      <c r="B267" s="609" t="s">
        <v>1376</v>
      </c>
      <c r="C267" s="880"/>
      <c r="D267" s="1013" t="s">
        <v>2010</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7" customHeight="1">
      <c r="A270" s="271"/>
      <c r="B270" s="881"/>
      <c r="C270" s="880"/>
      <c r="D270" s="1013"/>
      <c r="E270" s="1013"/>
      <c r="F270" s="1013"/>
      <c r="G270"/>
    </row>
    <row r="271" spans="1:7" ht="14.4">
      <c r="A271" s="271"/>
      <c r="B271" s="881"/>
      <c r="C271" s="880"/>
      <c r="D271" s="882"/>
      <c r="E271" s="882"/>
      <c r="F271" s="882"/>
      <c r="G271"/>
    </row>
    <row r="272" spans="1:7" ht="14.4">
      <c r="A272" s="271"/>
      <c r="B272" s="609" t="s">
        <v>1376</v>
      </c>
      <c r="C272" s="880"/>
      <c r="D272" s="1013" t="s">
        <v>2011</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7" customHeight="1">
      <c r="A284" s="289"/>
      <c r="B284" s="609" t="s">
        <v>124</v>
      </c>
      <c r="C284" s="798"/>
      <c r="D284" s="1011" t="s">
        <v>1926</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2075</v>
      </c>
      <c r="F287" s="926"/>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7" t="s">
        <v>2076</v>
      </c>
      <c r="F291" s="3"/>
    </row>
    <row r="292" spans="1:7" ht="13.2">
      <c r="D292" s="28"/>
    </row>
    <row r="293" spans="1:7" ht="14.4">
      <c r="A293" s="271"/>
      <c r="B293" s="609" t="s">
        <v>1376</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7" customHeight="1">
      <c r="A301" s="271"/>
      <c r="B301" s="609" t="s">
        <v>124</v>
      </c>
      <c r="D301" s="972" t="s">
        <v>1883</v>
      </c>
      <c r="E301" s="978"/>
      <c r="F301" s="978"/>
    </row>
    <row r="302" spans="1:7" ht="13.2">
      <c r="D302" s="978"/>
      <c r="E302" s="978"/>
      <c r="F302" s="978"/>
    </row>
    <row r="303" spans="1:7" ht="13.2">
      <c r="D303" s="978"/>
      <c r="E303" s="978"/>
      <c r="F303" s="978"/>
    </row>
    <row r="304" spans="1:7" ht="13.2">
      <c r="D304" s="24"/>
      <c r="E304" s="24"/>
      <c r="F304" s="24"/>
    </row>
    <row r="305" spans="1:7" s="448" customFormat="1" ht="14.7" customHeight="1">
      <c r="A305" s="289"/>
      <c r="B305" s="609" t="s">
        <v>124</v>
      </c>
      <c r="C305" s="798"/>
      <c r="D305" s="1011" t="s">
        <v>1927</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2077</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7" customHeight="1">
      <c r="A318" s="271"/>
      <c r="B318" s="609" t="s">
        <v>124</v>
      </c>
      <c r="D318" s="978" t="s">
        <v>1564</v>
      </c>
      <c r="E318" s="978"/>
      <c r="F318" s="978"/>
    </row>
    <row r="319" spans="1:7" ht="14.4">
      <c r="A319" s="271"/>
      <c r="B319" s="271"/>
      <c r="D319" s="978"/>
      <c r="E319" s="978"/>
      <c r="F319" s="978"/>
    </row>
    <row r="320" spans="1:7" ht="13.2"/>
    <row r="321" spans="1:7" ht="14.7"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7"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7"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2078</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2079</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124</v>
      </c>
      <c r="C373" s="361"/>
      <c r="D373" s="1008" t="s">
        <v>2142</v>
      </c>
      <c r="E373" s="1008"/>
      <c r="F373" s="1008"/>
    </row>
    <row r="374" spans="1:6" ht="14.4">
      <c r="A374" s="271"/>
      <c r="B374" s="271"/>
      <c r="C374" s="361"/>
      <c r="D374" s="420"/>
    </row>
    <row r="375" spans="1:6" ht="14.4">
      <c r="A375" s="271"/>
      <c r="B375" s="609" t="s">
        <v>124</v>
      </c>
      <c r="C375" s="361"/>
      <c r="D375" s="973" t="s">
        <v>2143</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95" customHeight="1">
      <c r="A400" s="361"/>
      <c r="B400" s="361"/>
      <c r="C400" s="361"/>
      <c r="D400" s="996" t="s">
        <v>1575</v>
      </c>
      <c r="E400" s="996"/>
      <c r="F400" s="996"/>
    </row>
    <row r="401" spans="1:6" ht="13.95" customHeight="1">
      <c r="A401" s="361"/>
      <c r="B401" s="361"/>
      <c r="C401" s="361"/>
      <c r="D401" s="996"/>
      <c r="E401" s="996"/>
      <c r="F401" s="996"/>
    </row>
    <row r="402" spans="1:6" ht="13.95" customHeight="1">
      <c r="A402" s="361"/>
      <c r="B402" s="361"/>
      <c r="C402" s="361"/>
      <c r="D402" s="996"/>
      <c r="E402" s="996"/>
      <c r="F402" s="996"/>
    </row>
    <row r="403" spans="1:6" ht="13.95" customHeight="1">
      <c r="A403" s="361"/>
      <c r="B403" s="361"/>
      <c r="C403" s="361"/>
      <c r="D403" s="996"/>
      <c r="E403" s="996"/>
      <c r="F403" s="996"/>
    </row>
    <row r="404" spans="1:6" ht="13.95" customHeight="1">
      <c r="A404" s="361"/>
      <c r="B404" s="361"/>
      <c r="C404" s="361"/>
      <c r="D404" s="996"/>
      <c r="E404" s="996"/>
      <c r="F404" s="996"/>
    </row>
    <row r="405" spans="1:6" ht="13.95" customHeight="1">
      <c r="A405" s="361"/>
      <c r="B405" s="361"/>
      <c r="C405" s="361"/>
      <c r="D405" s="996"/>
      <c r="E405" s="996"/>
      <c r="F405" s="996"/>
    </row>
    <row r="406" spans="1:6" ht="13.95" customHeight="1">
      <c r="A406" s="361"/>
      <c r="B406" s="361"/>
      <c r="C406" s="361"/>
      <c r="D406" s="996"/>
      <c r="E406" s="996"/>
      <c r="F406" s="996"/>
    </row>
    <row r="407" spans="1:6" ht="13.95" customHeight="1">
      <c r="A407" s="361"/>
      <c r="B407" s="361"/>
      <c r="C407" s="361"/>
      <c r="D407" s="996"/>
      <c r="E407" s="996"/>
      <c r="F407" s="996"/>
    </row>
    <row r="408" spans="1:6" ht="13.95" customHeight="1">
      <c r="A408" s="361"/>
      <c r="B408" s="361"/>
      <c r="C408" s="361"/>
      <c r="D408" s="996"/>
      <c r="E408" s="996"/>
      <c r="F408" s="996"/>
    </row>
    <row r="409" spans="1:6" ht="13.95" customHeight="1">
      <c r="A409" s="361"/>
      <c r="B409" s="361"/>
      <c r="C409" s="361"/>
      <c r="D409" s="996"/>
      <c r="E409" s="996"/>
      <c r="F409" s="996"/>
    </row>
    <row r="410" spans="1:6" ht="13.95" customHeight="1">
      <c r="A410" s="361"/>
      <c r="B410" s="361"/>
      <c r="C410" s="361"/>
      <c r="D410" s="996"/>
      <c r="E410" s="996"/>
      <c r="F410" s="996"/>
    </row>
    <row r="411" spans="1:6" ht="13.95" customHeight="1">
      <c r="A411" s="361"/>
      <c r="B411" s="361"/>
      <c r="C411" s="361"/>
      <c r="D411" s="996"/>
      <c r="E411" s="996"/>
      <c r="F411" s="996"/>
    </row>
    <row r="412" spans="1:6" ht="13.95" customHeight="1">
      <c r="A412" s="361"/>
      <c r="B412" s="361"/>
      <c r="C412" s="361"/>
      <c r="D412" s="996"/>
      <c r="E412" s="996"/>
      <c r="F412" s="996"/>
    </row>
    <row r="413" spans="1:6" ht="13.95" customHeight="1">
      <c r="A413" s="361"/>
      <c r="B413" s="361"/>
      <c r="C413" s="361"/>
      <c r="D413" s="996"/>
      <c r="E413" s="996"/>
      <c r="F413" s="996"/>
    </row>
    <row r="414" spans="1:6" ht="13.95" customHeight="1">
      <c r="A414" s="361"/>
      <c r="B414" s="361"/>
      <c r="C414" s="361"/>
      <c r="D414" s="996"/>
      <c r="E414" s="996"/>
      <c r="F414" s="996"/>
    </row>
    <row r="415" spans="1:6" ht="13.95" customHeight="1">
      <c r="A415" s="361"/>
      <c r="B415" s="361"/>
      <c r="C415" s="361"/>
      <c r="D415" s="996"/>
      <c r="E415" s="996"/>
      <c r="F415" s="996"/>
    </row>
    <row r="416" spans="1:6" ht="13.95" customHeight="1">
      <c r="A416" s="361"/>
      <c r="B416" s="361"/>
      <c r="C416" s="361"/>
      <c r="D416" s="996"/>
      <c r="E416" s="996"/>
      <c r="F416" s="996"/>
    </row>
    <row r="417" spans="1:6" ht="13.95" customHeight="1">
      <c r="A417" s="361"/>
      <c r="B417" s="361"/>
      <c r="C417" s="361"/>
      <c r="D417" s="996"/>
      <c r="E417" s="996"/>
      <c r="F417" s="996"/>
    </row>
    <row r="418" spans="1:6" ht="13.2">
      <c r="A418" s="361"/>
      <c r="B418" s="361"/>
      <c r="C418" s="361"/>
      <c r="D418" s="420"/>
    </row>
    <row r="419" spans="1:6" ht="13.95" customHeight="1">
      <c r="A419" s="361"/>
      <c r="B419" s="609" t="s">
        <v>124</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1880</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7" customHeight="1">
      <c r="A428" s="271"/>
      <c r="B428" s="609" t="s">
        <v>124</v>
      </c>
      <c r="C428" s="361"/>
      <c r="D428" s="999" t="s">
        <v>1861</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1876</v>
      </c>
      <c r="E432" s="1000"/>
      <c r="F432" s="1000"/>
    </row>
    <row r="433" spans="1:6" ht="13.2">
      <c r="D433" s="44"/>
    </row>
    <row r="434" spans="1:6" ht="14.7" customHeight="1">
      <c r="A434" s="271"/>
      <c r="B434" s="609" t="s">
        <v>124</v>
      </c>
      <c r="C434" s="207"/>
      <c r="D434" s="978" t="s">
        <v>2144</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2081</v>
      </c>
      <c r="E466" s="998"/>
      <c r="F466" s="998"/>
    </row>
    <row r="467" spans="1:6" ht="13.2">
      <c r="D467"/>
      <c r="E467" s="928" t="s">
        <v>2080</v>
      </c>
      <c r="F467" s="928"/>
    </row>
    <row r="468" spans="1:6" ht="13.95" customHeight="1">
      <c r="D468" s="972" t="s">
        <v>1858</v>
      </c>
      <c r="E468" s="978"/>
      <c r="F468" s="978"/>
    </row>
    <row r="469" spans="1:6" ht="13.95" customHeight="1">
      <c r="D469" s="978"/>
      <c r="E469" s="978"/>
      <c r="F469" s="978"/>
    </row>
    <row r="470" spans="1:6" ht="13.2">
      <c r="D470" s="44"/>
    </row>
    <row r="471" spans="1:6" ht="14.7"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1719</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95"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124</v>
      </c>
      <c r="D506" s="996" t="s">
        <v>1579</v>
      </c>
      <c r="E506" s="996"/>
      <c r="F506" s="996"/>
    </row>
    <row r="507" spans="1:7" ht="14.4">
      <c r="A507" s="271"/>
      <c r="B507" s="271"/>
      <c r="D507" s="996"/>
      <c r="E507" s="996"/>
      <c r="F507" s="996"/>
    </row>
    <row r="508" spans="1:7" ht="14.4">
      <c r="A508" s="271"/>
      <c r="B508" s="271"/>
      <c r="D508" s="44"/>
    </row>
    <row r="509" spans="1:7" ht="14.4">
      <c r="A509" s="271"/>
      <c r="B509" s="609" t="s">
        <v>1376</v>
      </c>
      <c r="D509" s="1009" t="s">
        <v>1877</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1376</v>
      </c>
      <c r="D514" s="998" t="s">
        <v>1581</v>
      </c>
      <c r="E514" s="998"/>
      <c r="F514" s="998"/>
      <c r="G514"/>
    </row>
    <row r="515" spans="1:7" ht="13.2">
      <c r="D515" s="44"/>
      <c r="G515"/>
    </row>
    <row r="516" spans="1:7" ht="14.4">
      <c r="A516" s="271"/>
      <c r="B516" s="609" t="s">
        <v>1376</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1376</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2145</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1376</v>
      </c>
      <c r="C531" s="191"/>
      <c r="D531" s="929" t="s">
        <v>2082</v>
      </c>
      <c r="E531" s="930"/>
      <c r="G531"/>
    </row>
    <row r="532" spans="1:7" ht="13.2">
      <c r="A532" s="191"/>
      <c r="B532" s="191"/>
      <c r="C532" s="191"/>
      <c r="D532" s="930"/>
      <c r="E532" s="104" t="s">
        <v>2083</v>
      </c>
      <c r="G532"/>
    </row>
    <row r="533" spans="1:7" ht="14.4">
      <c r="A533" s="271"/>
      <c r="B533"/>
      <c r="D533" s="996" t="s">
        <v>2146</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7"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7"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124</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26" t="s">
        <v>2084</v>
      </c>
      <c r="E574" s="1026"/>
      <c r="F574" s="1026"/>
      <c r="G574"/>
    </row>
    <row r="575" spans="1:7" ht="13.2">
      <c r="A575" s="18"/>
      <c r="B575" s="18"/>
      <c r="C575" s="207"/>
      <c r="D575" s="931"/>
      <c r="E575" s="104" t="s">
        <v>2085</v>
      </c>
      <c r="F575" s="932"/>
      <c r="G575"/>
    </row>
    <row r="576" spans="1:7" ht="15" customHeight="1">
      <c r="A576" s="18"/>
      <c r="B576" s="18"/>
      <c r="C576" s="207"/>
      <c r="D576" s="972" t="s">
        <v>1753</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9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7" customHeight="1">
      <c r="A591" s="271"/>
      <c r="B591" s="609" t="s">
        <v>1376</v>
      </c>
      <c r="C591" s="207"/>
      <c r="D591" s="978" t="s">
        <v>2147</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1815</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1376</v>
      </c>
      <c r="D604" s="1006" t="s">
        <v>1114</v>
      </c>
      <c r="E604" s="1006"/>
      <c r="F604" s="1006"/>
    </row>
    <row r="605" spans="1:7" ht="13.2">
      <c r="A605" s="18"/>
      <c r="B605" s="18"/>
      <c r="D605" s="361"/>
    </row>
    <row r="606" spans="1:7" ht="14.7" customHeight="1">
      <c r="A606" s="271"/>
      <c r="B606" s="609" t="s">
        <v>1376</v>
      </c>
      <c r="D606" s="1006" t="s">
        <v>2148</v>
      </c>
      <c r="E606" s="1006"/>
      <c r="F606" s="1006"/>
    </row>
    <row r="607" spans="1:7" ht="14.7"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1376</v>
      </c>
      <c r="D615" s="1006" t="s">
        <v>2149</v>
      </c>
      <c r="E615" s="1006"/>
      <c r="F615" s="1006"/>
    </row>
    <row r="616" spans="1:7" ht="14.4">
      <c r="A616" s="271"/>
      <c r="B616" s="271"/>
      <c r="D616" s="1006"/>
      <c r="E616" s="1006"/>
      <c r="F616" s="1006"/>
    </row>
    <row r="617" spans="1:7" ht="14.4">
      <c r="A617" s="271"/>
      <c r="B617" s="271"/>
      <c r="D617" s="371"/>
    </row>
    <row r="618" spans="1:7" ht="14.7" customHeight="1">
      <c r="A618" s="271"/>
      <c r="B618" s="609" t="s">
        <v>124</v>
      </c>
      <c r="D618" s="1006" t="s">
        <v>1447</v>
      </c>
      <c r="E618" s="1006"/>
      <c r="F618" s="1006"/>
    </row>
    <row r="619" spans="1:7" ht="14.4">
      <c r="A619" s="271"/>
      <c r="B619" s="271"/>
      <c r="D619" s="1006"/>
      <c r="E619" s="1006"/>
      <c r="F619" s="1006"/>
    </row>
    <row r="620" spans="1:7" ht="14.4">
      <c r="A620" s="271"/>
      <c r="B620" s="271"/>
      <c r="D620" s="371"/>
    </row>
    <row r="621" spans="1:7" ht="14.4">
      <c r="A621" s="271"/>
      <c r="B621" s="609" t="s">
        <v>1376</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1376</v>
      </c>
      <c r="D628" s="993" t="s">
        <v>2087</v>
      </c>
      <c r="E628" s="994"/>
      <c r="F628" s="994"/>
    </row>
    <row r="629" spans="1:7" ht="13.2">
      <c r="D629" s="994"/>
      <c r="E629" s="994"/>
      <c r="F629" s="994"/>
    </row>
    <row r="630" spans="1:7" ht="13.2">
      <c r="D630" s="933"/>
      <c r="E630" s="927" t="s">
        <v>2086</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1376</v>
      </c>
      <c r="D638" s="1002" t="s">
        <v>1554</v>
      </c>
      <c r="E638" s="1002"/>
      <c r="F638" s="1002"/>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124</v>
      </c>
      <c r="D643" s="972" t="s">
        <v>1923</v>
      </c>
      <c r="E643" s="972"/>
      <c r="F643" s="972"/>
    </row>
    <row r="644" spans="1:7" ht="13.95" customHeight="1">
      <c r="D644" s="972"/>
      <c r="E644" s="972"/>
      <c r="F644" s="972"/>
    </row>
    <row r="645" spans="1:7" ht="13.2"/>
    <row r="646" spans="1:7" ht="14.4">
      <c r="A646" s="271"/>
      <c r="B646" s="609" t="s">
        <v>124</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1376</v>
      </c>
      <c r="D652" s="993" t="s">
        <v>2150</v>
      </c>
      <c r="E652" s="993"/>
      <c r="F652" s="993"/>
    </row>
    <row r="653" spans="1:7" ht="14.4">
      <c r="A653" s="271"/>
      <c r="B653" s="271"/>
      <c r="D653" s="993"/>
      <c r="E653" s="993"/>
      <c r="F653" s="993"/>
    </row>
    <row r="654" spans="1:7" ht="13.2">
      <c r="D654" s="933"/>
      <c r="E654" s="927" t="s">
        <v>2089</v>
      </c>
      <c r="F654" s="933"/>
    </row>
    <row r="655" spans="1:7" ht="13.2">
      <c r="D655" s="975" t="s">
        <v>2088</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95" customHeight="1">
      <c r="A662" s="303"/>
      <c r="B662" s="609" t="s">
        <v>124</v>
      </c>
      <c r="D662" s="1013" t="s">
        <v>1816</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7" customHeight="1">
      <c r="A672" s="271"/>
      <c r="B672" s="609" t="s">
        <v>1376</v>
      </c>
      <c r="C672" s="207"/>
      <c r="D672" s="972" t="s">
        <v>1879</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2151</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1878</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2091</v>
      </c>
      <c r="F695" s="15"/>
    </row>
    <row r="696" spans="1:7" ht="13.2">
      <c r="A696" s="191"/>
      <c r="B696" s="191"/>
      <c r="C696" s="191"/>
      <c r="E696" s="926" t="s">
        <v>2090</v>
      </c>
      <c r="F696" s="15"/>
    </row>
    <row r="697" spans="1:7" ht="13.2">
      <c r="A697" s="191"/>
      <c r="B697" s="191"/>
      <c r="C697" s="191"/>
      <c r="D697" s="212"/>
      <c r="E697" s="212"/>
      <c r="F697" s="212"/>
    </row>
    <row r="698" spans="1:7" ht="14.4">
      <c r="A698" s="271"/>
      <c r="B698" s="609" t="s">
        <v>124</v>
      </c>
      <c r="C698" s="191"/>
      <c r="D698" s="978" t="s">
        <v>2152</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1376</v>
      </c>
      <c r="C702" s="191"/>
      <c r="D702" s="998" t="s">
        <v>1174</v>
      </c>
      <c r="E702" s="998"/>
      <c r="F702" s="998"/>
    </row>
    <row r="703" spans="1:7" ht="14.4">
      <c r="A703" s="271"/>
      <c r="B703" s="271"/>
      <c r="C703" s="191"/>
      <c r="D703" s="998" t="s">
        <v>1133</v>
      </c>
      <c r="E703" s="998"/>
      <c r="F703" s="998"/>
    </row>
    <row r="704" spans="1:7" ht="13.2">
      <c r="A704" s="191"/>
      <c r="B704" s="191"/>
      <c r="C704" s="191"/>
      <c r="E704" s="1015" t="s">
        <v>2092</v>
      </c>
      <c r="F704" s="1015"/>
    </row>
    <row r="705" spans="1:6" ht="13.2">
      <c r="A705" s="191"/>
      <c r="B705" s="191"/>
      <c r="C705" s="191"/>
      <c r="D705" s="3"/>
    </row>
    <row r="706" spans="1:6" ht="14.4">
      <c r="A706" s="271"/>
      <c r="B706" s="609" t="s">
        <v>1376</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1376</v>
      </c>
      <c r="C713" s="191"/>
      <c r="D713" s="972" t="s">
        <v>1733</v>
      </c>
      <c r="E713" s="978"/>
      <c r="F713" s="978"/>
    </row>
    <row r="714" spans="1:6" ht="13.2">
      <c r="A714" s="191"/>
      <c r="B714" s="191"/>
      <c r="C714" s="191"/>
      <c r="D714" s="978"/>
      <c r="E714" s="978"/>
      <c r="F714" s="978"/>
    </row>
    <row r="715" spans="1:6" ht="13.2">
      <c r="A715" s="191"/>
      <c r="B715" s="191"/>
      <c r="C715" s="191"/>
    </row>
    <row r="716" spans="1:6" ht="14.7"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124</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7" customHeight="1">
      <c r="A736" s="271"/>
      <c r="B736" s="609" t="s">
        <v>124</v>
      </c>
      <c r="C736" s="191"/>
      <c r="D736" s="972" t="s">
        <v>1924</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7"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2218</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124</v>
      </c>
      <c r="D770" s="1013" t="s">
        <v>1865</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124</v>
      </c>
      <c r="C775" s="433"/>
      <c r="D775" s="1011" t="s">
        <v>1866</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95" customHeight="1">
      <c r="B782" s="609" t="s">
        <v>124</v>
      </c>
      <c r="D782" s="972" t="s">
        <v>1756</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9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1376</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2213</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7" customHeight="1">
      <c r="A799" s="271"/>
      <c r="B799" s="609" t="s">
        <v>124</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2012</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1867</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124</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1884</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1881</v>
      </c>
      <c r="E846" s="972"/>
      <c r="F846" s="972"/>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2075</v>
      </c>
      <c r="F849" s="979"/>
      <c r="H849" s="267"/>
      <c r="I849" s="267"/>
    </row>
    <row r="850" spans="1:9" ht="13.2">
      <c r="A850" s="18"/>
      <c r="B850" s="18"/>
      <c r="C850" s="207"/>
      <c r="D850" s="213"/>
      <c r="H850" s="267"/>
      <c r="I850" s="267"/>
    </row>
    <row r="851" spans="1:9" ht="13.2">
      <c r="A851" s="18"/>
      <c r="B851" s="609" t="s">
        <v>124</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2153</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2077</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1882</v>
      </c>
      <c r="E886" s="1050"/>
      <c r="F886" s="1050"/>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48" t="s">
        <v>2077</v>
      </c>
      <c r="F889" s="1048"/>
      <c r="G889" s="188"/>
    </row>
    <row r="890" spans="1:9" ht="13.2">
      <c r="D890" s="44"/>
      <c r="E890" s="188"/>
      <c r="F890" s="188"/>
      <c r="G890" s="188"/>
      <c r="H890" s="267"/>
      <c r="I890" s="267"/>
    </row>
    <row r="891" spans="1:9" ht="14.4">
      <c r="A891" s="271"/>
      <c r="B891" s="609" t="s">
        <v>1376</v>
      </c>
      <c r="D891" s="972" t="s">
        <v>1885</v>
      </c>
      <c r="E891" s="1025"/>
      <c r="F891" s="1025"/>
    </row>
    <row r="892" spans="1:9" ht="12.75" customHeight="1">
      <c r="D892" s="1025"/>
      <c r="E892" s="1025"/>
      <c r="F892" s="1025"/>
    </row>
    <row r="893" spans="1:9" ht="14.4">
      <c r="A893" s="271"/>
      <c r="B893" s="271"/>
      <c r="D893" s="44"/>
      <c r="E893" s="188"/>
      <c r="F893" s="188"/>
      <c r="G893" s="188"/>
      <c r="H893" s="267"/>
      <c r="I893" s="267"/>
    </row>
    <row r="894" spans="1:9" ht="13.2">
      <c r="B894" s="609" t="s">
        <v>124</v>
      </c>
      <c r="D894" s="1046" t="s">
        <v>1680</v>
      </c>
      <c r="E894" s="1046"/>
      <c r="F894" s="1046"/>
      <c r="G894" s="188"/>
      <c r="H894" s="267"/>
      <c r="I894" s="267"/>
    </row>
    <row r="895" spans="1:9" ht="29.7" customHeight="1">
      <c r="B895" s="565"/>
      <c r="D895" s="1046"/>
      <c r="E895" s="1046"/>
      <c r="F895" s="1046"/>
      <c r="G895" s="188"/>
      <c r="H895" s="267"/>
      <c r="I895" s="267"/>
    </row>
    <row r="896" spans="1:9" ht="14.4">
      <c r="A896" s="271"/>
      <c r="B896"/>
      <c r="D896" s="978" t="s">
        <v>2153</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2077</v>
      </c>
      <c r="F905" s="1047"/>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95"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7" customHeight="1">
      <c r="A962" s="271"/>
      <c r="B962" s="609" t="s">
        <v>1376</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7" customHeight="1">
      <c r="A969" s="271"/>
      <c r="B969" s="609" t="s">
        <v>124</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7" customHeight="1">
      <c r="A981" s="271"/>
      <c r="B981" s="609" t="s">
        <v>124</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1771</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2154</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124</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1376</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1376</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75"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2" t="s">
        <v>2205</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2" t="s">
        <v>2206</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2156</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124</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1772</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7" customHeight="1">
      <c r="A1144" s="271"/>
      <c r="B1144" s="609" t="s">
        <v>124</v>
      </c>
      <c r="D1144" s="972" t="s">
        <v>2207</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95" customHeight="1">
      <c r="B1164" s="609" t="s">
        <v>1376</v>
      </c>
      <c r="D1164" s="995" t="s">
        <v>2094</v>
      </c>
      <c r="E1164" s="995"/>
      <c r="F1164" s="995"/>
      <c r="G1164"/>
    </row>
    <row r="1165" spans="1:7" ht="13.2">
      <c r="D1165" s="995"/>
      <c r="E1165" s="995"/>
      <c r="F1165" s="995"/>
      <c r="G1165"/>
    </row>
    <row r="1166" spans="1:7" ht="13.2">
      <c r="D1166" s="15"/>
      <c r="E1166" s="927" t="s">
        <v>2095</v>
      </c>
      <c r="F1166" s="15"/>
      <c r="G1166"/>
    </row>
    <row r="1167" spans="1:7" ht="13.2">
      <c r="D1167" s="15"/>
      <c r="E1167" s="15"/>
      <c r="F1167" s="15"/>
      <c r="G1167"/>
    </row>
    <row r="1168" spans="1:7" ht="13.2">
      <c r="D1168" s="992" t="s">
        <v>2093</v>
      </c>
      <c r="E1168" s="992"/>
      <c r="F1168" s="992"/>
      <c r="G1168"/>
    </row>
    <row r="1169" spans="1:7" ht="13.2">
      <c r="A1169" s="191"/>
      <c r="B1169" s="191"/>
      <c r="C1169" s="191"/>
      <c r="D1169" s="992"/>
      <c r="E1169" s="992"/>
      <c r="F1169" s="992"/>
      <c r="G1169"/>
    </row>
    <row r="1170" spans="1:7" ht="14.7"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1757</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1376</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124</v>
      </c>
      <c r="D1184" s="998" t="s">
        <v>1670</v>
      </c>
      <c r="E1184" s="998"/>
      <c r="F1184" s="998"/>
      <c r="G1184"/>
    </row>
    <row r="1185" spans="1:7" ht="13.2">
      <c r="D1185" s="44"/>
      <c r="G1185"/>
    </row>
    <row r="1186" spans="1:7" ht="14.4">
      <c r="A1186" s="271"/>
      <c r="B1186" s="609" t="s">
        <v>124</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124</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1376</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03" t="s">
        <v>2013</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1918</v>
      </c>
      <c r="E1204" s="1030"/>
      <c r="F1204" s="1030"/>
    </row>
    <row r="1205" spans="1:7" ht="13.2">
      <c r="A1205" s="190"/>
      <c r="B1205" s="190"/>
      <c r="C1205" s="190"/>
    </row>
    <row r="1206" spans="1:7" ht="14.4">
      <c r="A1206" s="271"/>
      <c r="B1206" s="271"/>
      <c r="C1206" s="191"/>
      <c r="D1206" s="1029" t="s">
        <v>1512</v>
      </c>
      <c r="E1206" s="1029"/>
      <c r="F1206" s="1029"/>
    </row>
    <row r="1207" spans="1:7" ht="13.2">
      <c r="B1207" s="609" t="s">
        <v>1376</v>
      </c>
      <c r="D1207" s="1031" t="s">
        <v>1513</v>
      </c>
      <c r="E1207" s="1031"/>
      <c r="F1207" s="1031"/>
    </row>
    <row r="1208" spans="1:7" ht="13.2">
      <c r="D1208" s="1030" t="s">
        <v>1919</v>
      </c>
      <c r="E1208" s="1030"/>
      <c r="F1208" s="1030"/>
    </row>
    <row r="1209" spans="1:7" ht="13.2">
      <c r="G1209"/>
    </row>
    <row r="1210" spans="1:7" ht="12.75" customHeight="1">
      <c r="B1210" s="609" t="s">
        <v>1376</v>
      </c>
      <c r="D1210" s="1011" t="s">
        <v>1836</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124</v>
      </c>
      <c r="D1219" s="1002" t="s">
        <v>1013</v>
      </c>
      <c r="E1219" s="1002"/>
      <c r="F1219" s="1002"/>
    </row>
    <row r="1220" spans="1:7" ht="13.2">
      <c r="D1220" s="998" t="s">
        <v>1133</v>
      </c>
      <c r="E1220" s="998"/>
      <c r="F1220" s="998"/>
    </row>
    <row r="1221" spans="1:7" ht="13.2">
      <c r="E1221" s="1015" t="s">
        <v>2096</v>
      </c>
      <c r="F1221" s="1015"/>
    </row>
    <row r="1222" spans="1:7" ht="13.2">
      <c r="D1222" s="3"/>
    </row>
    <row r="1223" spans="1:7" ht="13.2">
      <c r="D1223" s="1028" t="s">
        <v>1273</v>
      </c>
      <c r="E1223" s="1028"/>
      <c r="F1223" s="1028"/>
    </row>
    <row r="1224" spans="1:7" ht="13.2">
      <c r="B1224" s="609" t="s">
        <v>124</v>
      </c>
      <c r="D1224" s="972" t="s">
        <v>2097</v>
      </c>
      <c r="E1224" s="978"/>
      <c r="F1224" s="978"/>
      <c r="G1224"/>
    </row>
    <row r="1225" spans="1:7" ht="13.2">
      <c r="D1225" s="978"/>
      <c r="E1225" s="978"/>
      <c r="F1225" s="978"/>
      <c r="G1225"/>
    </row>
    <row r="1226" spans="1:7" ht="13.2">
      <c r="D1226" s="501" t="s">
        <v>1276</v>
      </c>
      <c r="E1226"/>
      <c r="F1226"/>
      <c r="G1226"/>
    </row>
    <row r="1227" spans="1:7" ht="13.95" customHeight="1">
      <c r="D1227" s="972" t="s">
        <v>2098</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124</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7"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124</v>
      </c>
      <c r="D1252" s="1002" t="s">
        <v>1134</v>
      </c>
      <c r="E1252" s="1002"/>
      <c r="F1252" s="1002"/>
    </row>
    <row r="1253" spans="1:7" ht="13.2">
      <c r="E1253" s="1015" t="s">
        <v>2099</v>
      </c>
      <c r="F1253" s="1015"/>
    </row>
    <row r="1254" spans="1:7" ht="13.2">
      <c r="D1254" s="104"/>
      <c r="E1254" s="104"/>
      <c r="F1254" s="104"/>
    </row>
    <row r="1255" spans="1:7" ht="13.95" customHeight="1"/>
    <row r="1256" spans="1:7" ht="13.95" customHeight="1"/>
    <row r="1257" spans="1:7" ht="13.95" customHeight="1"/>
    <row r="1258" spans="1:7" ht="13.95" customHeight="1"/>
    <row r="1259" spans="1:7" ht="13.95" customHeight="1"/>
    <row r="1260" spans="1:7" ht="13.95" customHeight="1"/>
    <row r="1261" spans="1:7" ht="13.95" customHeight="1"/>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c r="A1287"/>
      <c r="B1287"/>
      <c r="C1287"/>
      <c r="D1287"/>
      <c r="E1287"/>
      <c r="F1287"/>
      <c r="G1287"/>
    </row>
    <row r="1288" spans="1:7" ht="13.95" customHeight="1">
      <c r="A1288"/>
      <c r="B1288"/>
      <c r="C1288"/>
      <c r="D1288"/>
      <c r="E1288"/>
      <c r="F1288"/>
      <c r="G1288"/>
    </row>
    <row r="1289" spans="1:7" ht="13.95" customHeight="1"/>
    <row r="1290" spans="1:7" ht="13.95" customHeight="1"/>
    <row r="1291" spans="1:7" ht="13.95" customHeight="1"/>
    <row r="1292" spans="1:7" ht="13.95" customHeight="1"/>
    <row r="1293" spans="1:7" ht="13.95" customHeight="1"/>
    <row r="1294" spans="1:7" ht="13.95" customHeight="1"/>
    <row r="1295" spans="1:7" ht="13.95" customHeight="1"/>
    <row r="1296" spans="1:7" ht="13.95" customHeight="1"/>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428" zoomScaleNormal="100" workbookViewId="0">
      <selection activeCell="AT1029" sqref="AT1029"/>
    </sheetView>
  </sheetViews>
  <sheetFormatPr defaultColWidth="0" defaultRowHeight="0" customHeight="1" zeroHeight="1"/>
  <cols>
    <col min="1" max="32" width="2.44140625" customWidth="1"/>
    <col min="33" max="33" width="3.3320312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2" customHeight="1">
      <c r="J1" s="183"/>
      <c r="AS1" s="919">
        <v>9</v>
      </c>
    </row>
    <row r="2" spans="1:46" ht="13.2" customHeight="1"/>
    <row r="3" spans="1:46" ht="13.2" customHeight="1"/>
    <row r="4" spans="1:46" ht="13.2" customHeight="1"/>
    <row r="5" spans="1:46" ht="13.2" customHeight="1"/>
    <row r="6" spans="1:46" ht="13.2" customHeight="1"/>
    <row r="7" spans="1:46" ht="13.2"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3.2" customHeight="1">
      <c r="A10" s="1062" t="s">
        <v>2306</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3.2" customHeight="1">
      <c r="A11" s="1063" t="s">
        <v>2315</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3.2"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3.2"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3.2" customHeight="1">
      <c r="A14" s="104"/>
      <c r="B14" s="104"/>
      <c r="C14" s="104"/>
      <c r="D14" s="104"/>
      <c r="E14" s="104"/>
      <c r="F14" s="104"/>
      <c r="G14" s="104"/>
      <c r="AC14" s="104"/>
      <c r="AD14" s="104"/>
      <c r="AE14" s="104"/>
      <c r="AF14" s="104"/>
      <c r="AG14" s="104"/>
      <c r="AH14" s="104"/>
      <c r="AI14" s="104"/>
      <c r="AJ14" s="104"/>
      <c r="AK14" s="104"/>
      <c r="AL14" s="104"/>
    </row>
    <row r="15" spans="1:46" ht="13.2" customHeight="1">
      <c r="A15" s="63" t="s">
        <v>556</v>
      </c>
      <c r="C15" s="5"/>
      <c r="D15" s="5"/>
      <c r="E15" s="5"/>
      <c r="F15" s="5"/>
      <c r="G15" s="5"/>
      <c r="H15" s="1322" t="s">
        <v>2320</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3.2" customHeight="1"/>
    <row r="17" spans="1:46" ht="13.2" customHeight="1">
      <c r="A17" s="63" t="s">
        <v>793</v>
      </c>
      <c r="C17" s="5"/>
      <c r="D17" s="5"/>
      <c r="E17" s="5"/>
      <c r="F17" s="5"/>
      <c r="G17" s="5"/>
      <c r="H17" s="1099" t="s">
        <v>2319</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2" customHeight="1"/>
    <row r="19" spans="1:46" ht="13.2"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2" customHeight="1">
      <c r="A20" s="1418" t="s">
        <v>1352</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2"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421">
        <f>ROUND('Basis &amp; Credits'!AB55,0)</f>
        <v>2376111</v>
      </c>
      <c r="N25" s="1421"/>
      <c r="O25" s="1421"/>
      <c r="P25" s="1421"/>
      <c r="Q25" s="1421"/>
      <c r="R25" s="5" t="s">
        <v>844</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421">
        <f>'Basis &amp; Credits'!AB76</f>
        <v>0</v>
      </c>
      <c r="N27" s="1421"/>
      <c r="O27" s="1421"/>
      <c r="P27" s="1421"/>
      <c r="Q27" s="1421"/>
      <c r="R27" s="5" t="s">
        <v>1351</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2"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2"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2"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2"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2" customHeight="1">
      <c r="A33" s="312" t="s">
        <v>2253</v>
      </c>
      <c r="B33"/>
      <c r="C33" s="102"/>
      <c r="D33" s="102"/>
      <c r="E33" s="102"/>
      <c r="F33" s="102"/>
      <c r="G33" s="102"/>
      <c r="H33" s="102"/>
      <c r="I33" s="102"/>
      <c r="J33" s="102"/>
      <c r="K33" s="102"/>
      <c r="L33" s="102"/>
      <c r="M33" s="102"/>
      <c r="N33" s="102"/>
      <c r="O33" s="1118" t="s">
        <v>483</v>
      </c>
      <c r="P33" s="1118"/>
      <c r="Q33" s="1064" t="s">
        <v>2256</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3.2"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2"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2"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2"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2" customHeight="1">
      <c r="AM38" s="19"/>
    </row>
    <row r="39" spans="1:46" s="776" customFormat="1" ht="13.2"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2"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2"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2"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2"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2"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2"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2"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2"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2"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2"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2"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2"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3.2"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3.2"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3.2"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3.2"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3.2"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2"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2"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3.2"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3.2"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3.2"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3.2"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3.2"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3.2"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2"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2"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2"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3.2"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3.2"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3.2"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2"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2"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2"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2"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2"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2"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3.2"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3.2"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3.2"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2"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3.2"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3.2"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3.2"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2"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2"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2" customHeight="1">
      <c r="AM87" s="19"/>
    </row>
    <row r="88" spans="1:16384" s="210" customFormat="1" ht="13.2"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2"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2"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2"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2"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2"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2"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2"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2"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2"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2"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2"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2"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2"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2"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3.2"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3.2"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3.2"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3.2"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2"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3.2"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3.2"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3.2"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 customHeight="1">
      <c r="A115" s="312"/>
      <c r="C115" s="41" t="s">
        <v>412</v>
      </c>
      <c r="E115" s="41"/>
      <c r="F115" s="41"/>
      <c r="G115" s="1115"/>
      <c r="H115" s="1115"/>
      <c r="I115" s="41" t="s">
        <v>413</v>
      </c>
      <c r="J115" s="41"/>
      <c r="L115" s="1344" t="s">
        <v>2323</v>
      </c>
      <c r="M115" s="1345"/>
      <c r="N115" s="1345"/>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3.2"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3.2" customHeight="1">
      <c r="A117" s="312"/>
      <c r="C117" s="1344" t="s">
        <v>113</v>
      </c>
      <c r="D117" s="1345"/>
      <c r="E117" s="1345"/>
      <c r="F117" s="1345"/>
      <c r="G117" s="1345"/>
      <c r="H117" s="1345"/>
      <c r="I117" s="1345"/>
      <c r="J117" s="1345"/>
      <c r="K117" s="1345"/>
      <c r="L117" s="309" t="s">
        <v>414</v>
      </c>
      <c r="M117" s="41"/>
      <c r="O117" s="41"/>
      <c r="P117" s="41"/>
      <c r="Q117" s="41"/>
      <c r="R117" s="41"/>
      <c r="S117" s="102"/>
      <c r="T117" s="102"/>
      <c r="U117" s="102"/>
      <c r="V117" s="102"/>
      <c r="W117" s="102"/>
      <c r="X117" s="41"/>
      <c r="AL117" s="19"/>
    </row>
    <row r="118" spans="1:39" ht="13.2"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99" t="s">
        <v>2321</v>
      </c>
      <c r="Z118" s="1053"/>
      <c r="AA118" s="1053"/>
      <c r="AB118" s="1053"/>
      <c r="AC118" s="1053"/>
      <c r="AD118" s="1053"/>
      <c r="AE118" s="1053"/>
      <c r="AF118" s="1053"/>
      <c r="AG118" s="1053"/>
      <c r="AH118" s="1053"/>
      <c r="AI118" s="1053"/>
      <c r="AJ118" s="1053"/>
      <c r="AK118" s="1053"/>
      <c r="AL118" s="19"/>
    </row>
    <row r="119" spans="1:39" ht="13.2"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3.2"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2"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99" t="s">
        <v>2322</v>
      </c>
      <c r="Z121" s="1053"/>
      <c r="AA121" s="1053"/>
      <c r="AB121" s="1053"/>
      <c r="AC121" s="1053"/>
      <c r="AD121" s="1053"/>
      <c r="AE121" s="1053"/>
      <c r="AF121" s="1053"/>
      <c r="AG121" s="1053"/>
      <c r="AH121" s="1053"/>
      <c r="AI121" s="1053"/>
      <c r="AJ121" s="1053"/>
      <c r="AK121" s="1053"/>
      <c r="AL121" s="19"/>
    </row>
    <row r="122" spans="1:39" ht="13.2"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3.2" customHeight="1"/>
    <row r="124" spans="1:39" ht="13.2" customHeight="1">
      <c r="A124" s="102"/>
    </row>
    <row r="125" spans="1:39" ht="13.2" hidden="1" customHeight="1">
      <c r="A125" s="102"/>
      <c r="V125" s="41"/>
      <c r="W125" s="41"/>
      <c r="AL125" s="41"/>
    </row>
    <row r="126" spans="1:39" ht="13.2" hidden="1" customHeight="1">
      <c r="A126" s="41"/>
      <c r="B126" s="41"/>
      <c r="AL126" s="41"/>
    </row>
    <row r="127" spans="1:39" ht="13.2" hidden="1" customHeight="1">
      <c r="A127" s="41"/>
      <c r="B127" s="41"/>
      <c r="AL127" s="41"/>
    </row>
    <row r="128" spans="1:39" ht="13.2" hidden="1" customHeight="1">
      <c r="A128" s="41"/>
      <c r="B128" s="41"/>
      <c r="S128" s="41"/>
      <c r="T128" s="41"/>
      <c r="U128" s="41"/>
      <c r="V128" s="41"/>
      <c r="W128" s="41"/>
      <c r="AL128" s="41"/>
    </row>
    <row r="129" spans="1:56" ht="13.2" hidden="1" customHeight="1">
      <c r="A129" s="41"/>
      <c r="B129" s="41"/>
      <c r="S129" s="41"/>
      <c r="T129" s="41"/>
      <c r="U129" s="41"/>
      <c r="V129" s="41"/>
      <c r="W129" s="41"/>
      <c r="AL129" s="41"/>
    </row>
    <row r="130" spans="1:56" ht="13.2" hidden="1" customHeight="1">
      <c r="A130" s="41"/>
      <c r="B130" s="41"/>
      <c r="S130" s="41"/>
      <c r="T130" s="41"/>
      <c r="U130" s="41"/>
      <c r="V130" s="41"/>
      <c r="W130" s="41"/>
      <c r="AL130" s="41"/>
    </row>
    <row r="131" spans="1:56" ht="13.2"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2" hidden="1" customHeight="1">
      <c r="A136" s="489"/>
      <c r="B136" s="5"/>
      <c r="AL136" s="489"/>
    </row>
    <row r="137" spans="1:56" ht="13.2" hidden="1" customHeight="1">
      <c r="A137" s="41"/>
      <c r="B137" s="5"/>
      <c r="AL137" s="41"/>
    </row>
    <row r="138" spans="1:56" ht="13.2" hidden="1" customHeight="1">
      <c r="A138" s="41"/>
      <c r="AL138" s="41"/>
    </row>
    <row r="139" spans="1:56" ht="13.2" hidden="1" customHeight="1">
      <c r="A139" s="41"/>
      <c r="AL139" s="41"/>
    </row>
    <row r="140" spans="1:56" ht="13.2" hidden="1" customHeight="1">
      <c r="A140" s="41"/>
      <c r="AL140" s="41"/>
    </row>
    <row r="141" spans="1:56" ht="13.2" hidden="1" customHeight="1">
      <c r="A141" s="41"/>
      <c r="AL141" s="41"/>
    </row>
    <row r="142" spans="1:56" ht="13.2" hidden="1" customHeight="1">
      <c r="A142" s="41"/>
      <c r="AL142" s="41"/>
    </row>
    <row r="143" spans="1:56" ht="13.2" hidden="1" customHeight="1">
      <c r="A143" s="41"/>
      <c r="AL143" s="41"/>
    </row>
    <row r="144" spans="1:56" ht="13.2" hidden="1" customHeight="1">
      <c r="A144" s="41"/>
      <c r="AL144" s="41"/>
    </row>
    <row r="145" spans="1:72" ht="13.2"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D156" t="s">
        <v>656</v>
      </c>
      <c r="O156" s="1099" t="s">
        <v>2324</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3.2" customHeight="1">
      <c r="D157" s="339" t="s">
        <v>544</v>
      </c>
      <c r="O157" s="1100" t="s">
        <v>2325</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423</v>
      </c>
      <c r="BT157" t="s">
        <v>28</v>
      </c>
    </row>
    <row r="158" spans="1:72" ht="13.2" customHeight="1">
      <c r="D158" s="12" t="s">
        <v>545</v>
      </c>
      <c r="F158" s="12"/>
      <c r="G158" s="12"/>
      <c r="H158" s="12"/>
      <c r="I158" s="12"/>
      <c r="J158" s="12"/>
      <c r="K158" s="12"/>
      <c r="L158" s="12"/>
      <c r="M158" s="12"/>
      <c r="N158" s="12"/>
      <c r="O158" s="1341" t="s">
        <v>2326</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424</v>
      </c>
      <c r="BT158" t="s">
        <v>29</v>
      </c>
    </row>
    <row r="159" spans="1:72" ht="13.2" customHeight="1">
      <c r="D159" t="s">
        <v>647</v>
      </c>
      <c r="O159" s="1056" t="s">
        <v>2327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385</v>
      </c>
    </row>
    <row r="160" spans="1:72" ht="13.2" customHeight="1">
      <c r="D160" t="s">
        <v>648</v>
      </c>
      <c r="O160" s="1099" t="s">
        <v>2328</v>
      </c>
      <c r="P160" s="1053"/>
      <c r="Q160" s="1053"/>
      <c r="R160" s="1053"/>
      <c r="S160" s="1053"/>
      <c r="T160" s="1053"/>
      <c r="U160" s="1053"/>
      <c r="V160" s="1053"/>
      <c r="W160" s="1053"/>
      <c r="X160" s="1053"/>
      <c r="Y160" s="12"/>
      <c r="Z160" s="12"/>
      <c r="AA160" s="12"/>
      <c r="AB160" s="12"/>
      <c r="AC160" s="12"/>
      <c r="AD160" s="12"/>
      <c r="AE160" s="12"/>
      <c r="AF160" s="12"/>
      <c r="BN160" s="30" t="s">
        <v>75</v>
      </c>
      <c r="BT160" t="s">
        <v>386</v>
      </c>
    </row>
    <row r="161" spans="1:72" ht="13.2" customHeight="1">
      <c r="D161" t="s">
        <v>649</v>
      </c>
      <c r="O161" s="1330">
        <v>91801</v>
      </c>
      <c r="P161" s="1330"/>
      <c r="Q161" s="1330"/>
      <c r="R161" s="1330"/>
      <c r="S161" s="13"/>
      <c r="T161" s="13"/>
      <c r="U161" s="13"/>
      <c r="V161" s="13"/>
      <c r="W161" s="13"/>
      <c r="X161" s="13"/>
      <c r="Y161" s="13"/>
      <c r="Z161" s="13"/>
      <c r="AA161" s="13"/>
      <c r="AB161" s="13"/>
      <c r="AC161" s="13"/>
      <c r="AD161" s="13"/>
      <c r="AE161" s="13"/>
      <c r="AF161" s="13"/>
      <c r="BJ161" t="s">
        <v>483</v>
      </c>
      <c r="BN161" s="30" t="s">
        <v>76</v>
      </c>
      <c r="BT161" t="s">
        <v>387</v>
      </c>
    </row>
    <row r="162" spans="1:72" ht="13.2" customHeight="1">
      <c r="D162" t="s">
        <v>650</v>
      </c>
      <c r="O162" s="1318" t="s">
        <v>2329</v>
      </c>
      <c r="P162" s="1318"/>
      <c r="Q162" s="1318"/>
      <c r="R162" s="1318"/>
      <c r="S162" s="1318"/>
      <c r="T162" s="1318"/>
      <c r="V162" s="179" t="s">
        <v>12</v>
      </c>
      <c r="W162" s="1331"/>
      <c r="X162" s="1331"/>
      <c r="Y162" s="14"/>
      <c r="Z162" s="14"/>
      <c r="AA162" s="14"/>
      <c r="AB162" s="14"/>
      <c r="AC162" s="14"/>
      <c r="AD162" s="14"/>
      <c r="AE162" s="14"/>
      <c r="AF162" s="14"/>
      <c r="BJ162" t="s">
        <v>108</v>
      </c>
      <c r="BN162" s="30" t="s">
        <v>77</v>
      </c>
      <c r="BT162" t="s">
        <v>388</v>
      </c>
    </row>
    <row r="163" spans="1:72" ht="13.2" customHeight="1">
      <c r="D163" t="s">
        <v>651</v>
      </c>
      <c r="O163" s="1318"/>
      <c r="P163" s="1318"/>
      <c r="Q163" s="1318"/>
      <c r="R163" s="1318"/>
      <c r="S163" s="1318"/>
      <c r="T163" s="1318"/>
      <c r="U163" s="14"/>
      <c r="V163" s="14"/>
      <c r="W163" s="14"/>
      <c r="X163" s="14"/>
      <c r="Y163" s="14"/>
      <c r="Z163" s="14"/>
      <c r="AA163" s="14"/>
      <c r="AB163" s="14"/>
      <c r="AC163" s="14"/>
      <c r="AD163" s="14"/>
      <c r="AE163" s="14"/>
      <c r="AF163" s="14"/>
      <c r="BN163" s="30" t="s">
        <v>477</v>
      </c>
      <c r="BT163" t="s">
        <v>389</v>
      </c>
    </row>
    <row r="164" spans="1:72" ht="13.2" customHeight="1">
      <c r="D164" t="s">
        <v>652</v>
      </c>
      <c r="O164" s="1060" t="s">
        <v>2330</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478</v>
      </c>
      <c r="BT164" t="s">
        <v>390</v>
      </c>
    </row>
    <row r="165" spans="1:72" ht="13.2"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3.2"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3.2" customHeight="1">
      <c r="C167" s="34"/>
      <c r="D167" s="1328" t="s">
        <v>2311</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484</v>
      </c>
      <c r="BT167" t="s">
        <v>393</v>
      </c>
    </row>
    <row r="168" spans="1:72" ht="13.2" customHeight="1">
      <c r="BN168" s="30" t="s">
        <v>485</v>
      </c>
      <c r="BT168" t="s">
        <v>394</v>
      </c>
    </row>
    <row r="169" spans="1:72" s="960" customFormat="1" ht="13.2" customHeight="1">
      <c r="A169" s="1055" t="s">
        <v>380</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487</v>
      </c>
      <c r="BT169" t="s">
        <v>395</v>
      </c>
    </row>
    <row r="170" spans="1:72" s="960" customFormat="1" ht="13.2"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488</v>
      </c>
      <c r="BT170" t="s">
        <v>396</v>
      </c>
    </row>
    <row r="171" spans="1:72" ht="13.2" customHeight="1">
      <c r="BN171" s="30" t="s">
        <v>489</v>
      </c>
      <c r="BT171" t="s">
        <v>397</v>
      </c>
    </row>
    <row r="172" spans="1:72" ht="13.2" customHeight="1">
      <c r="A172" s="3" t="s">
        <v>653</v>
      </c>
      <c r="C172" s="3" t="s">
        <v>654</v>
      </c>
      <c r="BN172" s="30" t="s">
        <v>491</v>
      </c>
      <c r="BT172" t="s">
        <v>398</v>
      </c>
    </row>
    <row r="173" spans="1:72" ht="13.2" customHeight="1">
      <c r="C173" s="31"/>
      <c r="D173" t="s">
        <v>438</v>
      </c>
      <c r="J173" s="1343" t="s">
        <v>506</v>
      </c>
      <c r="K173" s="1343"/>
      <c r="L173" s="1343"/>
      <c r="M173" s="1343"/>
      <c r="N173" s="1343"/>
      <c r="O173" s="1343"/>
      <c r="P173" s="1343"/>
      <c r="Q173" s="1343"/>
      <c r="R173" s="1343"/>
      <c r="S173" s="1343"/>
      <c r="U173" s="32"/>
      <c r="X173" s="32"/>
      <c r="BN173" s="30" t="s">
        <v>492</v>
      </c>
      <c r="BT173" t="s">
        <v>399</v>
      </c>
    </row>
    <row r="174" spans="1:72" ht="13.2" customHeight="1">
      <c r="C174" s="31"/>
      <c r="D174" t="s">
        <v>439</v>
      </c>
      <c r="U174" s="1118"/>
      <c r="V174" s="1118"/>
      <c r="BN174" s="30" t="s">
        <v>594</v>
      </c>
      <c r="BT174" t="s">
        <v>400</v>
      </c>
    </row>
    <row r="175" spans="1:72" ht="13.2" customHeight="1">
      <c r="C175" s="12"/>
      <c r="D175" s="33"/>
      <c r="E175" t="s">
        <v>230</v>
      </c>
      <c r="O175" s="34"/>
      <c r="P175" t="s">
        <v>2107</v>
      </c>
      <c r="T175" s="34" t="s">
        <v>231</v>
      </c>
      <c r="U175" s="1102"/>
      <c r="V175" s="1102"/>
      <c r="W175" s="1" t="s">
        <v>232</v>
      </c>
      <c r="X175" s="1346"/>
      <c r="Y175" s="1346"/>
      <c r="BN175" s="30" t="s">
        <v>595</v>
      </c>
      <c r="BT175" t="s">
        <v>401</v>
      </c>
    </row>
    <row r="176" spans="1:72" ht="13.2" customHeight="1">
      <c r="C176" s="31"/>
      <c r="D176" t="s">
        <v>279</v>
      </c>
      <c r="U176" s="1118" t="s">
        <v>483</v>
      </c>
      <c r="V176" s="1118"/>
      <c r="BN176" s="30" t="s">
        <v>597</v>
      </c>
      <c r="BT176" t="s">
        <v>402</v>
      </c>
    </row>
    <row r="177" spans="1:72" ht="13.2" customHeight="1">
      <c r="C177" s="31"/>
      <c r="D177" s="361" t="s">
        <v>1232</v>
      </c>
      <c r="BN177" s="30" t="s">
        <v>598</v>
      </c>
      <c r="BT177" t="s">
        <v>403</v>
      </c>
    </row>
    <row r="178" spans="1:72" ht="13.2" customHeight="1">
      <c r="C178" s="31"/>
      <c r="E178" s="361" t="s">
        <v>2107</v>
      </c>
      <c r="F178" s="361"/>
      <c r="G178" s="361"/>
      <c r="I178" s="940" t="s">
        <v>231</v>
      </c>
      <c r="J178" s="1334"/>
      <c r="K178" s="1334"/>
      <c r="L178" s="370" t="s">
        <v>232</v>
      </c>
      <c r="M178" s="1114"/>
      <c r="N178" s="1114"/>
      <c r="O178" s="361"/>
      <c r="P178" s="361"/>
      <c r="Q178" s="361"/>
      <c r="R178" s="361"/>
      <c r="U178" s="361" t="s">
        <v>1233</v>
      </c>
      <c r="V178" s="361"/>
      <c r="W178" s="361"/>
      <c r="X178" s="361"/>
      <c r="Y178" s="361"/>
      <c r="Z178" s="361"/>
      <c r="AA178" s="361"/>
      <c r="AB178" s="361"/>
      <c r="AD178" s="1335"/>
      <c r="AE178" s="1335"/>
      <c r="AF178" s="1335"/>
      <c r="AG178" s="1335"/>
      <c r="AH178" s="1335"/>
      <c r="BN178" s="30" t="s">
        <v>599</v>
      </c>
      <c r="BT178" t="s">
        <v>404</v>
      </c>
    </row>
    <row r="179" spans="1:72" ht="13.2" customHeight="1">
      <c r="C179" s="31"/>
      <c r="BN179" s="30" t="s">
        <v>600</v>
      </c>
      <c r="BT179" t="s">
        <v>405</v>
      </c>
    </row>
    <row r="180" spans="1:72" ht="13.2" customHeight="1">
      <c r="C180" s="12"/>
      <c r="D180" t="s">
        <v>2108</v>
      </c>
      <c r="O180" s="361"/>
      <c r="P180" s="361"/>
      <c r="Q180" s="361"/>
      <c r="R180" s="361"/>
      <c r="Y180" s="1118" t="s">
        <v>483</v>
      </c>
      <c r="Z180" s="1319"/>
      <c r="BN180" s="30" t="s">
        <v>602</v>
      </c>
      <c r="BT180" t="s">
        <v>406</v>
      </c>
    </row>
    <row r="181" spans="1:72" ht="13.2" customHeight="1">
      <c r="C181" s="12"/>
      <c r="D181" s="35"/>
      <c r="E181" s="361" t="s">
        <v>1231</v>
      </c>
      <c r="R181" s="361"/>
      <c r="BN181" s="30" t="s">
        <v>603</v>
      </c>
      <c r="BT181" t="s">
        <v>407</v>
      </c>
    </row>
    <row r="182" spans="1:72" ht="13.2" customHeight="1">
      <c r="C182" s="12"/>
      <c r="D182" s="35"/>
      <c r="BN182" s="30" t="s">
        <v>604</v>
      </c>
      <c r="BT182" t="s">
        <v>408</v>
      </c>
    </row>
    <row r="183" spans="1:72" ht="13.2" customHeight="1">
      <c r="A183" s="3" t="s">
        <v>8</v>
      </c>
      <c r="C183" s="3" t="s">
        <v>9</v>
      </c>
      <c r="BN183" s="30" t="s">
        <v>572</v>
      </c>
      <c r="BT183" t="s">
        <v>409</v>
      </c>
    </row>
    <row r="184" spans="1:72" ht="13.2" customHeight="1">
      <c r="C184" s="29"/>
      <c r="D184" t="s">
        <v>10</v>
      </c>
      <c r="I184" s="1186" t="str">
        <f>H17</f>
        <v>Alma</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410</v>
      </c>
    </row>
    <row r="185" spans="1:72" ht="13.2" customHeight="1">
      <c r="C185" s="29"/>
      <c r="D185" t="s">
        <v>430</v>
      </c>
      <c r="I185" s="1054" t="s">
        <v>2332</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3.2" customHeight="1">
      <c r="C186" s="29"/>
      <c r="E186" t="s">
        <v>62</v>
      </c>
      <c r="BN186" s="30" t="s">
        <v>576</v>
      </c>
      <c r="BT186" t="s">
        <v>840</v>
      </c>
    </row>
    <row r="187" spans="1:72" ht="13.2"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3.2"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3.2" customHeight="1">
      <c r="C189" s="29"/>
      <c r="D189" t="s">
        <v>431</v>
      </c>
      <c r="I189" s="1056" t="s">
        <v>401</v>
      </c>
      <c r="J189" s="1056"/>
      <c r="K189" s="1056"/>
      <c r="L189" s="1056"/>
      <c r="M189" s="1056"/>
      <c r="N189" s="1056"/>
      <c r="O189" s="1056"/>
      <c r="P189" s="1056"/>
      <c r="Q189" t="s">
        <v>433</v>
      </c>
      <c r="T189" s="1056" t="s">
        <v>401</v>
      </c>
      <c r="U189" s="1056"/>
      <c r="V189" s="1056"/>
      <c r="W189" s="1056"/>
      <c r="X189" s="1056"/>
      <c r="Y189" s="1056"/>
      <c r="Z189" s="1056"/>
      <c r="AA189" s="1056"/>
      <c r="AB189" s="1056"/>
      <c r="AC189" s="1056"/>
      <c r="AD189" s="1056"/>
      <c r="AE189" s="1056"/>
      <c r="BC189" t="s">
        <v>79</v>
      </c>
      <c r="BH189" s="41" t="s">
        <v>124</v>
      </c>
      <c r="BN189" s="30" t="s">
        <v>580</v>
      </c>
      <c r="BT189" t="s">
        <v>109</v>
      </c>
    </row>
    <row r="190" spans="1:72" ht="13.2" customHeight="1">
      <c r="C190" s="29"/>
      <c r="D190" t="s">
        <v>434</v>
      </c>
      <c r="I190" s="1054">
        <v>90063</v>
      </c>
      <c r="J190" s="1054"/>
      <c r="K190" s="1054"/>
      <c r="L190" s="1054"/>
      <c r="M190" s="1054"/>
      <c r="N190" s="1054"/>
      <c r="O190" t="s">
        <v>436</v>
      </c>
      <c r="T190" s="1332">
        <v>6037204300</v>
      </c>
      <c r="U190" s="1332"/>
      <c r="V190" s="1332"/>
      <c r="W190" s="1332"/>
      <c r="X190" s="1332"/>
      <c r="Y190" s="1332"/>
      <c r="Z190" s="1332"/>
      <c r="AA190" s="1332"/>
      <c r="AB190" s="1332"/>
      <c r="AC190" s="1332"/>
      <c r="AD190" s="1332"/>
      <c r="AE190" s="1332"/>
      <c r="BC190" t="s">
        <v>663</v>
      </c>
      <c r="BH190" t="s">
        <v>663</v>
      </c>
      <c r="BN190" s="30" t="s">
        <v>422</v>
      </c>
      <c r="BT190" t="s">
        <v>110</v>
      </c>
    </row>
    <row r="191" spans="1:72" ht="13.2" customHeight="1">
      <c r="C191" s="29"/>
      <c r="D191" t="s">
        <v>81</v>
      </c>
      <c r="N191" s="1420" t="s">
        <v>2473</v>
      </c>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582</v>
      </c>
      <c r="BT191" t="s">
        <v>111</v>
      </c>
    </row>
    <row r="192" spans="1:72" ht="13.2"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3.2" customHeight="1">
      <c r="C193" s="29"/>
      <c r="D193" t="s">
        <v>437</v>
      </c>
      <c r="T193" s="1118" t="s">
        <v>483</v>
      </c>
      <c r="U193" s="1118"/>
      <c r="W193" s="41" t="s">
        <v>1888</v>
      </c>
      <c r="AA193" s="1324" t="s">
        <v>2331</v>
      </c>
      <c r="AB193" s="1324"/>
      <c r="AC193" s="1324"/>
      <c r="BC193" t="s">
        <v>564</v>
      </c>
      <c r="BH193" s="5" t="s">
        <v>1429</v>
      </c>
      <c r="BN193" s="30" t="s">
        <v>584</v>
      </c>
      <c r="BT193" t="s">
        <v>113</v>
      </c>
    </row>
    <row r="194" spans="1:73" ht="13.2" customHeight="1">
      <c r="C194" s="29"/>
      <c r="D194" t="s">
        <v>118</v>
      </c>
      <c r="T194" s="1145" t="s">
        <v>108</v>
      </c>
      <c r="U194" s="1145"/>
      <c r="W194" t="s">
        <v>63</v>
      </c>
      <c r="AI194" s="1118" t="s">
        <v>483</v>
      </c>
      <c r="AJ194" s="1118"/>
      <c r="AX194" s="5" t="s">
        <v>124</v>
      </c>
      <c r="BC194" t="s">
        <v>615</v>
      </c>
      <c r="BN194" s="30" t="s">
        <v>753</v>
      </c>
      <c r="BT194" t="s">
        <v>114</v>
      </c>
    </row>
    <row r="195" spans="1:73" ht="13.2" customHeight="1">
      <c r="C195" s="29"/>
      <c r="D195" s="41" t="s">
        <v>1735</v>
      </c>
      <c r="T195" s="1145" t="s">
        <v>483</v>
      </c>
      <c r="U195" s="1145"/>
      <c r="X195" s="797" t="s">
        <v>2109</v>
      </c>
      <c r="AX195" s="5" t="s">
        <v>1150</v>
      </c>
      <c r="BN195" s="30" t="s">
        <v>754</v>
      </c>
      <c r="BT195" t="s">
        <v>115</v>
      </c>
    </row>
    <row r="196" spans="1:73" ht="13.2" customHeight="1">
      <c r="C196" s="29"/>
      <c r="D196" s="5" t="s">
        <v>1155</v>
      </c>
      <c r="T196" s="1145" t="s">
        <v>483</v>
      </c>
      <c r="U196" s="1145"/>
      <c r="AK196" s="1323"/>
      <c r="AL196" s="1323"/>
      <c r="AX196" s="41" t="s">
        <v>2202</v>
      </c>
      <c r="BN196" s="30" t="s">
        <v>755</v>
      </c>
      <c r="BT196" t="s">
        <v>116</v>
      </c>
    </row>
    <row r="197" spans="1:73" ht="13.2" customHeight="1">
      <c r="C197" s="29"/>
      <c r="D197" s="41" t="s">
        <v>1889</v>
      </c>
      <c r="T197" s="1118" t="s">
        <v>483</v>
      </c>
      <c r="U197" s="1118"/>
      <c r="AX197" s="5" t="s">
        <v>1151</v>
      </c>
      <c r="BC197" t="s">
        <v>79</v>
      </c>
      <c r="BN197" s="30" t="s">
        <v>756</v>
      </c>
      <c r="BT197" t="s">
        <v>117</v>
      </c>
    </row>
    <row r="198" spans="1:73" ht="13.2" customHeight="1">
      <c r="C198" s="29"/>
      <c r="D198" s="41" t="s">
        <v>1917</v>
      </c>
      <c r="W198" s="1320" t="s">
        <v>483</v>
      </c>
      <c r="X198" s="1118"/>
      <c r="AX198" s="5" t="s">
        <v>1152</v>
      </c>
      <c r="BC198" t="s">
        <v>1103</v>
      </c>
      <c r="BN198" s="30" t="s">
        <v>757</v>
      </c>
      <c r="BT198" t="s">
        <v>803</v>
      </c>
    </row>
    <row r="199" spans="1:73" ht="13.2" customHeight="1">
      <c r="C199" s="29"/>
      <c r="L199" s="309"/>
      <c r="M199" s="309"/>
      <c r="N199" s="309"/>
      <c r="O199" s="309"/>
      <c r="P199" s="309"/>
      <c r="Q199" s="922" t="s">
        <v>2110</v>
      </c>
      <c r="R199" s="1099" t="s">
        <v>2024</v>
      </c>
      <c r="S199" s="1099"/>
      <c r="T199" s="1099"/>
      <c r="U199" s="1099"/>
      <c r="V199" s="1099"/>
      <c r="W199" s="1099"/>
      <c r="X199" s="1099"/>
      <c r="Y199" s="1099"/>
      <c r="Z199" s="1099"/>
      <c r="AA199" s="1099"/>
      <c r="AB199" s="1099"/>
      <c r="AH199" s="1"/>
      <c r="AI199" s="1"/>
      <c r="AX199" s="5" t="s">
        <v>1153</v>
      </c>
      <c r="BC199" s="5" t="s">
        <v>1104</v>
      </c>
      <c r="BN199" s="30" t="s">
        <v>758</v>
      </c>
      <c r="BO199" s="39"/>
      <c r="BP199" s="40"/>
      <c r="BQ199" s="40"/>
      <c r="BR199" s="40"/>
      <c r="BS199" s="40"/>
      <c r="BT199" s="40" t="s">
        <v>804</v>
      </c>
    </row>
    <row r="200" spans="1:73" ht="13.2" customHeight="1">
      <c r="C200" s="29"/>
      <c r="D200" t="s">
        <v>560</v>
      </c>
      <c r="AH200" s="1"/>
      <c r="AI200" s="1"/>
      <c r="AX200" s="41" t="s">
        <v>2295</v>
      </c>
      <c r="BC200" s="41" t="s">
        <v>2059</v>
      </c>
      <c r="BN200" s="266" t="s">
        <v>658</v>
      </c>
      <c r="BO200" s="21"/>
      <c r="BP200" s="40"/>
      <c r="BQ200" s="40"/>
      <c r="BR200" s="40"/>
      <c r="BS200" s="40"/>
      <c r="BT200" s="40" t="s">
        <v>805</v>
      </c>
    </row>
    <row r="201" spans="1:73" ht="13.2" customHeight="1">
      <c r="C201" s="29"/>
      <c r="G201" s="895" t="s">
        <v>2025</v>
      </c>
      <c r="AX201" s="41" t="s">
        <v>2058</v>
      </c>
      <c r="BC201" t="s">
        <v>861</v>
      </c>
      <c r="BN201" s="30" t="s">
        <v>659</v>
      </c>
      <c r="BO201" s="21"/>
      <c r="BP201" s="40"/>
      <c r="BQ201" s="40"/>
      <c r="BR201" s="40"/>
      <c r="BS201" s="40"/>
      <c r="BT201" s="40" t="s">
        <v>806</v>
      </c>
    </row>
    <row r="202" spans="1:73" ht="13.2" customHeight="1">
      <c r="A202" s="3" t="s">
        <v>119</v>
      </c>
      <c r="C202" s="3" t="s">
        <v>1149</v>
      </c>
      <c r="AX202" s="5" t="s">
        <v>1154</v>
      </c>
      <c r="BC202" t="s">
        <v>1436</v>
      </c>
      <c r="BN202" s="30" t="s">
        <v>660</v>
      </c>
      <c r="BT202" s="40" t="s">
        <v>807</v>
      </c>
      <c r="BU202" s="21"/>
    </row>
    <row r="203" spans="1:73" ht="13.2" customHeight="1">
      <c r="D203" s="1186" t="str">
        <f>IF(AND(M25&gt;0,M27&gt;0),"Federal and State","Federal Only")</f>
        <v>Federal Only</v>
      </c>
      <c r="E203" s="1186"/>
      <c r="F203" s="1186"/>
      <c r="G203" s="1186"/>
      <c r="H203" s="1186"/>
      <c r="I203" s="1186"/>
      <c r="J203" s="1186"/>
      <c r="K203" s="1186"/>
      <c r="L203" s="1186"/>
      <c r="M203" s="1186"/>
      <c r="P203" s="1329">
        <f>M25</f>
        <v>2376111</v>
      </c>
      <c r="Q203" s="1329"/>
      <c r="R203" s="1329"/>
      <c r="S203" s="1329"/>
      <c r="T203" s="1329"/>
      <c r="U203" s="1329"/>
      <c r="W203" s="1329">
        <f>M27</f>
        <v>0</v>
      </c>
      <c r="X203" s="1329"/>
      <c r="Y203" s="1329"/>
      <c r="Z203" s="1329"/>
      <c r="AA203" s="1329"/>
      <c r="AB203" s="1329"/>
      <c r="AV203" t="s">
        <v>124</v>
      </c>
      <c r="AX203" s="5" t="s">
        <v>564</v>
      </c>
      <c r="BC203" t="s">
        <v>1434</v>
      </c>
      <c r="BN203" s="30" t="s">
        <v>661</v>
      </c>
      <c r="BT203" s="40" t="s">
        <v>808</v>
      </c>
      <c r="BU203" s="21"/>
    </row>
    <row r="204" spans="1:73" ht="13.2" customHeight="1">
      <c r="C204" s="29"/>
      <c r="P204" s="1423" t="s">
        <v>175</v>
      </c>
      <c r="Q204" s="1423"/>
      <c r="R204" s="1423"/>
      <c r="S204" s="1423"/>
      <c r="T204" s="1423"/>
      <c r="U204" s="1423"/>
      <c r="V204" s="36"/>
      <c r="W204" s="1423" t="s">
        <v>176</v>
      </c>
      <c r="X204" s="1423"/>
      <c r="Y204" s="1423"/>
      <c r="Z204" s="1423"/>
      <c r="AA204" s="1423"/>
      <c r="AB204" s="1423"/>
      <c r="AV204" t="s">
        <v>108</v>
      </c>
      <c r="AX204" s="5" t="s">
        <v>664</v>
      </c>
      <c r="BC204" t="s">
        <v>860</v>
      </c>
      <c r="BN204" s="30" t="s">
        <v>662</v>
      </c>
      <c r="BT204" s="40" t="s">
        <v>809</v>
      </c>
      <c r="BU204" s="21"/>
    </row>
    <row r="205" spans="1:73" ht="13.2" customHeight="1" thickBot="1">
      <c r="D205" s="465" t="s">
        <v>177</v>
      </c>
      <c r="E205" s="37"/>
      <c r="F205" s="37"/>
      <c r="G205" s="37"/>
      <c r="H205" s="37"/>
      <c r="I205" s="37"/>
      <c r="J205" s="37"/>
      <c r="K205" s="37"/>
      <c r="L205" s="37"/>
      <c r="M205" s="37"/>
      <c r="N205" s="37"/>
      <c r="O205" s="37"/>
      <c r="P205" s="37"/>
      <c r="AV205" t="s">
        <v>483</v>
      </c>
      <c r="AX205" s="5" t="s">
        <v>1375</v>
      </c>
      <c r="BC205" t="s">
        <v>137</v>
      </c>
      <c r="BN205" s="30" t="s">
        <v>897</v>
      </c>
      <c r="BT205" s="40" t="s">
        <v>845</v>
      </c>
    </row>
    <row r="206" spans="1:73" ht="13.2"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2"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3.2" customHeight="1">
      <c r="C208" s="29"/>
      <c r="D208" s="1053" t="s">
        <v>2333</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2"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2"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2" customHeight="1">
      <c r="C211" s="29"/>
      <c r="D211" s="1099" t="s">
        <v>2202</v>
      </c>
      <c r="E211" s="1053"/>
      <c r="F211" s="1053"/>
      <c r="G211" s="1053"/>
      <c r="H211" s="1053"/>
      <c r="I211" s="1053"/>
      <c r="J211" s="1053"/>
      <c r="K211" s="1053"/>
      <c r="L211" s="1053"/>
      <c r="M211" s="1053"/>
      <c r="N211" s="1053"/>
      <c r="O211" s="1053"/>
      <c r="P211" s="1053"/>
      <c r="X211" s="803"/>
      <c r="Y211" s="1333" t="s">
        <v>483</v>
      </c>
      <c r="Z211" s="1333"/>
      <c r="AA211" s="804"/>
      <c r="AB211" s="804"/>
      <c r="AC211" s="804"/>
      <c r="AD211" s="804"/>
      <c r="AE211" s="804"/>
      <c r="AF211" s="804"/>
      <c r="AG211" s="804"/>
      <c r="AH211" s="804"/>
      <c r="AI211" s="804"/>
      <c r="AJ211" s="804"/>
      <c r="AK211" s="805"/>
      <c r="BN211" s="30" t="s">
        <v>21</v>
      </c>
      <c r="BT211" s="40" t="s">
        <v>22</v>
      </c>
    </row>
    <row r="212" spans="1:72" ht="13.2"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2" customHeight="1">
      <c r="A213" s="3" t="s">
        <v>125</v>
      </c>
      <c r="C213" s="3" t="s">
        <v>1425</v>
      </c>
      <c r="AX213" t="s">
        <v>2021</v>
      </c>
      <c r="BC213" t="s">
        <v>626</v>
      </c>
      <c r="BN213" s="30" t="s">
        <v>6</v>
      </c>
      <c r="BT213" s="40" t="s">
        <v>816</v>
      </c>
    </row>
    <row r="214" spans="1:72" ht="13.2"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444</v>
      </c>
      <c r="BT214" s="40" t="s">
        <v>817</v>
      </c>
    </row>
    <row r="215" spans="1:72" ht="13.2" customHeight="1">
      <c r="D215" s="35"/>
      <c r="E215" s="41" t="s">
        <v>2105</v>
      </c>
      <c r="AC215" s="1327">
        <v>46</v>
      </c>
      <c r="AD215" s="1327"/>
      <c r="AF215" s="1338">
        <f>IFERROR(AC215/AG433,"")</f>
        <v>1</v>
      </c>
      <c r="AG215" s="1338"/>
      <c r="AX215" t="s">
        <v>2023</v>
      </c>
      <c r="BC215" t="s">
        <v>627</v>
      </c>
    </row>
    <row r="216" spans="1:72" ht="13.2" customHeight="1">
      <c r="D216" s="35"/>
      <c r="E216" s="938" t="s">
        <v>1432</v>
      </c>
      <c r="AX216" t="s">
        <v>2024</v>
      </c>
      <c r="BC216" t="s">
        <v>744</v>
      </c>
    </row>
    <row r="217" spans="1:72" ht="13.2" customHeight="1">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2026</v>
      </c>
      <c r="BC217" t="s">
        <v>628</v>
      </c>
    </row>
    <row r="218" spans="1:72" ht="13.2" customHeight="1">
      <c r="E218" s="41" t="s">
        <v>1962</v>
      </c>
      <c r="AA218" s="49"/>
      <c r="AC218" s="1321"/>
      <c r="AD218" s="1321"/>
      <c r="AE218" s="1321"/>
      <c r="AF218" s="1321"/>
      <c r="AG218" s="1321"/>
      <c r="AH218" s="1321"/>
      <c r="AI218" s="1321"/>
      <c r="AJ218" s="1321"/>
      <c r="AK218" s="1321"/>
      <c r="AL218" s="1321"/>
      <c r="AM218" s="1321"/>
      <c r="BC218" t="s">
        <v>629</v>
      </c>
      <c r="BI218" s="39"/>
    </row>
    <row r="219" spans="1:72" ht="13.2" customHeight="1">
      <c r="E219" s="41" t="s">
        <v>1963</v>
      </c>
      <c r="AA219" s="49"/>
      <c r="AC219" s="1321"/>
      <c r="AD219" s="1321"/>
      <c r="AE219" s="1321"/>
      <c r="AF219" s="1321"/>
      <c r="AG219" s="1321"/>
      <c r="AH219" s="1321"/>
      <c r="AI219" s="1321"/>
      <c r="AJ219" s="1321"/>
      <c r="AK219" s="1321"/>
      <c r="AL219" s="1321"/>
      <c r="AM219" s="1321"/>
      <c r="BC219" t="s">
        <v>495</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3.2"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D223" s="1099" t="s">
        <v>1104</v>
      </c>
      <c r="E223" s="1099"/>
      <c r="F223" s="1099"/>
      <c r="G223" s="1099"/>
      <c r="H223" s="1099"/>
      <c r="I223" s="1099"/>
      <c r="J223" s="1099"/>
      <c r="K223" s="1099"/>
      <c r="L223" s="1099"/>
      <c r="M223" s="1099"/>
      <c r="N223" s="1099"/>
      <c r="O223" s="1099"/>
      <c r="P223" s="1099"/>
      <c r="Q223" s="1099"/>
      <c r="R223" s="1099"/>
      <c r="S223" s="1099"/>
      <c r="T223" s="1099"/>
      <c r="U223" s="1099"/>
      <c r="V223" s="1099"/>
      <c r="W223" s="1099"/>
      <c r="X223" s="1099"/>
      <c r="Y223" s="1099"/>
      <c r="Z223" s="1099"/>
      <c r="AA223" s="1099"/>
      <c r="AB223" s="1099"/>
      <c r="AC223" s="1099"/>
      <c r="AD223" s="1099"/>
      <c r="AE223" s="1099"/>
      <c r="AF223" s="1099"/>
      <c r="AG223" s="1099"/>
      <c r="AH223" s="1099"/>
      <c r="AI223" s="1099"/>
      <c r="AJ223" s="21"/>
      <c r="AK223" s="21"/>
      <c r="AL223" s="21"/>
    </row>
    <row r="224" spans="1:72" ht="13.2" customHeight="1">
      <c r="AJ224" s="5"/>
    </row>
    <row r="225" spans="1:59" ht="13.2" customHeight="1">
      <c r="D225" t="s">
        <v>557</v>
      </c>
      <c r="O225" s="1118">
        <v>34</v>
      </c>
      <c r="P225" s="1118"/>
    </row>
    <row r="226" spans="1:59" ht="13.2" customHeight="1">
      <c r="D226" t="s">
        <v>558</v>
      </c>
      <c r="O226" s="1118">
        <v>52</v>
      </c>
      <c r="P226" s="1118"/>
      <c r="BB226" s="5" t="s">
        <v>638</v>
      </c>
      <c r="BG226" s="410">
        <f>IF(AND(AND($M$251="for profit",$M$259="for profit",$M$267="nonprofit")),2,0)</f>
        <v>0</v>
      </c>
    </row>
    <row r="227" spans="1:59" ht="13.2" customHeight="1">
      <c r="D227" t="s">
        <v>559</v>
      </c>
      <c r="O227" s="1118">
        <v>26</v>
      </c>
      <c r="P227" s="1118"/>
      <c r="BB227" s="5" t="s">
        <v>638</v>
      </c>
      <c r="BG227" s="410">
        <f>IF(AND(AND($M$251="for profit",$M$259="nonprofit",$M$267="for profit")),2,0)</f>
        <v>0</v>
      </c>
    </row>
    <row r="228" spans="1:59" ht="13.2" customHeight="1">
      <c r="D228" t="s">
        <v>560</v>
      </c>
      <c r="BB228" t="s">
        <v>638</v>
      </c>
      <c r="BG228" s="410">
        <f>IF(AND(AND($M$251="nonprofit",$M$259="for profit",$M$267="for profit")),2,0)</f>
        <v>0</v>
      </c>
    </row>
    <row r="229" spans="1:59" ht="13.2" customHeight="1">
      <c r="D229" s="360" t="s">
        <v>1178</v>
      </c>
      <c r="U229" s="360" t="s">
        <v>1179</v>
      </c>
      <c r="BB229" t="s">
        <v>638</v>
      </c>
      <c r="BG229" s="410">
        <f>IF(AND(AND($M$251="for profit",$M$259="nonprofit",$M$267="(select one)")),2,0)</f>
        <v>0</v>
      </c>
    </row>
    <row r="230" spans="1:59" ht="13.2" customHeight="1">
      <c r="BB230" t="s">
        <v>638</v>
      </c>
      <c r="BG230" s="411">
        <f>IF(AND(AND($M$251="nonprofit",$M$259="for profit",$M$267="(select one)")),2,0)</f>
        <v>0</v>
      </c>
    </row>
    <row r="231" spans="1:59" ht="13.2" customHeight="1">
      <c r="A231" s="1055" t="s">
        <v>496</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3.2"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3.2"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2"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2" customHeight="1">
      <c r="D235" s="5" t="s">
        <v>372</v>
      </c>
      <c r="E235" s="5"/>
      <c r="F235" s="5"/>
      <c r="G235" s="5"/>
      <c r="H235" s="5"/>
      <c r="I235" s="5"/>
      <c r="J235" s="5"/>
      <c r="K235" s="5"/>
      <c r="M235" s="1422" t="str">
        <f>H15</f>
        <v>Wakeland Alma LP</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3.2" customHeight="1">
      <c r="D236" s="5" t="s">
        <v>373</v>
      </c>
      <c r="E236" s="5"/>
      <c r="F236" s="5"/>
      <c r="G236" s="5"/>
      <c r="H236" s="5"/>
      <c r="I236" s="5"/>
      <c r="J236" s="5"/>
      <c r="K236" s="5"/>
      <c r="M236" s="1099" t="s">
        <v>2334</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3.2" customHeight="1">
      <c r="D237" s="5" t="s">
        <v>431</v>
      </c>
      <c r="E237" s="5"/>
      <c r="M237" s="1099" t="s">
        <v>113</v>
      </c>
      <c r="N237" s="1053"/>
      <c r="O237" s="1053"/>
      <c r="P237" s="1053"/>
      <c r="Q237" s="1053"/>
      <c r="R237" s="1053"/>
      <c r="S237" s="1053"/>
      <c r="T237" s="1053"/>
      <c r="V237" s="42" t="s">
        <v>374</v>
      </c>
      <c r="W237" s="1100" t="s">
        <v>2335</v>
      </c>
      <c r="X237" s="1316"/>
      <c r="Y237" s="5" t="s">
        <v>434</v>
      </c>
      <c r="AC237" s="1053">
        <v>92101</v>
      </c>
      <c r="AD237" s="1053"/>
      <c r="AE237" s="1053"/>
      <c r="AN237" s="41"/>
      <c r="BB237" t="s">
        <v>637</v>
      </c>
      <c r="BG237" s="410">
        <f>IF(AND(AND($M$251="nonprofit",$M$259="nonprofit",$M$267="(select one)")),1,0)</f>
        <v>0</v>
      </c>
    </row>
    <row r="238" spans="1:59" ht="13.2" customHeight="1">
      <c r="D238" s="5" t="s">
        <v>375</v>
      </c>
      <c r="E238" s="5"/>
      <c r="F238" s="5"/>
      <c r="G238" s="5"/>
      <c r="H238" s="5"/>
      <c r="I238" s="5"/>
      <c r="J238" s="5"/>
      <c r="K238" s="28"/>
      <c r="M238" s="1099" t="s">
        <v>2336</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1</v>
      </c>
    </row>
    <row r="239" spans="1:59" ht="13.2" customHeight="1">
      <c r="D239" s="5" t="s">
        <v>376</v>
      </c>
      <c r="E239" s="5"/>
      <c r="F239" s="5"/>
      <c r="M239" s="1317" t="s">
        <v>2337</v>
      </c>
      <c r="N239" s="1058"/>
      <c r="O239" s="1058"/>
      <c r="P239" s="1058"/>
      <c r="Q239" s="1058"/>
      <c r="R239" s="1058"/>
      <c r="S239" s="5" t="s">
        <v>818</v>
      </c>
      <c r="T239" s="5"/>
      <c r="U239" s="1316"/>
      <c r="V239" s="1316"/>
      <c r="W239" s="1316"/>
      <c r="X239" s="5" t="s">
        <v>377</v>
      </c>
      <c r="Z239" s="1058"/>
      <c r="AA239" s="1058"/>
      <c r="AB239" s="1058"/>
      <c r="AC239" s="1058"/>
      <c r="AD239" s="1058"/>
      <c r="AE239" s="1058"/>
      <c r="AM239" s="41"/>
      <c r="AN239" s="41"/>
      <c r="BB239" t="s">
        <v>1009</v>
      </c>
      <c r="BG239" s="410">
        <f>IF(AND(AND($M$251="for profit",$M$259="for profit",$M$267="for profit")),3,0)</f>
        <v>0</v>
      </c>
    </row>
    <row r="240" spans="1:59" ht="13.2" customHeight="1">
      <c r="D240" s="5" t="s">
        <v>378</v>
      </c>
      <c r="E240" s="5"/>
      <c r="F240" s="5"/>
      <c r="M240" s="1060" t="s">
        <v>2338</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3.2" customHeight="1">
      <c r="A241" s="3" t="s">
        <v>8</v>
      </c>
      <c r="C241" s="3" t="s">
        <v>625</v>
      </c>
      <c r="M241" s="1054" t="s">
        <v>628</v>
      </c>
      <c r="N241" s="1054"/>
      <c r="O241" s="1054"/>
      <c r="P241" s="1054"/>
      <c r="Q241" s="1054"/>
      <c r="R241" s="1054"/>
      <c r="S241" s="1054"/>
      <c r="T241" s="1054"/>
      <c r="U241" s="5" t="s">
        <v>1144</v>
      </c>
      <c r="AA241" s="1117" t="s">
        <v>2339</v>
      </c>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3.2" customHeight="1">
      <c r="D242" t="s">
        <v>631</v>
      </c>
      <c r="M242" s="1099"/>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3.2" customHeight="1">
      <c r="D243" s="5"/>
      <c r="AM243" s="5"/>
    </row>
    <row r="244" spans="1:67" ht="13.2" customHeight="1">
      <c r="A244" s="3" t="s">
        <v>119</v>
      </c>
      <c r="C244" s="3" t="s">
        <v>633</v>
      </c>
      <c r="D244" s="5"/>
      <c r="L244" s="12"/>
      <c r="M244" s="12"/>
      <c r="N244" s="12"/>
      <c r="AN244" s="41"/>
      <c r="BB244" t="s">
        <v>79</v>
      </c>
      <c r="BH244">
        <v>1</v>
      </c>
      <c r="BI244" t="s">
        <v>634</v>
      </c>
    </row>
    <row r="245" spans="1:67" ht="13.2" customHeight="1">
      <c r="A245" s="28"/>
      <c r="C245" s="62" t="s">
        <v>1468</v>
      </c>
      <c r="D245" s="5" t="s">
        <v>632</v>
      </c>
      <c r="E245" s="5"/>
      <c r="F245" s="5"/>
      <c r="G245" s="5"/>
      <c r="H245" s="5"/>
      <c r="I245" s="5"/>
      <c r="J245" s="5"/>
      <c r="K245" s="5"/>
      <c r="L245" s="5"/>
      <c r="M245" s="1322" t="s">
        <v>2340</v>
      </c>
      <c r="N245" s="1322"/>
      <c r="O245" s="1322"/>
      <c r="P245" s="1322"/>
      <c r="Q245" s="1322"/>
      <c r="R245" s="1322"/>
      <c r="S245" s="1322"/>
      <c r="T245" s="1322"/>
      <c r="U245" s="1322"/>
      <c r="V245" s="1322"/>
      <c r="W245" s="1322"/>
      <c r="X245" s="1322"/>
      <c r="Y245" s="1322"/>
      <c r="Z245" s="1322"/>
      <c r="AA245" s="1322"/>
      <c r="AB245" s="1322"/>
      <c r="AC245" s="1322"/>
      <c r="AD245" s="1322"/>
      <c r="AE245" s="1322"/>
      <c r="AF245" s="1326" t="s">
        <v>2341</v>
      </c>
      <c r="AG245" s="1326"/>
      <c r="AH245" s="1326"/>
      <c r="AI245" s="1326"/>
      <c r="AJ245" s="1326"/>
      <c r="AK245" s="1326"/>
      <c r="AM245" s="5"/>
      <c r="AN245" s="41"/>
      <c r="BB245" s="5" t="s">
        <v>892</v>
      </c>
      <c r="BH245">
        <v>2</v>
      </c>
      <c r="BI245" t="s">
        <v>744</v>
      </c>
      <c r="BO245" s="412" t="str">
        <f>IFERROR(VLOOKUP(AZ260,BH244:BI246,2,FALSE),"")</f>
        <v>Nonprofit</v>
      </c>
    </row>
    <row r="246" spans="1:67" ht="13.2" customHeight="1">
      <c r="A246" s="28"/>
      <c r="B246" s="5"/>
      <c r="C246" s="5"/>
      <c r="D246" s="5" t="s">
        <v>373</v>
      </c>
      <c r="E246" s="5"/>
      <c r="F246" s="5"/>
      <c r="G246" s="5"/>
      <c r="H246" s="5"/>
      <c r="I246" s="5"/>
      <c r="J246" s="5"/>
      <c r="K246" s="5"/>
      <c r="L246" s="5"/>
      <c r="M246" s="1053" t="str">
        <f>M236</f>
        <v>1230 Columbia Street, #950</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455</v>
      </c>
      <c r="BH246">
        <v>3</v>
      </c>
      <c r="BI246" t="s">
        <v>636</v>
      </c>
    </row>
    <row r="247" spans="1:67" ht="13.2" customHeight="1">
      <c r="A247" s="28"/>
      <c r="B247" s="5"/>
      <c r="C247" s="5"/>
      <c r="D247" s="5" t="s">
        <v>431</v>
      </c>
      <c r="E247" s="5"/>
      <c r="M247" s="1053" t="str">
        <f>M237</f>
        <v>San Diego</v>
      </c>
      <c r="N247" s="1053"/>
      <c r="O247" s="1053"/>
      <c r="P247" s="1053"/>
      <c r="Q247" s="1053"/>
      <c r="R247" s="1053"/>
      <c r="S247" s="1053"/>
      <c r="T247" s="1053"/>
      <c r="V247" s="42" t="s">
        <v>374</v>
      </c>
      <c r="W247" s="1316" t="str">
        <f>W237</f>
        <v xml:space="preserve">CA </v>
      </c>
      <c r="X247" s="1316"/>
      <c r="Y247" s="5" t="s">
        <v>434</v>
      </c>
      <c r="AC247" s="1053">
        <f>AC237</f>
        <v>92101</v>
      </c>
      <c r="AD247" s="1053"/>
      <c r="AE247" s="1053"/>
      <c r="AN247" s="41"/>
    </row>
    <row r="248" spans="1:67" ht="13.2" customHeight="1">
      <c r="A248" s="28"/>
      <c r="B248" s="5"/>
      <c r="C248" s="5"/>
      <c r="D248" s="5" t="s">
        <v>375</v>
      </c>
      <c r="E248" s="5"/>
      <c r="F248" s="5"/>
      <c r="G248" s="5"/>
      <c r="H248" s="5"/>
      <c r="I248" s="5"/>
      <c r="J248" s="5"/>
      <c r="K248" s="5"/>
      <c r="L248" s="28"/>
      <c r="M248" s="1099" t="s">
        <v>2321</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3.2" customHeight="1">
      <c r="A249" s="28"/>
      <c r="B249" s="5"/>
      <c r="C249" s="5"/>
      <c r="D249" s="5" t="s">
        <v>376</v>
      </c>
      <c r="E249" s="5"/>
      <c r="F249" s="5"/>
      <c r="M249" s="1317" t="s">
        <v>2342</v>
      </c>
      <c r="N249" s="1058"/>
      <c r="O249" s="1058"/>
      <c r="P249" s="1058"/>
      <c r="Q249" s="1058"/>
      <c r="R249" s="1058"/>
      <c r="S249" s="5" t="s">
        <v>818</v>
      </c>
      <c r="T249" s="5"/>
      <c r="U249" s="1316"/>
      <c r="V249" s="1316"/>
      <c r="W249" s="1316"/>
      <c r="X249" s="5" t="s">
        <v>377</v>
      </c>
      <c r="Z249" s="1058"/>
      <c r="AA249" s="1058"/>
      <c r="AB249" s="1058"/>
      <c r="AC249" s="1058"/>
      <c r="AD249" s="1058"/>
      <c r="AE249" s="1058"/>
      <c r="AM249" s="5"/>
      <c r="AN249" s="41"/>
    </row>
    <row r="250" spans="1:67" ht="13.2" customHeight="1">
      <c r="A250" s="28"/>
      <c r="B250" s="5"/>
      <c r="C250" s="5"/>
      <c r="D250" s="5" t="s">
        <v>378</v>
      </c>
      <c r="E250" s="5"/>
      <c r="F250" s="5"/>
      <c r="M250" s="1060" t="s">
        <v>2343</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3.2"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57" t="str">
        <f>AA241</f>
        <v>Wakeland Housing and Development Corporation</v>
      </c>
      <c r="AB251" s="1057"/>
      <c r="AC251" s="1057"/>
      <c r="AD251" s="1057"/>
      <c r="AE251" s="1057"/>
      <c r="AF251" s="1057"/>
      <c r="AG251" s="1057"/>
      <c r="AH251" s="1057"/>
      <c r="AI251" s="1057"/>
      <c r="AJ251" s="1057"/>
      <c r="AK251" s="1057"/>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1469</v>
      </c>
      <c r="D253" s="5" t="s">
        <v>1212</v>
      </c>
      <c r="E253" s="5"/>
      <c r="F253" s="5"/>
      <c r="G253" s="5"/>
      <c r="H253" s="5"/>
      <c r="I253" s="5"/>
      <c r="J253" s="5"/>
      <c r="K253" s="5"/>
      <c r="L253" s="5"/>
      <c r="M253" s="1322"/>
      <c r="N253" s="1322"/>
      <c r="O253" s="1322"/>
      <c r="P253" s="1322"/>
      <c r="Q253" s="1322"/>
      <c r="R253" s="1322"/>
      <c r="S253" s="1322"/>
      <c r="T253" s="1322"/>
      <c r="U253" s="1322"/>
      <c r="V253" s="1322"/>
      <c r="W253" s="1322"/>
      <c r="X253" s="1322"/>
      <c r="Y253" s="1322"/>
      <c r="Z253" s="1322"/>
      <c r="AA253" s="1322"/>
      <c r="AB253" s="1322"/>
      <c r="AC253" s="1322"/>
      <c r="AD253" s="1322"/>
      <c r="AE253" s="1322"/>
      <c r="AF253" s="1326" t="s">
        <v>79</v>
      </c>
      <c r="AG253" s="1326"/>
      <c r="AH253" s="1326"/>
      <c r="AI253" s="1326"/>
      <c r="AJ253" s="1326"/>
      <c r="AK253" s="1326"/>
      <c r="AM253" s="5"/>
    </row>
    <row r="254" spans="1:67" ht="13.2" customHeight="1">
      <c r="A254" s="28"/>
      <c r="B254" s="5"/>
      <c r="C254" s="5"/>
      <c r="D254" s="5" t="s">
        <v>373</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3.2" customHeight="1">
      <c r="A255" s="28"/>
      <c r="B255" s="5"/>
      <c r="C255" s="5"/>
      <c r="D255" s="5" t="s">
        <v>431</v>
      </c>
      <c r="E255" s="5"/>
      <c r="M255" s="1053"/>
      <c r="N255" s="1053"/>
      <c r="O255" s="1053"/>
      <c r="P255" s="1053"/>
      <c r="Q255" s="1053"/>
      <c r="R255" s="1053"/>
      <c r="S255" s="1053"/>
      <c r="T255" s="1053"/>
      <c r="V255" s="42" t="s">
        <v>374</v>
      </c>
      <c r="W255" s="1316"/>
      <c r="X255" s="1316"/>
      <c r="Y255" s="5" t="s">
        <v>434</v>
      </c>
      <c r="AC255" s="1053"/>
      <c r="AD255" s="1053"/>
      <c r="AE255" s="1053"/>
    </row>
    <row r="256" spans="1:67" ht="13.2" customHeight="1">
      <c r="A256" s="28"/>
      <c r="B256" s="5"/>
      <c r="C256" s="5"/>
      <c r="D256" s="5" t="s">
        <v>375</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3.2" customHeight="1">
      <c r="A257" s="28"/>
      <c r="B257" s="5"/>
      <c r="C257" s="5"/>
      <c r="D257" s="5" t="s">
        <v>376</v>
      </c>
      <c r="E257" s="5"/>
      <c r="F257" s="5"/>
      <c r="M257" s="1058"/>
      <c r="N257" s="1058"/>
      <c r="O257" s="1058"/>
      <c r="P257" s="1058"/>
      <c r="Q257" s="1058"/>
      <c r="R257" s="1058"/>
      <c r="S257" s="5" t="s">
        <v>818</v>
      </c>
      <c r="T257" s="5"/>
      <c r="U257" s="1316"/>
      <c r="V257" s="1316"/>
      <c r="W257" s="1316"/>
      <c r="X257" s="5" t="s">
        <v>377</v>
      </c>
      <c r="Z257" s="1058"/>
      <c r="AA257" s="1058"/>
      <c r="AB257" s="1058"/>
      <c r="AC257" s="1058"/>
      <c r="AD257" s="1058"/>
      <c r="AE257" s="1058"/>
      <c r="BA257" s="43"/>
    </row>
    <row r="258" spans="1:53" ht="13.2" customHeight="1">
      <c r="A258" s="28"/>
      <c r="B258" s="5"/>
      <c r="C258" s="5"/>
      <c r="D258" s="5" t="s">
        <v>378</v>
      </c>
      <c r="E258" s="5"/>
      <c r="F258" s="5"/>
      <c r="M258" s="1060"/>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3.2" customHeight="1">
      <c r="A259" s="18"/>
      <c r="B259" s="5"/>
      <c r="C259" s="62"/>
      <c r="D259" s="5" t="s">
        <v>635</v>
      </c>
      <c r="E259" s="5"/>
      <c r="F259" s="5"/>
      <c r="G259" s="5"/>
      <c r="H259" s="5"/>
      <c r="I259" s="5"/>
      <c r="J259" s="5"/>
      <c r="K259" s="5"/>
      <c r="L259" s="5"/>
      <c r="M259" s="1054" t="s">
        <v>79</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2" customHeight="1">
      <c r="A261" s="18"/>
      <c r="B261" s="5"/>
      <c r="C261" s="62" t="s">
        <v>1887</v>
      </c>
      <c r="D261" s="5" t="s">
        <v>632</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3.2" customHeight="1">
      <c r="A262" s="18"/>
      <c r="B262" s="5"/>
      <c r="C262" s="5"/>
      <c r="D262" s="5" t="s">
        <v>373</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3.2" customHeight="1">
      <c r="A263" s="18"/>
      <c r="B263" s="5"/>
      <c r="C263" s="5"/>
      <c r="D263" s="5" t="s">
        <v>431</v>
      </c>
      <c r="E263" s="5"/>
      <c r="M263" s="1053"/>
      <c r="N263" s="1053"/>
      <c r="O263" s="1053"/>
      <c r="P263" s="1053"/>
      <c r="Q263" s="1053"/>
      <c r="R263" s="1053"/>
      <c r="S263" s="1053"/>
      <c r="T263" s="1053"/>
      <c r="V263" s="42" t="s">
        <v>374</v>
      </c>
      <c r="W263" s="1316"/>
      <c r="X263" s="1316"/>
      <c r="Y263" s="5" t="s">
        <v>434</v>
      </c>
      <c r="AC263" s="1053"/>
      <c r="AD263" s="1053"/>
      <c r="AE263" s="1053"/>
      <c r="AL263" s="41"/>
      <c r="BA263" s="43"/>
    </row>
    <row r="264" spans="1:53" ht="13.2" customHeight="1">
      <c r="A264" s="18"/>
      <c r="B264" s="5"/>
      <c r="C264" s="5"/>
      <c r="D264" s="5" t="s">
        <v>375</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3.2" customHeight="1">
      <c r="A265" s="18"/>
      <c r="B265" s="5"/>
      <c r="C265" s="5"/>
      <c r="D265" s="5" t="s">
        <v>376</v>
      </c>
      <c r="E265" s="5"/>
      <c r="F265" s="5"/>
      <c r="M265" s="1058"/>
      <c r="N265" s="1058"/>
      <c r="O265" s="1058"/>
      <c r="P265" s="1058"/>
      <c r="Q265" s="1058"/>
      <c r="R265" s="1058"/>
      <c r="S265" s="5" t="s">
        <v>818</v>
      </c>
      <c r="T265" s="5"/>
      <c r="U265" s="1316"/>
      <c r="V265" s="1316"/>
      <c r="W265" s="1316"/>
      <c r="X265" s="5" t="s">
        <v>377</v>
      </c>
      <c r="Z265" s="1058"/>
      <c r="AA265" s="1058"/>
      <c r="AB265" s="1058"/>
      <c r="AC265" s="1058"/>
      <c r="AD265" s="1058"/>
      <c r="AE265" s="1058"/>
      <c r="AL265" s="41"/>
      <c r="BA265" s="43"/>
    </row>
    <row r="266" spans="1:53" ht="13.2" customHeight="1">
      <c r="A266" s="18"/>
      <c r="B266" s="5"/>
      <c r="C266" s="5"/>
      <c r="D266" s="5" t="s">
        <v>378</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3.2"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3.2"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 customHeight="1">
      <c r="A269" s="63" t="s">
        <v>122</v>
      </c>
      <c r="B269" s="5"/>
      <c r="C269" s="3" t="s">
        <v>267</v>
      </c>
      <c r="D269" s="5"/>
      <c r="E269" s="5"/>
      <c r="F269" s="5"/>
      <c r="G269" s="5"/>
      <c r="H269" s="5"/>
      <c r="I269" s="5"/>
      <c r="J269" s="5"/>
      <c r="K269" s="5"/>
      <c r="L269" s="5"/>
      <c r="M269" s="44"/>
      <c r="N269" s="44"/>
      <c r="O269" s="44"/>
      <c r="P269" s="44"/>
      <c r="Q269" s="44"/>
      <c r="T269" s="1059" t="str">
        <f>BO245</f>
        <v>Nonprofit</v>
      </c>
      <c r="U269" s="1059"/>
      <c r="V269" s="1059"/>
      <c r="W269" s="1059"/>
      <c r="X269" s="1059"/>
      <c r="Z269" s="474" t="s">
        <v>1213</v>
      </c>
      <c r="AA269" s="7"/>
      <c r="AB269" s="7"/>
      <c r="AC269" s="7"/>
      <c r="AD269" s="7"/>
      <c r="AE269" s="7"/>
      <c r="AF269" s="195"/>
      <c r="AG269" s="195"/>
      <c r="AH269" s="195"/>
      <c r="AI269" s="195"/>
      <c r="AJ269" s="195"/>
      <c r="AK269" s="7"/>
      <c r="AL269" s="64"/>
      <c r="BA269" s="43"/>
    </row>
    <row r="270" spans="1:53" ht="13.2"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2"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2" customHeight="1">
      <c r="A272" s="5"/>
      <c r="B272" s="45">
        <v>0</v>
      </c>
      <c r="D272" s="1053" t="s">
        <v>892</v>
      </c>
      <c r="E272" s="1053"/>
      <c r="F272" s="1053"/>
      <c r="G272" s="1053"/>
      <c r="H272" s="1053"/>
      <c r="J272" t="s">
        <v>891</v>
      </c>
      <c r="X272" s="1348"/>
      <c r="Y272" s="1348"/>
      <c r="Z272" s="1348"/>
      <c r="AA272" s="1348"/>
      <c r="AB272" s="1348"/>
      <c r="AC272" s="1348"/>
      <c r="BA272" s="43"/>
    </row>
    <row r="273" spans="1:53" ht="13.2"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2" customHeight="1">
      <c r="D276" s="5" t="s">
        <v>268</v>
      </c>
      <c r="E276" s="5"/>
      <c r="F276" s="5"/>
      <c r="G276" s="5"/>
      <c r="H276" s="5"/>
      <c r="I276" s="5"/>
      <c r="J276" s="5"/>
      <c r="K276" s="5"/>
      <c r="L276" s="1325" t="str">
        <f>AA241</f>
        <v>Wakeland Housing and Development Corporation</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3.2" customHeight="1">
      <c r="D277" s="5" t="s">
        <v>373</v>
      </c>
      <c r="E277" s="5"/>
      <c r="F277" s="5"/>
      <c r="G277" s="5"/>
      <c r="H277" s="5"/>
      <c r="I277" s="5"/>
      <c r="J277" s="5"/>
      <c r="K277" s="5"/>
      <c r="L277" s="1053" t="str">
        <f>M236</f>
        <v>1230 Columbia Street, #950</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3.2" customHeight="1">
      <c r="D278" s="5" t="s">
        <v>431</v>
      </c>
      <c r="E278" s="5"/>
      <c r="L278" s="1053" t="str">
        <f>M237</f>
        <v>San Diego</v>
      </c>
      <c r="M278" s="1053"/>
      <c r="N278" s="1053"/>
      <c r="O278" s="1053"/>
      <c r="P278" s="1053"/>
      <c r="Q278" s="1053"/>
      <c r="R278" s="1053"/>
      <c r="S278" s="1053"/>
      <c r="U278" s="42" t="s">
        <v>374</v>
      </c>
      <c r="V278" s="1316" t="str">
        <f>W237</f>
        <v xml:space="preserve">CA </v>
      </c>
      <c r="W278" s="1316"/>
      <c r="X278" s="5" t="s">
        <v>434</v>
      </c>
      <c r="AB278" s="1053">
        <f>AC237</f>
        <v>92101</v>
      </c>
      <c r="AC278" s="1053"/>
      <c r="AD278" s="1053"/>
      <c r="AK278" s="41"/>
      <c r="AL278" s="41"/>
      <c r="BA278" s="43"/>
    </row>
    <row r="279" spans="1:53" ht="13.2" customHeight="1">
      <c r="D279" s="5" t="s">
        <v>375</v>
      </c>
      <c r="E279" s="5"/>
      <c r="F279" s="5"/>
      <c r="G279" s="5"/>
      <c r="H279" s="5"/>
      <c r="I279" s="5"/>
      <c r="J279" s="5"/>
      <c r="K279" s="28"/>
      <c r="L279" s="1053" t="str">
        <f>M238</f>
        <v>Taylor Holland</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3.2" customHeight="1">
      <c r="D280" s="5" t="s">
        <v>376</v>
      </c>
      <c r="E280" s="5"/>
      <c r="F280" s="5"/>
      <c r="L280" s="1058" t="str">
        <f>M239</f>
        <v>619-994-7843</v>
      </c>
      <c r="M280" s="1058"/>
      <c r="N280" s="1058"/>
      <c r="O280" s="1058"/>
      <c r="P280" s="1058"/>
      <c r="Q280" s="1058"/>
      <c r="R280" s="5" t="s">
        <v>818</v>
      </c>
      <c r="S280" s="5"/>
      <c r="T280" s="1316"/>
      <c r="U280" s="1316"/>
      <c r="V280" s="1316"/>
      <c r="W280" s="5" t="s">
        <v>377</v>
      </c>
      <c r="Y280" s="1058"/>
      <c r="Z280" s="1058"/>
      <c r="AA280" s="1058"/>
      <c r="AB280" s="1058"/>
      <c r="AC280" s="1058"/>
      <c r="AD280" s="1058"/>
      <c r="BA280" s="43"/>
    </row>
    <row r="281" spans="1:53" ht="13.2" customHeight="1">
      <c r="D281" s="5" t="s">
        <v>378</v>
      </c>
      <c r="E281" s="5"/>
      <c r="F281" s="5"/>
      <c r="L281" s="1060" t="str">
        <f>M240</f>
        <v>tholland@wakelandhdc.com</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3.2" customHeight="1">
      <c r="D282" s="41" t="s">
        <v>186</v>
      </c>
      <c r="E282" s="41"/>
      <c r="F282" s="41"/>
      <c r="G282" s="41"/>
      <c r="H282" s="41"/>
      <c r="I282" s="41"/>
      <c r="L282" s="1100" t="s">
        <v>2344</v>
      </c>
      <c r="M282" s="1100"/>
      <c r="N282" s="1100"/>
      <c r="O282" s="1100"/>
      <c r="P282" s="1100"/>
      <c r="Q282" s="1100"/>
      <c r="R282" s="1100"/>
      <c r="S282" s="1100"/>
      <c r="T282" s="1100"/>
      <c r="U282" s="1100"/>
      <c r="V282" s="1100"/>
      <c r="W282" s="1100"/>
      <c r="X282" s="1100"/>
      <c r="Y282" s="1100"/>
      <c r="Z282" s="1100"/>
      <c r="AA282" s="1100"/>
      <c r="AB282" s="1100"/>
      <c r="AC282" s="1100"/>
      <c r="AD282" s="1100"/>
      <c r="AK282" s="41"/>
      <c r="AL282" s="41"/>
      <c r="BA282" s="43"/>
    </row>
    <row r="283" spans="1:53" ht="13.2" customHeight="1">
      <c r="L283" s="4" t="s">
        <v>187</v>
      </c>
      <c r="BA283" s="43"/>
    </row>
    <row r="284" spans="1:53" ht="13.2" customHeight="1">
      <c r="A284" s="1055" t="s">
        <v>497</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3.2"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3.2"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189</v>
      </c>
      <c r="C289" s="41"/>
      <c r="D289" s="41"/>
      <c r="E289" s="41"/>
      <c r="F289" s="41"/>
      <c r="H289" s="1318" t="str">
        <f>L276</f>
        <v>Wakeland Housing and Development Corporation</v>
      </c>
      <c r="I289" s="1056"/>
      <c r="J289" s="1056"/>
      <c r="K289" s="1056"/>
      <c r="L289" s="1056"/>
      <c r="M289" s="1056"/>
      <c r="N289" s="1056"/>
      <c r="O289" s="1056"/>
      <c r="P289" s="1056"/>
      <c r="Q289" s="1056"/>
      <c r="R289" s="1056"/>
      <c r="T289" s="41" t="s">
        <v>745</v>
      </c>
      <c r="V289" s="41"/>
      <c r="W289" s="41"/>
      <c r="X289" s="41"/>
      <c r="Y289" s="41"/>
      <c r="AA289" s="1056" t="s">
        <v>2346</v>
      </c>
      <c r="AB289" s="1056"/>
      <c r="AC289" s="1056"/>
      <c r="AD289" s="1056"/>
      <c r="AE289" s="1056"/>
      <c r="AF289" s="1056"/>
      <c r="AG289" s="1056"/>
      <c r="AH289" s="1056"/>
      <c r="AI289" s="1056"/>
      <c r="AJ289" s="1056"/>
      <c r="AK289" s="1056"/>
      <c r="BA289" s="43"/>
    </row>
    <row r="290" spans="2:53" ht="13.2" customHeight="1">
      <c r="B290" s="41" t="s">
        <v>699</v>
      </c>
      <c r="C290" s="41"/>
      <c r="D290" s="41"/>
      <c r="E290" s="41"/>
      <c r="F290" s="41"/>
      <c r="H290" s="1054" t="str">
        <f>L277</f>
        <v>1230 Columbia Street, #950</v>
      </c>
      <c r="I290" s="1054"/>
      <c r="J290" s="1054"/>
      <c r="K290" s="1054"/>
      <c r="L290" s="1054"/>
      <c r="M290" s="1054"/>
      <c r="N290" s="1054"/>
      <c r="O290" s="1054"/>
      <c r="P290" s="1054"/>
      <c r="Q290" s="1054"/>
      <c r="R290" s="1054"/>
      <c r="T290" s="41" t="s">
        <v>699</v>
      </c>
      <c r="V290" s="41"/>
      <c r="W290" s="41"/>
      <c r="X290" s="41"/>
      <c r="Y290" s="41"/>
      <c r="AA290" s="1054" t="s">
        <v>2347</v>
      </c>
      <c r="AB290" s="1054"/>
      <c r="AC290" s="1054"/>
      <c r="AD290" s="1054"/>
      <c r="AE290" s="1054"/>
      <c r="AF290" s="1054"/>
      <c r="AG290" s="1054"/>
      <c r="AH290" s="1054"/>
      <c r="AI290" s="1054"/>
      <c r="AJ290" s="1054"/>
      <c r="AK290" s="1054"/>
      <c r="BA290" s="43"/>
    </row>
    <row r="291" spans="2:53" ht="13.2" customHeight="1">
      <c r="B291" s="41" t="s">
        <v>701</v>
      </c>
      <c r="C291" s="41"/>
      <c r="D291" s="41"/>
      <c r="E291" s="41"/>
      <c r="F291" s="41"/>
      <c r="H291" s="1054" t="s">
        <v>2345</v>
      </c>
      <c r="I291" s="1054"/>
      <c r="J291" s="1054"/>
      <c r="K291" s="1054"/>
      <c r="L291" s="1054"/>
      <c r="M291" s="1054"/>
      <c r="N291" s="1054"/>
      <c r="O291" s="1054"/>
      <c r="P291" s="1054"/>
      <c r="Q291" s="1054"/>
      <c r="R291" s="1054"/>
      <c r="T291" s="41" t="s">
        <v>700</v>
      </c>
      <c r="V291" s="41"/>
      <c r="W291" s="41"/>
      <c r="X291" s="41"/>
      <c r="Y291" s="41"/>
      <c r="AA291" s="1054" t="s">
        <v>2348</v>
      </c>
      <c r="AB291" s="1054"/>
      <c r="AC291" s="1054"/>
      <c r="AD291" s="1054"/>
      <c r="AE291" s="1054"/>
      <c r="AF291" s="1054"/>
      <c r="AG291" s="1054"/>
      <c r="AH291" s="1054"/>
      <c r="AI291" s="1054"/>
      <c r="AJ291" s="1054"/>
      <c r="AK291" s="1054"/>
      <c r="BA291" s="43"/>
    </row>
    <row r="292" spans="2:53" ht="13.2" customHeight="1">
      <c r="B292" s="41" t="s">
        <v>375</v>
      </c>
      <c r="C292" s="41"/>
      <c r="D292" s="41"/>
      <c r="E292" s="41"/>
      <c r="F292" s="41"/>
      <c r="H292" s="1054" t="str">
        <f>M248</f>
        <v>Rebecca Louie</v>
      </c>
      <c r="I292" s="1054"/>
      <c r="J292" s="1054"/>
      <c r="K292" s="1054"/>
      <c r="L292" s="1054"/>
      <c r="M292" s="1054"/>
      <c r="N292" s="1054"/>
      <c r="O292" s="1054"/>
      <c r="P292" s="1054"/>
      <c r="Q292" s="1054"/>
      <c r="R292" s="1054"/>
      <c r="T292" s="41" t="s">
        <v>375</v>
      </c>
      <c r="V292" s="41"/>
      <c r="W292" s="41"/>
      <c r="X292" s="41"/>
      <c r="Y292" s="41"/>
      <c r="AA292" s="1054" t="s">
        <v>2349</v>
      </c>
      <c r="AB292" s="1054"/>
      <c r="AC292" s="1054"/>
      <c r="AD292" s="1054"/>
      <c r="AE292" s="1054"/>
      <c r="AF292" s="1054"/>
      <c r="AG292" s="1054"/>
      <c r="AH292" s="1054"/>
      <c r="AI292" s="1054"/>
      <c r="AJ292" s="1054"/>
      <c r="AK292" s="1054"/>
      <c r="BA292" s="43"/>
    </row>
    <row r="293" spans="2:53" ht="13.2" customHeight="1">
      <c r="B293" s="41" t="s">
        <v>376</v>
      </c>
      <c r="C293" s="41"/>
      <c r="D293" s="41"/>
      <c r="E293" s="41"/>
      <c r="F293" s="41"/>
      <c r="G293" s="41"/>
      <c r="H293" s="1057" t="str">
        <f>M249</f>
        <v>619-677-2325</v>
      </c>
      <c r="I293" s="1057"/>
      <c r="J293" s="1057"/>
      <c r="K293" s="1057"/>
      <c r="L293" s="1057"/>
      <c r="M293" s="1057"/>
      <c r="N293" s="5" t="s">
        <v>818</v>
      </c>
      <c r="O293" s="5"/>
      <c r="P293" s="1053"/>
      <c r="Q293" s="1053"/>
      <c r="R293" s="1053"/>
      <c r="S293" s="41"/>
      <c r="T293" s="41" t="s">
        <v>376</v>
      </c>
      <c r="V293" s="41"/>
      <c r="W293" s="41"/>
      <c r="X293" s="41"/>
      <c r="Y293" s="41"/>
      <c r="AA293" s="1117" t="s">
        <v>2350</v>
      </c>
      <c r="AB293" s="1057"/>
      <c r="AC293" s="1057"/>
      <c r="AD293" s="1057"/>
      <c r="AE293" s="1057"/>
      <c r="AF293" s="1057"/>
      <c r="AG293" s="5" t="s">
        <v>818</v>
      </c>
      <c r="AH293" s="5"/>
      <c r="AI293" s="1053"/>
      <c r="AJ293" s="1053"/>
      <c r="AK293" s="1053"/>
      <c r="BA293" s="43"/>
    </row>
    <row r="294" spans="2:53" ht="13.2" customHeight="1">
      <c r="B294" s="41" t="s">
        <v>377</v>
      </c>
      <c r="C294" s="41"/>
      <c r="D294" s="41"/>
      <c r="E294" s="41"/>
      <c r="F294" s="41"/>
      <c r="G294" s="41"/>
      <c r="H294" s="1058"/>
      <c r="I294" s="1058"/>
      <c r="J294" s="1058"/>
      <c r="K294" s="1058"/>
      <c r="L294" s="1058"/>
      <c r="M294" s="1058"/>
      <c r="N294" s="5"/>
      <c r="O294" s="5"/>
      <c r="P294" s="44"/>
      <c r="Q294" s="44"/>
      <c r="R294" s="44"/>
      <c r="S294" s="41"/>
      <c r="T294" s="41" t="s">
        <v>377</v>
      </c>
      <c r="V294" s="41"/>
      <c r="W294" s="41"/>
      <c r="X294" s="41"/>
      <c r="Y294" s="41"/>
      <c r="AA294" s="1058"/>
      <c r="AB294" s="1058"/>
      <c r="AC294" s="1058"/>
      <c r="AD294" s="1058"/>
      <c r="AE294" s="1058"/>
      <c r="AF294" s="1058"/>
      <c r="AG294" s="5"/>
      <c r="AH294" s="5"/>
      <c r="AI294" s="44"/>
      <c r="AJ294" s="44"/>
      <c r="AK294" s="44"/>
      <c r="BA294" s="43"/>
    </row>
    <row r="295" spans="2:53" ht="13.2" customHeight="1">
      <c r="B295" s="41" t="s">
        <v>702</v>
      </c>
      <c r="C295" s="41"/>
      <c r="D295" s="41"/>
      <c r="E295" s="41"/>
      <c r="F295" s="41"/>
      <c r="G295" s="41"/>
      <c r="H295" s="1054" t="str">
        <f>M250</f>
        <v>rlouie@wakelandhdc.com</v>
      </c>
      <c r="I295" s="1054"/>
      <c r="J295" s="1054"/>
      <c r="K295" s="1054"/>
      <c r="L295" s="1054"/>
      <c r="M295" s="1054"/>
      <c r="N295" s="1056"/>
      <c r="O295" s="1056"/>
      <c r="P295" s="1056"/>
      <c r="Q295" s="1056"/>
      <c r="R295" s="1056"/>
      <c r="S295" s="41"/>
      <c r="T295" s="41" t="s">
        <v>702</v>
      </c>
      <c r="V295" s="41"/>
      <c r="W295" s="41"/>
      <c r="X295" s="41"/>
      <c r="Y295" s="41"/>
      <c r="AA295" s="1054" t="s">
        <v>2351</v>
      </c>
      <c r="AB295" s="1054"/>
      <c r="AC295" s="1054"/>
      <c r="AD295" s="1054"/>
      <c r="AE295" s="1054"/>
      <c r="AF295" s="1054"/>
      <c r="AG295" s="1056"/>
      <c r="AH295" s="1056"/>
      <c r="AI295" s="1056"/>
      <c r="AJ295" s="1056"/>
      <c r="AK295" s="1056"/>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440</v>
      </c>
      <c r="C297" s="41"/>
      <c r="D297" s="41"/>
      <c r="E297" s="41"/>
      <c r="F297" s="41"/>
      <c r="H297" s="1056" t="s">
        <v>2353</v>
      </c>
      <c r="I297" s="1056"/>
      <c r="J297" s="1056"/>
      <c r="K297" s="1056"/>
      <c r="L297" s="1056"/>
      <c r="M297" s="1056"/>
      <c r="N297" s="1056"/>
      <c r="O297" s="1056"/>
      <c r="P297" s="1056"/>
      <c r="Q297" s="1056"/>
      <c r="R297" s="1056"/>
      <c r="T297" s="41" t="s">
        <v>35</v>
      </c>
      <c r="V297" s="41"/>
      <c r="W297" s="41"/>
      <c r="X297" s="41"/>
      <c r="Y297" s="41"/>
      <c r="AA297" s="1056" t="s">
        <v>2352</v>
      </c>
      <c r="AB297" s="1056"/>
      <c r="AC297" s="1056"/>
      <c r="AD297" s="1056"/>
      <c r="AE297" s="1056"/>
      <c r="AF297" s="1056"/>
      <c r="AG297" s="1056"/>
      <c r="AH297" s="1056"/>
      <c r="AI297" s="1056"/>
      <c r="AJ297" s="1056"/>
      <c r="AK297" s="1056"/>
      <c r="BA297" s="43"/>
    </row>
    <row r="298" spans="2:53" ht="13.2" customHeight="1">
      <c r="B298" s="41" t="s">
        <v>699</v>
      </c>
      <c r="C298" s="41"/>
      <c r="D298" s="41"/>
      <c r="E298" s="41"/>
      <c r="F298" s="41"/>
      <c r="H298" s="1054" t="s">
        <v>2354</v>
      </c>
      <c r="I298" s="1054"/>
      <c r="J298" s="1054"/>
      <c r="K298" s="1054"/>
      <c r="L298" s="1054"/>
      <c r="M298" s="1054"/>
      <c r="N298" s="1054"/>
      <c r="O298" s="1054"/>
      <c r="P298" s="1054"/>
      <c r="Q298" s="1054"/>
      <c r="R298" s="1054"/>
      <c r="T298" s="41" t="s">
        <v>699</v>
      </c>
      <c r="V298" s="41"/>
      <c r="W298" s="41"/>
      <c r="X298" s="41"/>
      <c r="Y298" s="41"/>
      <c r="AA298" s="1054"/>
      <c r="AB298" s="1054"/>
      <c r="AC298" s="1054"/>
      <c r="AD298" s="1054"/>
      <c r="AE298" s="1054"/>
      <c r="AF298" s="1054"/>
      <c r="AG298" s="1054"/>
      <c r="AH298" s="1054"/>
      <c r="AI298" s="1054"/>
      <c r="AJ298" s="1054"/>
      <c r="AK298" s="1054"/>
      <c r="BA298" s="43"/>
    </row>
    <row r="299" spans="2:53" ht="13.2" customHeight="1">
      <c r="B299" s="41" t="s">
        <v>701</v>
      </c>
      <c r="C299" s="41"/>
      <c r="D299" s="41"/>
      <c r="E299" s="41"/>
      <c r="F299" s="41"/>
      <c r="H299" s="1054" t="s">
        <v>2355</v>
      </c>
      <c r="I299" s="1054"/>
      <c r="J299" s="1054"/>
      <c r="K299" s="1054"/>
      <c r="L299" s="1054"/>
      <c r="M299" s="1054"/>
      <c r="N299" s="1054"/>
      <c r="O299" s="1054"/>
      <c r="P299" s="1054"/>
      <c r="Q299" s="1054"/>
      <c r="R299" s="1054"/>
      <c r="T299" s="41" t="s">
        <v>700</v>
      </c>
      <c r="V299" s="41"/>
      <c r="W299" s="41"/>
      <c r="X299" s="41"/>
      <c r="Y299" s="41"/>
      <c r="AA299" s="1054"/>
      <c r="AB299" s="1054"/>
      <c r="AC299" s="1054"/>
      <c r="AD299" s="1054"/>
      <c r="AE299" s="1054"/>
      <c r="AF299" s="1054"/>
      <c r="AG299" s="1054"/>
      <c r="AH299" s="1054"/>
      <c r="AI299" s="1054"/>
      <c r="AJ299" s="1054"/>
      <c r="AK299" s="1054"/>
      <c r="BA299" s="43"/>
    </row>
    <row r="300" spans="2:53" ht="13.2" customHeight="1">
      <c r="B300" s="41" t="s">
        <v>375</v>
      </c>
      <c r="C300" s="41"/>
      <c r="D300" s="41"/>
      <c r="E300" s="41"/>
      <c r="F300" s="41"/>
      <c r="H300" s="1054" t="s">
        <v>2356</v>
      </c>
      <c r="I300" s="1054"/>
      <c r="J300" s="1054"/>
      <c r="K300" s="1054"/>
      <c r="L300" s="1054"/>
      <c r="M300" s="1054"/>
      <c r="N300" s="1054"/>
      <c r="O300" s="1054"/>
      <c r="P300" s="1054"/>
      <c r="Q300" s="1054"/>
      <c r="R300" s="1054"/>
      <c r="T300" s="41" t="s">
        <v>375</v>
      </c>
      <c r="V300" s="41"/>
      <c r="W300" s="41"/>
      <c r="X300" s="41"/>
      <c r="Y300" s="41"/>
      <c r="AA300" s="1054"/>
      <c r="AB300" s="1054"/>
      <c r="AC300" s="1054"/>
      <c r="AD300" s="1054"/>
      <c r="AE300" s="1054"/>
      <c r="AF300" s="1054"/>
      <c r="AG300" s="1054"/>
      <c r="AH300" s="1054"/>
      <c r="AI300" s="1054"/>
      <c r="AJ300" s="1054"/>
      <c r="AK300" s="1054"/>
      <c r="BA300" s="43"/>
    </row>
    <row r="301" spans="2:53" ht="13.2" customHeight="1">
      <c r="B301" s="41" t="s">
        <v>376</v>
      </c>
      <c r="C301" s="41"/>
      <c r="D301" s="41"/>
      <c r="E301" s="41"/>
      <c r="F301" s="41"/>
      <c r="G301" s="41"/>
      <c r="H301" s="1117" t="s">
        <v>2357</v>
      </c>
      <c r="I301" s="1057"/>
      <c r="J301" s="1057"/>
      <c r="K301" s="1057"/>
      <c r="L301" s="1057"/>
      <c r="M301" s="1057"/>
      <c r="N301" s="5" t="s">
        <v>818</v>
      </c>
      <c r="O301" s="5"/>
      <c r="P301" s="1053"/>
      <c r="Q301" s="1053"/>
      <c r="R301" s="1053"/>
      <c r="S301" s="41"/>
      <c r="T301" s="41" t="s">
        <v>376</v>
      </c>
      <c r="V301" s="41"/>
      <c r="W301" s="41"/>
      <c r="X301" s="41"/>
      <c r="Y301" s="41"/>
      <c r="AA301" s="1057"/>
      <c r="AB301" s="1057"/>
      <c r="AC301" s="1057"/>
      <c r="AD301" s="1057"/>
      <c r="AE301" s="1057"/>
      <c r="AF301" s="1057"/>
      <c r="AG301" s="5" t="s">
        <v>818</v>
      </c>
      <c r="AH301" s="5"/>
      <c r="AI301" s="1053"/>
      <c r="AJ301" s="1053"/>
      <c r="AK301" s="1053"/>
      <c r="BA301" s="43"/>
    </row>
    <row r="302" spans="2:53" ht="13.2" customHeight="1">
      <c r="B302" s="41" t="s">
        <v>377</v>
      </c>
      <c r="C302" s="41"/>
      <c r="D302" s="41"/>
      <c r="E302" s="41"/>
      <c r="F302" s="41"/>
      <c r="G302" s="41"/>
      <c r="H302" s="1317" t="s">
        <v>2358</v>
      </c>
      <c r="I302" s="1058"/>
      <c r="J302" s="1058"/>
      <c r="K302" s="1058"/>
      <c r="L302" s="1058"/>
      <c r="M302" s="1058"/>
      <c r="N302" s="5"/>
      <c r="O302" s="5"/>
      <c r="P302" s="44"/>
      <c r="Q302" s="44"/>
      <c r="R302" s="44"/>
      <c r="S302" s="41"/>
      <c r="T302" s="41" t="s">
        <v>377</v>
      </c>
      <c r="V302" s="41"/>
      <c r="W302" s="41"/>
      <c r="X302" s="41"/>
      <c r="Y302" s="41"/>
      <c r="AA302" s="1058"/>
      <c r="AB302" s="1058"/>
      <c r="AC302" s="1058"/>
      <c r="AD302" s="1058"/>
      <c r="AE302" s="1058"/>
      <c r="AF302" s="1058"/>
      <c r="AG302" s="5"/>
      <c r="AH302" s="5"/>
      <c r="AI302" s="44"/>
      <c r="AJ302" s="44"/>
      <c r="AK302" s="44"/>
      <c r="BA302" s="43"/>
    </row>
    <row r="303" spans="2:53" ht="13.2" customHeight="1">
      <c r="B303" s="41" t="s">
        <v>702</v>
      </c>
      <c r="C303" s="41"/>
      <c r="D303" s="41"/>
      <c r="E303" s="41"/>
      <c r="F303" s="41"/>
      <c r="G303" s="41"/>
      <c r="H303" s="1054" t="s">
        <v>2359</v>
      </c>
      <c r="I303" s="1054"/>
      <c r="J303" s="1054"/>
      <c r="K303" s="1054"/>
      <c r="L303" s="1054"/>
      <c r="M303" s="1054"/>
      <c r="N303" s="1056"/>
      <c r="O303" s="1056"/>
      <c r="P303" s="1056"/>
      <c r="Q303" s="1056"/>
      <c r="R303" s="1056"/>
      <c r="S303" s="41"/>
      <c r="T303" s="41" t="s">
        <v>702</v>
      </c>
      <c r="V303" s="41"/>
      <c r="W303" s="41"/>
      <c r="X303" s="41"/>
      <c r="Y303" s="41"/>
      <c r="AA303" s="1054"/>
      <c r="AB303" s="1054"/>
      <c r="AC303" s="1054"/>
      <c r="AD303" s="1054"/>
      <c r="AE303" s="1054"/>
      <c r="AF303" s="1054"/>
      <c r="AG303" s="1056"/>
      <c r="AH303" s="1056"/>
      <c r="AI303" s="1056"/>
      <c r="AJ303" s="1056"/>
      <c r="AK303" s="1056"/>
      <c r="BA303" s="43"/>
    </row>
    <row r="304" spans="2:53" ht="13.2" customHeight="1">
      <c r="BA304" s="43"/>
    </row>
    <row r="305" spans="2:53" ht="13.2" customHeight="1">
      <c r="B305" s="41" t="s">
        <v>703</v>
      </c>
      <c r="C305" s="41"/>
      <c r="D305" s="41"/>
      <c r="E305" s="41"/>
      <c r="F305" s="41"/>
      <c r="H305" s="1056" t="str">
        <f>H297</f>
        <v>Bocarsly Emden Cowan Esmail &amp; Ardnt LLP</v>
      </c>
      <c r="I305" s="1056"/>
      <c r="J305" s="1056"/>
      <c r="K305" s="1056"/>
      <c r="L305" s="1056"/>
      <c r="M305" s="1056"/>
      <c r="N305" s="1056"/>
      <c r="O305" s="1056"/>
      <c r="P305" s="1056"/>
      <c r="Q305" s="1056"/>
      <c r="R305" s="1056"/>
      <c r="T305" s="5" t="s">
        <v>1105</v>
      </c>
      <c r="V305" s="41"/>
      <c r="W305" s="41"/>
      <c r="X305" s="41"/>
      <c r="Y305" s="41"/>
      <c r="AA305" s="1056" t="s">
        <v>2362</v>
      </c>
      <c r="AB305" s="1056"/>
      <c r="AC305" s="1056"/>
      <c r="AD305" s="1056"/>
      <c r="AE305" s="1056"/>
      <c r="AF305" s="1056"/>
      <c r="AG305" s="1056"/>
      <c r="AH305" s="1056"/>
      <c r="AI305" s="1056"/>
      <c r="AJ305" s="1056"/>
      <c r="AK305" s="1056"/>
      <c r="BA305" s="43"/>
    </row>
    <row r="306" spans="2:53" ht="13.2" customHeight="1">
      <c r="B306" s="41" t="s">
        <v>699</v>
      </c>
      <c r="C306" s="41"/>
      <c r="D306" s="41"/>
      <c r="E306" s="41"/>
      <c r="F306" s="41"/>
      <c r="H306" s="1054" t="str">
        <f>H298</f>
        <v>633 W. 5th Street, 64th Floor</v>
      </c>
      <c r="I306" s="1054"/>
      <c r="J306" s="1054"/>
      <c r="K306" s="1054"/>
      <c r="L306" s="1054"/>
      <c r="M306" s="1054"/>
      <c r="N306" s="1054"/>
      <c r="O306" s="1054"/>
      <c r="P306" s="1054"/>
      <c r="Q306" s="1054"/>
      <c r="R306" s="1054"/>
      <c r="T306" s="41" t="s">
        <v>699</v>
      </c>
      <c r="V306" s="41"/>
      <c r="W306" s="41"/>
      <c r="X306" s="41"/>
      <c r="Y306" s="41"/>
      <c r="AA306" s="1054" t="s">
        <v>2363</v>
      </c>
      <c r="AB306" s="1054"/>
      <c r="AC306" s="1054"/>
      <c r="AD306" s="1054"/>
      <c r="AE306" s="1054"/>
      <c r="AF306" s="1054"/>
      <c r="AG306" s="1054"/>
      <c r="AH306" s="1054"/>
      <c r="AI306" s="1054"/>
      <c r="AJ306" s="1054"/>
      <c r="AK306" s="1054"/>
      <c r="BA306" s="43"/>
    </row>
    <row r="307" spans="2:53" ht="13.2" customHeight="1">
      <c r="B307" s="41" t="s">
        <v>701</v>
      </c>
      <c r="C307" s="41"/>
      <c r="D307" s="41"/>
      <c r="E307" s="41"/>
      <c r="F307" s="41"/>
      <c r="H307" s="1054" t="str">
        <f>H299</f>
        <v>Los Angeles, CA 90071</v>
      </c>
      <c r="I307" s="1054"/>
      <c r="J307" s="1054"/>
      <c r="K307" s="1054"/>
      <c r="L307" s="1054"/>
      <c r="M307" s="1054"/>
      <c r="N307" s="1054"/>
      <c r="O307" s="1054"/>
      <c r="P307" s="1054"/>
      <c r="Q307" s="1054"/>
      <c r="R307" s="1054"/>
      <c r="T307" s="41" t="s">
        <v>700</v>
      </c>
      <c r="V307" s="41"/>
      <c r="W307" s="41"/>
      <c r="X307" s="41"/>
      <c r="Y307" s="41"/>
      <c r="AA307" s="1054" t="s">
        <v>2364</v>
      </c>
      <c r="AB307" s="1054"/>
      <c r="AC307" s="1054"/>
      <c r="AD307" s="1054"/>
      <c r="AE307" s="1054"/>
      <c r="AF307" s="1054"/>
      <c r="AG307" s="1054"/>
      <c r="AH307" s="1054"/>
      <c r="AI307" s="1054"/>
      <c r="AJ307" s="1054"/>
      <c r="AK307" s="1054"/>
      <c r="BA307" s="43"/>
    </row>
    <row r="308" spans="2:53" ht="13.2" customHeight="1">
      <c r="B308" s="41" t="s">
        <v>375</v>
      </c>
      <c r="C308" s="41"/>
      <c r="D308" s="41"/>
      <c r="E308" s="41"/>
      <c r="F308" s="41"/>
      <c r="H308" s="1054" t="s">
        <v>2360</v>
      </c>
      <c r="I308" s="1054"/>
      <c r="J308" s="1054"/>
      <c r="K308" s="1054"/>
      <c r="L308" s="1054"/>
      <c r="M308" s="1054"/>
      <c r="N308" s="1054"/>
      <c r="O308" s="1054"/>
      <c r="P308" s="1054"/>
      <c r="Q308" s="1054"/>
      <c r="R308" s="1054"/>
      <c r="T308" s="41" t="s">
        <v>375</v>
      </c>
      <c r="V308" s="41"/>
      <c r="W308" s="41"/>
      <c r="X308" s="41"/>
      <c r="Y308" s="41"/>
      <c r="AA308" s="1054" t="s">
        <v>2365</v>
      </c>
      <c r="AB308" s="1054"/>
      <c r="AC308" s="1054"/>
      <c r="AD308" s="1054"/>
      <c r="AE308" s="1054"/>
      <c r="AF308" s="1054"/>
      <c r="AG308" s="1054"/>
      <c r="AH308" s="1054"/>
      <c r="AI308" s="1054"/>
      <c r="AJ308" s="1054"/>
      <c r="AK308" s="1054"/>
      <c r="BA308" s="43"/>
    </row>
    <row r="309" spans="2:53" ht="13.2" customHeight="1">
      <c r="B309" s="41" t="s">
        <v>376</v>
      </c>
      <c r="C309" s="41"/>
      <c r="D309" s="41"/>
      <c r="E309" s="41"/>
      <c r="F309" s="41"/>
      <c r="G309" s="41"/>
      <c r="H309" s="1057" t="str">
        <f>H301</f>
        <v>213-239-8029</v>
      </c>
      <c r="I309" s="1057"/>
      <c r="J309" s="1057"/>
      <c r="K309" s="1057"/>
      <c r="L309" s="1057"/>
      <c r="M309" s="1057"/>
      <c r="N309" s="5" t="s">
        <v>818</v>
      </c>
      <c r="O309" s="5"/>
      <c r="P309" s="1053"/>
      <c r="Q309" s="1053"/>
      <c r="R309" s="1053"/>
      <c r="S309" s="41"/>
      <c r="T309" s="41" t="s">
        <v>376</v>
      </c>
      <c r="V309" s="41"/>
      <c r="W309" s="41"/>
      <c r="X309" s="41"/>
      <c r="Y309" s="41"/>
      <c r="AA309" s="1117" t="s">
        <v>2366</v>
      </c>
      <c r="AB309" s="1057"/>
      <c r="AC309" s="1057"/>
      <c r="AD309" s="1057"/>
      <c r="AE309" s="1057"/>
      <c r="AF309" s="1057"/>
      <c r="AG309" s="5" t="s">
        <v>818</v>
      </c>
      <c r="AH309" s="5"/>
      <c r="AI309" s="1053"/>
      <c r="AJ309" s="1053"/>
      <c r="AK309" s="1053"/>
      <c r="BA309" s="43"/>
    </row>
    <row r="310" spans="2:53" ht="13.2" customHeight="1">
      <c r="B310" s="41" t="s">
        <v>377</v>
      </c>
      <c r="C310" s="41"/>
      <c r="D310" s="41"/>
      <c r="E310" s="41"/>
      <c r="F310" s="41"/>
      <c r="G310" s="41"/>
      <c r="H310" s="1058" t="str">
        <f>H302</f>
        <v>213-559-0765</v>
      </c>
      <c r="I310" s="1058"/>
      <c r="J310" s="1058"/>
      <c r="K310" s="1058"/>
      <c r="L310" s="1058"/>
      <c r="M310" s="1058"/>
      <c r="N310" s="5"/>
      <c r="O310" s="5"/>
      <c r="P310" s="44"/>
      <c r="Q310" s="44"/>
      <c r="R310" s="44"/>
      <c r="S310" s="41"/>
      <c r="T310" s="41" t="s">
        <v>377</v>
      </c>
      <c r="V310" s="41"/>
      <c r="W310" s="41"/>
      <c r="X310" s="41"/>
      <c r="Y310" s="41"/>
      <c r="AA310" s="1058"/>
      <c r="AB310" s="1058"/>
      <c r="AC310" s="1058"/>
      <c r="AD310" s="1058"/>
      <c r="AE310" s="1058"/>
      <c r="AF310" s="1058"/>
      <c r="AG310" s="5"/>
      <c r="AH310" s="5"/>
      <c r="AI310" s="44"/>
      <c r="AJ310" s="44"/>
      <c r="AK310" s="44"/>
      <c r="BA310" s="43"/>
    </row>
    <row r="311" spans="2:53" ht="13.2" customHeight="1">
      <c r="B311" s="41" t="s">
        <v>702</v>
      </c>
      <c r="C311" s="41"/>
      <c r="D311" s="41"/>
      <c r="E311" s="41"/>
      <c r="F311" s="41"/>
      <c r="G311" s="41"/>
      <c r="H311" s="1054" t="s">
        <v>2361</v>
      </c>
      <c r="I311" s="1054"/>
      <c r="J311" s="1054"/>
      <c r="K311" s="1054"/>
      <c r="L311" s="1054"/>
      <c r="M311" s="1054"/>
      <c r="N311" s="1056"/>
      <c r="O311" s="1056"/>
      <c r="P311" s="1056"/>
      <c r="Q311" s="1056"/>
      <c r="R311" s="1056"/>
      <c r="S311" s="41"/>
      <c r="T311" s="41" t="s">
        <v>702</v>
      </c>
      <c r="V311" s="41"/>
      <c r="W311" s="41"/>
      <c r="X311" s="41"/>
      <c r="Y311" s="41"/>
      <c r="AA311" s="1054" t="s">
        <v>2367</v>
      </c>
      <c r="AB311" s="1054"/>
      <c r="AC311" s="1054"/>
      <c r="AD311" s="1054"/>
      <c r="AE311" s="1054"/>
      <c r="AF311" s="1054"/>
      <c r="AG311" s="1056"/>
      <c r="AH311" s="1056"/>
      <c r="AI311" s="1056"/>
      <c r="AJ311" s="1056"/>
      <c r="AK311" s="1056"/>
      <c r="BA311" s="43"/>
    </row>
    <row r="312" spans="2:53" ht="13.2" customHeight="1">
      <c r="BA312" s="43"/>
    </row>
    <row r="313" spans="2:53" ht="13.2" customHeight="1">
      <c r="B313" s="5" t="s">
        <v>1146</v>
      </c>
      <c r="C313" s="41"/>
      <c r="D313" s="41"/>
      <c r="E313" s="41"/>
      <c r="F313" s="41"/>
      <c r="H313" s="1056" t="s">
        <v>2368</v>
      </c>
      <c r="I313" s="1056"/>
      <c r="J313" s="1056"/>
      <c r="K313" s="1056"/>
      <c r="L313" s="1056"/>
      <c r="M313" s="1056"/>
      <c r="N313" s="1056"/>
      <c r="O313" s="1056"/>
      <c r="P313" s="1056"/>
      <c r="Q313" s="1056"/>
      <c r="R313" s="1056"/>
      <c r="T313" s="41" t="s">
        <v>36</v>
      </c>
      <c r="V313" s="41"/>
      <c r="W313" s="41"/>
      <c r="X313" s="41"/>
      <c r="Y313" s="41"/>
      <c r="AA313" s="1056" t="s">
        <v>2352</v>
      </c>
      <c r="AB313" s="1056"/>
      <c r="AC313" s="1056"/>
      <c r="AD313" s="1056"/>
      <c r="AE313" s="1056"/>
      <c r="AF313" s="1056"/>
      <c r="AG313" s="1056"/>
      <c r="AH313" s="1056"/>
      <c r="AI313" s="1056"/>
      <c r="AJ313" s="1056"/>
      <c r="AK313" s="1056"/>
      <c r="BA313" s="43"/>
    </row>
    <row r="314" spans="2:53" ht="13.2" customHeight="1">
      <c r="B314" s="41" t="s">
        <v>699</v>
      </c>
      <c r="C314" s="41"/>
      <c r="D314" s="41"/>
      <c r="E314" s="41"/>
      <c r="F314" s="41"/>
      <c r="H314" s="1054" t="s">
        <v>2369</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3.2" customHeight="1">
      <c r="B315" s="41" t="s">
        <v>701</v>
      </c>
      <c r="C315" s="41"/>
      <c r="D315" s="41"/>
      <c r="E315" s="41"/>
      <c r="F315" s="41"/>
      <c r="H315" s="1054" t="s">
        <v>2370</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3.2" customHeight="1">
      <c r="B316" s="41" t="s">
        <v>375</v>
      </c>
      <c r="C316" s="41"/>
      <c r="D316" s="41"/>
      <c r="E316" s="41"/>
      <c r="F316" s="41"/>
      <c r="H316" s="1054" t="s">
        <v>2371</v>
      </c>
      <c r="I316" s="1054"/>
      <c r="J316" s="1054"/>
      <c r="K316" s="1054"/>
      <c r="L316" s="1054"/>
      <c r="M316" s="1054"/>
      <c r="N316" s="1054"/>
      <c r="O316" s="1054"/>
      <c r="P316" s="1054"/>
      <c r="Q316" s="1054"/>
      <c r="R316" s="1054"/>
      <c r="T316" s="41" t="s">
        <v>375</v>
      </c>
      <c r="V316" s="41"/>
      <c r="W316" s="41"/>
      <c r="X316" s="41"/>
      <c r="Y316" s="41"/>
      <c r="AA316" s="1054"/>
      <c r="AB316" s="1054"/>
      <c r="AC316" s="1054"/>
      <c r="AD316" s="1054"/>
      <c r="AE316" s="1054"/>
      <c r="AF316" s="1054"/>
      <c r="AG316" s="1054"/>
      <c r="AH316" s="1054"/>
      <c r="AI316" s="1054"/>
      <c r="AJ316" s="1054"/>
      <c r="AK316" s="1054"/>
      <c r="BA316" s="43"/>
    </row>
    <row r="317" spans="2:53" ht="13.2" customHeight="1">
      <c r="B317" s="41" t="s">
        <v>376</v>
      </c>
      <c r="C317" s="41"/>
      <c r="D317" s="41"/>
      <c r="E317" s="41"/>
      <c r="F317" s="41"/>
      <c r="G317" s="41"/>
      <c r="H317" s="1117" t="s">
        <v>2372</v>
      </c>
      <c r="I317" s="1057"/>
      <c r="J317" s="1057"/>
      <c r="K317" s="1057"/>
      <c r="L317" s="1057"/>
      <c r="M317" s="1057"/>
      <c r="N317" s="5" t="s">
        <v>818</v>
      </c>
      <c r="O317" s="5"/>
      <c r="P317" s="1053"/>
      <c r="Q317" s="1053"/>
      <c r="R317" s="1053"/>
      <c r="S317" s="41"/>
      <c r="T317" s="41" t="s">
        <v>376</v>
      </c>
      <c r="V317" s="41"/>
      <c r="W317" s="41"/>
      <c r="X317" s="41"/>
      <c r="Y317" s="41"/>
      <c r="AA317" s="1057"/>
      <c r="AB317" s="1057"/>
      <c r="AC317" s="1057"/>
      <c r="AD317" s="1057"/>
      <c r="AE317" s="1057"/>
      <c r="AF317" s="1057"/>
      <c r="AG317" s="5" t="s">
        <v>818</v>
      </c>
      <c r="AH317" s="5"/>
      <c r="AI317" s="1053"/>
      <c r="AJ317" s="1053"/>
      <c r="AK317" s="1053"/>
      <c r="BA317" s="43"/>
    </row>
    <row r="318" spans="2:53" ht="13.2" customHeight="1">
      <c r="B318" s="41" t="s">
        <v>377</v>
      </c>
      <c r="C318" s="41"/>
      <c r="D318" s="41"/>
      <c r="E318" s="41"/>
      <c r="F318" s="41"/>
      <c r="G318" s="41"/>
      <c r="H318" s="1058"/>
      <c r="I318" s="1058"/>
      <c r="J318" s="1058"/>
      <c r="K318" s="1058"/>
      <c r="L318" s="1058"/>
      <c r="M318" s="1058"/>
      <c r="N318" s="5"/>
      <c r="O318" s="5"/>
      <c r="P318" s="44"/>
      <c r="Q318" s="44"/>
      <c r="R318" s="44"/>
      <c r="S318" s="41"/>
      <c r="T318" s="41" t="s">
        <v>377</v>
      </c>
      <c r="V318" s="41"/>
      <c r="W318" s="41"/>
      <c r="X318" s="41"/>
      <c r="Y318" s="41"/>
      <c r="AA318" s="1058"/>
      <c r="AB318" s="1058"/>
      <c r="AC318" s="1058"/>
      <c r="AD318" s="1058"/>
      <c r="AE318" s="1058"/>
      <c r="AF318" s="1058"/>
      <c r="AG318" s="5"/>
      <c r="AH318" s="5"/>
      <c r="AI318" s="44"/>
      <c r="AJ318" s="44"/>
      <c r="AK318" s="44"/>
      <c r="BA318" s="43"/>
    </row>
    <row r="319" spans="2:53" ht="13.2" customHeight="1">
      <c r="B319" s="41" t="s">
        <v>702</v>
      </c>
      <c r="C319" s="41"/>
      <c r="D319" s="41"/>
      <c r="E319" s="41"/>
      <c r="F319" s="41"/>
      <c r="G319" s="41"/>
      <c r="H319" s="1054" t="s">
        <v>2373</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3.2" customHeight="1">
      <c r="B320" s="41"/>
      <c r="C320" s="41"/>
      <c r="D320" s="41"/>
      <c r="E320" s="41"/>
      <c r="F320" s="41"/>
      <c r="G320" s="41"/>
      <c r="P320" s="259"/>
      <c r="Q320" s="259"/>
      <c r="R320" s="259"/>
      <c r="S320" s="259"/>
      <c r="T320" s="259"/>
      <c r="U320" s="259"/>
      <c r="V320" s="5"/>
      <c r="W320" s="5"/>
      <c r="X320" s="44"/>
      <c r="Y320" s="44"/>
      <c r="Z320" s="44"/>
      <c r="BA320" s="43"/>
    </row>
    <row r="321" spans="2:53" ht="13.2" customHeight="1">
      <c r="B321" s="5" t="s">
        <v>1147</v>
      </c>
      <c r="C321" s="41"/>
      <c r="D321" s="41"/>
      <c r="E321" s="41"/>
      <c r="F321" s="41"/>
      <c r="H321" s="1056" t="s">
        <v>2374</v>
      </c>
      <c r="I321" s="1056"/>
      <c r="J321" s="1056"/>
      <c r="K321" s="1056"/>
      <c r="L321" s="1056"/>
      <c r="M321" s="1056"/>
      <c r="N321" s="1056"/>
      <c r="O321" s="1056"/>
      <c r="P321" s="1056"/>
      <c r="Q321" s="1056"/>
      <c r="R321" s="1056"/>
      <c r="T321" s="41" t="s">
        <v>37</v>
      </c>
      <c r="V321" s="41"/>
      <c r="W321" s="41"/>
      <c r="X321" s="41"/>
      <c r="Y321" s="41"/>
      <c r="AA321" s="1056" t="s">
        <v>2380</v>
      </c>
      <c r="AB321" s="1056"/>
      <c r="AC321" s="1056"/>
      <c r="AD321" s="1056"/>
      <c r="AE321" s="1056"/>
      <c r="AF321" s="1056"/>
      <c r="AG321" s="1056"/>
      <c r="AH321" s="1056"/>
      <c r="AI321" s="1056"/>
      <c r="AJ321" s="1056"/>
      <c r="AK321" s="1056"/>
      <c r="BA321" s="43"/>
    </row>
    <row r="322" spans="2:53" ht="13.2" customHeight="1">
      <c r="B322" s="41" t="s">
        <v>699</v>
      </c>
      <c r="C322" s="41"/>
      <c r="D322" s="41"/>
      <c r="E322" s="41"/>
      <c r="F322" s="41"/>
      <c r="H322" s="1054" t="s">
        <v>2375</v>
      </c>
      <c r="I322" s="1054"/>
      <c r="J322" s="1054"/>
      <c r="K322" s="1054"/>
      <c r="L322" s="1054"/>
      <c r="M322" s="1054"/>
      <c r="N322" s="1054"/>
      <c r="O322" s="1054"/>
      <c r="P322" s="1054"/>
      <c r="Q322" s="1054"/>
      <c r="R322" s="1054"/>
      <c r="T322" s="41" t="s">
        <v>699</v>
      </c>
      <c r="V322" s="41"/>
      <c r="W322" s="41"/>
      <c r="X322" s="41"/>
      <c r="Y322" s="41"/>
      <c r="AA322" s="1054" t="s">
        <v>2381</v>
      </c>
      <c r="AB322" s="1054"/>
      <c r="AC322" s="1054"/>
      <c r="AD322" s="1054"/>
      <c r="AE322" s="1054"/>
      <c r="AF322" s="1054"/>
      <c r="AG322" s="1054"/>
      <c r="AH322" s="1054"/>
      <c r="AI322" s="1054"/>
      <c r="AJ322" s="1054"/>
      <c r="AK322" s="1054"/>
      <c r="BA322" s="43"/>
    </row>
    <row r="323" spans="2:53" ht="13.2" customHeight="1">
      <c r="B323" s="41" t="s">
        <v>701</v>
      </c>
      <c r="C323" s="41"/>
      <c r="D323" s="41"/>
      <c r="E323" s="41"/>
      <c r="F323" s="41"/>
      <c r="H323" s="1054" t="s">
        <v>2376</v>
      </c>
      <c r="I323" s="1054"/>
      <c r="J323" s="1054"/>
      <c r="K323" s="1054"/>
      <c r="L323" s="1054"/>
      <c r="M323" s="1054"/>
      <c r="N323" s="1054"/>
      <c r="O323" s="1054"/>
      <c r="P323" s="1054"/>
      <c r="Q323" s="1054"/>
      <c r="R323" s="1054"/>
      <c r="T323" s="41" t="s">
        <v>700</v>
      </c>
      <c r="V323" s="41"/>
      <c r="W323" s="41"/>
      <c r="X323" s="41"/>
      <c r="Y323" s="41"/>
      <c r="AA323" s="1054" t="s">
        <v>2382</v>
      </c>
      <c r="AB323" s="1054"/>
      <c r="AC323" s="1054"/>
      <c r="AD323" s="1054"/>
      <c r="AE323" s="1054"/>
      <c r="AF323" s="1054"/>
      <c r="AG323" s="1054"/>
      <c r="AH323" s="1054"/>
      <c r="AI323" s="1054"/>
      <c r="AJ323" s="1054"/>
      <c r="AK323" s="1054"/>
      <c r="BA323" s="43"/>
    </row>
    <row r="324" spans="2:53" ht="13.2" customHeight="1">
      <c r="B324" s="41" t="s">
        <v>375</v>
      </c>
      <c r="C324" s="41"/>
      <c r="D324" s="41"/>
      <c r="E324" s="41"/>
      <c r="F324" s="41"/>
      <c r="H324" s="1054" t="s">
        <v>2377</v>
      </c>
      <c r="I324" s="1054"/>
      <c r="J324" s="1054"/>
      <c r="K324" s="1054"/>
      <c r="L324" s="1054"/>
      <c r="M324" s="1054"/>
      <c r="N324" s="1054"/>
      <c r="O324" s="1054"/>
      <c r="P324" s="1054"/>
      <c r="Q324" s="1054"/>
      <c r="R324" s="1054"/>
      <c r="T324" s="41" t="s">
        <v>375</v>
      </c>
      <c r="V324" s="41"/>
      <c r="W324" s="41"/>
      <c r="X324" s="41"/>
      <c r="Y324" s="41"/>
      <c r="AA324" s="1054" t="s">
        <v>2383</v>
      </c>
      <c r="AB324" s="1054"/>
      <c r="AC324" s="1054"/>
      <c r="AD324" s="1054"/>
      <c r="AE324" s="1054"/>
      <c r="AF324" s="1054"/>
      <c r="AG324" s="1054"/>
      <c r="AH324" s="1054"/>
      <c r="AI324" s="1054"/>
      <c r="AJ324" s="1054"/>
      <c r="AK324" s="1054"/>
      <c r="BA324" s="43"/>
    </row>
    <row r="325" spans="2:53" ht="13.2" customHeight="1">
      <c r="B325" s="41" t="s">
        <v>376</v>
      </c>
      <c r="C325" s="41"/>
      <c r="D325" s="41"/>
      <c r="E325" s="41"/>
      <c r="F325" s="41"/>
      <c r="G325" s="41"/>
      <c r="H325" s="1117" t="s">
        <v>2378</v>
      </c>
      <c r="I325" s="1057"/>
      <c r="J325" s="1057"/>
      <c r="K325" s="1057"/>
      <c r="L325" s="1057"/>
      <c r="M325" s="1057"/>
      <c r="N325" s="5" t="s">
        <v>818</v>
      </c>
      <c r="O325" s="5"/>
      <c r="P325" s="1053"/>
      <c r="Q325" s="1053"/>
      <c r="R325" s="1053"/>
      <c r="S325" s="41"/>
      <c r="T325" s="41" t="s">
        <v>376</v>
      </c>
      <c r="V325" s="41"/>
      <c r="W325" s="41"/>
      <c r="X325" s="41"/>
      <c r="Y325" s="41"/>
      <c r="AA325" s="1057">
        <v>9163726100</v>
      </c>
      <c r="AB325" s="1057"/>
      <c r="AC325" s="1057"/>
      <c r="AD325" s="1057"/>
      <c r="AE325" s="1057"/>
      <c r="AF325" s="1057"/>
      <c r="AG325" s="5" t="s">
        <v>818</v>
      </c>
      <c r="AH325" s="5"/>
      <c r="AI325" s="1053"/>
      <c r="AJ325" s="1053"/>
      <c r="AK325" s="1053"/>
      <c r="BA325" s="43"/>
    </row>
    <row r="326" spans="2:53" ht="13.2" customHeight="1">
      <c r="B326" s="41" t="s">
        <v>377</v>
      </c>
      <c r="C326" s="41"/>
      <c r="D326" s="41"/>
      <c r="E326" s="41"/>
      <c r="F326" s="41"/>
      <c r="G326" s="41"/>
      <c r="H326" s="1058"/>
      <c r="I326" s="1058"/>
      <c r="J326" s="1058"/>
      <c r="K326" s="1058"/>
      <c r="L326" s="1058"/>
      <c r="M326" s="1058"/>
      <c r="N326" s="5"/>
      <c r="O326" s="5"/>
      <c r="P326" s="44"/>
      <c r="Q326" s="44"/>
      <c r="R326" s="44"/>
      <c r="S326" s="41"/>
      <c r="T326" s="41" t="s">
        <v>377</v>
      </c>
      <c r="V326" s="41"/>
      <c r="W326" s="41"/>
      <c r="X326" s="41"/>
      <c r="Y326" s="41"/>
      <c r="AA326" s="1058">
        <v>9164196108</v>
      </c>
      <c r="AB326" s="1058"/>
      <c r="AC326" s="1058"/>
      <c r="AD326" s="1058"/>
      <c r="AE326" s="1058"/>
      <c r="AF326" s="1058"/>
      <c r="AG326" s="5"/>
      <c r="AH326" s="5"/>
      <c r="AI326" s="44"/>
      <c r="AJ326" s="44"/>
      <c r="AK326" s="44"/>
      <c r="BA326" s="43"/>
    </row>
    <row r="327" spans="2:53" ht="13.2" customHeight="1">
      <c r="B327" s="41" t="s">
        <v>702</v>
      </c>
      <c r="C327" s="41"/>
      <c r="D327" s="41"/>
      <c r="E327" s="41"/>
      <c r="F327" s="41"/>
      <c r="G327" s="41"/>
      <c r="H327" s="1054" t="s">
        <v>2379</v>
      </c>
      <c r="I327" s="1054"/>
      <c r="J327" s="1054"/>
      <c r="K327" s="1054"/>
      <c r="L327" s="1054"/>
      <c r="M327" s="1054"/>
      <c r="N327" s="1056"/>
      <c r="O327" s="1056"/>
      <c r="P327" s="1056"/>
      <c r="Q327" s="1056"/>
      <c r="R327" s="1056"/>
      <c r="S327" s="41"/>
      <c r="T327" s="41" t="s">
        <v>702</v>
      </c>
      <c r="V327" s="41"/>
      <c r="W327" s="41"/>
      <c r="X327" s="41"/>
      <c r="Y327" s="41"/>
      <c r="AA327" s="1054" t="s">
        <v>2384</v>
      </c>
      <c r="AB327" s="1054"/>
      <c r="AC327" s="1054"/>
      <c r="AD327" s="1054"/>
      <c r="AE327" s="1054"/>
      <c r="AF327" s="1054"/>
      <c r="AG327" s="1056"/>
      <c r="AH327" s="1056"/>
      <c r="AI327" s="1056"/>
      <c r="AJ327" s="1056"/>
      <c r="AK327" s="1056"/>
      <c r="BA327" s="43"/>
    </row>
    <row r="328" spans="2:53" ht="13.2" customHeight="1">
      <c r="B328" s="5"/>
      <c r="C328" s="41"/>
      <c r="D328" s="41"/>
      <c r="E328" s="41"/>
      <c r="F328" s="41"/>
      <c r="G328" s="41"/>
      <c r="P328" s="259"/>
      <c r="Q328" s="259"/>
      <c r="R328" s="259"/>
      <c r="S328" s="259"/>
      <c r="T328" s="259"/>
      <c r="U328" s="259"/>
      <c r="V328" s="5"/>
      <c r="W328" s="5"/>
      <c r="X328" s="44"/>
      <c r="Y328" s="44"/>
      <c r="Z328" s="44"/>
      <c r="BA328" s="43"/>
    </row>
    <row r="329" spans="2:53" ht="13.2" customHeight="1">
      <c r="B329" s="41" t="s">
        <v>38</v>
      </c>
      <c r="C329" s="41"/>
      <c r="D329" s="41"/>
      <c r="E329" s="41"/>
      <c r="F329" s="41"/>
      <c r="H329" s="1056" t="s">
        <v>2385</v>
      </c>
      <c r="I329" s="1056"/>
      <c r="J329" s="1056"/>
      <c r="K329" s="1056"/>
      <c r="L329" s="1056"/>
      <c r="M329" s="1056"/>
      <c r="N329" s="1056"/>
      <c r="O329" s="1056"/>
      <c r="P329" s="1056"/>
      <c r="Q329" s="1056"/>
      <c r="R329" s="1056"/>
      <c r="T329" s="5" t="s">
        <v>1106</v>
      </c>
      <c r="V329" s="41"/>
      <c r="W329" s="41"/>
      <c r="X329" s="41"/>
      <c r="Y329" s="41"/>
      <c r="AA329" s="1056" t="s">
        <v>2391</v>
      </c>
      <c r="AB329" s="1056"/>
      <c r="AC329" s="1056"/>
      <c r="AD329" s="1056"/>
      <c r="AE329" s="1056"/>
      <c r="AF329" s="1056"/>
      <c r="AG329" s="1056"/>
      <c r="AH329" s="1056"/>
      <c r="AI329" s="1056"/>
      <c r="AJ329" s="1056"/>
      <c r="AK329" s="1056"/>
      <c r="BA329" s="43"/>
    </row>
    <row r="330" spans="2:53" ht="13.2" customHeight="1">
      <c r="B330" s="41" t="s">
        <v>699</v>
      </c>
      <c r="C330" s="41"/>
      <c r="D330" s="41"/>
      <c r="E330" s="41"/>
      <c r="F330" s="41"/>
      <c r="H330" s="1054" t="s">
        <v>2386</v>
      </c>
      <c r="I330" s="1054"/>
      <c r="J330" s="1054"/>
      <c r="K330" s="1054"/>
      <c r="L330" s="1054"/>
      <c r="M330" s="1054"/>
      <c r="N330" s="1054"/>
      <c r="O330" s="1054"/>
      <c r="P330" s="1054"/>
      <c r="Q330" s="1054"/>
      <c r="R330" s="1054"/>
      <c r="T330" s="41" t="s">
        <v>699</v>
      </c>
      <c r="V330" s="41"/>
      <c r="W330" s="41"/>
      <c r="X330" s="41"/>
      <c r="Y330" s="41"/>
      <c r="AA330" s="1054" t="s">
        <v>2392</v>
      </c>
      <c r="AB330" s="1054"/>
      <c r="AC330" s="1054"/>
      <c r="AD330" s="1054"/>
      <c r="AE330" s="1054"/>
      <c r="AF330" s="1054"/>
      <c r="AG330" s="1054"/>
      <c r="AH330" s="1054"/>
      <c r="AI330" s="1054"/>
      <c r="AJ330" s="1054"/>
      <c r="AK330" s="1054"/>
      <c r="BA330" s="43"/>
    </row>
    <row r="331" spans="2:53" ht="13.2" customHeight="1">
      <c r="B331" s="41" t="s">
        <v>701</v>
      </c>
      <c r="C331" s="41"/>
      <c r="D331" s="41"/>
      <c r="E331" s="41"/>
      <c r="F331" s="41"/>
      <c r="G331" s="41"/>
      <c r="H331" s="1054" t="s">
        <v>2355</v>
      </c>
      <c r="I331" s="1054"/>
      <c r="J331" s="1054"/>
      <c r="K331" s="1054"/>
      <c r="L331" s="1054"/>
      <c r="M331" s="1054"/>
      <c r="N331" s="1054"/>
      <c r="O331" s="1054"/>
      <c r="P331" s="1054"/>
      <c r="Q331" s="1054"/>
      <c r="R331" s="1054"/>
      <c r="T331" s="41" t="s">
        <v>700</v>
      </c>
      <c r="V331" s="41"/>
      <c r="W331" s="41"/>
      <c r="X331" s="41"/>
      <c r="Y331" s="41"/>
      <c r="AA331" s="1054" t="s">
        <v>2393</v>
      </c>
      <c r="AB331" s="1054"/>
      <c r="AC331" s="1054"/>
      <c r="AD331" s="1054"/>
      <c r="AE331" s="1054"/>
      <c r="AF331" s="1054"/>
      <c r="AG331" s="1054"/>
      <c r="AH331" s="1054"/>
      <c r="AI331" s="1054"/>
      <c r="AJ331" s="1054"/>
      <c r="AK331" s="1054"/>
      <c r="BA331" s="43"/>
    </row>
    <row r="332" spans="2:53" ht="13.2" customHeight="1">
      <c r="B332" s="41" t="s">
        <v>375</v>
      </c>
      <c r="C332" s="41"/>
      <c r="D332" s="41"/>
      <c r="E332" s="41"/>
      <c r="F332" s="41"/>
      <c r="H332" s="1054" t="s">
        <v>2387</v>
      </c>
      <c r="I332" s="1054"/>
      <c r="J332" s="1054"/>
      <c r="K332" s="1054"/>
      <c r="L332" s="1054"/>
      <c r="M332" s="1054"/>
      <c r="N332" s="1054"/>
      <c r="O332" s="1054"/>
      <c r="P332" s="1054"/>
      <c r="Q332" s="1054"/>
      <c r="R332" s="1054"/>
      <c r="T332" s="41" t="s">
        <v>375</v>
      </c>
      <c r="V332" s="41"/>
      <c r="W332" s="41"/>
      <c r="X332" s="41"/>
      <c r="Y332" s="41"/>
      <c r="AA332" s="1054" t="s">
        <v>2394</v>
      </c>
      <c r="AB332" s="1054"/>
      <c r="AC332" s="1054"/>
      <c r="AD332" s="1054"/>
      <c r="AE332" s="1054"/>
      <c r="AF332" s="1054"/>
      <c r="AG332" s="1054"/>
      <c r="AH332" s="1054"/>
      <c r="AI332" s="1054"/>
      <c r="AJ332" s="1054"/>
      <c r="AK332" s="1054"/>
      <c r="BA332" s="43"/>
    </row>
    <row r="333" spans="2:53" ht="13.2" customHeight="1">
      <c r="B333" s="41" t="s">
        <v>376</v>
      </c>
      <c r="C333" s="41"/>
      <c r="D333" s="41"/>
      <c r="E333" s="41"/>
      <c r="F333" s="41"/>
      <c r="G333" s="41"/>
      <c r="H333" s="1057" t="s">
        <v>2388</v>
      </c>
      <c r="I333" s="1057"/>
      <c r="J333" s="1057"/>
      <c r="K333" s="1057"/>
      <c r="L333" s="1057"/>
      <c r="M333" s="1057"/>
      <c r="N333" s="5" t="s">
        <v>818</v>
      </c>
      <c r="O333" s="5"/>
      <c r="P333" s="1053"/>
      <c r="Q333" s="1053"/>
      <c r="R333" s="1053"/>
      <c r="T333" s="41" t="s">
        <v>376</v>
      </c>
      <c r="V333" s="41"/>
      <c r="W333" s="41"/>
      <c r="X333" s="41"/>
      <c r="Y333" s="41"/>
      <c r="AA333" s="1117" t="s">
        <v>2395</v>
      </c>
      <c r="AB333" s="1057"/>
      <c r="AC333" s="1057"/>
      <c r="AD333" s="1057"/>
      <c r="AE333" s="1057"/>
      <c r="AF333" s="1057"/>
      <c r="AG333" s="5" t="s">
        <v>818</v>
      </c>
      <c r="AH333" s="5"/>
      <c r="AI333" s="1053"/>
      <c r="AJ333" s="1053"/>
      <c r="AK333" s="1053"/>
      <c r="BA333" s="43"/>
    </row>
    <row r="334" spans="2:53" ht="13.2" customHeight="1">
      <c r="B334" s="41" t="s">
        <v>377</v>
      </c>
      <c r="C334" s="41"/>
      <c r="D334" s="41"/>
      <c r="E334" s="41"/>
      <c r="F334" s="41"/>
      <c r="G334" s="41"/>
      <c r="H334" s="1058" t="s">
        <v>2389</v>
      </c>
      <c r="I334" s="1058"/>
      <c r="J334" s="1058"/>
      <c r="K334" s="1058"/>
      <c r="L334" s="1058"/>
      <c r="M334" s="1058"/>
      <c r="N334" s="5"/>
      <c r="O334" s="5"/>
      <c r="P334" s="44"/>
      <c r="Q334" s="44"/>
      <c r="R334" s="44"/>
      <c r="T334" s="41" t="s">
        <v>377</v>
      </c>
      <c r="V334" s="41"/>
      <c r="W334" s="41"/>
      <c r="X334" s="41"/>
      <c r="Y334" s="41"/>
      <c r="AA334" s="1058"/>
      <c r="AB334" s="1058"/>
      <c r="AC334" s="1058"/>
      <c r="AD334" s="1058"/>
      <c r="AE334" s="1058"/>
      <c r="AF334" s="1058"/>
      <c r="AG334" s="5"/>
      <c r="AH334" s="5"/>
      <c r="AI334" s="44"/>
      <c r="AJ334" s="44"/>
      <c r="AK334" s="44"/>
      <c r="BA334" s="43"/>
    </row>
    <row r="335" spans="2:53" ht="13.2" customHeight="1">
      <c r="B335" s="41" t="s">
        <v>702</v>
      </c>
      <c r="C335" s="41"/>
      <c r="D335" s="41"/>
      <c r="E335" s="41"/>
      <c r="F335" s="41"/>
      <c r="G335" s="41"/>
      <c r="H335" s="1054" t="s">
        <v>2390</v>
      </c>
      <c r="I335" s="1054"/>
      <c r="J335" s="1054"/>
      <c r="K335" s="1054"/>
      <c r="L335" s="1054"/>
      <c r="M335" s="1054"/>
      <c r="N335" s="1056"/>
      <c r="O335" s="1056"/>
      <c r="P335" s="1056"/>
      <c r="Q335" s="1056"/>
      <c r="R335" s="1056"/>
      <c r="T335" s="41" t="s">
        <v>702</v>
      </c>
      <c r="V335" s="41"/>
      <c r="W335" s="41"/>
      <c r="X335" s="41"/>
      <c r="Y335" s="41"/>
      <c r="AA335" s="1054" t="s">
        <v>2396</v>
      </c>
      <c r="AB335" s="1054"/>
      <c r="AC335" s="1054"/>
      <c r="AD335" s="1054"/>
      <c r="AE335" s="1054"/>
      <c r="AF335" s="1054"/>
      <c r="AG335" s="1056"/>
      <c r="AH335" s="1056"/>
      <c r="AI335" s="1056"/>
      <c r="AJ335" s="1056"/>
      <c r="AK335" s="1056"/>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 customHeight="1">
      <c r="B337" s="5" t="s">
        <v>39</v>
      </c>
      <c r="C337" s="361"/>
      <c r="D337" s="361"/>
      <c r="E337" s="361"/>
      <c r="F337" s="361"/>
      <c r="G337" s="361"/>
      <c r="H337" s="1056" t="s">
        <v>124</v>
      </c>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3.2"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3.2"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3.2" customHeight="1">
      <c r="B340" s="361" t="s">
        <v>375</v>
      </c>
      <c r="C340" s="361"/>
      <c r="D340" s="361"/>
      <c r="E340" s="361"/>
      <c r="F340" s="361"/>
      <c r="G340" s="361"/>
      <c r="H340" s="1054"/>
      <c r="I340" s="1054"/>
      <c r="J340" s="1054"/>
      <c r="K340" s="1054"/>
      <c r="L340" s="1054"/>
      <c r="M340" s="1054"/>
      <c r="N340" s="1054"/>
      <c r="O340" s="1054"/>
      <c r="P340" s="1054"/>
      <c r="Q340" s="1054"/>
      <c r="R340" s="1054"/>
      <c r="T340" s="41" t="s">
        <v>375</v>
      </c>
      <c r="AA340" s="1054"/>
      <c r="AB340" s="1054"/>
      <c r="AC340" s="1054"/>
      <c r="AD340" s="1054"/>
      <c r="AE340" s="1054"/>
      <c r="AF340" s="1054"/>
      <c r="AG340" s="1054"/>
      <c r="AH340" s="1054"/>
      <c r="AI340" s="1054"/>
      <c r="AJ340" s="1054"/>
      <c r="AK340" s="1054"/>
    </row>
    <row r="341" spans="1:53" ht="13.2" customHeight="1">
      <c r="B341" s="361" t="s">
        <v>376</v>
      </c>
      <c r="C341" s="361"/>
      <c r="D341" s="361"/>
      <c r="E341" s="361"/>
      <c r="F341" s="361"/>
      <c r="G341" s="361"/>
      <c r="H341" s="1057"/>
      <c r="I341" s="1057"/>
      <c r="J341" s="1057"/>
      <c r="K341" s="1057"/>
      <c r="L341" s="1057"/>
      <c r="M341" s="1057"/>
      <c r="N341" s="5" t="s">
        <v>818</v>
      </c>
      <c r="O341" s="5"/>
      <c r="P341" s="1053"/>
      <c r="Q341" s="1053"/>
      <c r="R341" s="1053"/>
      <c r="T341" s="41" t="s">
        <v>376</v>
      </c>
      <c r="AA341" s="1057"/>
      <c r="AB341" s="1057"/>
      <c r="AC341" s="1057"/>
      <c r="AD341" s="1057"/>
      <c r="AE341" s="1057"/>
      <c r="AF341" s="1057"/>
      <c r="AG341" s="5" t="s">
        <v>818</v>
      </c>
      <c r="AH341" s="5"/>
      <c r="AI341" s="1053"/>
      <c r="AJ341" s="1053"/>
      <c r="AK341" s="1053"/>
    </row>
    <row r="342" spans="1:53" ht="13.2" customHeight="1">
      <c r="B342" s="361" t="s">
        <v>377</v>
      </c>
      <c r="C342" s="361"/>
      <c r="D342" s="361"/>
      <c r="E342" s="361"/>
      <c r="F342" s="361"/>
      <c r="G342" s="361"/>
      <c r="H342" s="1058"/>
      <c r="I342" s="1058"/>
      <c r="J342" s="1058"/>
      <c r="K342" s="1058"/>
      <c r="L342" s="1058"/>
      <c r="M342" s="1058"/>
      <c r="N342" s="5"/>
      <c r="O342" s="5"/>
      <c r="P342" s="44"/>
      <c r="Q342" s="44"/>
      <c r="R342" s="44"/>
      <c r="T342" s="41" t="s">
        <v>377</v>
      </c>
      <c r="AA342" s="1058"/>
      <c r="AB342" s="1058"/>
      <c r="AC342" s="1058"/>
      <c r="AD342" s="1058"/>
      <c r="AE342" s="1058"/>
      <c r="AF342" s="1058"/>
      <c r="AG342" s="5"/>
      <c r="AH342" s="5"/>
      <c r="AI342" s="44"/>
      <c r="AJ342" s="44"/>
      <c r="AK342" s="44"/>
    </row>
    <row r="343" spans="1:53" ht="13.2"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 customHeight="1">
      <c r="A345" s="1055" t="s">
        <v>498</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3.2"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3.2"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 customHeight="1">
      <c r="A348" s="3" t="s">
        <v>653</v>
      </c>
      <c r="B348" s="3"/>
      <c r="C348" s="3" t="s">
        <v>532</v>
      </c>
    </row>
    <row r="349" spans="1:53" ht="13.2" customHeight="1">
      <c r="D349" t="s">
        <v>40</v>
      </c>
      <c r="M349" s="1118" t="s">
        <v>108</v>
      </c>
      <c r="N349" s="1118"/>
      <c r="P349" t="s">
        <v>1964</v>
      </c>
      <c r="AJ349" s="1118" t="s">
        <v>108</v>
      </c>
      <c r="AK349" s="1118"/>
    </row>
    <row r="350" spans="1:53" ht="13.2" customHeight="1">
      <c r="D350" s="41" t="s">
        <v>1890</v>
      </c>
      <c r="M350" s="1118" t="s">
        <v>124</v>
      </c>
      <c r="N350" s="1118"/>
      <c r="P350" s="41" t="s">
        <v>1965</v>
      </c>
      <c r="AJ350" s="1147"/>
      <c r="AK350" s="1147"/>
    </row>
    <row r="351" spans="1:53" ht="13.2" customHeight="1">
      <c r="D351" t="s">
        <v>314</v>
      </c>
      <c r="M351" s="1118" t="s">
        <v>124</v>
      </c>
      <c r="N351" s="1118"/>
      <c r="P351" t="s">
        <v>1966</v>
      </c>
      <c r="AJ351" s="1118" t="s">
        <v>124</v>
      </c>
      <c r="AK351" s="1118"/>
    </row>
    <row r="352" spans="1:53" ht="13.2" customHeight="1">
      <c r="D352" t="s">
        <v>315</v>
      </c>
      <c r="M352" s="1118" t="s">
        <v>124</v>
      </c>
      <c r="N352" s="1118"/>
      <c r="Q352" s="41"/>
    </row>
    <row r="353" spans="1:57" ht="13.2" customHeight="1">
      <c r="P353" s="361"/>
      <c r="Q353" s="361"/>
      <c r="R353" s="361"/>
    </row>
    <row r="354" spans="1:57" ht="13.2" customHeight="1"/>
    <row r="355" spans="1:57" ht="13.2" customHeight="1">
      <c r="A355" s="3" t="s">
        <v>8</v>
      </c>
      <c r="B355" s="3"/>
      <c r="C355" s="3" t="s">
        <v>881</v>
      </c>
      <c r="D355" s="3"/>
    </row>
    <row r="356" spans="1:57" ht="13.2"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 customHeight="1">
      <c r="D357" s="48" t="s">
        <v>894</v>
      </c>
      <c r="E357" s="49"/>
      <c r="F357" s="49"/>
      <c r="G357" s="49"/>
      <c r="H357" s="49"/>
      <c r="I357" s="49"/>
      <c r="J357" s="49"/>
      <c r="K357" s="49"/>
      <c r="L357" s="49"/>
      <c r="M357" s="49"/>
      <c r="N357" s="1118" t="s">
        <v>124</v>
      </c>
      <c r="O357" s="1118"/>
      <c r="P357" s="49"/>
      <c r="Q357" s="49"/>
      <c r="R357" s="49"/>
      <c r="S357" s="49"/>
      <c r="T357" s="49"/>
      <c r="U357" s="49"/>
      <c r="V357" s="49"/>
      <c r="W357" s="49"/>
      <c r="X357" s="49"/>
      <c r="Y357" s="49"/>
      <c r="Z357" s="49"/>
      <c r="AC357" s="49"/>
      <c r="AD357" s="49"/>
      <c r="AE357" s="49"/>
    </row>
    <row r="358" spans="1:57" ht="13.2" customHeight="1">
      <c r="E358" t="s">
        <v>733</v>
      </c>
      <c r="Y358" s="1118" t="s">
        <v>124</v>
      </c>
      <c r="Z358" s="1118"/>
    </row>
    <row r="359" spans="1:57" ht="13.2"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 customHeight="1">
      <c r="D360" t="s">
        <v>896</v>
      </c>
      <c r="E360" s="49"/>
      <c r="F360" s="49"/>
      <c r="G360" s="49"/>
      <c r="H360" s="49"/>
      <c r="I360" s="49"/>
      <c r="J360" s="1118" t="s">
        <v>124</v>
      </c>
      <c r="K360" s="1118"/>
      <c r="L360" s="49"/>
      <c r="M360" s="49"/>
      <c r="N360" s="49"/>
      <c r="O360" s="49"/>
      <c r="P360" s="49"/>
      <c r="Q360" s="49"/>
      <c r="R360" s="49"/>
      <c r="S360" s="49"/>
      <c r="T360" s="49"/>
      <c r="U360" s="49"/>
      <c r="V360" s="49"/>
      <c r="W360" s="49"/>
      <c r="X360" s="49"/>
      <c r="Y360" s="49"/>
      <c r="Z360" s="49"/>
      <c r="AC360" s="49"/>
      <c r="AD360" s="49"/>
      <c r="AE360" s="49"/>
    </row>
    <row r="361" spans="1:57" ht="13.2"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2"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3.2" customHeight="1">
      <c r="E363" s="5" t="s">
        <v>590</v>
      </c>
      <c r="F363" s="5"/>
      <c r="G363" s="5"/>
      <c r="H363" s="5"/>
      <c r="I363" s="5"/>
      <c r="J363" s="5"/>
      <c r="K363" s="5"/>
      <c r="L363" s="5"/>
      <c r="N363" s="1115"/>
      <c r="O363" s="1115"/>
      <c r="P363" s="1115"/>
      <c r="Q363" s="1115"/>
      <c r="R363" s="5"/>
      <c r="U363" s="5" t="s">
        <v>591</v>
      </c>
      <c r="V363" s="5"/>
      <c r="W363" s="5"/>
      <c r="X363" s="5"/>
      <c r="Y363" s="5"/>
      <c r="Z363" s="5"/>
      <c r="AA363" s="5"/>
      <c r="AB363" s="5"/>
      <c r="AC363" s="1115"/>
      <c r="AD363" s="1115"/>
      <c r="AE363" s="1115"/>
      <c r="AF363" s="1115"/>
      <c r="BE363" t="s">
        <v>108</v>
      </c>
    </row>
    <row r="364" spans="1:57" ht="13.2" customHeight="1">
      <c r="E364" s="5" t="s">
        <v>592</v>
      </c>
      <c r="F364" s="5"/>
      <c r="G364" s="5"/>
      <c r="H364" s="5"/>
      <c r="I364" s="5"/>
      <c r="J364" s="5"/>
      <c r="K364" s="5"/>
      <c r="L364" s="5"/>
      <c r="N364" s="1115"/>
      <c r="O364" s="1115"/>
      <c r="P364" s="1115"/>
      <c r="Q364" s="1115"/>
      <c r="R364" s="5"/>
      <c r="U364" s="5" t="s">
        <v>593</v>
      </c>
      <c r="V364" s="5"/>
      <c r="W364" s="5"/>
      <c r="X364" s="5"/>
      <c r="Y364" s="5"/>
      <c r="Z364" s="5"/>
      <c r="AA364" s="5"/>
      <c r="AB364" s="5"/>
      <c r="AC364" s="1115"/>
      <c r="AD364" s="1115"/>
      <c r="AE364" s="1115"/>
      <c r="AF364" s="1115"/>
    </row>
    <row r="365" spans="1:57" ht="13.2" customHeight="1">
      <c r="E365" s="5" t="s">
        <v>64</v>
      </c>
      <c r="F365" s="5"/>
      <c r="G365" s="5"/>
      <c r="H365" s="5"/>
      <c r="I365" s="5"/>
      <c r="J365" s="5"/>
      <c r="K365" s="5"/>
      <c r="L365" s="5"/>
      <c r="N365" s="1115"/>
      <c r="O365" s="1115"/>
      <c r="P365" s="1115"/>
      <c r="Q365" s="1115"/>
      <c r="R365" s="5"/>
      <c r="V365" s="5"/>
      <c r="W365" s="5"/>
      <c r="X365" s="5"/>
      <c r="Y365" s="5"/>
      <c r="Z365" s="5"/>
      <c r="AA365" s="5"/>
      <c r="AB365" s="5"/>
    </row>
    <row r="366" spans="1:57" ht="13.2" customHeight="1">
      <c r="E366" s="5" t="s">
        <v>65</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3.2"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3.2" customHeight="1">
      <c r="E368" s="5"/>
      <c r="F368" s="5"/>
      <c r="G368" s="5"/>
      <c r="H368" s="5"/>
      <c r="I368" s="5"/>
      <c r="J368" s="5"/>
      <c r="K368" s="5"/>
      <c r="L368" s="5"/>
    </row>
    <row r="369" spans="1:36" ht="13.2"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2" customHeight="1">
      <c r="D370" s="361"/>
      <c r="E370" s="361" t="s">
        <v>2111</v>
      </c>
      <c r="F370" s="361"/>
      <c r="G370" s="361"/>
      <c r="H370" s="361"/>
      <c r="I370" s="361"/>
      <c r="J370" s="361"/>
      <c r="K370" s="361"/>
      <c r="L370" s="361"/>
      <c r="M370" s="361"/>
      <c r="O370" s="361"/>
      <c r="P370" s="940" t="s">
        <v>2107</v>
      </c>
      <c r="Q370" s="361" t="s">
        <v>231</v>
      </c>
      <c r="R370" s="361"/>
      <c r="S370" s="1347"/>
      <c r="T370" s="1347"/>
      <c r="U370" s="370" t="s">
        <v>232</v>
      </c>
      <c r="V370" s="1347"/>
      <c r="W370" s="1347"/>
      <c r="X370" s="361"/>
      <c r="Z370" s="361"/>
      <c r="AA370" s="940" t="s">
        <v>2107</v>
      </c>
      <c r="AB370" s="361" t="s">
        <v>231</v>
      </c>
      <c r="AC370" s="361"/>
      <c r="AD370" s="1347"/>
      <c r="AE370" s="1347"/>
      <c r="AF370" s="370" t="s">
        <v>232</v>
      </c>
      <c r="AG370" s="1347"/>
      <c r="AH370" s="1347"/>
    </row>
    <row r="371" spans="1:36" ht="13.2" customHeight="1">
      <c r="D371" s="361"/>
      <c r="E371" s="361" t="s">
        <v>1235</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3.2"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3.2"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3.2" customHeight="1">
      <c r="D374" s="361"/>
      <c r="E374" s="361"/>
      <c r="F374" s="361"/>
      <c r="G374" s="505" t="s">
        <v>1285</v>
      </c>
      <c r="H374" s="361"/>
      <c r="I374" s="361"/>
      <c r="J374" s="361"/>
      <c r="K374" s="361"/>
      <c r="L374" s="361"/>
      <c r="M374" s="361"/>
      <c r="N374" s="361"/>
      <c r="O374" s="361"/>
      <c r="P374" s="361"/>
      <c r="Q374" s="361"/>
      <c r="R374" s="361"/>
      <c r="S374" s="361"/>
      <c r="T374" s="361"/>
      <c r="U374" s="361"/>
      <c r="V374" s="1114" t="s">
        <v>124</v>
      </c>
      <c r="W374" s="1114"/>
      <c r="X374" s="361"/>
      <c r="Y374" s="451" t="s">
        <v>1236</v>
      </c>
      <c r="Z374" s="361"/>
      <c r="AA374" s="361"/>
      <c r="AB374" s="361"/>
      <c r="AC374" s="361"/>
      <c r="AD374" s="361"/>
      <c r="AE374" s="361"/>
      <c r="AF374" s="361"/>
      <c r="AG374" s="361"/>
      <c r="AH374" s="361"/>
    </row>
    <row r="375" spans="1:36" ht="13.2" customHeight="1">
      <c r="D375" s="361"/>
      <c r="E375" s="361" t="s">
        <v>1237</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1238</v>
      </c>
      <c r="Z375" s="361"/>
      <c r="AA375" s="361"/>
      <c r="AB375" s="361"/>
      <c r="AC375" s="361"/>
      <c r="AD375" s="361"/>
      <c r="AE375" s="361"/>
      <c r="AF375" s="361"/>
      <c r="AG375" s="361"/>
      <c r="AH375" s="361"/>
    </row>
    <row r="376" spans="1:36" ht="13.2"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2" customHeight="1">
      <c r="A377" s="3" t="s">
        <v>119</v>
      </c>
      <c r="B377" s="3"/>
      <c r="C377" s="3" t="s">
        <v>66</v>
      </c>
    </row>
    <row r="378" spans="1:36" ht="13.2" customHeight="1">
      <c r="D378" t="s">
        <v>275</v>
      </c>
      <c r="J378" s="1056" t="s">
        <v>2397</v>
      </c>
      <c r="K378" s="1056"/>
      <c r="L378" s="1056"/>
      <c r="M378" s="1056"/>
      <c r="N378" s="1056"/>
      <c r="O378" s="1056"/>
      <c r="P378" s="1056"/>
      <c r="Q378" s="1056"/>
      <c r="R378" s="1056"/>
      <c r="S378" s="1056"/>
      <c r="T378" s="1056"/>
      <c r="U378" s="1056"/>
      <c r="V378" s="12" t="s">
        <v>710</v>
      </c>
      <c r="W378" s="12"/>
      <c r="X378" s="12"/>
      <c r="Y378" s="12"/>
      <c r="Z378" s="12"/>
      <c r="AA378" s="12"/>
      <c r="AB378" s="12"/>
      <c r="AC378" s="1056" t="s">
        <v>2397</v>
      </c>
      <c r="AD378" s="1056"/>
      <c r="AE378" s="1056"/>
      <c r="AF378" s="1056"/>
      <c r="AG378" s="1056"/>
      <c r="AH378" s="1056"/>
      <c r="AI378" s="1056"/>
      <c r="AJ378" s="1056"/>
    </row>
    <row r="379" spans="1:36" ht="13.2" customHeight="1">
      <c r="D379" s="41" t="s">
        <v>1967</v>
      </c>
      <c r="J379" s="1054"/>
      <c r="K379" s="1054"/>
      <c r="L379" s="1054"/>
      <c r="M379" s="1054"/>
      <c r="N379" s="1054"/>
      <c r="O379" s="1054"/>
      <c r="P379" s="1054"/>
      <c r="Q379" s="1054"/>
      <c r="R379" s="1054"/>
      <c r="S379" s="1054"/>
      <c r="T379" s="1054"/>
      <c r="U379" s="1054"/>
      <c r="V379" s="41" t="s">
        <v>1967</v>
      </c>
      <c r="W379" s="12"/>
      <c r="X379" s="12"/>
      <c r="Y379" s="12"/>
      <c r="Z379" s="12"/>
      <c r="AA379" s="12"/>
      <c r="AB379" s="12"/>
      <c r="AC379" s="1056"/>
      <c r="AD379" s="1056"/>
      <c r="AE379" s="1056"/>
      <c r="AF379" s="1056"/>
      <c r="AG379" s="1056"/>
      <c r="AH379" s="1056"/>
      <c r="AI379" s="1056"/>
      <c r="AJ379" s="1056"/>
    </row>
    <row r="380" spans="1:36" ht="13.2" customHeight="1">
      <c r="D380" s="41" t="s">
        <v>545</v>
      </c>
      <c r="J380" s="1054"/>
      <c r="K380" s="1054"/>
      <c r="L380" s="1054"/>
      <c r="M380" s="1054"/>
      <c r="N380" s="1054"/>
      <c r="O380" s="1054"/>
      <c r="P380" s="1054"/>
      <c r="Q380" s="1054"/>
      <c r="R380" s="1054"/>
      <c r="S380" s="1054"/>
      <c r="T380" s="1054"/>
      <c r="U380" s="1054"/>
      <c r="V380" s="41" t="s">
        <v>545</v>
      </c>
      <c r="W380" s="12"/>
      <c r="X380" s="12"/>
      <c r="Y380" s="12"/>
      <c r="Z380" s="12"/>
      <c r="AA380" s="12"/>
      <c r="AB380" s="12"/>
      <c r="AC380" s="1056"/>
      <c r="AD380" s="1056"/>
      <c r="AE380" s="1056"/>
      <c r="AF380" s="1056"/>
      <c r="AG380" s="1056"/>
      <c r="AH380" s="1056"/>
      <c r="AI380" s="1056"/>
      <c r="AJ380" s="1056"/>
    </row>
    <row r="381" spans="1:36" ht="13.2" customHeight="1">
      <c r="D381" t="s">
        <v>1968</v>
      </c>
      <c r="J381" s="1145" t="s">
        <v>2398</v>
      </c>
      <c r="K381" s="1145"/>
      <c r="L381" s="1145"/>
      <c r="M381" s="1145"/>
      <c r="N381" s="1145"/>
      <c r="O381" s="1145"/>
      <c r="P381" s="1145"/>
      <c r="Q381" s="1145"/>
      <c r="R381" s="1145"/>
      <c r="S381" s="1145"/>
      <c r="T381" s="1145"/>
      <c r="U381" s="1145"/>
      <c r="V381" s="1056"/>
      <c r="W381" s="1056"/>
      <c r="X381" s="1056"/>
      <c r="Y381" s="1056"/>
      <c r="Z381" s="1056"/>
      <c r="AA381" s="1056"/>
      <c r="AB381" s="1056"/>
      <c r="AC381" s="1056"/>
      <c r="AD381" s="1056"/>
      <c r="AE381" s="1056"/>
      <c r="AF381" s="1056"/>
      <c r="AG381" s="1056"/>
      <c r="AH381" s="1056"/>
      <c r="AI381" s="1056"/>
      <c r="AJ381" s="1056"/>
    </row>
    <row r="382" spans="1:36" ht="13.2" customHeight="1">
      <c r="D382" t="s">
        <v>554</v>
      </c>
      <c r="Q382" s="1475">
        <v>44696</v>
      </c>
      <c r="R382" s="1475"/>
      <c r="S382" s="1475"/>
      <c r="T382" s="1475"/>
      <c r="U382" s="1475"/>
      <c r="V382" t="s">
        <v>168</v>
      </c>
      <c r="AI382" s="1118" t="s">
        <v>483</v>
      </c>
      <c r="AJ382" s="1118"/>
    </row>
    <row r="383" spans="1:36" ht="13.2" customHeight="1">
      <c r="D383" t="s">
        <v>555</v>
      </c>
      <c r="Q383" s="1261">
        <v>45352</v>
      </c>
      <c r="R383" s="1354"/>
      <c r="S383" s="1354"/>
      <c r="T383" s="1354"/>
      <c r="U383" s="1354"/>
      <c r="W383" s="29" t="s">
        <v>20</v>
      </c>
      <c r="AG383" s="1133"/>
      <c r="AH383" s="1133"/>
      <c r="AI383" s="1133"/>
      <c r="AJ383" s="1133"/>
    </row>
    <row r="384" spans="1:36" ht="13.2" customHeight="1">
      <c r="D384" t="s">
        <v>274</v>
      </c>
      <c r="Q384" s="1116">
        <v>2070000</v>
      </c>
      <c r="R384" s="1116"/>
      <c r="S384" s="1116"/>
      <c r="T384" s="1116"/>
      <c r="U384" s="1116"/>
      <c r="V384" s="41" t="s">
        <v>1969</v>
      </c>
      <c r="AG384" s="1279">
        <v>45352</v>
      </c>
      <c r="AH384" s="1279"/>
      <c r="AI384" s="1279"/>
      <c r="AJ384" s="1279"/>
    </row>
    <row r="385" spans="4:36" ht="13.2" customHeight="1">
      <c r="D385" t="s">
        <v>376</v>
      </c>
      <c r="I385" s="1117"/>
      <c r="J385" s="1117"/>
      <c r="K385" s="1117"/>
      <c r="L385" s="1117"/>
      <c r="M385" s="1117"/>
      <c r="N385" s="1117"/>
      <c r="Q385" s="41" t="s">
        <v>818</v>
      </c>
      <c r="S385" s="1149"/>
      <c r="T385" s="1149"/>
      <c r="U385" s="1149"/>
      <c r="V385" t="s">
        <v>19</v>
      </c>
      <c r="AI385" s="1118" t="s">
        <v>483</v>
      </c>
      <c r="AJ385" s="1118"/>
    </row>
    <row r="386" spans="4:36" ht="13.2" customHeight="1">
      <c r="D386" t="s">
        <v>169</v>
      </c>
      <c r="Q386" s="1175"/>
      <c r="R386" s="1175"/>
      <c r="S386" s="1175"/>
      <c r="T386" s="1175"/>
      <c r="U386" s="1175"/>
      <c r="V386" t="s">
        <v>170</v>
      </c>
      <c r="AG386" s="1133"/>
      <c r="AH386" s="1133"/>
      <c r="AI386" s="1133"/>
      <c r="AJ386" s="1133"/>
    </row>
    <row r="387" spans="4:36" ht="13.2" customHeight="1">
      <c r="D387" t="s">
        <v>25</v>
      </c>
      <c r="Q387" s="1417"/>
      <c r="R387" s="1417"/>
      <c r="S387" s="1417"/>
      <c r="T387" s="1417"/>
      <c r="U387" s="1417"/>
      <c r="V387" t="s">
        <v>1682</v>
      </c>
      <c r="AG387" s="1133"/>
      <c r="AH387" s="1133"/>
      <c r="AI387" s="1133"/>
      <c r="AJ387" s="1133"/>
    </row>
    <row r="388" spans="4:36" ht="13.2" customHeight="1">
      <c r="D388" t="s">
        <v>1970</v>
      </c>
      <c r="AG388" s="1133"/>
      <c r="AH388" s="1133"/>
      <c r="AI388" s="1133"/>
      <c r="AJ388" s="1133"/>
    </row>
    <row r="389" spans="4:36" ht="13.2" customHeight="1">
      <c r="AG389" s="832"/>
      <c r="AH389" s="832"/>
      <c r="AI389" s="832"/>
      <c r="AJ389" s="832"/>
    </row>
    <row r="390" spans="4:36" ht="13.2" customHeight="1">
      <c r="D390" s="41" t="s">
        <v>2209</v>
      </c>
      <c r="AG390" s="832"/>
      <c r="AH390" s="832"/>
      <c r="AI390" s="1118" t="s">
        <v>483</v>
      </c>
      <c r="AJ390" s="1118"/>
    </row>
    <row r="391" spans="4:36" ht="13.2" customHeight="1">
      <c r="D391" s="41" t="s">
        <v>1971</v>
      </c>
      <c r="T391" s="1131"/>
      <c r="U391" s="1131"/>
      <c r="V391" s="1131"/>
      <c r="W391" s="1131"/>
      <c r="X391" s="1131"/>
      <c r="Y391" s="1131"/>
      <c r="Z391" s="1131"/>
      <c r="AA391" s="1131"/>
      <c r="AB391" s="1131"/>
      <c r="AC391" s="1131"/>
      <c r="AD391" s="1131"/>
      <c r="AE391" s="1131"/>
      <c r="AF391" s="1131"/>
      <c r="AG391" s="1131"/>
      <c r="AH391" s="1131"/>
      <c r="AI391" s="1131"/>
      <c r="AJ391" s="1131"/>
    </row>
    <row r="392" spans="4:36" ht="13.2" customHeight="1">
      <c r="D392" s="41" t="s">
        <v>1972</v>
      </c>
      <c r="T392" s="1131"/>
      <c r="U392" s="1131"/>
      <c r="V392" s="1131"/>
      <c r="W392" s="1131"/>
      <c r="X392" s="1131"/>
      <c r="Y392" s="1131"/>
      <c r="Z392" s="1131"/>
      <c r="AA392" s="1131"/>
      <c r="AB392" s="1131"/>
      <c r="AC392" s="1131"/>
      <c r="AD392" s="1131"/>
      <c r="AE392" s="1131"/>
      <c r="AF392" s="1131"/>
      <c r="AG392" s="1131"/>
      <c r="AH392" s="1131"/>
      <c r="AI392" s="1131"/>
      <c r="AJ392" s="1131"/>
    </row>
    <row r="393" spans="4:36" ht="13.2" customHeight="1">
      <c r="AG393" s="832"/>
      <c r="AH393" s="832"/>
      <c r="AI393" s="832"/>
      <c r="AJ393" s="832"/>
    </row>
    <row r="394" spans="4:36" ht="13.2" customHeight="1">
      <c r="D394" s="41" t="s">
        <v>1973</v>
      </c>
      <c r="S394" s="1131" t="s">
        <v>483</v>
      </c>
      <c r="T394" s="1131"/>
      <c r="U394" s="1131"/>
      <c r="V394" t="s">
        <v>1974</v>
      </c>
      <c r="AG394" s="1474"/>
      <c r="AH394" s="1474"/>
      <c r="AI394" s="1474"/>
      <c r="AJ394" s="1474"/>
    </row>
    <row r="395" spans="4:36" ht="13.2" customHeight="1">
      <c r="D395" s="41" t="s">
        <v>1975</v>
      </c>
      <c r="S395" s="1131" t="s">
        <v>124</v>
      </c>
      <c r="T395" s="1131"/>
      <c r="U395" s="1131"/>
      <c r="V395" t="s">
        <v>1976</v>
      </c>
      <c r="AE395" s="1132"/>
      <c r="AF395" s="1132"/>
      <c r="AG395" s="1132"/>
      <c r="AH395" s="1132"/>
      <c r="AI395" s="1132"/>
      <c r="AJ395" s="1132"/>
    </row>
    <row r="396" spans="4:36" ht="13.2" customHeight="1">
      <c r="D396" s="41" t="s">
        <v>1977</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3.2" customHeight="1">
      <c r="D397" s="41" t="s">
        <v>1978</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3.2" customHeight="1">
      <c r="D398" s="41" t="s">
        <v>1979</v>
      </c>
      <c r="E398" s="813"/>
      <c r="F398" s="813"/>
      <c r="G398" s="813"/>
      <c r="H398" s="813"/>
      <c r="I398" s="813"/>
      <c r="J398" s="813"/>
      <c r="K398" s="813"/>
      <c r="L398" s="813"/>
      <c r="M398" s="813"/>
      <c r="N398" s="813"/>
      <c r="O398" s="813"/>
      <c r="P398" s="813"/>
      <c r="Q398" s="813"/>
      <c r="R398" s="813"/>
      <c r="S398" s="1476" t="s">
        <v>1980</v>
      </c>
      <c r="T398" s="1476"/>
      <c r="U398" s="1476"/>
      <c r="V398" s="1476"/>
      <c r="W398" s="1476"/>
      <c r="X398" s="1476"/>
      <c r="Y398" s="1476"/>
      <c r="Z398" s="1476"/>
      <c r="AA398" s="1476"/>
      <c r="AB398" s="1476"/>
      <c r="AC398" s="1476"/>
      <c r="AD398" s="1476"/>
      <c r="AE398" s="1476"/>
      <c r="AF398" s="1476"/>
      <c r="AG398" s="1476"/>
      <c r="AH398" s="1476"/>
      <c r="AI398" s="1476"/>
      <c r="AJ398" s="1476"/>
    </row>
    <row r="399" spans="4:36" ht="13.2"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2"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2" customHeight="1">
      <c r="AG401" s="832"/>
      <c r="AH401" s="832"/>
      <c r="AI401" s="832"/>
      <c r="AJ401" s="832"/>
    </row>
    <row r="402" spans="1:36" ht="13.2" customHeight="1">
      <c r="A402" s="3" t="s">
        <v>122</v>
      </c>
      <c r="B402" s="3"/>
      <c r="C402" s="3" t="s">
        <v>899</v>
      </c>
    </row>
    <row r="403" spans="1:36" ht="13.2" customHeight="1">
      <c r="D403" s="3" t="s">
        <v>1736</v>
      </c>
      <c r="I403" s="1099" t="s">
        <v>2399</v>
      </c>
      <c r="J403" s="1099"/>
      <c r="K403" s="1099"/>
      <c r="L403" s="1099"/>
      <c r="M403" s="1099"/>
      <c r="N403" s="1099"/>
      <c r="O403" s="1099"/>
      <c r="P403" s="1099"/>
      <c r="Q403" s="1099"/>
      <c r="R403" s="1099"/>
      <c r="S403" s="1099"/>
      <c r="T403" s="1099"/>
      <c r="U403" s="1099"/>
      <c r="V403" s="1099"/>
      <c r="W403" s="1099"/>
      <c r="X403" s="1099"/>
      <c r="Y403" s="1099"/>
      <c r="Z403" s="1099"/>
      <c r="AA403" s="1099"/>
      <c r="AB403" s="1099"/>
      <c r="AC403" s="1099"/>
      <c r="AD403" s="1099"/>
    </row>
    <row r="404" spans="1:36" ht="13.2" customHeight="1">
      <c r="E404" t="s">
        <v>855</v>
      </c>
      <c r="R404" s="1118" t="s">
        <v>108</v>
      </c>
      <c r="S404" s="1118"/>
      <c r="T404" t="s">
        <v>291</v>
      </c>
      <c r="AD404" s="1115">
        <v>4</v>
      </c>
      <c r="AE404" s="1115"/>
    </row>
    <row r="405" spans="1:36" ht="13.2" customHeight="1">
      <c r="E405" t="s">
        <v>856</v>
      </c>
      <c r="R405" s="1118" t="s">
        <v>124</v>
      </c>
      <c r="S405" s="1118"/>
      <c r="T405" t="s">
        <v>291</v>
      </c>
      <c r="AD405" s="1115">
        <v>0</v>
      </c>
      <c r="AE405" s="1115"/>
    </row>
    <row r="406" spans="1:36" ht="13.2" customHeight="1">
      <c r="E406" t="s">
        <v>857</v>
      </c>
      <c r="S406" s="1118" t="s">
        <v>124</v>
      </c>
      <c r="T406" s="1118"/>
    </row>
    <row r="407" spans="1:36" ht="13.2" customHeight="1">
      <c r="E407" t="s">
        <v>283</v>
      </c>
      <c r="H407" s="1568" t="s">
        <v>562</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3.2"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3.2" customHeight="1"/>
    <row r="410" spans="1:36" ht="13.2" customHeight="1">
      <c r="A410" s="3" t="s">
        <v>123</v>
      </c>
      <c r="B410" s="3"/>
      <c r="C410" s="3"/>
      <c r="D410" s="3" t="s">
        <v>902</v>
      </c>
      <c r="AE410" s="5"/>
      <c r="AF410" s="3" t="s">
        <v>1214</v>
      </c>
    </row>
    <row r="411" spans="1:36" ht="13.2" customHeight="1">
      <c r="E411" s="1432"/>
      <c r="F411" s="1432"/>
      <c r="G411" s="1432"/>
      <c r="H411" s="18" t="s">
        <v>903</v>
      </c>
      <c r="I411" s="1432"/>
      <c r="J411" s="1432"/>
      <c r="K411" s="1432"/>
      <c r="L411" t="s">
        <v>904</v>
      </c>
      <c r="N411" s="34" t="s">
        <v>851</v>
      </c>
      <c r="P411" s="1434">
        <v>0.33100000000000002</v>
      </c>
      <c r="Q411" s="1434"/>
      <c r="R411" s="1434"/>
      <c r="S411" t="s">
        <v>905</v>
      </c>
      <c r="W411" s="1435">
        <f>IF(E411&gt;0,(E411*I411),(P411*43560))</f>
        <v>14418.36</v>
      </c>
      <c r="X411" s="1435"/>
      <c r="Y411" s="1435"/>
      <c r="Z411" t="s">
        <v>906</v>
      </c>
      <c r="AF411" s="1491" cm="1">
        <f t="array" ref="AF411">_xlfn.IFS(P411&gt;0,(AG430/P411),W411&gt;0,(AG430/(W411/43560)),TRUE,0)</f>
        <v>141.99395770392749</v>
      </c>
      <c r="AG411" s="1491"/>
      <c r="AH411" s="1491"/>
    </row>
    <row r="412" spans="1:36" ht="13.2" customHeight="1">
      <c r="E412" t="s">
        <v>203</v>
      </c>
    </row>
    <row r="413" spans="1:36" ht="13.2"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2" customHeight="1">
      <c r="E414" s="270" t="s">
        <v>1982</v>
      </c>
      <c r="F414" s="29"/>
      <c r="G414" s="29"/>
      <c r="H414" s="29"/>
      <c r="I414" s="1469"/>
      <c r="J414" s="1469"/>
      <c r="K414" s="1469"/>
      <c r="L414" s="29"/>
      <c r="M414" s="270"/>
      <c r="N414" s="29"/>
      <c r="O414" s="29"/>
      <c r="P414" s="1490" t="e">
        <f>(CQ628+CS633+CQ647)/I414</f>
        <v>#DIV/0!</v>
      </c>
      <c r="Q414" s="1490"/>
      <c r="R414" s="1490"/>
      <c r="S414" s="270" t="s">
        <v>1983</v>
      </c>
      <c r="T414" s="29"/>
      <c r="U414" s="29"/>
      <c r="V414" s="29"/>
      <c r="W414" s="29"/>
      <c r="X414" s="29"/>
      <c r="Y414" s="879"/>
      <c r="Z414" s="879"/>
      <c r="AA414" s="879"/>
      <c r="AB414" s="879"/>
      <c r="AC414" s="879"/>
      <c r="AD414" s="879"/>
      <c r="AE414" s="879"/>
      <c r="AF414" s="879"/>
      <c r="AG414" s="879"/>
      <c r="AH414" s="879"/>
      <c r="AI414" s="879"/>
      <c r="AJ414" s="879"/>
    </row>
    <row r="415" spans="1:36" ht="13.2" customHeight="1"/>
    <row r="416" spans="1:36" ht="13.2" customHeight="1">
      <c r="A416" s="3" t="s">
        <v>125</v>
      </c>
      <c r="B416" s="3"/>
      <c r="C416" s="3"/>
      <c r="D416" s="3" t="s">
        <v>908</v>
      </c>
    </row>
    <row r="417" spans="1:36" ht="13.2" customHeight="1">
      <c r="E417" t="s">
        <v>452</v>
      </c>
      <c r="P417" s="1118">
        <v>1</v>
      </c>
      <c r="Q417" s="1118"/>
      <c r="S417" t="s">
        <v>134</v>
      </c>
      <c r="AE417" s="1118">
        <v>1</v>
      </c>
      <c r="AF417" s="1118"/>
    </row>
    <row r="418" spans="1:36" ht="13.2" customHeight="1">
      <c r="E418" t="s">
        <v>135</v>
      </c>
      <c r="P418" s="1118">
        <v>0</v>
      </c>
      <c r="Q418" s="1118"/>
      <c r="S418" t="s">
        <v>726</v>
      </c>
      <c r="AE418" s="1118" t="s">
        <v>124</v>
      </c>
      <c r="AF418" s="1118"/>
    </row>
    <row r="419" spans="1:36" ht="13.2" customHeight="1">
      <c r="F419" s="36" t="s">
        <v>221</v>
      </c>
    </row>
    <row r="420" spans="1:36" ht="13.2"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2"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2" customHeight="1">
      <c r="E422" t="s">
        <v>858</v>
      </c>
      <c r="P422" s="1"/>
      <c r="Q422" s="1118" t="s">
        <v>108</v>
      </c>
      <c r="R422" s="1118"/>
      <c r="AE422" s="1"/>
      <c r="AF422" s="1"/>
    </row>
    <row r="423" spans="1:36" ht="13.2" customHeight="1">
      <c r="F423" t="s">
        <v>859</v>
      </c>
      <c r="P423" s="1"/>
      <c r="Q423" s="1"/>
      <c r="AE423" s="1118" t="s">
        <v>124</v>
      </c>
      <c r="AF423" s="1343"/>
    </row>
    <row r="424" spans="1:36" ht="13.2" customHeight="1"/>
    <row r="425" spans="1:36" ht="13.2" customHeight="1">
      <c r="A425" s="3"/>
      <c r="B425" s="3"/>
      <c r="C425" s="3"/>
      <c r="E425" s="5" t="s">
        <v>80</v>
      </c>
      <c r="Z425" s="1118" t="s">
        <v>483</v>
      </c>
      <c r="AA425" s="1118"/>
    </row>
    <row r="426" spans="1:36" ht="13.2"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 customHeight="1">
      <c r="F427" t="s">
        <v>42</v>
      </c>
      <c r="G427" s="49"/>
      <c r="I427" s="49"/>
      <c r="J427" s="49"/>
      <c r="K427" s="49"/>
      <c r="L427" s="49"/>
      <c r="M427" s="49"/>
      <c r="N427" s="49"/>
      <c r="Q427" s="41"/>
      <c r="R427" s="49"/>
      <c r="S427" s="49"/>
      <c r="T427" s="49"/>
      <c r="U427" s="49"/>
      <c r="V427" s="49"/>
      <c r="W427" s="49"/>
      <c r="Z427" s="1118" t="s">
        <v>124</v>
      </c>
      <c r="AA427" s="1118"/>
    </row>
    <row r="428" spans="1:36" ht="13.2" customHeight="1"/>
    <row r="429" spans="1:36" ht="13.2" customHeight="1">
      <c r="A429" s="3" t="s">
        <v>368</v>
      </c>
      <c r="B429" s="3"/>
      <c r="C429" s="3"/>
      <c r="D429" s="3" t="s">
        <v>172</v>
      </c>
      <c r="AF429" s="54"/>
    </row>
    <row r="430" spans="1:36" ht="13.2" customHeight="1">
      <c r="D430" s="1183" t="s">
        <v>357</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2"/>
      <c r="AG430" s="1467">
        <v>47</v>
      </c>
      <c r="AH430" s="1467"/>
      <c r="AI430" s="1467"/>
      <c r="AJ430" s="1467"/>
    </row>
    <row r="431" spans="1:36" ht="13.2" customHeight="1">
      <c r="D431" s="1433" t="s">
        <v>2276</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6">
        <v>0</v>
      </c>
      <c r="AH431" s="1157"/>
      <c r="AI431" s="1157"/>
      <c r="AJ431" s="1157"/>
    </row>
    <row r="432" spans="1:36" ht="13.2" customHeight="1">
      <c r="D432" s="1123" t="s">
        <v>1369</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7">
        <v>46</v>
      </c>
      <c r="AH432" s="1467"/>
      <c r="AI432" s="1467"/>
      <c r="AJ432" s="1467"/>
    </row>
    <row r="433" spans="4:36" ht="13.2" customHeight="1">
      <c r="D433" s="1123" t="s">
        <v>1366</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7">
        <v>46</v>
      </c>
      <c r="AH433" s="1467"/>
      <c r="AI433" s="1467"/>
      <c r="AJ433" s="1467"/>
    </row>
    <row r="434" spans="4:36" ht="13.2" customHeight="1">
      <c r="D434" s="1123" t="s">
        <v>1370</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0">
        <f>IF(ISERROR(AG433/AG432),"",AG433/AG432)</f>
        <v>1</v>
      </c>
      <c r="AH434" s="1150"/>
      <c r="AI434" s="1150"/>
      <c r="AJ434" s="1150"/>
    </row>
    <row r="435" spans="4:36" ht="13.2" customHeight="1">
      <c r="D435" s="1123" t="s">
        <v>1368</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7">
        <f>29829-814</f>
        <v>29015</v>
      </c>
      <c r="AH435" s="1427"/>
      <c r="AI435" s="1427"/>
      <c r="AJ435" s="1427"/>
    </row>
    <row r="436" spans="4:36" ht="13.2" customHeight="1">
      <c r="D436" s="1123" t="s">
        <v>1367</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7">
        <f>AG435</f>
        <v>29015</v>
      </c>
      <c r="AH436" s="1427"/>
      <c r="AI436" s="1427"/>
      <c r="AJ436" s="1427"/>
    </row>
    <row r="437" spans="4:36" ht="13.2" customHeight="1">
      <c r="D437" s="1123" t="s">
        <v>1373</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0">
        <f>IF(ISERROR(AG436/AG435),"",AG436/AG435)</f>
        <v>1</v>
      </c>
      <c r="AH437" s="1150"/>
      <c r="AI437" s="1150"/>
      <c r="AJ437" s="1150"/>
    </row>
    <row r="438" spans="4:36" ht="13.2" customHeight="1">
      <c r="D438" s="1123" t="s">
        <v>1371</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0">
        <f>MIN(IF(AG434&gt;AG437,AG437,AG434),1)</f>
        <v>1</v>
      </c>
      <c r="AH438" s="1150"/>
      <c r="AI438" s="1150"/>
      <c r="AJ438" s="1150"/>
    </row>
    <row r="439" spans="4:36" ht="13.2" customHeight="1">
      <c r="D439" s="1433" t="s">
        <v>2114</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2"/>
      <c r="AG439" s="1427">
        <v>1264</v>
      </c>
      <c r="AH439" s="1427"/>
      <c r="AI439" s="1427"/>
      <c r="AJ439" s="1427"/>
    </row>
    <row r="440" spans="4:36" ht="13.2" customHeight="1">
      <c r="D440" s="1123" t="s">
        <v>208</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7">
        <v>0</v>
      </c>
      <c r="AH440" s="1427"/>
      <c r="AI440" s="1427"/>
      <c r="AJ440" s="1427"/>
    </row>
    <row r="441" spans="4:36" ht="13.2" customHeight="1">
      <c r="D441" s="1433" t="s">
        <v>1737</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7">
        <f>1355+814</f>
        <v>2169</v>
      </c>
      <c r="AH441" s="1427"/>
      <c r="AI441" s="1427"/>
      <c r="AJ441" s="1427"/>
    </row>
    <row r="442" spans="4:36" ht="13.2" customHeight="1">
      <c r="D442" s="1123" t="s">
        <v>1372</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7">
        <v>3359</v>
      </c>
      <c r="AH442" s="1427"/>
      <c r="AI442" s="1427"/>
      <c r="AJ442" s="1427"/>
    </row>
    <row r="443" spans="4:36" ht="13.2" customHeight="1">
      <c r="D443" s="1123" t="s">
        <v>1374</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68">
        <f>AG435+AG439+AG441+AG442</f>
        <v>35807</v>
      </c>
      <c r="AH443" s="1468"/>
      <c r="AI443" s="1468"/>
      <c r="AJ443" s="1468"/>
    </row>
    <row r="444" spans="4:36" ht="13.2"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2"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2"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2"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746848.38297872338</v>
      </c>
      <c r="AD447" s="1158"/>
      <c r="AE447" s="1158"/>
      <c r="AF447" s="1158"/>
      <c r="AG447" s="1477"/>
      <c r="AH447" s="1477"/>
      <c r="AI447" s="1477"/>
      <c r="AJ447" s="1477"/>
    </row>
    <row r="448" spans="4:36" ht="13.2"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746848.38297872338</v>
      </c>
      <c r="AD448" s="1158"/>
      <c r="AE448" s="1158"/>
      <c r="AF448" s="1158"/>
      <c r="AG448" s="1477"/>
      <c r="AH448" s="1477"/>
      <c r="AI448" s="1477"/>
      <c r="AJ448" s="1477"/>
    </row>
    <row r="449" spans="1:38" ht="13.2"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624814.55319148931</v>
      </c>
      <c r="AD449" s="1158"/>
      <c r="AE449" s="1158"/>
      <c r="AF449" s="1158"/>
      <c r="AG449" s="362"/>
      <c r="AH449" s="362"/>
      <c r="AI449" s="362"/>
      <c r="AJ449" s="362"/>
    </row>
    <row r="450" spans="1:38" ht="13.2" customHeight="1">
      <c r="D450" s="373"/>
      <c r="E450" s="307"/>
      <c r="F450" s="157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3.2"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3.2"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2"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2"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2"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2"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2"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2"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2"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2" customHeight="1">
      <c r="A460" s="41"/>
      <c r="B460" s="41"/>
      <c r="C460" s="41"/>
      <c r="D460" s="1120" t="s">
        <v>2106</v>
      </c>
      <c r="E460" s="1121"/>
      <c r="F460" s="1121"/>
      <c r="G460" s="1121"/>
      <c r="H460" s="1121"/>
      <c r="I460" s="1121"/>
      <c r="J460" s="1121"/>
      <c r="K460" s="1121"/>
      <c r="L460" s="1121"/>
      <c r="M460" s="1121"/>
      <c r="N460" s="1121"/>
      <c r="O460" s="1121"/>
      <c r="P460" s="1121"/>
      <c r="Q460" s="1121"/>
      <c r="R460" s="1121"/>
      <c r="S460" s="1121"/>
      <c r="T460" s="1121"/>
      <c r="U460" s="1121"/>
      <c r="V460" s="1122"/>
      <c r="W460" s="1126">
        <v>46</v>
      </c>
      <c r="X460" s="1127"/>
      <c r="Y460" s="1128"/>
      <c r="Z460" s="310"/>
      <c r="AA460" s="310"/>
      <c r="AB460" s="310"/>
      <c r="AC460" s="310"/>
      <c r="AD460" s="310"/>
      <c r="AE460" s="310"/>
      <c r="AF460" s="310"/>
      <c r="AG460" s="310"/>
      <c r="AH460" s="310"/>
      <c r="AI460" s="310"/>
      <c r="AJ460" s="41"/>
      <c r="AK460" s="41"/>
      <c r="AL460" s="41"/>
    </row>
    <row r="461" spans="1:38" ht="13.2" customHeight="1">
      <c r="A461" s="41"/>
      <c r="B461" s="41"/>
      <c r="C461" s="41"/>
      <c r="D461" s="1120" t="s">
        <v>213</v>
      </c>
      <c r="E461" s="1121"/>
      <c r="F461" s="1121"/>
      <c r="G461" s="1121"/>
      <c r="H461" s="1121"/>
      <c r="I461" s="1121"/>
      <c r="J461" s="1121"/>
      <c r="K461" s="1121"/>
      <c r="L461" s="1121"/>
      <c r="M461" s="1121"/>
      <c r="N461" s="1121"/>
      <c r="O461" s="1121"/>
      <c r="P461" s="1121"/>
      <c r="Q461" s="1121"/>
      <c r="R461" s="1121"/>
      <c r="S461" s="1121"/>
      <c r="T461" s="1121"/>
      <c r="U461" s="1121"/>
      <c r="V461" s="1122"/>
      <c r="W461" s="1126"/>
      <c r="X461" s="1127"/>
      <c r="Y461" s="1128"/>
      <c r="Z461" s="310"/>
      <c r="AA461" s="310"/>
      <c r="AB461" s="310"/>
      <c r="AC461" s="310"/>
      <c r="AD461" s="310"/>
      <c r="AE461" s="310"/>
      <c r="AF461" s="310"/>
      <c r="AG461" s="310"/>
      <c r="AH461" s="310"/>
      <c r="AI461" s="310"/>
      <c r="AJ461" s="41"/>
      <c r="AK461" s="41"/>
      <c r="AL461" s="41"/>
    </row>
    <row r="462" spans="1:38" ht="13.2" customHeight="1">
      <c r="A462" s="41"/>
      <c r="B462" s="41"/>
      <c r="C462" s="41"/>
      <c r="D462" s="1120" t="s">
        <v>214</v>
      </c>
      <c r="E462" s="1121"/>
      <c r="F462" s="1121"/>
      <c r="G462" s="1121"/>
      <c r="H462" s="1121"/>
      <c r="I462" s="1121"/>
      <c r="J462" s="1121"/>
      <c r="K462" s="1121"/>
      <c r="L462" s="1121"/>
      <c r="M462" s="1121"/>
      <c r="N462" s="1121"/>
      <c r="O462" s="1121"/>
      <c r="P462" s="1121"/>
      <c r="Q462" s="1121"/>
      <c r="R462" s="1121"/>
      <c r="S462" s="1121"/>
      <c r="T462" s="1121"/>
      <c r="U462" s="1121"/>
      <c r="V462" s="1122"/>
      <c r="W462" s="1126"/>
      <c r="X462" s="1127"/>
      <c r="Y462" s="1128"/>
      <c r="Z462" s="310"/>
      <c r="AA462" s="310"/>
      <c r="AB462" s="310"/>
      <c r="AC462" s="310"/>
      <c r="AD462" s="310"/>
      <c r="AE462" s="310"/>
      <c r="AF462" s="310"/>
      <c r="AG462" s="310"/>
      <c r="AH462" s="310"/>
      <c r="AI462" s="310"/>
      <c r="AJ462" s="41"/>
      <c r="AK462" s="41"/>
      <c r="AL462" s="41"/>
    </row>
    <row r="463" spans="1:38" ht="13.2" customHeight="1">
      <c r="A463" s="41"/>
      <c r="B463" s="41"/>
      <c r="C463" s="41"/>
      <c r="D463" s="1120" t="s">
        <v>216</v>
      </c>
      <c r="E463" s="1121"/>
      <c r="F463" s="1121"/>
      <c r="G463" s="1121"/>
      <c r="H463" s="1121"/>
      <c r="I463" s="1121"/>
      <c r="J463" s="1121"/>
      <c r="K463" s="1121"/>
      <c r="L463" s="1121"/>
      <c r="M463" s="1121"/>
      <c r="N463" s="1121"/>
      <c r="O463" s="1121"/>
      <c r="P463" s="1121"/>
      <c r="Q463" s="1121"/>
      <c r="R463" s="1121"/>
      <c r="S463" s="1121"/>
      <c r="T463" s="1121"/>
      <c r="U463" s="1121"/>
      <c r="V463" s="1122"/>
      <c r="W463" s="1126"/>
      <c r="X463" s="1127"/>
      <c r="Y463" s="1128"/>
      <c r="Z463" s="310"/>
      <c r="AA463" s="310"/>
      <c r="AB463" s="310"/>
      <c r="AC463" s="310"/>
      <c r="AD463" s="310"/>
      <c r="AE463" s="310"/>
      <c r="AF463" s="310"/>
      <c r="AG463" s="310"/>
      <c r="AH463" s="310"/>
      <c r="AI463" s="310"/>
      <c r="AJ463" s="41"/>
      <c r="AK463" s="41"/>
      <c r="AL463" s="41"/>
    </row>
    <row r="464" spans="1:38" ht="13.2" customHeight="1">
      <c r="A464" s="41"/>
      <c r="B464" s="41"/>
      <c r="C464" s="41"/>
      <c r="D464" s="1484" t="s">
        <v>1109</v>
      </c>
      <c r="E464" s="1121"/>
      <c r="F464" s="1121"/>
      <c r="G464" s="1121"/>
      <c r="H464" s="1121"/>
      <c r="I464" s="1121"/>
      <c r="J464" s="1121"/>
      <c r="K464" s="1121"/>
      <c r="L464" s="1121"/>
      <c r="M464" s="1121"/>
      <c r="N464" s="1121"/>
      <c r="O464" s="1121"/>
      <c r="P464" s="1121"/>
      <c r="Q464" s="1121"/>
      <c r="R464" s="1121"/>
      <c r="S464" s="1121"/>
      <c r="T464" s="1121"/>
      <c r="U464" s="1121"/>
      <c r="V464" s="1122"/>
      <c r="W464" s="1126"/>
      <c r="X464" s="1127"/>
      <c r="Y464" s="1128"/>
      <c r="Z464" s="310"/>
      <c r="AA464" s="310"/>
      <c r="AB464" s="310"/>
      <c r="AC464" s="310"/>
      <c r="AD464" s="310"/>
      <c r="AE464" s="310"/>
      <c r="AF464" s="310"/>
      <c r="AG464" s="310"/>
      <c r="AH464" s="310"/>
      <c r="AI464" s="310"/>
      <c r="AJ464" s="41"/>
      <c r="AK464" s="41"/>
      <c r="AL464" s="41"/>
    </row>
    <row r="465" spans="1:97" ht="13.2" customHeight="1">
      <c r="A465" s="41"/>
      <c r="B465" s="41"/>
      <c r="C465" s="41"/>
      <c r="D465" s="1120" t="s">
        <v>220</v>
      </c>
      <c r="E465" s="1121"/>
      <c r="F465" s="1121"/>
      <c r="G465" s="1121"/>
      <c r="H465" s="1121"/>
      <c r="I465" s="1121"/>
      <c r="J465" s="1121"/>
      <c r="K465" s="1121"/>
      <c r="L465" s="1121"/>
      <c r="M465" s="1121"/>
      <c r="N465" s="1121"/>
      <c r="O465" s="1121"/>
      <c r="P465" s="1121"/>
      <c r="Q465" s="1121"/>
      <c r="R465" s="1121"/>
      <c r="S465" s="1121"/>
      <c r="T465" s="1121"/>
      <c r="U465" s="1121"/>
      <c r="V465" s="1122"/>
      <c r="W465" s="1126"/>
      <c r="X465" s="1127"/>
      <c r="Y465" s="1128"/>
      <c r="Z465" s="310"/>
      <c r="AA465" s="310"/>
      <c r="AB465" s="310"/>
      <c r="AC465" s="310"/>
      <c r="AD465" s="310"/>
      <c r="AE465" s="310"/>
      <c r="AF465" s="310"/>
      <c r="AG465" s="310"/>
      <c r="AH465" s="310"/>
      <c r="AI465" s="310"/>
      <c r="AJ465" s="41"/>
      <c r="AK465" s="41"/>
      <c r="AL465" s="41"/>
    </row>
    <row r="466" spans="1:97" ht="13.2" customHeight="1">
      <c r="A466" s="557"/>
      <c r="B466" s="557"/>
      <c r="C466" s="557"/>
      <c r="D466" s="1484" t="s">
        <v>1308</v>
      </c>
      <c r="E466" s="1488"/>
      <c r="F466" s="1488"/>
      <c r="G466" s="1488"/>
      <c r="H466" s="1488"/>
      <c r="I466" s="1488"/>
      <c r="J466" s="1488"/>
      <c r="K466" s="1488"/>
      <c r="L466" s="1488"/>
      <c r="M466" s="1488"/>
      <c r="N466" s="1488"/>
      <c r="O466" s="1488"/>
      <c r="P466" s="1488"/>
      <c r="Q466" s="1488"/>
      <c r="R466" s="1488"/>
      <c r="S466" s="1488"/>
      <c r="T466" s="1488"/>
      <c r="U466" s="1488"/>
      <c r="V466" s="1489"/>
      <c r="W466" s="1464"/>
      <c r="X466" s="1465"/>
      <c r="Y466" s="1466"/>
      <c r="Z466" s="558"/>
      <c r="AA466" s="558"/>
      <c r="AB466" s="558"/>
      <c r="AC466" s="558"/>
      <c r="AD466" s="559"/>
      <c r="AE466" s="559"/>
      <c r="AF466" s="559"/>
      <c r="AG466" s="559"/>
      <c r="AH466" s="559"/>
      <c r="AI466" s="559"/>
      <c r="AJ466" s="362"/>
    </row>
    <row r="467" spans="1:97" ht="13.2" customHeight="1">
      <c r="A467" s="557"/>
      <c r="B467" s="557"/>
      <c r="C467" s="557"/>
      <c r="D467" s="1120" t="s">
        <v>2286</v>
      </c>
      <c r="E467" s="1121"/>
      <c r="F467" s="1121"/>
      <c r="G467" s="1121"/>
      <c r="H467" s="1121"/>
      <c r="I467" s="1121"/>
      <c r="J467" s="1121"/>
      <c r="K467" s="1121"/>
      <c r="L467" s="1121"/>
      <c r="M467" s="1121"/>
      <c r="N467" s="1121"/>
      <c r="O467" s="1121"/>
      <c r="P467" s="1121"/>
      <c r="Q467" s="1121"/>
      <c r="R467" s="1121"/>
      <c r="S467" s="1121"/>
      <c r="T467" s="1121"/>
      <c r="U467" s="1121"/>
      <c r="V467" s="1122"/>
      <c r="W467" s="1464"/>
      <c r="X467" s="1465"/>
      <c r="Y467" s="1466"/>
      <c r="Z467" s="558"/>
      <c r="AA467" s="558"/>
      <c r="AB467" s="558"/>
      <c r="AC467" s="558"/>
      <c r="AD467" s="559"/>
      <c r="AE467" s="559"/>
      <c r="AF467" s="559"/>
      <c r="AG467" s="559"/>
      <c r="AH467" s="559"/>
      <c r="AI467" s="559"/>
      <c r="AJ467" s="362"/>
    </row>
    <row r="468" spans="1:97" ht="13.2" customHeight="1">
      <c r="A468" s="41"/>
      <c r="B468" s="41"/>
      <c r="C468" s="41"/>
      <c r="D468" s="1120" t="s">
        <v>2219</v>
      </c>
      <c r="E468" s="1488"/>
      <c r="F468" s="1488"/>
      <c r="G468" s="1488"/>
      <c r="H468" s="1488"/>
      <c r="I468" s="1488"/>
      <c r="J468" s="1488"/>
      <c r="K468" s="1488"/>
      <c r="L468" s="1488"/>
      <c r="M468" s="1488"/>
      <c r="N468" s="1488"/>
      <c r="O468" s="1488"/>
      <c r="P468" s="1488"/>
      <c r="Q468" s="1488"/>
      <c r="R468" s="1488"/>
      <c r="S468" s="1488"/>
      <c r="T468" s="1488"/>
      <c r="U468" s="1488"/>
      <c r="V468" s="1489"/>
      <c r="W468" s="1464"/>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2" customHeight="1">
      <c r="A469" s="41"/>
      <c r="B469" s="41"/>
      <c r="C469" s="41"/>
      <c r="D469" s="415" t="s">
        <v>283</v>
      </c>
      <c r="E469" s="416"/>
      <c r="F469" s="417"/>
      <c r="G469" s="1153"/>
      <c r="H469" s="1154"/>
      <c r="I469" s="1154"/>
      <c r="J469" s="1154"/>
      <c r="K469" s="1154"/>
      <c r="L469" s="1154"/>
      <c r="M469" s="1154"/>
      <c r="N469" s="1154"/>
      <c r="O469" s="1154"/>
      <c r="P469" s="1154"/>
      <c r="Q469" s="1154"/>
      <c r="R469" s="1154"/>
      <c r="S469" s="1154"/>
      <c r="T469" s="1154"/>
      <c r="U469" s="1154"/>
      <c r="V469" s="1155"/>
      <c r="W469" s="1126"/>
      <c r="X469" s="1127"/>
      <c r="Y469" s="1128"/>
      <c r="Z469" s="310"/>
      <c r="AA469" s="310"/>
      <c r="AB469" s="310"/>
      <c r="AC469" s="310"/>
      <c r="AD469" s="310"/>
      <c r="AE469" s="310"/>
      <c r="AF469" s="310"/>
      <c r="AG469" s="310"/>
      <c r="AH469" s="310"/>
      <c r="AI469" s="310"/>
      <c r="AJ469" s="41"/>
      <c r="AK469" s="41"/>
      <c r="AL469" s="41"/>
    </row>
    <row r="470" spans="1:97" ht="13.2"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2"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2"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B481" s="8"/>
      <c r="C481" s="9"/>
      <c r="D481" s="9"/>
      <c r="E481" s="9"/>
      <c r="F481" s="9"/>
      <c r="G481" s="9"/>
      <c r="H481" s="9"/>
      <c r="I481" s="9"/>
      <c r="J481" s="9"/>
      <c r="K481" s="9"/>
      <c r="L481" s="9"/>
      <c r="M481" s="9"/>
      <c r="N481" s="9"/>
      <c r="O481" s="9"/>
      <c r="P481" s="52"/>
      <c r="Q481" s="1424" t="s">
        <v>238</v>
      </c>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B482" s="8" t="s">
        <v>239</v>
      </c>
      <c r="C482" s="9"/>
      <c r="D482" s="9"/>
      <c r="E482" s="9"/>
      <c r="F482" s="9"/>
      <c r="G482" s="9"/>
      <c r="H482" s="9"/>
      <c r="I482" s="9"/>
      <c r="J482" s="9"/>
      <c r="K482" s="9"/>
      <c r="L482" s="9"/>
      <c r="M482" s="9"/>
      <c r="N482" s="9"/>
      <c r="O482" s="9"/>
      <c r="P482" s="9"/>
      <c r="Q482" s="1129" t="s">
        <v>2400</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B483" s="8" t="s">
        <v>240</v>
      </c>
      <c r="C483" s="9"/>
      <c r="D483" s="9"/>
      <c r="E483" s="9"/>
      <c r="F483" s="9"/>
      <c r="G483" s="9"/>
      <c r="H483" s="9"/>
      <c r="I483" s="9"/>
      <c r="J483" s="9"/>
      <c r="K483" s="9"/>
      <c r="L483" s="9"/>
      <c r="M483" s="9"/>
      <c r="N483" s="9"/>
      <c r="O483" s="9"/>
      <c r="P483" s="9"/>
      <c r="Q483" s="1129" t="s">
        <v>2401</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B484" s="8" t="s">
        <v>241</v>
      </c>
      <c r="C484" s="9"/>
      <c r="D484" s="9"/>
      <c r="E484" s="9"/>
      <c r="F484" s="9"/>
      <c r="G484" s="9"/>
      <c r="H484" s="9"/>
      <c r="I484" s="9"/>
      <c r="J484" s="9"/>
      <c r="K484" s="9"/>
      <c r="L484" s="9"/>
      <c r="M484" s="9"/>
      <c r="N484" s="9"/>
      <c r="O484" s="9"/>
      <c r="P484" s="9"/>
      <c r="Q484" s="1129" t="s">
        <v>2402</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B485" s="1478" t="s">
        <v>242</v>
      </c>
      <c r="C485" s="1479"/>
      <c r="D485" s="1479"/>
      <c r="E485" s="1479"/>
      <c r="F485" s="1479"/>
      <c r="G485" s="1479"/>
      <c r="H485" s="1479"/>
      <c r="I485" s="1479"/>
      <c r="J485" s="1479"/>
      <c r="K485" s="1479"/>
      <c r="L485" s="1479"/>
      <c r="M485" s="1479"/>
      <c r="N485" s="1479"/>
      <c r="O485" s="1479"/>
      <c r="P485" s="1480"/>
      <c r="Q485" s="1492" t="s">
        <v>483</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B487" s="833" t="s">
        <v>2214</v>
      </c>
      <c r="C487" s="814"/>
      <c r="D487" s="814"/>
      <c r="E487" s="814"/>
      <c r="F487" s="814"/>
      <c r="G487" s="814"/>
      <c r="H487" s="814"/>
      <c r="I487" s="814"/>
      <c r="J487" s="814"/>
      <c r="K487" s="814"/>
      <c r="L487" s="814"/>
      <c r="M487" s="814"/>
      <c r="N487" s="814"/>
      <c r="O487" s="814"/>
      <c r="P487" s="814"/>
      <c r="Q487" s="1502" t="s">
        <v>483</v>
      </c>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8" t="s">
        <v>243</v>
      </c>
      <c r="C488" s="9"/>
      <c r="D488" s="9"/>
      <c r="E488" s="9"/>
      <c r="F488" s="9"/>
      <c r="G488" s="9"/>
      <c r="H488" s="9"/>
      <c r="I488" s="9"/>
      <c r="J488" s="9"/>
      <c r="K488" s="9"/>
      <c r="L488" s="9"/>
      <c r="M488" s="9"/>
      <c r="N488" s="9"/>
      <c r="O488" s="9"/>
      <c r="P488" s="9"/>
      <c r="Q488" s="1129" t="s">
        <v>2403</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t="s">
        <v>244</v>
      </c>
      <c r="C489" s="9"/>
      <c r="D489" s="9"/>
      <c r="E489" s="9"/>
      <c r="F489" s="9"/>
      <c r="G489" s="9"/>
      <c r="H489" s="9"/>
      <c r="I489" s="9"/>
      <c r="J489" s="9"/>
      <c r="K489" s="9"/>
      <c r="L489" s="9"/>
      <c r="M489" s="9"/>
      <c r="N489" s="9"/>
      <c r="O489" s="9"/>
      <c r="P489" s="9"/>
      <c r="Q489" s="1129" t="s">
        <v>2404</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214" t="s">
        <v>1985</v>
      </c>
      <c r="C490" s="9"/>
      <c r="D490" s="9"/>
      <c r="E490" s="9"/>
      <c r="F490" s="9"/>
      <c r="G490" s="9"/>
      <c r="H490" s="9"/>
      <c r="I490" s="9"/>
      <c r="J490" s="9"/>
      <c r="K490" s="9"/>
      <c r="L490" s="9"/>
      <c r="M490" s="9"/>
      <c r="N490" s="9"/>
      <c r="O490" s="9"/>
      <c r="P490" s="9"/>
      <c r="Q490" s="1129">
        <v>5</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214" t="s">
        <v>1986</v>
      </c>
      <c r="C491" s="9"/>
      <c r="D491" s="9"/>
      <c r="E491" s="9"/>
      <c r="F491" s="9"/>
      <c r="G491" s="9"/>
      <c r="H491" s="9"/>
      <c r="I491" s="9"/>
      <c r="J491" s="9"/>
      <c r="K491" s="9"/>
      <c r="L491" s="9"/>
      <c r="M491" s="1339">
        <v>5</v>
      </c>
      <c r="N491" s="1147"/>
      <c r="O491" s="1147"/>
      <c r="P491" s="1340"/>
      <c r="Q491" s="214" t="s">
        <v>1987</v>
      </c>
      <c r="R491" s="9"/>
      <c r="S491" s="9"/>
      <c r="T491" s="9"/>
      <c r="U491" s="9"/>
      <c r="V491" s="9"/>
      <c r="W491" s="9"/>
      <c r="X491" s="9"/>
      <c r="Y491" s="9"/>
      <c r="Z491" s="9"/>
      <c r="AA491" s="9"/>
      <c r="AB491" s="9"/>
      <c r="AC491" s="9"/>
      <c r="AD491" s="9"/>
      <c r="AE491" s="9"/>
      <c r="AF491" s="9"/>
      <c r="AG491" s="9"/>
      <c r="AH491" s="1339"/>
      <c r="AI491" s="1147"/>
      <c r="AJ491" s="1147"/>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4" t="s">
        <v>246</v>
      </c>
      <c r="AD495" s="1425"/>
      <c r="AE495" s="1425"/>
      <c r="AF495" s="1425"/>
      <c r="AG495" s="1425"/>
      <c r="AH495" s="1425"/>
      <c r="AI495" s="1425"/>
      <c r="AJ495" s="1425"/>
      <c r="AK495" s="142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4" t="s">
        <v>247</v>
      </c>
      <c r="AD496" s="1425"/>
      <c r="AE496" s="1425"/>
      <c r="AF496" s="1425"/>
      <c r="AG496" s="56" t="s">
        <v>248</v>
      </c>
      <c r="AH496" s="1425" t="s">
        <v>249</v>
      </c>
      <c r="AI496" s="1425"/>
      <c r="AJ496" s="1425"/>
      <c r="AK496" s="142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 customHeight="1">
      <c r="B497" s="1134" t="s">
        <v>250</v>
      </c>
      <c r="C497" s="1135"/>
      <c r="D497" s="1135"/>
      <c r="E497" s="1135"/>
      <c r="F497" s="1135"/>
      <c r="G497" s="1135"/>
      <c r="H497" s="1136"/>
      <c r="I497" s="7" t="s">
        <v>671</v>
      </c>
      <c r="J497" s="7"/>
      <c r="K497" s="7"/>
      <c r="L497" s="7"/>
      <c r="M497" s="7"/>
      <c r="N497" s="7"/>
      <c r="O497" s="7"/>
      <c r="P497" s="7"/>
      <c r="Q497" s="7"/>
      <c r="R497" s="7"/>
      <c r="S497" s="7"/>
      <c r="T497" s="7"/>
      <c r="U497" s="7"/>
      <c r="V497" s="7"/>
      <c r="W497" s="7"/>
      <c r="AC497" s="1119" t="s">
        <v>124</v>
      </c>
      <c r="AD497" s="1115"/>
      <c r="AE497" s="1115"/>
      <c r="AF497" s="1115"/>
      <c r="AG497" s="18" t="s">
        <v>248</v>
      </c>
      <c r="AH497" s="1145">
        <v>0</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 customHeight="1">
      <c r="B498" s="1137"/>
      <c r="C498" s="1138"/>
      <c r="D498" s="1138"/>
      <c r="E498" s="1138"/>
      <c r="F498" s="1138"/>
      <c r="G498" s="1138"/>
      <c r="H498" s="1139"/>
      <c r="I498" s="54" t="s">
        <v>672</v>
      </c>
      <c r="J498" s="54"/>
      <c r="K498" s="54"/>
      <c r="L498" s="54"/>
      <c r="M498" s="54"/>
      <c r="N498" s="54"/>
      <c r="O498" s="54"/>
      <c r="P498" s="54"/>
      <c r="Q498" s="54"/>
      <c r="R498" s="54"/>
      <c r="S498" s="54"/>
      <c r="T498" s="54"/>
      <c r="U498" s="54"/>
      <c r="V498" s="54"/>
      <c r="W498" s="54"/>
      <c r="X498" s="54"/>
      <c r="Y498" s="54"/>
      <c r="Z498" s="54"/>
      <c r="AA498" s="54"/>
      <c r="AB498" s="54"/>
      <c r="AC498" s="1119">
        <v>3</v>
      </c>
      <c r="AD498" s="1115"/>
      <c r="AE498" s="1115"/>
      <c r="AF498" s="1115"/>
      <c r="AG498" s="47" t="s">
        <v>248</v>
      </c>
      <c r="AH498" s="1145">
        <v>2024</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 customHeight="1">
      <c r="B499" s="1134" t="s">
        <v>673</v>
      </c>
      <c r="C499" s="1135"/>
      <c r="D499" s="1135"/>
      <c r="E499" s="1135"/>
      <c r="F499" s="1135"/>
      <c r="G499" s="1135"/>
      <c r="H499" s="1136"/>
      <c r="I499" s="7" t="s">
        <v>674</v>
      </c>
      <c r="J499" s="7"/>
      <c r="K499" s="7"/>
      <c r="L499" s="7"/>
      <c r="M499" s="7"/>
      <c r="N499" s="7"/>
      <c r="O499" s="7"/>
      <c r="P499" s="7"/>
      <c r="Q499" s="7"/>
      <c r="R499" s="7"/>
      <c r="S499" s="7"/>
      <c r="T499" s="7"/>
      <c r="U499" s="7"/>
      <c r="V499" s="7"/>
      <c r="W499" s="7"/>
      <c r="AC499" s="1119" t="s">
        <v>124</v>
      </c>
      <c r="AD499" s="1115"/>
      <c r="AE499" s="1115"/>
      <c r="AF499" s="1115"/>
      <c r="AG499" s="18" t="s">
        <v>248</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 customHeight="1">
      <c r="B500" s="1137"/>
      <c r="C500" s="1138"/>
      <c r="D500" s="1138"/>
      <c r="E500" s="1138"/>
      <c r="F500" s="1138"/>
      <c r="G500" s="1138"/>
      <c r="H500" s="1139"/>
      <c r="I500" t="s">
        <v>675</v>
      </c>
      <c r="AC500" s="1119" t="s">
        <v>124</v>
      </c>
      <c r="AD500" s="1115"/>
      <c r="AE500" s="1115"/>
      <c r="AF500" s="1115"/>
      <c r="AG500" s="18" t="s">
        <v>248</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 customHeight="1">
      <c r="B501" s="1137"/>
      <c r="C501" s="1138"/>
      <c r="D501" s="1138"/>
      <c r="E501" s="1138"/>
      <c r="F501" s="1138"/>
      <c r="G501" s="1138"/>
      <c r="H501" s="1139"/>
      <c r="I501" t="s">
        <v>676</v>
      </c>
      <c r="AC501" s="1119">
        <v>8</v>
      </c>
      <c r="AD501" s="1115"/>
      <c r="AE501" s="1115"/>
      <c r="AF501" s="1115"/>
      <c r="AG501" s="18" t="s">
        <v>248</v>
      </c>
      <c r="AH501" s="1145">
        <v>2023</v>
      </c>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 customHeight="1">
      <c r="B502" s="1137"/>
      <c r="C502" s="1138"/>
      <c r="D502" s="1138"/>
      <c r="E502" s="1138"/>
      <c r="F502" s="1138"/>
      <c r="G502" s="1138"/>
      <c r="H502" s="1139"/>
      <c r="I502" t="s">
        <v>677</v>
      </c>
      <c r="AC502" s="1119">
        <v>9</v>
      </c>
      <c r="AD502" s="1115"/>
      <c r="AE502" s="1115"/>
      <c r="AF502" s="1115"/>
      <c r="AG502" s="18" t="s">
        <v>248</v>
      </c>
      <c r="AH502" s="1145">
        <v>2024</v>
      </c>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 customHeight="1">
      <c r="B503" s="1137"/>
      <c r="C503" s="1138"/>
      <c r="D503" s="1138"/>
      <c r="E503" s="1138"/>
      <c r="F503" s="1138"/>
      <c r="G503" s="1138"/>
      <c r="H503" s="1139"/>
      <c r="I503" s="41" t="s">
        <v>678</v>
      </c>
      <c r="AC503" s="1079">
        <v>9</v>
      </c>
      <c r="AD503" s="1080"/>
      <c r="AE503" s="1080"/>
      <c r="AF503" s="1080"/>
      <c r="AG503" s="18" t="s">
        <v>248</v>
      </c>
      <c r="AH503" s="1145">
        <v>2024</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 customHeight="1">
      <c r="B504" s="1137"/>
      <c r="C504" s="1138"/>
      <c r="D504" s="1138"/>
      <c r="E504" s="1138"/>
      <c r="F504" s="1138"/>
      <c r="G504" s="1138"/>
      <c r="H504" s="1139"/>
      <c r="I504" s="410" t="s">
        <v>283</v>
      </c>
      <c r="J504" s="54"/>
      <c r="K504" s="54"/>
      <c r="L504" s="1151" t="s">
        <v>562</v>
      </c>
      <c r="M504" s="1131"/>
      <c r="N504" s="1131"/>
      <c r="O504" s="1131"/>
      <c r="P504" s="1131"/>
      <c r="Q504" s="1131"/>
      <c r="R504" s="1131"/>
      <c r="S504" s="1131"/>
      <c r="T504" s="1131"/>
      <c r="U504" s="1131"/>
      <c r="V504" s="1131"/>
      <c r="W504" s="1131"/>
      <c r="X504" s="1131"/>
      <c r="Y504" s="1131"/>
      <c r="Z504" s="1131"/>
      <c r="AA504" s="1131"/>
      <c r="AB504" s="1152"/>
      <c r="AC504" s="1431" t="s">
        <v>124</v>
      </c>
      <c r="AD504" s="1320"/>
      <c r="AE504" s="1320"/>
      <c r="AF504" s="1320"/>
      <c r="AG504" s="47" t="s">
        <v>248</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 customHeight="1">
      <c r="B505" s="1137"/>
      <c r="C505" s="1138"/>
      <c r="D505" s="1138"/>
      <c r="E505" s="1138"/>
      <c r="F505" s="1138"/>
      <c r="G505" s="1138"/>
      <c r="H505" s="1139"/>
      <c r="I505" s="41" t="s">
        <v>1988</v>
      </c>
      <c r="AC505" s="1428" t="s">
        <v>108</v>
      </c>
      <c r="AD505" s="1428"/>
      <c r="AE505" s="1428"/>
      <c r="AF505" s="1428"/>
      <c r="AG505" s="18"/>
      <c r="AH505" s="1429"/>
      <c r="AI505" s="1429"/>
      <c r="AJ505" s="1429"/>
      <c r="AK505" s="143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 customHeight="1">
      <c r="B506" s="1137"/>
      <c r="C506" s="1138"/>
      <c r="D506" s="1138"/>
      <c r="E506" s="1138"/>
      <c r="F506" s="1138"/>
      <c r="G506" s="1138"/>
      <c r="H506" s="1139"/>
      <c r="I506" t="s">
        <v>1989</v>
      </c>
      <c r="AC506" s="1079" t="s">
        <v>2352</v>
      </c>
      <c r="AD506" s="1080"/>
      <c r="AE506" s="1080"/>
      <c r="AF506" s="1081"/>
      <c r="AG506" s="18"/>
      <c r="AH506" s="1429"/>
      <c r="AI506" s="1429"/>
      <c r="AJ506" s="1429"/>
      <c r="AK506" s="143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 customHeight="1">
      <c r="B507" s="1137"/>
      <c r="C507" s="1138"/>
      <c r="D507" s="1138"/>
      <c r="E507" s="1138"/>
      <c r="F507" s="1138"/>
      <c r="G507" s="1138"/>
      <c r="H507" s="1139"/>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 customHeight="1">
      <c r="B508" s="1137"/>
      <c r="C508" s="1138"/>
      <c r="D508" s="1138"/>
      <c r="E508" s="1138"/>
      <c r="F508" s="1138"/>
      <c r="G508" s="1138"/>
      <c r="H508" s="1139"/>
      <c r="I508" s="838" t="s">
        <v>1991</v>
      </c>
      <c r="J508" s="54"/>
      <c r="K508" s="54"/>
      <c r="L508" s="54"/>
      <c r="M508" s="54"/>
      <c r="N508" s="54"/>
      <c r="O508" s="54"/>
      <c r="P508" s="54"/>
      <c r="Q508" s="54"/>
      <c r="R508" s="54"/>
      <c r="S508" s="54"/>
      <c r="T508" s="54"/>
      <c r="U508" s="54"/>
      <c r="V508" s="54"/>
      <c r="W508" s="54"/>
      <c r="X508" s="54"/>
      <c r="Y508" s="54"/>
      <c r="Z508" s="54"/>
      <c r="AA508" s="54"/>
      <c r="AB508" s="54"/>
      <c r="AC508" s="1485">
        <v>0.5</v>
      </c>
      <c r="AD508" s="1486"/>
      <c r="AE508" s="1486"/>
      <c r="AF508" s="1487"/>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 customHeight="1">
      <c r="B509" s="1134" t="s">
        <v>679</v>
      </c>
      <c r="C509" s="1135"/>
      <c r="D509" s="1135"/>
      <c r="E509" s="1135"/>
      <c r="F509" s="1135"/>
      <c r="G509" s="1135"/>
      <c r="H509" s="1136"/>
      <c r="I509" s="7" t="s">
        <v>680</v>
      </c>
      <c r="J509" s="7"/>
      <c r="K509" s="7"/>
      <c r="L509" s="7"/>
      <c r="M509" s="7"/>
      <c r="N509" s="7"/>
      <c r="O509" s="7"/>
      <c r="P509" s="7"/>
      <c r="Q509" s="7"/>
      <c r="R509" s="7"/>
      <c r="S509" s="7"/>
      <c r="T509" s="7"/>
      <c r="U509" s="7"/>
      <c r="V509" s="7"/>
      <c r="W509" s="7"/>
      <c r="AC509" s="1119">
        <v>12</v>
      </c>
      <c r="AD509" s="1115"/>
      <c r="AE509" s="1115"/>
      <c r="AF509" s="1115"/>
      <c r="AG509" s="18" t="s">
        <v>248</v>
      </c>
      <c r="AH509" s="1145">
        <v>2023</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 customHeight="1">
      <c r="B510" s="1137"/>
      <c r="C510" s="1138"/>
      <c r="D510" s="1138"/>
      <c r="E510" s="1138"/>
      <c r="F510" s="1138"/>
      <c r="G510" s="1138"/>
      <c r="H510" s="1139"/>
      <c r="I510" t="s">
        <v>681</v>
      </c>
      <c r="AC510" s="1119">
        <v>2</v>
      </c>
      <c r="AD510" s="1115"/>
      <c r="AE510" s="1115"/>
      <c r="AF510" s="1115"/>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 customHeight="1">
      <c r="B511" s="1137"/>
      <c r="C511" s="1138"/>
      <c r="D511" s="1138"/>
      <c r="E511" s="1138"/>
      <c r="F511" s="1138"/>
      <c r="G511" s="1138"/>
      <c r="H511" s="1139"/>
      <c r="I511" s="54" t="s">
        <v>682</v>
      </c>
      <c r="J511" s="54"/>
      <c r="K511" s="54"/>
      <c r="L511" s="54"/>
      <c r="M511" s="54"/>
      <c r="N511" s="54"/>
      <c r="O511" s="54"/>
      <c r="P511" s="54"/>
      <c r="Q511" s="54"/>
      <c r="R511" s="54"/>
      <c r="S511" s="54"/>
      <c r="T511" s="54"/>
      <c r="U511" s="54"/>
      <c r="V511" s="54"/>
      <c r="W511" s="54"/>
      <c r="X511" s="54"/>
      <c r="Y511" s="54"/>
      <c r="Z511" s="54"/>
      <c r="AA511" s="54"/>
      <c r="AB511" s="54"/>
      <c r="AC511" s="1119">
        <v>12</v>
      </c>
      <c r="AD511" s="1115"/>
      <c r="AE511" s="1115"/>
      <c r="AF511" s="1115"/>
      <c r="AG511" s="47" t="s">
        <v>248</v>
      </c>
      <c r="AH511" s="1145">
        <v>2024</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 customHeight="1">
      <c r="B512" s="1134" t="s">
        <v>683</v>
      </c>
      <c r="C512" s="1135"/>
      <c r="D512" s="1135"/>
      <c r="E512" s="1135"/>
      <c r="F512" s="1135"/>
      <c r="G512" s="1135"/>
      <c r="H512" s="1136"/>
      <c r="I512" s="7" t="s">
        <v>680</v>
      </c>
      <c r="J512" s="7"/>
      <c r="K512" s="7"/>
      <c r="L512" s="7"/>
      <c r="M512" s="7"/>
      <c r="N512" s="7"/>
      <c r="O512" s="7"/>
      <c r="P512" s="7"/>
      <c r="Q512" s="7"/>
      <c r="R512" s="7"/>
      <c r="S512" s="7"/>
      <c r="T512" s="7"/>
      <c r="U512" s="7"/>
      <c r="V512" s="7"/>
      <c r="W512" s="7"/>
      <c r="X512" s="7"/>
      <c r="Y512" s="7"/>
      <c r="Z512" s="7"/>
      <c r="AA512" s="7"/>
      <c r="AB512" s="7"/>
      <c r="AC512" s="1310">
        <v>12</v>
      </c>
      <c r="AD512" s="1311"/>
      <c r="AE512" s="1311"/>
      <c r="AF512" s="1311"/>
      <c r="AG512" s="230" t="s">
        <v>248</v>
      </c>
      <c r="AH512" s="1145">
        <v>2023</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137"/>
      <c r="C513" s="1138"/>
      <c r="D513" s="1138"/>
      <c r="E513" s="1138"/>
      <c r="F513" s="1138"/>
      <c r="G513" s="1138"/>
      <c r="H513" s="1139"/>
      <c r="I513" t="s">
        <v>681</v>
      </c>
      <c r="AC513" s="1119">
        <v>2</v>
      </c>
      <c r="AD513" s="1115"/>
      <c r="AE513" s="1115"/>
      <c r="AF513" s="1115"/>
      <c r="AG513" s="18" t="s">
        <v>248</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140"/>
      <c r="C514" s="1141"/>
      <c r="D514" s="1141"/>
      <c r="E514" s="1141"/>
      <c r="F514" s="1141"/>
      <c r="G514" s="1141"/>
      <c r="H514" s="1142"/>
      <c r="I514" s="54" t="s">
        <v>682</v>
      </c>
      <c r="J514" s="54"/>
      <c r="K514" s="54"/>
      <c r="L514" s="54"/>
      <c r="M514" s="54"/>
      <c r="N514" s="54"/>
      <c r="O514" s="54"/>
      <c r="P514" s="54"/>
      <c r="Q514" s="54"/>
      <c r="R514" s="54"/>
      <c r="S514" s="54"/>
      <c r="T514" s="54"/>
      <c r="U514" s="54"/>
      <c r="V514" s="54"/>
      <c r="W514" s="54"/>
      <c r="X514" s="54"/>
      <c r="Y514" s="54"/>
      <c r="Z514" s="54"/>
      <c r="AA514" s="54"/>
      <c r="AB514" s="54"/>
      <c r="AC514" s="1119">
        <v>6</v>
      </c>
      <c r="AD514" s="1115"/>
      <c r="AE514" s="1115"/>
      <c r="AF514" s="1115"/>
      <c r="AG514" s="47" t="s">
        <v>248</v>
      </c>
      <c r="AH514" s="1145">
        <v>2027</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134" t="s">
        <v>684</v>
      </c>
      <c r="C515" s="1135"/>
      <c r="D515" s="1135"/>
      <c r="E515" s="1135"/>
      <c r="F515" s="1135"/>
      <c r="G515" s="1135"/>
      <c r="H515" s="1136"/>
      <c r="I515" s="6" t="s">
        <v>685</v>
      </c>
      <c r="J515" s="7"/>
      <c r="K515" s="7"/>
      <c r="L515" s="7"/>
      <c r="M515" s="7"/>
      <c r="N515" s="7"/>
      <c r="O515" s="1151" t="s">
        <v>2405</v>
      </c>
      <c r="P515" s="1131"/>
      <c r="Q515" s="1131"/>
      <c r="R515" s="1131"/>
      <c r="S515" s="1131"/>
      <c r="T515" s="1131"/>
      <c r="U515" s="1131"/>
      <c r="V515" s="1131"/>
      <c r="W515" s="1131"/>
      <c r="X515" s="1131"/>
      <c r="Y515" s="1131"/>
      <c r="Z515" s="1131"/>
      <c r="AA515" s="1131"/>
      <c r="AB515" s="64"/>
      <c r="AC515" s="1310" t="s">
        <v>124</v>
      </c>
      <c r="AD515" s="1311"/>
      <c r="AE515" s="1311"/>
      <c r="AF515" s="1311"/>
      <c r="AG515" s="230" t="s">
        <v>248</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137"/>
      <c r="C516" s="1138"/>
      <c r="D516" s="1138"/>
      <c r="E516" s="1138"/>
      <c r="F516" s="1138"/>
      <c r="G516" s="1138"/>
      <c r="H516" s="1139"/>
      <c r="I516" s="204" t="s">
        <v>686</v>
      </c>
      <c r="AB516" s="71"/>
      <c r="AC516" s="1119">
        <v>12</v>
      </c>
      <c r="AD516" s="1115"/>
      <c r="AE516" s="1115"/>
      <c r="AF516" s="1115"/>
      <c r="AG516" s="18" t="s">
        <v>248</v>
      </c>
      <c r="AH516" s="1145">
        <v>2022</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137"/>
      <c r="C517" s="1138"/>
      <c r="D517" s="1138"/>
      <c r="E517" s="1138"/>
      <c r="F517" s="1138"/>
      <c r="G517" s="1138"/>
      <c r="H517" s="1139"/>
      <c r="I517" s="53" t="s">
        <v>687</v>
      </c>
      <c r="J517" s="54"/>
      <c r="K517" s="54"/>
      <c r="L517" s="54"/>
      <c r="M517" s="54"/>
      <c r="N517" s="54"/>
      <c r="O517" s="54"/>
      <c r="P517" s="54"/>
      <c r="Q517" s="54"/>
      <c r="R517" s="54"/>
      <c r="S517" s="54"/>
      <c r="T517" s="54"/>
      <c r="U517" s="54"/>
      <c r="V517" s="54"/>
      <c r="W517" s="54"/>
      <c r="X517" s="54"/>
      <c r="Y517" s="54"/>
      <c r="Z517" s="54"/>
      <c r="AA517" s="54"/>
      <c r="AB517" s="55"/>
      <c r="AC517" s="1119">
        <v>12</v>
      </c>
      <c r="AD517" s="1115"/>
      <c r="AE517" s="1115"/>
      <c r="AF517" s="1115"/>
      <c r="AG517" s="47" t="s">
        <v>248</v>
      </c>
      <c r="AH517" s="1145">
        <v>2024</v>
      </c>
      <c r="AI517" s="1145"/>
      <c r="AJ517" s="1145"/>
      <c r="AK517" s="1146"/>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137"/>
      <c r="C518" s="1138"/>
      <c r="D518" s="1138"/>
      <c r="E518" s="1138"/>
      <c r="F518" s="1138"/>
      <c r="G518" s="1138"/>
      <c r="H518" s="1139"/>
      <c r="I518" s="7" t="s">
        <v>688</v>
      </c>
      <c r="J518" s="7"/>
      <c r="K518" s="7"/>
      <c r="L518" s="7"/>
      <c r="M518" s="7"/>
      <c r="N518" s="7"/>
      <c r="O518" s="1151" t="s">
        <v>2406</v>
      </c>
      <c r="P518" s="1131"/>
      <c r="Q518" s="1131"/>
      <c r="R518" s="1131"/>
      <c r="S518" s="1131"/>
      <c r="T518" s="1131"/>
      <c r="U518" s="1131"/>
      <c r="V518" s="1131"/>
      <c r="W518" s="1131"/>
      <c r="X518" s="1131"/>
      <c r="Y518" s="1131"/>
      <c r="Z518" s="1131"/>
      <c r="AA518" s="1131"/>
      <c r="AC518" s="1119" t="s">
        <v>124</v>
      </c>
      <c r="AD518" s="1115"/>
      <c r="AE518" s="1115"/>
      <c r="AF518" s="1115"/>
      <c r="AG518" s="18" t="s">
        <v>248</v>
      </c>
      <c r="AH518" s="1145"/>
      <c r="AI518" s="1145"/>
      <c r="AJ518" s="1145"/>
      <c r="AK518" s="1146"/>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137"/>
      <c r="C519" s="1138"/>
      <c r="D519" s="1138"/>
      <c r="E519" s="1138"/>
      <c r="F519" s="1138"/>
      <c r="G519" s="1138"/>
      <c r="H519" s="1139"/>
      <c r="I519" t="s">
        <v>686</v>
      </c>
      <c r="AC519" s="1119">
        <v>7</v>
      </c>
      <c r="AD519" s="1115"/>
      <c r="AE519" s="1115"/>
      <c r="AF519" s="1115"/>
      <c r="AG519" s="18" t="s">
        <v>248</v>
      </c>
      <c r="AH519" s="1145">
        <v>2023</v>
      </c>
      <c r="AI519" s="1145"/>
      <c r="AJ519" s="1145"/>
      <c r="AK519" s="1146"/>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137"/>
      <c r="C520" s="1138"/>
      <c r="D520" s="1138"/>
      <c r="E520" s="1138"/>
      <c r="F520" s="1138"/>
      <c r="G520" s="1138"/>
      <c r="H520" s="1139"/>
      <c r="I520" s="54" t="s">
        <v>687</v>
      </c>
      <c r="J520" s="54"/>
      <c r="K520" s="54"/>
      <c r="L520" s="54"/>
      <c r="M520" s="54"/>
      <c r="N520" s="54"/>
      <c r="O520" s="54"/>
      <c r="P520" s="54"/>
      <c r="Q520" s="54"/>
      <c r="R520" s="54"/>
      <c r="S520" s="54"/>
      <c r="T520" s="54"/>
      <c r="U520" s="54"/>
      <c r="V520" s="54"/>
      <c r="W520" s="54"/>
      <c r="X520" s="54"/>
      <c r="Y520" s="54"/>
      <c r="Z520" s="54"/>
      <c r="AA520" s="54"/>
      <c r="AB520" s="54"/>
      <c r="AC520" s="1119">
        <v>2</v>
      </c>
      <c r="AD520" s="1115"/>
      <c r="AE520" s="1115"/>
      <c r="AF520" s="1115"/>
      <c r="AG520" s="47" t="s">
        <v>248</v>
      </c>
      <c r="AH520" s="1145">
        <v>2024</v>
      </c>
      <c r="AI520" s="1145"/>
      <c r="AJ520" s="1145"/>
      <c r="AK520" s="1146"/>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137"/>
      <c r="C521" s="1138"/>
      <c r="D521" s="1138"/>
      <c r="E521" s="1138"/>
      <c r="F521" s="1138"/>
      <c r="G521" s="1138"/>
      <c r="H521" s="1139"/>
      <c r="I521" s="7" t="s">
        <v>688</v>
      </c>
      <c r="J521" s="7"/>
      <c r="K521" s="7"/>
      <c r="L521" s="7"/>
      <c r="M521" s="7"/>
      <c r="N521" s="7"/>
      <c r="O521" s="1151" t="s">
        <v>2407</v>
      </c>
      <c r="P521" s="1131"/>
      <c r="Q521" s="1131"/>
      <c r="R521" s="1131"/>
      <c r="S521" s="1131"/>
      <c r="T521" s="1131"/>
      <c r="U521" s="1131"/>
      <c r="V521" s="1131"/>
      <c r="W521" s="1131"/>
      <c r="X521" s="1131"/>
      <c r="Y521" s="1131"/>
      <c r="Z521" s="1131"/>
      <c r="AA521" s="1131"/>
      <c r="AC521" s="1119" t="s">
        <v>124</v>
      </c>
      <c r="AD521" s="1115"/>
      <c r="AE521" s="1115"/>
      <c r="AF521" s="1115"/>
      <c r="AG521" s="18" t="s">
        <v>248</v>
      </c>
      <c r="AH521" s="1145"/>
      <c r="AI521" s="1145"/>
      <c r="AJ521" s="1145"/>
      <c r="AK521" s="1146"/>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137"/>
      <c r="C522" s="1138"/>
      <c r="D522" s="1138"/>
      <c r="E522" s="1138"/>
      <c r="F522" s="1138"/>
      <c r="G522" s="1138"/>
      <c r="H522" s="1139"/>
      <c r="I522" t="s">
        <v>686</v>
      </c>
      <c r="AC522" s="1119">
        <v>12</v>
      </c>
      <c r="AD522" s="1115"/>
      <c r="AE522" s="1115"/>
      <c r="AF522" s="1115"/>
      <c r="AG522" s="18" t="s">
        <v>248</v>
      </c>
      <c r="AH522" s="1145">
        <v>2022</v>
      </c>
      <c r="AI522" s="1145"/>
      <c r="AJ522" s="1145"/>
      <c r="AK522" s="1146"/>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137"/>
      <c r="C523" s="1138"/>
      <c r="D523" s="1138"/>
      <c r="E523" s="1138"/>
      <c r="F523" s="1138"/>
      <c r="G523" s="1138"/>
      <c r="H523" s="1139"/>
      <c r="I523" s="54" t="s">
        <v>687</v>
      </c>
      <c r="J523" s="54"/>
      <c r="K523" s="54"/>
      <c r="L523" s="54"/>
      <c r="M523" s="54"/>
      <c r="N523" s="54"/>
      <c r="O523" s="54"/>
      <c r="P523" s="54"/>
      <c r="Q523" s="54"/>
      <c r="R523" s="54"/>
      <c r="S523" s="54"/>
      <c r="T523" s="54"/>
      <c r="U523" s="54"/>
      <c r="V523" s="54"/>
      <c r="W523" s="54"/>
      <c r="X523" s="54"/>
      <c r="Y523" s="54"/>
      <c r="Z523" s="54"/>
      <c r="AA523" s="54"/>
      <c r="AB523" s="54"/>
      <c r="AC523" s="1119">
        <v>4</v>
      </c>
      <c r="AD523" s="1115"/>
      <c r="AE523" s="1115"/>
      <c r="AF523" s="1115"/>
      <c r="AG523" s="47" t="s">
        <v>248</v>
      </c>
      <c r="AH523" s="1145">
        <v>2023</v>
      </c>
      <c r="AI523" s="1145"/>
      <c r="AJ523" s="1145"/>
      <c r="AK523" s="1146"/>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137"/>
      <c r="C524" s="1138"/>
      <c r="D524" s="1138"/>
      <c r="E524" s="1138"/>
      <c r="F524" s="1138"/>
      <c r="G524" s="1138"/>
      <c r="H524" s="1139"/>
      <c r="I524" s="7" t="s">
        <v>688</v>
      </c>
      <c r="J524" s="7"/>
      <c r="K524" s="7"/>
      <c r="L524" s="7"/>
      <c r="M524" s="7"/>
      <c r="N524" s="7"/>
      <c r="O524" s="1151" t="s">
        <v>562</v>
      </c>
      <c r="P524" s="1131"/>
      <c r="Q524" s="1131"/>
      <c r="R524" s="1131"/>
      <c r="S524" s="1131"/>
      <c r="T524" s="1131"/>
      <c r="U524" s="1131"/>
      <c r="V524" s="1131"/>
      <c r="W524" s="1131"/>
      <c r="X524" s="1131"/>
      <c r="Y524" s="1131"/>
      <c r="Z524" s="1131"/>
      <c r="AA524" s="1131"/>
      <c r="AC524" s="1119" t="s">
        <v>124</v>
      </c>
      <c r="AD524" s="1115"/>
      <c r="AE524" s="1115"/>
      <c r="AF524" s="1115"/>
      <c r="AG524" s="18" t="s">
        <v>248</v>
      </c>
      <c r="AH524" s="1145"/>
      <c r="AI524" s="1145"/>
      <c r="AJ524" s="1145"/>
      <c r="AK524" s="1146"/>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137"/>
      <c r="C525" s="1138"/>
      <c r="D525" s="1138"/>
      <c r="E525" s="1138"/>
      <c r="F525" s="1138"/>
      <c r="G525" s="1138"/>
      <c r="H525" s="1139"/>
      <c r="I525" t="s">
        <v>686</v>
      </c>
      <c r="AC525" s="1119" t="s">
        <v>124</v>
      </c>
      <c r="AD525" s="1115"/>
      <c r="AE525" s="1115"/>
      <c r="AF525" s="1115"/>
      <c r="AG525" s="18" t="s">
        <v>248</v>
      </c>
      <c r="AH525" s="1145"/>
      <c r="AI525" s="1145"/>
      <c r="AJ525" s="1145"/>
      <c r="AK525" s="1146"/>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137"/>
      <c r="C526" s="1138"/>
      <c r="D526" s="1138"/>
      <c r="E526" s="1138"/>
      <c r="F526" s="1138"/>
      <c r="G526" s="1138"/>
      <c r="H526" s="1139"/>
      <c r="I526" s="54" t="s">
        <v>687</v>
      </c>
      <c r="J526" s="54"/>
      <c r="K526" s="54"/>
      <c r="L526" s="54"/>
      <c r="M526" s="54"/>
      <c r="N526" s="54"/>
      <c r="O526" s="54"/>
      <c r="P526" s="54"/>
      <c r="Q526" s="54"/>
      <c r="R526" s="54"/>
      <c r="S526" s="54"/>
      <c r="T526" s="54"/>
      <c r="U526" s="54"/>
      <c r="V526" s="54"/>
      <c r="W526" s="54"/>
      <c r="X526" s="54"/>
      <c r="Y526" s="54"/>
      <c r="Z526" s="54"/>
      <c r="AA526" s="54"/>
      <c r="AB526" s="54"/>
      <c r="AC526" s="1119" t="s">
        <v>124</v>
      </c>
      <c r="AD526" s="1115"/>
      <c r="AE526" s="1115"/>
      <c r="AF526" s="1115"/>
      <c r="AG526" s="47" t="s">
        <v>248</v>
      </c>
      <c r="AH526" s="1145"/>
      <c r="AI526" s="1145"/>
      <c r="AJ526" s="1145"/>
      <c r="AK526" s="1146"/>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137"/>
      <c r="C527" s="1138"/>
      <c r="D527" s="1138"/>
      <c r="E527" s="1138"/>
      <c r="F527" s="1138"/>
      <c r="G527" s="1138"/>
      <c r="H527" s="1139"/>
      <c r="I527" s="7" t="s">
        <v>688</v>
      </c>
      <c r="J527" s="7"/>
      <c r="K527" s="7"/>
      <c r="L527" s="7"/>
      <c r="M527" s="7"/>
      <c r="N527" s="7"/>
      <c r="O527" s="1151" t="s">
        <v>562</v>
      </c>
      <c r="P527" s="1131"/>
      <c r="Q527" s="1131"/>
      <c r="R527" s="1131"/>
      <c r="S527" s="1131"/>
      <c r="T527" s="1131"/>
      <c r="U527" s="1131"/>
      <c r="V527" s="1131"/>
      <c r="W527" s="1131"/>
      <c r="X527" s="1131"/>
      <c r="Y527" s="1131"/>
      <c r="Z527" s="1131"/>
      <c r="AA527" s="1131"/>
      <c r="AC527" s="1119" t="s">
        <v>124</v>
      </c>
      <c r="AD527" s="1115"/>
      <c r="AE527" s="1115"/>
      <c r="AF527" s="1115"/>
      <c r="AG527" s="18" t="s">
        <v>248</v>
      </c>
      <c r="AH527" s="1145"/>
      <c r="AI527" s="1145"/>
      <c r="AJ527" s="1145"/>
      <c r="AK527" s="1146"/>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137"/>
      <c r="C528" s="1138"/>
      <c r="D528" s="1138"/>
      <c r="E528" s="1138"/>
      <c r="F528" s="1138"/>
      <c r="G528" s="1138"/>
      <c r="H528" s="1139"/>
      <c r="I528" t="s">
        <v>686</v>
      </c>
      <c r="AC528" s="1119" t="s">
        <v>124</v>
      </c>
      <c r="AD528" s="1115"/>
      <c r="AE528" s="1115"/>
      <c r="AF528" s="1115"/>
      <c r="AG528" s="47" t="s">
        <v>248</v>
      </c>
      <c r="AH528" s="1145"/>
      <c r="AI528" s="1145"/>
      <c r="AJ528" s="1145"/>
      <c r="AK528" s="1146"/>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 customHeight="1">
      <c r="B529" s="1137"/>
      <c r="C529" s="1138"/>
      <c r="D529" s="1138"/>
      <c r="E529" s="1138"/>
      <c r="F529" s="1138"/>
      <c r="G529" s="1138"/>
      <c r="H529" s="1139"/>
      <c r="I529" s="54" t="s">
        <v>687</v>
      </c>
      <c r="J529" s="54"/>
      <c r="K529" s="54"/>
      <c r="L529" s="54"/>
      <c r="M529" s="54"/>
      <c r="N529" s="54"/>
      <c r="O529" s="54"/>
      <c r="P529" s="54"/>
      <c r="Q529" s="54"/>
      <c r="R529" s="54"/>
      <c r="S529" s="54"/>
      <c r="T529" s="54"/>
      <c r="U529" s="54"/>
      <c r="V529" s="54"/>
      <c r="W529" s="54"/>
      <c r="X529" s="54"/>
      <c r="Y529" s="54"/>
      <c r="Z529" s="54"/>
      <c r="AA529" s="54"/>
      <c r="AB529" s="54"/>
      <c r="AC529" s="1119" t="s">
        <v>124</v>
      </c>
      <c r="AD529" s="1115"/>
      <c r="AE529" s="1115"/>
      <c r="AF529" s="1115"/>
      <c r="AG529" s="18" t="s">
        <v>248</v>
      </c>
      <c r="AH529" s="1145"/>
      <c r="AI529" s="1145"/>
      <c r="AJ529" s="1145"/>
      <c r="AK529" s="1146"/>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2" customHeight="1">
      <c r="B530" s="1137"/>
      <c r="C530" s="1138"/>
      <c r="D530" s="1138"/>
      <c r="E530" s="1138"/>
      <c r="F530" s="1138"/>
      <c r="G530" s="1138"/>
      <c r="H530" s="1139"/>
      <c r="I530" s="7" t="s">
        <v>688</v>
      </c>
      <c r="J530" s="7"/>
      <c r="K530" s="7"/>
      <c r="L530" s="7"/>
      <c r="M530" s="7"/>
      <c r="N530" s="7"/>
      <c r="O530" s="1151" t="s">
        <v>562</v>
      </c>
      <c r="P530" s="1131"/>
      <c r="Q530" s="1131"/>
      <c r="R530" s="1131"/>
      <c r="S530" s="1131"/>
      <c r="T530" s="1131"/>
      <c r="U530" s="1131"/>
      <c r="V530" s="1131"/>
      <c r="W530" s="1131"/>
      <c r="X530" s="1131"/>
      <c r="Y530" s="1131"/>
      <c r="Z530" s="1131"/>
      <c r="AA530" s="1131"/>
      <c r="AC530" s="1119" t="s">
        <v>124</v>
      </c>
      <c r="AD530" s="1115"/>
      <c r="AE530" s="1115"/>
      <c r="AF530" s="1115"/>
      <c r="AG530" s="47" t="s">
        <v>248</v>
      </c>
      <c r="AH530" s="1145"/>
      <c r="AI530" s="1145"/>
      <c r="AJ530" s="1145"/>
      <c r="AK530" s="1146"/>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2" customHeight="1">
      <c r="B531" s="1137"/>
      <c r="C531" s="1138"/>
      <c r="D531" s="1138"/>
      <c r="E531" s="1138"/>
      <c r="F531" s="1138"/>
      <c r="G531" s="1138"/>
      <c r="H531" s="1139"/>
      <c r="I531" t="s">
        <v>686</v>
      </c>
      <c r="AC531" s="1119" t="s">
        <v>124</v>
      </c>
      <c r="AD531" s="1115"/>
      <c r="AE531" s="1115"/>
      <c r="AF531" s="1115"/>
      <c r="AG531" s="18" t="s">
        <v>248</v>
      </c>
      <c r="AH531" s="1145"/>
      <c r="AI531" s="1145"/>
      <c r="AJ531" s="1145"/>
      <c r="AK531" s="1146"/>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2" customHeight="1">
      <c r="B532" s="1137"/>
      <c r="C532" s="1138"/>
      <c r="D532" s="1138"/>
      <c r="E532" s="1138"/>
      <c r="F532" s="1138"/>
      <c r="G532" s="1138"/>
      <c r="H532" s="1139"/>
      <c r="I532" s="54" t="s">
        <v>687</v>
      </c>
      <c r="J532" s="54"/>
      <c r="K532" s="54"/>
      <c r="L532" s="54"/>
      <c r="M532" s="54"/>
      <c r="N532" s="54"/>
      <c r="O532" s="54"/>
      <c r="P532" s="54"/>
      <c r="Q532" s="54"/>
      <c r="R532" s="54"/>
      <c r="S532" s="54"/>
      <c r="T532" s="54"/>
      <c r="U532" s="54"/>
      <c r="V532" s="54"/>
      <c r="W532" s="54"/>
      <c r="X532" s="54"/>
      <c r="Y532" s="54"/>
      <c r="Z532" s="54"/>
      <c r="AA532" s="54"/>
      <c r="AB532" s="54"/>
      <c r="AC532" s="1119" t="s">
        <v>124</v>
      </c>
      <c r="AD532" s="1115"/>
      <c r="AE532" s="1115"/>
      <c r="AF532" s="1115"/>
      <c r="AG532" s="47" t="s">
        <v>248</v>
      </c>
      <c r="AH532" s="1145"/>
      <c r="AI532" s="1145"/>
      <c r="AJ532" s="1145"/>
      <c r="AK532" s="1146"/>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 customHeight="1">
      <c r="B533" s="1137"/>
      <c r="C533" s="1138"/>
      <c r="D533" s="1138"/>
      <c r="E533" s="1138"/>
      <c r="F533" s="1138"/>
      <c r="G533" s="1138"/>
      <c r="H533" s="1139"/>
      <c r="I533" s="7" t="s">
        <v>735</v>
      </c>
      <c r="J533" s="7"/>
      <c r="K533" s="7"/>
      <c r="L533" s="7"/>
      <c r="M533" s="7"/>
      <c r="N533" s="7"/>
      <c r="O533" s="7"/>
      <c r="P533" s="7"/>
      <c r="Q533" s="7"/>
      <c r="R533" s="7"/>
      <c r="S533" s="7"/>
      <c r="T533" s="7"/>
      <c r="U533" s="7"/>
      <c r="V533" s="7"/>
      <c r="W533" s="7"/>
      <c r="AC533" s="1119">
        <v>1</v>
      </c>
      <c r="AD533" s="1115"/>
      <c r="AE533" s="1115"/>
      <c r="AF533" s="1115"/>
      <c r="AG533" s="47" t="s">
        <v>248</v>
      </c>
      <c r="AH533" s="1145">
        <v>2025</v>
      </c>
      <c r="AI533" s="1145"/>
      <c r="AJ533" s="1145"/>
      <c r="AK533" s="1146"/>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 customHeight="1">
      <c r="B534" s="1137"/>
      <c r="C534" s="1138"/>
      <c r="D534" s="1138"/>
      <c r="E534" s="1138"/>
      <c r="F534" s="1138"/>
      <c r="G534" s="1138"/>
      <c r="H534" s="1139"/>
      <c r="I534" t="s">
        <v>736</v>
      </c>
      <c r="AC534" s="1119">
        <v>11</v>
      </c>
      <c r="AD534" s="1115"/>
      <c r="AE534" s="1115"/>
      <c r="AF534" s="1115"/>
      <c r="AG534" s="18" t="s">
        <v>248</v>
      </c>
      <c r="AH534" s="1145">
        <v>2024</v>
      </c>
      <c r="AI534" s="1145"/>
      <c r="AJ534" s="1145"/>
      <c r="AK534" s="1146"/>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 customHeight="1">
      <c r="B535" s="1137"/>
      <c r="C535" s="1138"/>
      <c r="D535" s="1138"/>
      <c r="E535" s="1138"/>
      <c r="F535" s="1138"/>
      <c r="G535" s="1138"/>
      <c r="H535" s="1139"/>
      <c r="I535" t="s">
        <v>737</v>
      </c>
      <c r="AC535" s="1119">
        <v>8</v>
      </c>
      <c r="AD535" s="1115"/>
      <c r="AE535" s="1115"/>
      <c r="AF535" s="1115"/>
      <c r="AG535" s="47" t="s">
        <v>248</v>
      </c>
      <c r="AH535" s="1145">
        <v>2026</v>
      </c>
      <c r="AI535" s="1145"/>
      <c r="AJ535" s="1145"/>
      <c r="AK535" s="1146"/>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 customHeight="1">
      <c r="B536" s="1137"/>
      <c r="C536" s="1138"/>
      <c r="D536" s="1138"/>
      <c r="E536" s="1138"/>
      <c r="F536" s="1138"/>
      <c r="G536" s="1138"/>
      <c r="H536" s="1139"/>
      <c r="I536" t="s">
        <v>738</v>
      </c>
      <c r="AC536" s="1119">
        <v>8</v>
      </c>
      <c r="AD536" s="1115"/>
      <c r="AE536" s="1115"/>
      <c r="AF536" s="1115"/>
      <c r="AG536" s="47" t="s">
        <v>248</v>
      </c>
      <c r="AH536" s="1145">
        <v>2026</v>
      </c>
      <c r="AI536" s="1145"/>
      <c r="AJ536" s="1145"/>
      <c r="AK536" s="1146"/>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 customHeight="1">
      <c r="B537" s="1140"/>
      <c r="C537" s="1141"/>
      <c r="D537" s="1141"/>
      <c r="E537" s="1141"/>
      <c r="F537" s="1141"/>
      <c r="G537" s="1141"/>
      <c r="H537" s="1142"/>
      <c r="I537" s="54" t="s">
        <v>1365</v>
      </c>
      <c r="J537" s="54"/>
      <c r="K537" s="54"/>
      <c r="L537" s="54"/>
      <c r="M537" s="54"/>
      <c r="N537" s="54"/>
      <c r="O537" s="54"/>
      <c r="P537" s="54"/>
      <c r="Q537" s="54"/>
      <c r="R537" s="54"/>
      <c r="S537" s="54"/>
      <c r="T537" s="54"/>
      <c r="U537" s="54"/>
      <c r="V537" s="54"/>
      <c r="W537" s="54"/>
      <c r="X537" s="54"/>
      <c r="Y537" s="54"/>
      <c r="Z537" s="54"/>
      <c r="AA537" s="54"/>
      <c r="AB537" s="54"/>
      <c r="AC537" s="1119">
        <v>3</v>
      </c>
      <c r="AD537" s="1115"/>
      <c r="AE537" s="1115"/>
      <c r="AF537" s="1115"/>
      <c r="AG537" s="47" t="s">
        <v>248</v>
      </c>
      <c r="AH537" s="1145">
        <v>2027</v>
      </c>
      <c r="AI537" s="1145"/>
      <c r="AJ537" s="1145"/>
      <c r="AK537" s="1146"/>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 customHeight="1">
      <c r="A539" s="968" t="s">
        <v>499</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2"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2"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2"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2" customHeight="1">
      <c r="B546" s="1134" t="s">
        <v>2197</v>
      </c>
      <c r="C546" s="1135"/>
      <c r="D546" s="1135"/>
      <c r="E546" s="1135"/>
      <c r="F546" s="1135"/>
      <c r="G546" s="1135"/>
      <c r="H546" s="1135"/>
      <c r="I546" s="1135"/>
      <c r="J546" s="1135"/>
      <c r="K546" s="1135"/>
      <c r="L546" s="1135"/>
      <c r="M546" s="1148" t="s">
        <v>2171</v>
      </c>
      <c r="N546" s="1148"/>
      <c r="O546" s="1148"/>
      <c r="P546" s="1148"/>
      <c r="Q546" s="1134" t="s">
        <v>441</v>
      </c>
      <c r="R546" s="1135"/>
      <c r="S546" s="1136"/>
      <c r="T546" s="1134" t="s">
        <v>1992</v>
      </c>
      <c r="U546" s="1135"/>
      <c r="V546" s="1136"/>
      <c r="W546" s="1134" t="s">
        <v>740</v>
      </c>
      <c r="X546" s="1135"/>
      <c r="Y546" s="1136"/>
      <c r="Z546" s="1134" t="s">
        <v>1994</v>
      </c>
      <c r="AA546" s="1135"/>
      <c r="AB546" s="1135"/>
      <c r="AC546" s="1135"/>
      <c r="AD546" s="1136"/>
      <c r="AE546" s="1134" t="s">
        <v>1993</v>
      </c>
      <c r="AF546" s="1135"/>
      <c r="AG546" s="1135"/>
      <c r="AH546" s="1136"/>
      <c r="AI546" s="1134" t="s">
        <v>1995</v>
      </c>
      <c r="AJ546" s="1135"/>
      <c r="AK546" s="1135"/>
      <c r="AL546" s="1136"/>
      <c r="AM546" s="1134" t="s">
        <v>741</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2"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2"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2" customHeight="1">
      <c r="B549" s="57" t="s">
        <v>900</v>
      </c>
      <c r="C549" s="1098" t="s">
        <v>2408</v>
      </c>
      <c r="D549" s="1098"/>
      <c r="E549" s="1098"/>
      <c r="F549" s="1098"/>
      <c r="G549" s="1098"/>
      <c r="H549" s="1098"/>
      <c r="I549" s="1098"/>
      <c r="J549" s="1098"/>
      <c r="K549" s="1098"/>
      <c r="L549" s="1098"/>
      <c r="M549" s="1097" t="s">
        <v>2181</v>
      </c>
      <c r="N549" s="1097"/>
      <c r="O549" s="1097"/>
      <c r="P549" s="1097"/>
      <c r="Q549" s="1102">
        <v>31</v>
      </c>
      <c r="R549" s="1102"/>
      <c r="S549" s="1103"/>
      <c r="T549" s="1101"/>
      <c r="U549" s="1102"/>
      <c r="V549" s="1103"/>
      <c r="W549" s="1439">
        <v>8.3500000000000005E-2</v>
      </c>
      <c r="X549" s="1440"/>
      <c r="Y549" s="1441"/>
      <c r="Z549" s="1442" t="s">
        <v>2411</v>
      </c>
      <c r="AA549" s="1442"/>
      <c r="AB549" s="1442"/>
      <c r="AC549" s="1442"/>
      <c r="AD549" s="1442"/>
      <c r="AE549" s="1443">
        <v>1</v>
      </c>
      <c r="AF549" s="1444"/>
      <c r="AG549" s="1444"/>
      <c r="AH549" s="1445"/>
      <c r="AI549" s="1436"/>
      <c r="AJ549" s="1437"/>
      <c r="AK549" s="1437"/>
      <c r="AL549" s="1438"/>
      <c r="AM549" s="1217">
        <v>21999867</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2" customHeight="1">
      <c r="B550" s="58" t="s">
        <v>901</v>
      </c>
      <c r="C550" s="1098" t="s">
        <v>2410</v>
      </c>
      <c r="D550" s="1098"/>
      <c r="E550" s="1098"/>
      <c r="F550" s="1098"/>
      <c r="G550" s="1098"/>
      <c r="H550" s="1098"/>
      <c r="I550" s="1098"/>
      <c r="J550" s="1098"/>
      <c r="K550" s="1098"/>
      <c r="L550" s="1098"/>
      <c r="M550" s="1097" t="s">
        <v>2183</v>
      </c>
      <c r="N550" s="1097"/>
      <c r="O550" s="1097"/>
      <c r="P550" s="1097"/>
      <c r="Q550" s="1101">
        <v>31</v>
      </c>
      <c r="R550" s="1102"/>
      <c r="S550" s="1103"/>
      <c r="T550" s="1101"/>
      <c r="U550" s="1102"/>
      <c r="V550" s="1103"/>
      <c r="W550" s="1439">
        <v>0.03</v>
      </c>
      <c r="X550" s="1440"/>
      <c r="Y550" s="1441"/>
      <c r="Z550" s="1442" t="s">
        <v>2409</v>
      </c>
      <c r="AA550" s="1442"/>
      <c r="AB550" s="1442"/>
      <c r="AC550" s="1442"/>
      <c r="AD550" s="1442"/>
      <c r="AE550" s="1443">
        <v>2</v>
      </c>
      <c r="AF550" s="1444"/>
      <c r="AG550" s="1444"/>
      <c r="AH550" s="1445"/>
      <c r="AI550" s="1436"/>
      <c r="AJ550" s="1437"/>
      <c r="AK550" s="1437"/>
      <c r="AL550" s="1438"/>
      <c r="AM550" s="1217">
        <v>6461600</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2" customHeight="1">
      <c r="B551" s="58" t="s">
        <v>907</v>
      </c>
      <c r="C551" s="1098" t="s">
        <v>2412</v>
      </c>
      <c r="D551" s="1098"/>
      <c r="E551" s="1098"/>
      <c r="F551" s="1098"/>
      <c r="G551" s="1098"/>
      <c r="H551" s="1098"/>
      <c r="I551" s="1098"/>
      <c r="J551" s="1098"/>
      <c r="K551" s="1098"/>
      <c r="L551" s="1098"/>
      <c r="M551" s="1097" t="s">
        <v>2185</v>
      </c>
      <c r="N551" s="1097"/>
      <c r="O551" s="1097"/>
      <c r="P551" s="1097"/>
      <c r="Q551" s="1101">
        <v>31</v>
      </c>
      <c r="R551" s="1102"/>
      <c r="S551" s="1103"/>
      <c r="T551" s="1101"/>
      <c r="U551" s="1102"/>
      <c r="V551" s="1103"/>
      <c r="W551" s="1439">
        <v>0</v>
      </c>
      <c r="X551" s="1440"/>
      <c r="Y551" s="1441"/>
      <c r="Z551" s="1442" t="s">
        <v>2409</v>
      </c>
      <c r="AA551" s="1442"/>
      <c r="AB551" s="1442"/>
      <c r="AC551" s="1442"/>
      <c r="AD551" s="1442"/>
      <c r="AE551" s="1443">
        <v>3</v>
      </c>
      <c r="AF551" s="1444"/>
      <c r="AG551" s="1444"/>
      <c r="AH551" s="1445"/>
      <c r="AI551" s="1436"/>
      <c r="AJ551" s="1437"/>
      <c r="AK551" s="1437"/>
      <c r="AL551" s="1438"/>
      <c r="AM551" s="1217">
        <v>3161038</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2" customHeight="1">
      <c r="B552" s="58" t="s">
        <v>432</v>
      </c>
      <c r="C552" s="1098" t="s">
        <v>2413</v>
      </c>
      <c r="D552" s="1098"/>
      <c r="E552" s="1098"/>
      <c r="F552" s="1098"/>
      <c r="G552" s="1098"/>
      <c r="H552" s="1098"/>
      <c r="I552" s="1098"/>
      <c r="J552" s="1098"/>
      <c r="K552" s="1098"/>
      <c r="L552" s="1098"/>
      <c r="M552" s="1097" t="s">
        <v>2173</v>
      </c>
      <c r="N552" s="1097"/>
      <c r="O552" s="1097"/>
      <c r="P552" s="1097"/>
      <c r="Q552" s="1101"/>
      <c r="R552" s="1102"/>
      <c r="S552" s="1103"/>
      <c r="T552" s="1101"/>
      <c r="U552" s="1102"/>
      <c r="V552" s="1103"/>
      <c r="W552" s="1439"/>
      <c r="X552" s="1440"/>
      <c r="Y552" s="1441"/>
      <c r="Z552" s="1442" t="s">
        <v>124</v>
      </c>
      <c r="AA552" s="1442"/>
      <c r="AB552" s="1442"/>
      <c r="AC552" s="1442"/>
      <c r="AD552" s="1442"/>
      <c r="AE552" s="1443"/>
      <c r="AF552" s="1444"/>
      <c r="AG552" s="1444"/>
      <c r="AH552" s="1445"/>
      <c r="AI552" s="1436"/>
      <c r="AJ552" s="1437"/>
      <c r="AK552" s="1437"/>
      <c r="AL552" s="1438"/>
      <c r="AM552" s="1217">
        <v>1502108</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2" customHeight="1">
      <c r="B553" s="58" t="s">
        <v>171</v>
      </c>
      <c r="C553" s="1098" t="s">
        <v>2414</v>
      </c>
      <c r="D553" s="1098"/>
      <c r="E553" s="1098"/>
      <c r="F553" s="1098"/>
      <c r="G553" s="1098"/>
      <c r="H553" s="1098"/>
      <c r="I553" s="1098"/>
      <c r="J553" s="1098"/>
      <c r="K553" s="1098"/>
      <c r="L553" s="1098"/>
      <c r="M553" s="1097" t="s">
        <v>2178</v>
      </c>
      <c r="N553" s="1097"/>
      <c r="O553" s="1097"/>
      <c r="P553" s="1097"/>
      <c r="Q553" s="1101"/>
      <c r="R553" s="1102"/>
      <c r="S553" s="1103"/>
      <c r="T553" s="1101"/>
      <c r="U553" s="1102"/>
      <c r="V553" s="1103"/>
      <c r="W553" s="1439"/>
      <c r="X553" s="1440"/>
      <c r="Y553" s="1441"/>
      <c r="Z553" s="1442" t="s">
        <v>124</v>
      </c>
      <c r="AA553" s="1442"/>
      <c r="AB553" s="1442"/>
      <c r="AC553" s="1442"/>
      <c r="AD553" s="1442"/>
      <c r="AE553" s="1443"/>
      <c r="AF553" s="1444"/>
      <c r="AG553" s="1444"/>
      <c r="AH553" s="1445"/>
      <c r="AI553" s="1436"/>
      <c r="AJ553" s="1437"/>
      <c r="AK553" s="1437"/>
      <c r="AL553" s="1438"/>
      <c r="AM553" s="1217">
        <v>1977261</v>
      </c>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2" customHeight="1">
      <c r="B554" s="58" t="s">
        <v>435</v>
      </c>
      <c r="C554" s="1098"/>
      <c r="D554" s="1098"/>
      <c r="E554" s="1098"/>
      <c r="F554" s="1098"/>
      <c r="G554" s="1098"/>
      <c r="H554" s="1098"/>
      <c r="I554" s="1098"/>
      <c r="J554" s="1098"/>
      <c r="K554" s="1098"/>
      <c r="L554" s="1098"/>
      <c r="M554" s="1097" t="s">
        <v>1980</v>
      </c>
      <c r="N554" s="1097"/>
      <c r="O554" s="1097"/>
      <c r="P554" s="1097"/>
      <c r="Q554" s="1101"/>
      <c r="R554" s="1102"/>
      <c r="S554" s="1103"/>
      <c r="T554" s="1101"/>
      <c r="U554" s="1102"/>
      <c r="V554" s="1103"/>
      <c r="W554" s="1439"/>
      <c r="X554" s="1440"/>
      <c r="Y554" s="1441"/>
      <c r="Z554" s="1442" t="s">
        <v>1980</v>
      </c>
      <c r="AA554" s="1442"/>
      <c r="AB554" s="1442"/>
      <c r="AC554" s="1442"/>
      <c r="AD554" s="1442"/>
      <c r="AE554" s="1443"/>
      <c r="AF554" s="1444"/>
      <c r="AG554" s="1444"/>
      <c r="AH554" s="1445"/>
      <c r="AI554" s="1436"/>
      <c r="AJ554" s="1437"/>
      <c r="AK554" s="1437"/>
      <c r="AL554" s="1438"/>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2" customHeight="1">
      <c r="B555" s="58" t="s">
        <v>742</v>
      </c>
      <c r="C555" s="1098"/>
      <c r="D555" s="1098"/>
      <c r="E555" s="1098"/>
      <c r="F555" s="1098"/>
      <c r="G555" s="1098"/>
      <c r="H555" s="1098"/>
      <c r="I555" s="1098"/>
      <c r="J555" s="1098"/>
      <c r="K555" s="1098"/>
      <c r="L555" s="1098"/>
      <c r="M555" s="1097" t="s">
        <v>1980</v>
      </c>
      <c r="N555" s="1097"/>
      <c r="O555" s="1097"/>
      <c r="P555" s="1097"/>
      <c r="Q555" s="1101"/>
      <c r="R555" s="1102"/>
      <c r="S555" s="1103"/>
      <c r="T555" s="1101"/>
      <c r="U555" s="1102"/>
      <c r="V555" s="1103"/>
      <c r="W555" s="1439"/>
      <c r="X555" s="1440"/>
      <c r="Y555" s="1441"/>
      <c r="Z555" s="1442" t="s">
        <v>1980</v>
      </c>
      <c r="AA555" s="1442"/>
      <c r="AB555" s="1442"/>
      <c r="AC555" s="1442"/>
      <c r="AD555" s="1442"/>
      <c r="AE555" s="1443"/>
      <c r="AF555" s="1444"/>
      <c r="AG555" s="1444"/>
      <c r="AH555" s="1445"/>
      <c r="AI555" s="1436"/>
      <c r="AJ555" s="1437"/>
      <c r="AK555" s="1437"/>
      <c r="AL555" s="1438"/>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2" customHeight="1">
      <c r="B556" s="58" t="s">
        <v>743</v>
      </c>
      <c r="C556" s="1098"/>
      <c r="D556" s="1098"/>
      <c r="E556" s="1098"/>
      <c r="F556" s="1098"/>
      <c r="G556" s="1098"/>
      <c r="H556" s="1098"/>
      <c r="I556" s="1098"/>
      <c r="J556" s="1098"/>
      <c r="K556" s="1098"/>
      <c r="L556" s="1098"/>
      <c r="M556" s="1097" t="s">
        <v>1980</v>
      </c>
      <c r="N556" s="1097"/>
      <c r="O556" s="1097"/>
      <c r="P556" s="1097"/>
      <c r="Q556" s="1101"/>
      <c r="R556" s="1102"/>
      <c r="S556" s="1103"/>
      <c r="T556" s="1101"/>
      <c r="U556" s="1102"/>
      <c r="V556" s="1103"/>
      <c r="W556" s="1439"/>
      <c r="X556" s="1440"/>
      <c r="Y556" s="1441"/>
      <c r="Z556" s="1442" t="s">
        <v>1980</v>
      </c>
      <c r="AA556" s="1442"/>
      <c r="AB556" s="1442"/>
      <c r="AC556" s="1442"/>
      <c r="AD556" s="1442"/>
      <c r="AE556" s="1443"/>
      <c r="AF556" s="1444"/>
      <c r="AG556" s="1444"/>
      <c r="AH556" s="1445"/>
      <c r="AI556" s="1436"/>
      <c r="AJ556" s="1437"/>
      <c r="AK556" s="1437"/>
      <c r="AL556" s="1438"/>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2" customHeight="1">
      <c r="B557" s="58" t="s">
        <v>546</v>
      </c>
      <c r="C557" s="1098"/>
      <c r="D557" s="1098"/>
      <c r="E557" s="1098"/>
      <c r="F557" s="1098"/>
      <c r="G557" s="1098"/>
      <c r="H557" s="1098"/>
      <c r="I557" s="1098"/>
      <c r="J557" s="1098"/>
      <c r="K557" s="1098"/>
      <c r="L557" s="1098"/>
      <c r="M557" s="1097" t="s">
        <v>1980</v>
      </c>
      <c r="N557" s="1097"/>
      <c r="O557" s="1097"/>
      <c r="P557" s="1097"/>
      <c r="Q557" s="1101"/>
      <c r="R557" s="1102"/>
      <c r="S557" s="1103"/>
      <c r="T557" s="1101"/>
      <c r="U557" s="1102"/>
      <c r="V557" s="1103"/>
      <c r="W557" s="1439"/>
      <c r="X557" s="1440"/>
      <c r="Y557" s="1441"/>
      <c r="Z557" s="1442" t="s">
        <v>1980</v>
      </c>
      <c r="AA557" s="1442"/>
      <c r="AB557" s="1442"/>
      <c r="AC557" s="1442"/>
      <c r="AD557" s="1442"/>
      <c r="AE557" s="1443"/>
      <c r="AF557" s="1444"/>
      <c r="AG557" s="1444"/>
      <c r="AH557" s="1445"/>
      <c r="AI557" s="1436"/>
      <c r="AJ557" s="1437"/>
      <c r="AK557" s="1437"/>
      <c r="AL557" s="1438"/>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2" customHeight="1">
      <c r="B558" s="58" t="s">
        <v>174</v>
      </c>
      <c r="C558" s="1098"/>
      <c r="D558" s="1098"/>
      <c r="E558" s="1098"/>
      <c r="F558" s="1098"/>
      <c r="G558" s="1098"/>
      <c r="H558" s="1098"/>
      <c r="I558" s="1098"/>
      <c r="J558" s="1098"/>
      <c r="K558" s="1098"/>
      <c r="L558" s="1098"/>
      <c r="M558" s="1097" t="s">
        <v>1980</v>
      </c>
      <c r="N558" s="1097"/>
      <c r="O558" s="1097"/>
      <c r="P558" s="1097"/>
      <c r="Q558" s="1101"/>
      <c r="R558" s="1102"/>
      <c r="S558" s="1103"/>
      <c r="T558" s="1101"/>
      <c r="U558" s="1102"/>
      <c r="V558" s="1103"/>
      <c r="W558" s="1439"/>
      <c r="X558" s="1440"/>
      <c r="Y558" s="1441"/>
      <c r="Z558" s="1442" t="s">
        <v>1980</v>
      </c>
      <c r="AA558" s="1442"/>
      <c r="AB558" s="1442"/>
      <c r="AC558" s="1442"/>
      <c r="AD558" s="1442"/>
      <c r="AE558" s="1443"/>
      <c r="AF558" s="1444"/>
      <c r="AG558" s="1444"/>
      <c r="AH558" s="1445"/>
      <c r="AI558" s="1436"/>
      <c r="AJ558" s="1437"/>
      <c r="AK558" s="1437"/>
      <c r="AL558" s="1438"/>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2" customHeight="1">
      <c r="B559" s="58" t="s">
        <v>32</v>
      </c>
      <c r="C559" s="1098"/>
      <c r="D559" s="1098"/>
      <c r="E559" s="1098"/>
      <c r="F559" s="1098"/>
      <c r="G559" s="1098"/>
      <c r="H559" s="1098"/>
      <c r="I559" s="1098"/>
      <c r="J559" s="1098"/>
      <c r="K559" s="1098"/>
      <c r="L559" s="1098"/>
      <c r="M559" s="1097" t="s">
        <v>1980</v>
      </c>
      <c r="N559" s="1097"/>
      <c r="O559" s="1097"/>
      <c r="P559" s="1097"/>
      <c r="Q559" s="1101"/>
      <c r="R559" s="1102"/>
      <c r="S559" s="1103"/>
      <c r="T559" s="1101"/>
      <c r="U559" s="1102"/>
      <c r="V559" s="1103"/>
      <c r="W559" s="1439"/>
      <c r="X559" s="1440"/>
      <c r="Y559" s="1441"/>
      <c r="Z559" s="1442" t="s">
        <v>1980</v>
      </c>
      <c r="AA559" s="1442"/>
      <c r="AB559" s="1442"/>
      <c r="AC559" s="1442"/>
      <c r="AD559" s="1442"/>
      <c r="AE559" s="1443"/>
      <c r="AF559" s="1444"/>
      <c r="AG559" s="1444"/>
      <c r="AH559" s="1445"/>
      <c r="AI559" s="1436"/>
      <c r="AJ559" s="1437"/>
      <c r="AK559" s="1437"/>
      <c r="AL559" s="1438"/>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2" customHeight="1">
      <c r="B560" s="58" t="s">
        <v>33</v>
      </c>
      <c r="C560" s="1098"/>
      <c r="D560" s="1098"/>
      <c r="E560" s="1098"/>
      <c r="F560" s="1098"/>
      <c r="G560" s="1098"/>
      <c r="H560" s="1098"/>
      <c r="I560" s="1098"/>
      <c r="J560" s="1098"/>
      <c r="K560" s="1098"/>
      <c r="L560" s="1098"/>
      <c r="M560" s="1097" t="s">
        <v>1980</v>
      </c>
      <c r="N560" s="1097"/>
      <c r="O560" s="1097"/>
      <c r="P560" s="1097"/>
      <c r="Q560" s="1101"/>
      <c r="R560" s="1102"/>
      <c r="S560" s="1103"/>
      <c r="T560" s="1101"/>
      <c r="U560" s="1102"/>
      <c r="V560" s="1103"/>
      <c r="W560" s="1439"/>
      <c r="X560" s="1440"/>
      <c r="Y560" s="1441"/>
      <c r="Z560" s="1442" t="s">
        <v>1980</v>
      </c>
      <c r="AA560" s="1442"/>
      <c r="AB560" s="1442"/>
      <c r="AC560" s="1442"/>
      <c r="AD560" s="1442"/>
      <c r="AE560" s="1443"/>
      <c r="AF560" s="1444"/>
      <c r="AG560" s="1444"/>
      <c r="AH560" s="1445"/>
      <c r="AI560" s="1436"/>
      <c r="AJ560" s="1437"/>
      <c r="AK560" s="1437"/>
      <c r="AL560" s="1438"/>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1104" t="s">
        <v>358</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8">
        <f>SUM(AM549:AS560)</f>
        <v>35101874</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A563" s="61" t="s">
        <v>900</v>
      </c>
      <c r="B563" t="s">
        <v>82</v>
      </c>
      <c r="G563" s="1186" t="str">
        <f>C549</f>
        <v>Wells Fargo Construction Loan</v>
      </c>
      <c r="H563" s="1186"/>
      <c r="I563" s="1186"/>
      <c r="J563" s="1186"/>
      <c r="K563" s="1186"/>
      <c r="L563" s="1186"/>
      <c r="M563" s="1186"/>
      <c r="N563" s="1186"/>
      <c r="O563" s="1186"/>
      <c r="P563" s="1186"/>
      <c r="Q563" s="1186"/>
      <c r="R563" s="1186"/>
      <c r="S563" s="12"/>
      <c r="T563" s="61" t="s">
        <v>901</v>
      </c>
      <c r="U563" t="s">
        <v>82</v>
      </c>
      <c r="Z563" s="1186" t="str">
        <f>C550</f>
        <v>LACDA AHTF</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A564" s="4"/>
      <c r="B564" t="s">
        <v>373</v>
      </c>
      <c r="G564" s="1099" t="s">
        <v>2415</v>
      </c>
      <c r="H564" s="1056"/>
      <c r="I564" s="1056"/>
      <c r="J564" s="1056"/>
      <c r="K564" s="1056"/>
      <c r="L564" s="1056"/>
      <c r="M564" s="1056"/>
      <c r="N564" s="1056"/>
      <c r="O564" s="1056"/>
      <c r="P564" s="1056"/>
      <c r="Q564" s="1056"/>
      <c r="R564" s="1056"/>
      <c r="S564" s="12"/>
      <c r="T564" s="4"/>
      <c r="U564" t="s">
        <v>373</v>
      </c>
      <c r="Z564" s="1099" t="s">
        <v>2418</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A565" s="4"/>
      <c r="B565" t="s">
        <v>431</v>
      </c>
      <c r="G565" s="1099" t="s">
        <v>401</v>
      </c>
      <c r="H565" s="1056"/>
      <c r="I565" s="1056"/>
      <c r="J565" s="1056"/>
      <c r="K565" s="1056"/>
      <c r="L565" s="1056"/>
      <c r="M565" s="1056"/>
      <c r="N565" s="1056"/>
      <c r="O565" s="1056"/>
      <c r="P565" s="1056"/>
      <c r="Q565" s="1056"/>
      <c r="R565" s="1056"/>
      <c r="T565" s="4"/>
      <c r="U565" t="s">
        <v>431</v>
      </c>
      <c r="Z565" s="1100" t="s">
        <v>2328</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A566" s="4"/>
      <c r="B566" t="s">
        <v>833</v>
      </c>
      <c r="G566" s="1099" t="s">
        <v>2416</v>
      </c>
      <c r="H566" s="1056"/>
      <c r="I566" s="1056"/>
      <c r="J566" s="1056"/>
      <c r="K566" s="1056"/>
      <c r="L566" s="1056"/>
      <c r="M566" s="1056"/>
      <c r="N566" s="1056"/>
      <c r="O566" s="1056"/>
      <c r="P566" s="1056"/>
      <c r="Q566" s="1056"/>
      <c r="R566" s="1056"/>
      <c r="S566" s="12"/>
      <c r="T566" s="4"/>
      <c r="U566" t="s">
        <v>833</v>
      </c>
      <c r="Z566" s="1100" t="s">
        <v>2325</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A567" s="4"/>
      <c r="B567" t="s">
        <v>650</v>
      </c>
      <c r="G567" s="1317" t="s">
        <v>2417</v>
      </c>
      <c r="H567" s="1058"/>
      <c r="I567" s="1058"/>
      <c r="J567" s="1058"/>
      <c r="K567" s="1058"/>
      <c r="L567" s="1058"/>
      <c r="O567" s="42" t="s">
        <v>818</v>
      </c>
      <c r="P567" s="1316"/>
      <c r="Q567" s="1316"/>
      <c r="R567" s="1316"/>
      <c r="S567" s="14"/>
      <c r="T567" s="4"/>
      <c r="U567" t="s">
        <v>650</v>
      </c>
      <c r="Z567" s="1317" t="s">
        <v>2419</v>
      </c>
      <c r="AA567" s="1058"/>
      <c r="AB567" s="1058"/>
      <c r="AC567" s="1058"/>
      <c r="AD567" s="1058"/>
      <c r="AE567" s="1058"/>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A568" s="4"/>
      <c r="B568" t="s">
        <v>834</v>
      </c>
      <c r="H568" s="1099" t="s">
        <v>2430</v>
      </c>
      <c r="I568" s="1056"/>
      <c r="J568" s="1056"/>
      <c r="K568" s="1056"/>
      <c r="L568" s="1056"/>
      <c r="M568" s="1056"/>
      <c r="N568" s="1056"/>
      <c r="O568" s="1056"/>
      <c r="P568" s="1056"/>
      <c r="Q568" s="1056"/>
      <c r="R568" s="1056"/>
      <c r="S568" s="12"/>
      <c r="T568" s="4"/>
      <c r="U568" t="s">
        <v>834</v>
      </c>
      <c r="AA568" s="1099" t="str">
        <f>M550</f>
        <v>Loan, Residual Receipts</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A569" s="4"/>
      <c r="B569" t="s">
        <v>836</v>
      </c>
      <c r="N569" s="1118" t="s">
        <v>108</v>
      </c>
      <c r="O569" s="1118"/>
      <c r="T569" s="4"/>
      <c r="U569" t="s">
        <v>836</v>
      </c>
      <c r="AG569" s="1118" t="s">
        <v>108</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907</v>
      </c>
      <c r="B571" t="s">
        <v>82</v>
      </c>
      <c r="G571" s="1186" t="str">
        <f>C551</f>
        <v>HCD IIG (GP Loan)</v>
      </c>
      <c r="H571" s="1186"/>
      <c r="I571" s="1186"/>
      <c r="J571" s="1186"/>
      <c r="K571" s="1186"/>
      <c r="L571" s="1186"/>
      <c r="M571" s="1186"/>
      <c r="N571" s="1186"/>
      <c r="O571" s="1186"/>
      <c r="P571" s="1186"/>
      <c r="Q571" s="1186"/>
      <c r="R571" s="1186"/>
      <c r="T571" s="61" t="s">
        <v>432</v>
      </c>
      <c r="U571" t="s">
        <v>82</v>
      </c>
      <c r="Z571" s="1186" t="str">
        <f>C552</f>
        <v>Costs Deferred Until Conversion</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373</v>
      </c>
      <c r="G572" s="1099" t="s">
        <v>2420</v>
      </c>
      <c r="H572" s="1056"/>
      <c r="I572" s="1056"/>
      <c r="J572" s="1056"/>
      <c r="K572" s="1056"/>
      <c r="L572" s="1056"/>
      <c r="M572" s="1056"/>
      <c r="N572" s="1056"/>
      <c r="O572" s="1056"/>
      <c r="P572" s="1056"/>
      <c r="Q572" s="1056"/>
      <c r="R572" s="1056"/>
      <c r="T572" s="4"/>
      <c r="U572" t="s">
        <v>373</v>
      </c>
      <c r="Z572" s="1099" t="s">
        <v>2423</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431</v>
      </c>
      <c r="G573" s="1100" t="s">
        <v>110</v>
      </c>
      <c r="H573" s="1054"/>
      <c r="I573" s="1054"/>
      <c r="J573" s="1054"/>
      <c r="K573" s="1054"/>
      <c r="L573" s="1054"/>
      <c r="M573" s="1054"/>
      <c r="N573" s="1054"/>
      <c r="O573" s="1054"/>
      <c r="P573" s="1054"/>
      <c r="Q573" s="1054"/>
      <c r="R573" s="1054"/>
      <c r="T573" s="4"/>
      <c r="U573" t="s">
        <v>431</v>
      </c>
      <c r="Z573" s="1100" t="s">
        <v>113</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833</v>
      </c>
      <c r="G574" s="1100" t="s">
        <v>2421</v>
      </c>
      <c r="H574" s="1054"/>
      <c r="I574" s="1054"/>
      <c r="J574" s="1054"/>
      <c r="K574" s="1054"/>
      <c r="L574" s="1054"/>
      <c r="M574" s="1054"/>
      <c r="N574" s="1054"/>
      <c r="O574" s="1054"/>
      <c r="P574" s="1054"/>
      <c r="Q574" s="1054"/>
      <c r="R574" s="1054"/>
      <c r="T574" s="4"/>
      <c r="U574" t="s">
        <v>833</v>
      </c>
      <c r="Z574" s="1100" t="s">
        <v>2336</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650</v>
      </c>
      <c r="G575" s="1317" t="s">
        <v>2422</v>
      </c>
      <c r="H575" s="1058"/>
      <c r="I575" s="1058"/>
      <c r="J575" s="1058"/>
      <c r="K575" s="1058"/>
      <c r="L575" s="1058"/>
      <c r="O575" s="42" t="s">
        <v>818</v>
      </c>
      <c r="P575" s="1316"/>
      <c r="Q575" s="1316"/>
      <c r="R575" s="1316"/>
      <c r="T575" s="4"/>
      <c r="U575" t="s">
        <v>650</v>
      </c>
      <c r="Z575" s="1317" t="s">
        <v>2337</v>
      </c>
      <c r="AA575" s="1058"/>
      <c r="AB575" s="1058"/>
      <c r="AC575" s="1058"/>
      <c r="AD575" s="1058"/>
      <c r="AE575" s="1058"/>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834</v>
      </c>
      <c r="H576" s="1099" t="str">
        <f>M551</f>
        <v>Loan, General Partner</v>
      </c>
      <c r="I576" s="1056"/>
      <c r="J576" s="1056"/>
      <c r="K576" s="1056"/>
      <c r="L576" s="1056"/>
      <c r="M576" s="1056"/>
      <c r="N576" s="1056"/>
      <c r="O576" s="1056"/>
      <c r="P576" s="1056"/>
      <c r="Q576" s="1056"/>
      <c r="R576" s="1056"/>
      <c r="T576" s="4"/>
      <c r="U576" t="s">
        <v>834</v>
      </c>
      <c r="AA576" s="1056" t="str">
        <f>M552</f>
        <v>Cost Deferral</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 customHeight="1">
      <c r="A577" s="4"/>
      <c r="B577" t="s">
        <v>836</v>
      </c>
      <c r="N577" s="1145" t="s">
        <v>108</v>
      </c>
      <c r="O577" s="1145"/>
      <c r="T577" s="4"/>
      <c r="U577" t="s">
        <v>836</v>
      </c>
      <c r="AG577" s="1145" t="s">
        <v>108</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 customHeight="1">
      <c r="A579" s="61" t="s">
        <v>171</v>
      </c>
      <c r="B579" t="s">
        <v>82</v>
      </c>
      <c r="G579" s="1186" t="str">
        <f>C553</f>
        <v>LP Capital Contributions</v>
      </c>
      <c r="H579" s="1186"/>
      <c r="I579" s="1186"/>
      <c r="J579" s="1186"/>
      <c r="K579" s="1186"/>
      <c r="L579" s="1186"/>
      <c r="M579" s="1186"/>
      <c r="N579" s="1186"/>
      <c r="O579" s="1186"/>
      <c r="P579" s="1186"/>
      <c r="Q579" s="1186"/>
      <c r="R579" s="1186"/>
      <c r="T579" s="61" t="s">
        <v>435</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 customHeight="1">
      <c r="A580" s="4"/>
      <c r="B580" t="s">
        <v>373</v>
      </c>
      <c r="G580" s="1099" t="s">
        <v>2352</v>
      </c>
      <c r="H580" s="1056"/>
      <c r="I580" s="1056"/>
      <c r="J580" s="1056"/>
      <c r="K580" s="1056"/>
      <c r="L580" s="1056"/>
      <c r="M580" s="1056"/>
      <c r="N580" s="1056"/>
      <c r="O580" s="1056"/>
      <c r="P580" s="1056"/>
      <c r="Q580" s="1056"/>
      <c r="R580" s="1056"/>
      <c r="T580" s="4"/>
      <c r="U580" t="s">
        <v>373</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 customHeight="1">
      <c r="A581" s="4"/>
      <c r="B581" t="s">
        <v>431</v>
      </c>
      <c r="G581" s="1056"/>
      <c r="H581" s="1056"/>
      <c r="I581" s="1056"/>
      <c r="J581" s="1056"/>
      <c r="K581" s="1056"/>
      <c r="L581" s="1056"/>
      <c r="M581" s="1056"/>
      <c r="N581" s="1056"/>
      <c r="O581" s="1056"/>
      <c r="P581" s="1056"/>
      <c r="Q581" s="1056"/>
      <c r="R581" s="1056"/>
      <c r="T581" s="4"/>
      <c r="U581" t="s">
        <v>431</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 customHeight="1">
      <c r="A583" s="4"/>
      <c r="B583" t="s">
        <v>650</v>
      </c>
      <c r="G583" s="1058"/>
      <c r="H583" s="1058"/>
      <c r="I583" s="1058"/>
      <c r="J583" s="1058"/>
      <c r="K583" s="1058"/>
      <c r="L583" s="1058"/>
      <c r="O583" s="42" t="s">
        <v>818</v>
      </c>
      <c r="P583" s="1316"/>
      <c r="Q583" s="1316"/>
      <c r="R583" s="1316"/>
      <c r="T583" s="4"/>
      <c r="U583" t="s">
        <v>650</v>
      </c>
      <c r="Z583" s="1058"/>
      <c r="AA583" s="1058"/>
      <c r="AB583" s="1058"/>
      <c r="AC583" s="1058"/>
      <c r="AD583" s="1058"/>
      <c r="AE583" s="1058"/>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 customHeight="1">
      <c r="A584" s="4"/>
      <c r="B584" t="s">
        <v>834</v>
      </c>
      <c r="H584" s="1056" t="str">
        <f>M553</f>
        <v>Equity, LIHTC Investor</v>
      </c>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 customHeight="1">
      <c r="A585" s="4"/>
      <c r="B585" t="s">
        <v>836</v>
      </c>
      <c r="N585" s="1145" t="s">
        <v>483</v>
      </c>
      <c r="O585" s="1145"/>
      <c r="T585" s="4"/>
      <c r="U585" t="s">
        <v>836</v>
      </c>
      <c r="AG585" s="1145" t="s">
        <v>483</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2"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2"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2" customHeight="1">
      <c r="A588" s="4"/>
      <c r="B588" t="s">
        <v>373</v>
      </c>
      <c r="G588" s="1056"/>
      <c r="H588" s="1056"/>
      <c r="I588" s="1056"/>
      <c r="J588" s="1056"/>
      <c r="K588" s="1056"/>
      <c r="L588" s="1056"/>
      <c r="M588" s="1056"/>
      <c r="N588" s="1056"/>
      <c r="O588" s="1056"/>
      <c r="P588" s="1056"/>
      <c r="Q588" s="1056"/>
      <c r="R588" s="1056"/>
      <c r="T588" s="4"/>
      <c r="U588" t="s">
        <v>373</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2" customHeight="1">
      <c r="A589" s="4"/>
      <c r="B589" t="s">
        <v>431</v>
      </c>
      <c r="C589"/>
      <c r="D589"/>
      <c r="E589"/>
      <c r="F589"/>
      <c r="G589" s="1056"/>
      <c r="H589" s="1056"/>
      <c r="I589" s="1056"/>
      <c r="J589" s="1056"/>
      <c r="K589" s="1056"/>
      <c r="L589" s="1056"/>
      <c r="M589" s="1056"/>
      <c r="N589" s="1056"/>
      <c r="O589" s="1056"/>
      <c r="P589" s="1056"/>
      <c r="Q589" s="1056"/>
      <c r="R589" s="1056"/>
      <c r="S589"/>
      <c r="T589" s="4"/>
      <c r="U589" t="s">
        <v>431</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2"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2" customHeight="1">
      <c r="A591" s="4"/>
      <c r="B591" t="s">
        <v>650</v>
      </c>
      <c r="C591"/>
      <c r="D591"/>
      <c r="E591"/>
      <c r="F591"/>
      <c r="G591" s="1058"/>
      <c r="H591" s="1058"/>
      <c r="I591" s="1058"/>
      <c r="J591" s="1058"/>
      <c r="K591" s="1058"/>
      <c r="L591" s="1058"/>
      <c r="M591"/>
      <c r="N591"/>
      <c r="O591" s="42" t="s">
        <v>818</v>
      </c>
      <c r="P591" s="1316"/>
      <c r="Q591" s="1316"/>
      <c r="R591" s="1316"/>
      <c r="S591"/>
      <c r="T591" s="4"/>
      <c r="U591" t="s">
        <v>650</v>
      </c>
      <c r="V591"/>
      <c r="W591"/>
      <c r="X591"/>
      <c r="Y591"/>
      <c r="Z591" s="1058"/>
      <c r="AA591" s="1058"/>
      <c r="AB591" s="1058"/>
      <c r="AC591" s="1058"/>
      <c r="AD591" s="1058"/>
      <c r="AE591" s="1058"/>
      <c r="AF591"/>
      <c r="AG591"/>
      <c r="AH591" s="42" t="s">
        <v>818</v>
      </c>
      <c r="AI591" s="1316"/>
      <c r="AJ591" s="1316"/>
      <c r="AK591" s="1316"/>
      <c r="AL591"/>
      <c r="AZ591" s="5" t="s">
        <v>442</v>
      </c>
      <c r="BA591" s="41"/>
      <c r="BB591" s="41"/>
      <c r="BC591" s="41"/>
      <c r="BD591" s="41"/>
      <c r="BE591" s="214" t="s">
        <v>352</v>
      </c>
      <c r="BF591" s="215"/>
      <c r="BG591" s="1068"/>
      <c r="BH591" s="1071"/>
      <c r="BI591" s="214" t="s">
        <v>353</v>
      </c>
      <c r="BJ591" s="215"/>
      <c r="BK591" s="1068"/>
      <c r="BL591" s="1071"/>
      <c r="BN591" s="1068">
        <f t="shared" ref="BN591" si="1">IF(B695="SRO/Studio",G695,0)</f>
        <v>34</v>
      </c>
      <c r="BO591" s="1069"/>
      <c r="BP591" s="1069"/>
      <c r="BQ591" s="1069"/>
      <c r="BR591" s="1070"/>
      <c r="BS591" s="1068">
        <f t="shared" ref="BS591" si="2">IF(B695="1 Bedroom",G695,0)</f>
        <v>0</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420</v>
      </c>
      <c r="CT591" s="840"/>
      <c r="CU591" s="840"/>
      <c r="CV591" s="840"/>
      <c r="CW591" s="840"/>
      <c r="CX591" s="840" t="s">
        <v>443</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3.2"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443</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34</v>
      </c>
      <c r="BL592" s="1071"/>
      <c r="BN592" s="1068">
        <f t="shared" ref="BN592:BN625" si="9">IF(B696="SRO/Studio",G696,0)</f>
        <v>0</v>
      </c>
      <c r="BO592" s="1069"/>
      <c r="BP592" s="1069"/>
      <c r="BQ592" s="1069"/>
      <c r="BR592" s="1070"/>
      <c r="BS592" s="1068">
        <f t="shared" ref="BS592:BS625" si="10">IF(B696="1 Bedroom",G696,0)</f>
        <v>12</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34</v>
      </c>
      <c r="CT592" s="1066"/>
      <c r="CU592" s="1066"/>
      <c r="CV592" s="1066"/>
      <c r="CW592" s="1067"/>
      <c r="CX592" s="1065">
        <f>IF(AND(B695="1 Bedroom",AH695&lt;=0.3),G695,0)</f>
        <v>0</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3.2" customHeight="1">
      <c r="A593" s="4"/>
      <c r="B593" t="s">
        <v>836</v>
      </c>
      <c r="C593"/>
      <c r="D593"/>
      <c r="E593"/>
      <c r="F593"/>
      <c r="G593"/>
      <c r="H593"/>
      <c r="I593"/>
      <c r="J593"/>
      <c r="K593"/>
      <c r="L593"/>
      <c r="M593"/>
      <c r="N593" s="1145" t="s">
        <v>483</v>
      </c>
      <c r="O593" s="1145"/>
      <c r="P593"/>
      <c r="Q593"/>
      <c r="R593"/>
      <c r="S593"/>
      <c r="T593" s="4"/>
      <c r="U593" t="s">
        <v>836</v>
      </c>
      <c r="V593"/>
      <c r="W593"/>
      <c r="X593"/>
      <c r="Y593"/>
      <c r="Z593"/>
      <c r="AA593"/>
      <c r="AB593"/>
      <c r="AC593"/>
      <c r="AD593"/>
      <c r="AE593"/>
      <c r="AF593"/>
      <c r="AG593" s="1145" t="s">
        <v>483</v>
      </c>
      <c r="AH593" s="1145"/>
      <c r="AI593"/>
      <c r="AJ593"/>
      <c r="AK593"/>
      <c r="AL593"/>
      <c r="AZ593" s="5" t="s">
        <v>780</v>
      </c>
      <c r="BA593" s="41"/>
      <c r="BB593" s="41"/>
      <c r="BC593" s="41"/>
      <c r="BD593" s="41"/>
      <c r="BE593" s="1074">
        <f t="shared" ref="BE593:BE615" si="15">IF(AND(AH696&lt;=0.5,AH696&gt;=0.36),1,0)</f>
        <v>0</v>
      </c>
      <c r="BF593" s="1075"/>
      <c r="BG593" s="1068">
        <f t="shared" si="7"/>
        <v>0</v>
      </c>
      <c r="BH593" s="1071"/>
      <c r="BI593" s="1074">
        <f t="shared" ref="BI593:BI615" si="16">IF(AND(AH696&lt;=0.35,AH696&gt;0),1,0)</f>
        <v>1</v>
      </c>
      <c r="BJ593" s="1075"/>
      <c r="BK593" s="1068">
        <f t="shared" si="8"/>
        <v>12</v>
      </c>
      <c r="BL593" s="1071"/>
      <c r="BN593" s="1068">
        <f t="shared" si="9"/>
        <v>0</v>
      </c>
      <c r="BO593" s="1069"/>
      <c r="BP593" s="1069"/>
      <c r="BQ593" s="1069"/>
      <c r="BR593" s="1070"/>
      <c r="BS593" s="1068">
        <f t="shared" si="10"/>
        <v>0</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12</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3.2" customHeight="1">
      <c r="AZ594" s="5" t="s">
        <v>781</v>
      </c>
      <c r="BA594" s="41"/>
      <c r="BB594" s="41"/>
      <c r="BC594" s="41"/>
      <c r="BD594" s="41"/>
      <c r="BE594" s="1074">
        <f t="shared" si="15"/>
        <v>0</v>
      </c>
      <c r="BF594" s="1075"/>
      <c r="BG594" s="1068">
        <f t="shared" si="7"/>
        <v>0</v>
      </c>
      <c r="BH594" s="1071"/>
      <c r="BI594" s="1074">
        <f t="shared" si="16"/>
        <v>0</v>
      </c>
      <c r="BJ594" s="1075"/>
      <c r="BK594" s="1068">
        <f t="shared" si="8"/>
        <v>0</v>
      </c>
      <c r="BL594" s="1071"/>
      <c r="BN594" s="1068">
        <f t="shared" si="9"/>
        <v>0</v>
      </c>
      <c r="BO594" s="1069"/>
      <c r="BP594" s="1069"/>
      <c r="BQ594" s="1069"/>
      <c r="BR594" s="1070"/>
      <c r="BS594" s="1068">
        <f t="shared" si="10"/>
        <v>0</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3.2"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0</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3.2" customHeight="1">
      <c r="A596" s="4"/>
      <c r="B596" t="s">
        <v>373</v>
      </c>
      <c r="G596" s="1056"/>
      <c r="H596" s="1056"/>
      <c r="I596" s="1056"/>
      <c r="J596" s="1056"/>
      <c r="K596" s="1056"/>
      <c r="L596" s="1056"/>
      <c r="M596" s="1056"/>
      <c r="N596" s="1056"/>
      <c r="O596" s="1056"/>
      <c r="P596" s="1056"/>
      <c r="Q596" s="1056"/>
      <c r="R596" s="1056"/>
      <c r="T596" s="4"/>
      <c r="U596" t="s">
        <v>373</v>
      </c>
      <c r="Z596" s="1056"/>
      <c r="AA596" s="1056"/>
      <c r="AB596" s="1056"/>
      <c r="AC596" s="1056"/>
      <c r="AD596" s="1056"/>
      <c r="AE596" s="1056"/>
      <c r="AF596" s="1056"/>
      <c r="AG596" s="1056"/>
      <c r="AH596" s="1056"/>
      <c r="AI596" s="1056"/>
      <c r="AJ596" s="1056"/>
      <c r="AK596" s="1056"/>
      <c r="AZ596" s="5" t="s">
        <v>345</v>
      </c>
      <c r="BA596" s="41"/>
      <c r="BB596" s="41"/>
      <c r="BC596" s="41"/>
      <c r="BD596" s="41"/>
      <c r="BE596" s="1074">
        <f t="shared" si="15"/>
        <v>0</v>
      </c>
      <c r="BF596" s="1075"/>
      <c r="BG596" s="1068">
        <f t="shared" si="7"/>
        <v>0</v>
      </c>
      <c r="BH596" s="1071"/>
      <c r="BI596" s="1074">
        <f t="shared" si="16"/>
        <v>0</v>
      </c>
      <c r="BJ596" s="1075"/>
      <c r="BK596" s="1068">
        <f t="shared" si="8"/>
        <v>0</v>
      </c>
      <c r="BL596" s="1071"/>
      <c r="BN596" s="1068">
        <f t="shared" si="9"/>
        <v>0</v>
      </c>
      <c r="BO596" s="1069"/>
      <c r="BP596" s="1069"/>
      <c r="BQ596" s="1069"/>
      <c r="BR596" s="1070"/>
      <c r="BS596" s="1068">
        <f t="shared" si="10"/>
        <v>0</v>
      </c>
      <c r="BT596" s="1069"/>
      <c r="BU596" s="1069"/>
      <c r="BV596" s="1069"/>
      <c r="BW596" s="1071"/>
      <c r="BX596" s="1068">
        <f t="shared" si="11"/>
        <v>0</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3.2" customHeight="1">
      <c r="A597" s="4"/>
      <c r="B597" t="s">
        <v>431</v>
      </c>
      <c r="G597" s="1056"/>
      <c r="H597" s="1056"/>
      <c r="I597" s="1056"/>
      <c r="J597" s="1056"/>
      <c r="K597" s="1056"/>
      <c r="L597" s="1056"/>
      <c r="M597" s="1056"/>
      <c r="N597" s="1056"/>
      <c r="O597" s="1056"/>
      <c r="P597" s="1056"/>
      <c r="Q597" s="1056"/>
      <c r="R597" s="1056"/>
      <c r="T597" s="4"/>
      <c r="U597" t="s">
        <v>431</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3.2"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3.2" customHeight="1">
      <c r="A599" s="4"/>
      <c r="B599" t="s">
        <v>650</v>
      </c>
      <c r="G599" s="1058"/>
      <c r="H599" s="1058"/>
      <c r="I599" s="1058"/>
      <c r="J599" s="1058"/>
      <c r="K599" s="1058"/>
      <c r="L599" s="1058"/>
      <c r="O599" s="42" t="s">
        <v>818</v>
      </c>
      <c r="P599" s="1316"/>
      <c r="Q599" s="1316"/>
      <c r="R599" s="1316"/>
      <c r="T599" s="4"/>
      <c r="U599" t="s">
        <v>650</v>
      </c>
      <c r="Z599" s="1058"/>
      <c r="AA599" s="1058"/>
      <c r="AB599" s="1058"/>
      <c r="AC599" s="1058"/>
      <c r="AD599" s="1058"/>
      <c r="AE599" s="1058"/>
      <c r="AH599" s="42" t="s">
        <v>818</v>
      </c>
      <c r="AI599" s="1316"/>
      <c r="AJ599" s="1316"/>
      <c r="AK599" s="1316"/>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3.2"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3.2" customHeight="1">
      <c r="A601" s="4"/>
      <c r="B601" t="s">
        <v>836</v>
      </c>
      <c r="C601"/>
      <c r="D601"/>
      <c r="E601"/>
      <c r="F601"/>
      <c r="G601"/>
      <c r="H601"/>
      <c r="I601"/>
      <c r="J601"/>
      <c r="K601"/>
      <c r="L601"/>
      <c r="M601"/>
      <c r="N601" s="1145" t="s">
        <v>483</v>
      </c>
      <c r="O601" s="1145"/>
      <c r="P601"/>
      <c r="Q601"/>
      <c r="R601"/>
      <c r="S601"/>
      <c r="T601" s="4"/>
      <c r="U601" t="s">
        <v>836</v>
      </c>
      <c r="V601"/>
      <c r="W601"/>
      <c r="X601"/>
      <c r="Y601"/>
      <c r="Z601"/>
      <c r="AA601"/>
      <c r="AB601"/>
      <c r="AC601"/>
      <c r="AD601"/>
      <c r="AE601"/>
      <c r="AF601"/>
      <c r="AG601" s="1145" t="s">
        <v>483</v>
      </c>
      <c r="AH601" s="1145"/>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3.2"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3.2"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3.2" customHeight="1">
      <c r="B604" t="s">
        <v>373</v>
      </c>
      <c r="G604" s="1056"/>
      <c r="H604" s="1056"/>
      <c r="I604" s="1056"/>
      <c r="J604" s="1056"/>
      <c r="K604" s="1056"/>
      <c r="L604" s="1056"/>
      <c r="M604" s="1056"/>
      <c r="N604" s="1056"/>
      <c r="O604" s="1056"/>
      <c r="P604" s="1056"/>
      <c r="Q604" s="1056"/>
      <c r="R604" s="1056"/>
      <c r="U604" t="s">
        <v>373</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3.2" customHeight="1">
      <c r="B605" t="s">
        <v>431</v>
      </c>
      <c r="G605" s="1056"/>
      <c r="H605" s="1056"/>
      <c r="I605" s="1056"/>
      <c r="J605" s="1056"/>
      <c r="K605" s="1056"/>
      <c r="L605" s="1056"/>
      <c r="M605" s="1056"/>
      <c r="N605" s="1056"/>
      <c r="O605" s="1056"/>
      <c r="P605" s="1056"/>
      <c r="Q605" s="1056"/>
      <c r="R605" s="1056"/>
      <c r="U605" t="s">
        <v>431</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3.2"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3.2" customHeight="1">
      <c r="B607" t="s">
        <v>650</v>
      </c>
      <c r="G607" s="1058"/>
      <c r="H607" s="1058"/>
      <c r="I607" s="1058"/>
      <c r="J607" s="1058"/>
      <c r="K607" s="1058"/>
      <c r="L607" s="1058"/>
      <c r="O607" s="42" t="s">
        <v>818</v>
      </c>
      <c r="P607" s="1316"/>
      <c r="Q607" s="1316"/>
      <c r="R607" s="1316"/>
      <c r="U607" t="s">
        <v>650</v>
      </c>
      <c r="Z607" s="1058"/>
      <c r="AA607" s="1058"/>
      <c r="AB607" s="1058"/>
      <c r="AC607" s="1058"/>
      <c r="AD607" s="1058"/>
      <c r="AE607" s="1058"/>
      <c r="AH607" s="42" t="s">
        <v>818</v>
      </c>
      <c r="AI607" s="1316"/>
      <c r="AJ607" s="1316"/>
      <c r="AK607" s="1316"/>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3.2"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3.2" customHeight="1">
      <c r="B609" t="s">
        <v>836</v>
      </c>
      <c r="N609" s="1118" t="s">
        <v>483</v>
      </c>
      <c r="O609" s="1118"/>
      <c r="U609" t="s">
        <v>836</v>
      </c>
      <c r="AG609" s="1118" t="s">
        <v>483</v>
      </c>
      <c r="AH609" s="1118"/>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3.2"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3.2"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3.2"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3.2"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3.2"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3.2"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3.2" customHeight="1">
      <c r="C616" s="3" t="s">
        <v>2128</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3.2"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3.2" customHeight="1">
      <c r="B618" s="1108" t="s">
        <v>2197</v>
      </c>
      <c r="C618" s="1109"/>
      <c r="D618" s="1109"/>
      <c r="E618" s="1109"/>
      <c r="F618" s="1109"/>
      <c r="G618" s="1109"/>
      <c r="H618" s="1109"/>
      <c r="I618" s="1109"/>
      <c r="J618" s="1109"/>
      <c r="K618" s="1109"/>
      <c r="L618" s="1109"/>
      <c r="M618" s="1148" t="s">
        <v>2171</v>
      </c>
      <c r="N618" s="1148"/>
      <c r="O618" s="1148"/>
      <c r="P618" s="1148"/>
      <c r="Q618" s="1134" t="s">
        <v>2201</v>
      </c>
      <c r="R618" s="1135"/>
      <c r="S618" s="1136"/>
      <c r="T618" s="1134" t="s">
        <v>2200</v>
      </c>
      <c r="U618" s="1135"/>
      <c r="V618" s="1136"/>
      <c r="W618" s="1411" t="s">
        <v>740</v>
      </c>
      <c r="X618" s="1411"/>
      <c r="Y618" s="1412"/>
      <c r="Z618" s="1148" t="s">
        <v>2198</v>
      </c>
      <c r="AA618" s="1148"/>
      <c r="AB618" s="1148"/>
      <c r="AC618" s="1402" t="s">
        <v>1993</v>
      </c>
      <c r="AD618" s="1403"/>
      <c r="AE618" s="1404"/>
      <c r="AF618" s="1134" t="s">
        <v>2129</v>
      </c>
      <c r="AG618" s="1135"/>
      <c r="AH618" s="1135"/>
      <c r="AI618" s="1135"/>
      <c r="AJ618" s="1136"/>
      <c r="AK618" s="1284" t="s">
        <v>2130</v>
      </c>
      <c r="AL618" s="1285"/>
      <c r="AM618" s="1285"/>
      <c r="AN618" s="1286"/>
      <c r="AO618" s="1148" t="s">
        <v>741</v>
      </c>
      <c r="AP618" s="1148"/>
      <c r="AQ618" s="1148"/>
      <c r="AR618" s="1148"/>
      <c r="AS618" s="1148"/>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3.2" customHeight="1">
      <c r="B619" s="1110"/>
      <c r="C619" s="1111"/>
      <c r="D619" s="1111"/>
      <c r="E619" s="1111"/>
      <c r="F619" s="1111"/>
      <c r="G619" s="1111"/>
      <c r="H619" s="1111"/>
      <c r="I619" s="1111"/>
      <c r="J619" s="1111"/>
      <c r="K619" s="1111"/>
      <c r="L619" s="1111"/>
      <c r="M619" s="1148"/>
      <c r="N619" s="1148"/>
      <c r="O619" s="1148"/>
      <c r="P619" s="1148"/>
      <c r="Q619" s="1137"/>
      <c r="R619" s="1138"/>
      <c r="S619" s="1139"/>
      <c r="T619" s="1137"/>
      <c r="U619" s="1138"/>
      <c r="V619" s="1139"/>
      <c r="W619" s="1413"/>
      <c r="X619" s="1413"/>
      <c r="Y619" s="1414"/>
      <c r="Z619" s="1148"/>
      <c r="AA619" s="1148"/>
      <c r="AB619" s="1148"/>
      <c r="AC619" s="1405"/>
      <c r="AD619" s="1406"/>
      <c r="AE619" s="1407"/>
      <c r="AF619" s="1137"/>
      <c r="AG619" s="1138"/>
      <c r="AH619" s="1138"/>
      <c r="AI619" s="1138"/>
      <c r="AJ619" s="1139"/>
      <c r="AK619" s="1287"/>
      <c r="AL619" s="1288"/>
      <c r="AM619" s="1288"/>
      <c r="AN619" s="1289"/>
      <c r="AO619" s="1148"/>
      <c r="AP619" s="1148"/>
      <c r="AQ619" s="1148"/>
      <c r="AR619" s="1148"/>
      <c r="AS619" s="1148"/>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3.2" customHeight="1">
      <c r="B620" s="1112"/>
      <c r="C620" s="1113"/>
      <c r="D620" s="1113"/>
      <c r="E620" s="1113"/>
      <c r="F620" s="1113"/>
      <c r="G620" s="1113"/>
      <c r="H620" s="1113"/>
      <c r="I620" s="1113"/>
      <c r="J620" s="1113"/>
      <c r="K620" s="1113"/>
      <c r="L620" s="1113"/>
      <c r="M620" s="1148"/>
      <c r="N620" s="1148"/>
      <c r="O620" s="1148"/>
      <c r="P620" s="1148"/>
      <c r="Q620" s="1140"/>
      <c r="R620" s="1141"/>
      <c r="S620" s="1142"/>
      <c r="T620" s="1140"/>
      <c r="U620" s="1141"/>
      <c r="V620" s="1142"/>
      <c r="W620" s="1415"/>
      <c r="X620" s="1415"/>
      <c r="Y620" s="1416"/>
      <c r="Z620" s="1148"/>
      <c r="AA620" s="1148"/>
      <c r="AB620" s="1148"/>
      <c r="AC620" s="1408"/>
      <c r="AD620" s="1409"/>
      <c r="AE620" s="1410"/>
      <c r="AF620" s="1140"/>
      <c r="AG620" s="1141"/>
      <c r="AH620" s="1141"/>
      <c r="AI620" s="1141"/>
      <c r="AJ620" s="1142"/>
      <c r="AK620" s="1290"/>
      <c r="AL620" s="1291"/>
      <c r="AM620" s="1291"/>
      <c r="AN620" s="1292"/>
      <c r="AO620" s="1148"/>
      <c r="AP620" s="1148"/>
      <c r="AQ620" s="1148"/>
      <c r="AR620" s="1148"/>
      <c r="AS620" s="1148"/>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3.2" customHeight="1">
      <c r="B621" s="57" t="s">
        <v>900</v>
      </c>
      <c r="C621" s="1097" t="s">
        <v>2424</v>
      </c>
      <c r="D621" s="1097"/>
      <c r="E621" s="1097"/>
      <c r="F621" s="1097"/>
      <c r="G621" s="1097"/>
      <c r="H621" s="1097"/>
      <c r="I621" s="1097"/>
      <c r="J621" s="1097"/>
      <c r="K621" s="1097"/>
      <c r="L621" s="1097"/>
      <c r="M621" s="1280" t="s">
        <v>2186</v>
      </c>
      <c r="N621" s="1280"/>
      <c r="O621" s="1280"/>
      <c r="P621" s="1280"/>
      <c r="Q621" s="1355">
        <f>20*12</f>
        <v>240</v>
      </c>
      <c r="R621" s="1356"/>
      <c r="S621" s="1357"/>
      <c r="T621" s="1381">
        <f>20*12</f>
        <v>240</v>
      </c>
      <c r="U621" s="1382"/>
      <c r="V621" s="1383"/>
      <c r="W621" s="1293">
        <v>7.0499999999999993E-2</v>
      </c>
      <c r="X621" s="1294"/>
      <c r="Y621" s="1295"/>
      <c r="Z621" s="1358" t="s">
        <v>2199</v>
      </c>
      <c r="AA621" s="1359"/>
      <c r="AB621" s="1360"/>
      <c r="AC621" s="1339">
        <v>1</v>
      </c>
      <c r="AD621" s="1147"/>
      <c r="AE621" s="1340"/>
      <c r="AF621" s="1165">
        <v>335480</v>
      </c>
      <c r="AG621" s="1166"/>
      <c r="AH621" s="1166"/>
      <c r="AI621" s="1166"/>
      <c r="AJ621" s="1167"/>
      <c r="AK621" s="1281"/>
      <c r="AL621" s="1282"/>
      <c r="AM621" s="1282"/>
      <c r="AN621" s="1283"/>
      <c r="AO621" s="1220">
        <v>3592000</v>
      </c>
      <c r="AP621" s="1220"/>
      <c r="AQ621" s="1220"/>
      <c r="AR621" s="1220"/>
      <c r="AS621" s="1220"/>
      <c r="AT621" s="946" t="str">
        <f t="shared" ref="AT621:AT632" si="33">IF(AND(NOT(C620=""),C621="",NOT(C622="")),"!","")</f>
        <v/>
      </c>
      <c r="AU621" s="43"/>
      <c r="AV621" s="43"/>
      <c r="AW621" s="43"/>
      <c r="AX621" s="43"/>
      <c r="AY621" s="43"/>
      <c r="BA621" s="41" t="s">
        <v>1980</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3.2" customHeight="1">
      <c r="B622" s="58" t="s">
        <v>901</v>
      </c>
      <c r="C622" s="1097" t="s">
        <v>2410</v>
      </c>
      <c r="D622" s="1097"/>
      <c r="E622" s="1097"/>
      <c r="F622" s="1097"/>
      <c r="G622" s="1097"/>
      <c r="H622" s="1097"/>
      <c r="I622" s="1097"/>
      <c r="J622" s="1097"/>
      <c r="K622" s="1097"/>
      <c r="L622" s="1097"/>
      <c r="M622" s="1280" t="s">
        <v>2183</v>
      </c>
      <c r="N622" s="1280"/>
      <c r="O622" s="1280"/>
      <c r="P622" s="1280"/>
      <c r="Q622" s="1355">
        <f>55*12</f>
        <v>660</v>
      </c>
      <c r="R622" s="1356"/>
      <c r="S622" s="1357"/>
      <c r="T622" s="1381">
        <f>55*12</f>
        <v>660</v>
      </c>
      <c r="U622" s="1382"/>
      <c r="V622" s="1383"/>
      <c r="W622" s="1293">
        <v>0.03</v>
      </c>
      <c r="X622" s="1294"/>
      <c r="Y622" s="1295"/>
      <c r="Z622" s="1358" t="s">
        <v>788</v>
      </c>
      <c r="AA622" s="1359"/>
      <c r="AB622" s="1360"/>
      <c r="AC622" s="1339">
        <v>2</v>
      </c>
      <c r="AD622" s="1147"/>
      <c r="AE622" s="1340"/>
      <c r="AF622" s="1165"/>
      <c r="AG622" s="1166"/>
      <c r="AH622" s="1166"/>
      <c r="AI622" s="1166"/>
      <c r="AJ622" s="1167"/>
      <c r="AK622" s="1281"/>
      <c r="AL622" s="1282"/>
      <c r="AM622" s="1282"/>
      <c r="AN622" s="1283"/>
      <c r="AO622" s="1220">
        <v>6560000</v>
      </c>
      <c r="AP622" s="1220"/>
      <c r="AQ622" s="1220"/>
      <c r="AR622" s="1220"/>
      <c r="AS622" s="1220"/>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3.2" customHeight="1">
      <c r="B623" s="58" t="s">
        <v>907</v>
      </c>
      <c r="C623" s="1097" t="s">
        <v>2412</v>
      </c>
      <c r="D623" s="1097"/>
      <c r="E623" s="1097"/>
      <c r="F623" s="1097"/>
      <c r="G623" s="1097"/>
      <c r="H623" s="1097"/>
      <c r="I623" s="1097"/>
      <c r="J623" s="1097"/>
      <c r="K623" s="1097"/>
      <c r="L623" s="1097"/>
      <c r="M623" s="1280" t="s">
        <v>2185</v>
      </c>
      <c r="N623" s="1280"/>
      <c r="O623" s="1280"/>
      <c r="P623" s="1280"/>
      <c r="Q623" s="1355">
        <f>55*12</f>
        <v>660</v>
      </c>
      <c r="R623" s="1356"/>
      <c r="S623" s="1357"/>
      <c r="T623" s="1381">
        <f>55*12</f>
        <v>660</v>
      </c>
      <c r="U623" s="1382"/>
      <c r="V623" s="1383"/>
      <c r="W623" s="1293">
        <v>0</v>
      </c>
      <c r="X623" s="1294"/>
      <c r="Y623" s="1295"/>
      <c r="Z623" s="1358" t="s">
        <v>788</v>
      </c>
      <c r="AA623" s="1359"/>
      <c r="AB623" s="1360"/>
      <c r="AC623" s="1339"/>
      <c r="AD623" s="1147"/>
      <c r="AE623" s="1340"/>
      <c r="AF623" s="1165"/>
      <c r="AG623" s="1166"/>
      <c r="AH623" s="1166"/>
      <c r="AI623" s="1166"/>
      <c r="AJ623" s="1167"/>
      <c r="AK623" s="1281"/>
      <c r="AL623" s="1282"/>
      <c r="AM623" s="1282"/>
      <c r="AN623" s="1283"/>
      <c r="AO623" s="1220">
        <v>3512264</v>
      </c>
      <c r="AP623" s="1220"/>
      <c r="AQ623" s="1220"/>
      <c r="AR623" s="1220"/>
      <c r="AS623" s="1220"/>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3.2" customHeight="1">
      <c r="B624" s="58" t="s">
        <v>432</v>
      </c>
      <c r="C624" s="1097"/>
      <c r="D624" s="1097"/>
      <c r="E624" s="1097"/>
      <c r="F624" s="1097"/>
      <c r="G624" s="1097"/>
      <c r="H624" s="1097"/>
      <c r="I624" s="1097"/>
      <c r="J624" s="1097"/>
      <c r="K624" s="1097"/>
      <c r="L624" s="1097"/>
      <c r="M624" s="1280" t="s">
        <v>1980</v>
      </c>
      <c r="N624" s="1280"/>
      <c r="O624" s="1280"/>
      <c r="P624" s="1280"/>
      <c r="Q624" s="1355"/>
      <c r="R624" s="1356"/>
      <c r="S624" s="1357"/>
      <c r="T624" s="1381"/>
      <c r="U624" s="1382"/>
      <c r="V624" s="1383"/>
      <c r="W624" s="1293"/>
      <c r="X624" s="1294"/>
      <c r="Y624" s="1295"/>
      <c r="Z624" s="1358" t="s">
        <v>1980</v>
      </c>
      <c r="AA624" s="1359"/>
      <c r="AB624" s="1360"/>
      <c r="AC624" s="1339"/>
      <c r="AD624" s="1147"/>
      <c r="AE624" s="1340"/>
      <c r="AF624" s="1165"/>
      <c r="AG624" s="1166"/>
      <c r="AH624" s="1166"/>
      <c r="AI624" s="1166"/>
      <c r="AJ624" s="1167"/>
      <c r="AK624" s="1281"/>
      <c r="AL624" s="1282"/>
      <c r="AM624" s="1282"/>
      <c r="AN624" s="1283"/>
      <c r="AO624" s="1220"/>
      <c r="AP624" s="1220"/>
      <c r="AQ624" s="1220"/>
      <c r="AR624" s="1220"/>
      <c r="AS624" s="1220"/>
      <c r="AT624" s="946" t="str">
        <f t="shared" si="33"/>
        <v/>
      </c>
      <c r="AU624" s="43"/>
      <c r="AV624" s="43"/>
      <c r="AW624" s="43"/>
      <c r="AX624" s="43"/>
      <c r="AY624" s="43"/>
      <c r="AZ624" s="43"/>
      <c r="BA624" s="41" t="s">
        <v>2199</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3.2" customHeight="1">
      <c r="B625" s="58" t="s">
        <v>171</v>
      </c>
      <c r="C625" s="1097"/>
      <c r="D625" s="1097"/>
      <c r="E625" s="1097"/>
      <c r="F625" s="1097"/>
      <c r="G625" s="1097"/>
      <c r="H625" s="1097"/>
      <c r="I625" s="1097"/>
      <c r="J625" s="1097"/>
      <c r="K625" s="1097"/>
      <c r="L625" s="1097"/>
      <c r="M625" s="1280" t="s">
        <v>1980</v>
      </c>
      <c r="N625" s="1280"/>
      <c r="O625" s="1280"/>
      <c r="P625" s="1280"/>
      <c r="Q625" s="1355"/>
      <c r="R625" s="1356"/>
      <c r="S625" s="1357"/>
      <c r="T625" s="1381"/>
      <c r="U625" s="1382"/>
      <c r="V625" s="1383"/>
      <c r="W625" s="1293"/>
      <c r="X625" s="1294"/>
      <c r="Y625" s="1295"/>
      <c r="Z625" s="1358" t="s">
        <v>1980</v>
      </c>
      <c r="AA625" s="1359"/>
      <c r="AB625" s="1360"/>
      <c r="AC625" s="1339"/>
      <c r="AD625" s="1147"/>
      <c r="AE625" s="1340"/>
      <c r="AF625" s="1165"/>
      <c r="AG625" s="1166"/>
      <c r="AH625" s="1166"/>
      <c r="AI625" s="1166"/>
      <c r="AJ625" s="1167"/>
      <c r="AK625" s="1281"/>
      <c r="AL625" s="1282"/>
      <c r="AM625" s="1282"/>
      <c r="AN625" s="1283"/>
      <c r="AO625" s="1220"/>
      <c r="AP625" s="1220"/>
      <c r="AQ625" s="1220"/>
      <c r="AR625" s="1220"/>
      <c r="AS625" s="1220"/>
      <c r="AT625" s="946" t="str">
        <f t="shared" si="33"/>
        <v/>
      </c>
      <c r="AU625" s="43"/>
      <c r="AV625" s="43"/>
      <c r="AW625" s="43"/>
      <c r="AX625" s="43"/>
      <c r="AY625" s="43"/>
      <c r="AZ625" s="43"/>
      <c r="BA625" s="41" t="s">
        <v>500</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3.2" customHeight="1">
      <c r="B626" s="58" t="s">
        <v>435</v>
      </c>
      <c r="C626" s="1097"/>
      <c r="D626" s="1097"/>
      <c r="E626" s="1097"/>
      <c r="F626" s="1097"/>
      <c r="G626" s="1097"/>
      <c r="H626" s="1097"/>
      <c r="I626" s="1097"/>
      <c r="J626" s="1097"/>
      <c r="K626" s="1097"/>
      <c r="L626" s="1097"/>
      <c r="M626" s="1280" t="s">
        <v>1980</v>
      </c>
      <c r="N626" s="1280"/>
      <c r="O626" s="1280"/>
      <c r="P626" s="1280"/>
      <c r="Q626" s="1355"/>
      <c r="R626" s="1356"/>
      <c r="S626" s="1357"/>
      <c r="T626" s="1381"/>
      <c r="U626" s="1382"/>
      <c r="V626" s="1383"/>
      <c r="W626" s="1293"/>
      <c r="X626" s="1294"/>
      <c r="Y626" s="1295"/>
      <c r="Z626" s="1358" t="s">
        <v>1980</v>
      </c>
      <c r="AA626" s="1359"/>
      <c r="AB626" s="1360"/>
      <c r="AC626" s="1339"/>
      <c r="AD626" s="1147"/>
      <c r="AE626" s="1340"/>
      <c r="AF626" s="1165"/>
      <c r="AG626" s="1166"/>
      <c r="AH626" s="1166"/>
      <c r="AI626" s="1166"/>
      <c r="AJ626" s="1167"/>
      <c r="AK626" s="1281"/>
      <c r="AL626" s="1282"/>
      <c r="AM626" s="1282"/>
      <c r="AN626" s="1283"/>
      <c r="AO626" s="1220"/>
      <c r="AP626" s="1220"/>
      <c r="AQ626" s="1220"/>
      <c r="AR626" s="1220"/>
      <c r="AS626" s="1220"/>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34</v>
      </c>
      <c r="BO626" s="1305"/>
      <c r="BP626" s="1305"/>
      <c r="BQ626" s="1305"/>
      <c r="BR626" s="1075"/>
      <c r="BS626" s="1074">
        <f t="shared" ref="BS626" si="34">SUM(BS591:BW625)</f>
        <v>12</v>
      </c>
      <c r="BT626" s="1305"/>
      <c r="BU626" s="1305"/>
      <c r="BV626" s="1305"/>
      <c r="BW626" s="1075"/>
      <c r="BX626" s="1074">
        <f t="shared" ref="BX626" si="35">SUM(BX591:CB625)</f>
        <v>0</v>
      </c>
      <c r="BY626" s="1305"/>
      <c r="BZ626" s="1305"/>
      <c r="CA626" s="1305"/>
      <c r="CB626" s="1075"/>
      <c r="CC626" s="1074">
        <f t="shared" ref="CC626" si="36">SUM(CC591:CG625)</f>
        <v>0</v>
      </c>
      <c r="CD626" s="1305"/>
      <c r="CE626" s="1305"/>
      <c r="CF626" s="1305"/>
      <c r="CG626" s="1075"/>
      <c r="CH626" s="1074">
        <f t="shared" ref="CH626" si="37">SUM(CH591:CL625)</f>
        <v>0</v>
      </c>
      <c r="CI626" s="1305"/>
      <c r="CJ626" s="1305"/>
      <c r="CK626" s="1305"/>
      <c r="CL626" s="1075"/>
      <c r="CM626" s="1074">
        <f t="shared" ref="CM626" si="38">SUM(CM591:CQ625)</f>
        <v>0</v>
      </c>
      <c r="CN626" s="1305"/>
      <c r="CO626" s="1305"/>
      <c r="CP626" s="1305"/>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3.2" customHeight="1" thickBot="1">
      <c r="B627" s="58" t="s">
        <v>742</v>
      </c>
      <c r="C627" s="1097"/>
      <c r="D627" s="1097"/>
      <c r="E627" s="1097"/>
      <c r="F627" s="1097"/>
      <c r="G627" s="1097"/>
      <c r="H627" s="1097"/>
      <c r="I627" s="1097"/>
      <c r="J627" s="1097"/>
      <c r="K627" s="1097"/>
      <c r="L627" s="1097"/>
      <c r="M627" s="1280" t="s">
        <v>1980</v>
      </c>
      <c r="N627" s="1280"/>
      <c r="O627" s="1280"/>
      <c r="P627" s="1280"/>
      <c r="Q627" s="1355"/>
      <c r="R627" s="1356"/>
      <c r="S627" s="1357"/>
      <c r="T627" s="1381"/>
      <c r="U627" s="1382"/>
      <c r="V627" s="1383"/>
      <c r="W627" s="1293"/>
      <c r="X627" s="1294"/>
      <c r="Y627" s="1295"/>
      <c r="Z627" s="1358" t="s">
        <v>1980</v>
      </c>
      <c r="AA627" s="1359"/>
      <c r="AB627" s="1360"/>
      <c r="AC627" s="1339"/>
      <c r="AD627" s="1147"/>
      <c r="AE627" s="1340"/>
      <c r="AF627" s="1165"/>
      <c r="AG627" s="1166"/>
      <c r="AH627" s="1166"/>
      <c r="AI627" s="1166"/>
      <c r="AJ627" s="1167"/>
      <c r="AK627" s="1281"/>
      <c r="AL627" s="1282"/>
      <c r="AM627" s="1282"/>
      <c r="AN627" s="1283"/>
      <c r="AO627" s="1220"/>
      <c r="AP627" s="1220"/>
      <c r="AQ627" s="1220"/>
      <c r="AR627" s="1220"/>
      <c r="AS627" s="1220"/>
      <c r="AT627" s="946" t="str">
        <f t="shared" si="33"/>
        <v/>
      </c>
      <c r="AU627" s="43"/>
      <c r="AV627" s="43"/>
      <c r="AW627" s="43"/>
      <c r="AX627" s="43"/>
      <c r="AY627" s="43"/>
      <c r="AZ627" s="43"/>
      <c r="BE627" s="41"/>
      <c r="BF627" s="41"/>
      <c r="BG627" s="1074">
        <f>SUM(BG592:BH626)</f>
        <v>0</v>
      </c>
      <c r="BH627" s="1075"/>
      <c r="BI627" s="41"/>
      <c r="BJ627" s="41"/>
      <c r="BK627" s="1074">
        <f>SUM(BK592:BL626)</f>
        <v>46</v>
      </c>
      <c r="BL627" s="1075"/>
      <c r="BN627" s="41" t="s">
        <v>1724</v>
      </c>
      <c r="BO627" s="41"/>
      <c r="BP627" s="41"/>
      <c r="BQ627" s="41"/>
      <c r="BR627" s="467">
        <f>BN626*1</f>
        <v>34</v>
      </c>
      <c r="BS627" s="41"/>
      <c r="BT627" s="41"/>
      <c r="BU627" s="41"/>
      <c r="BV627" s="41"/>
      <c r="BW627" s="467">
        <f>BS626*1</f>
        <v>12</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4">
        <f>SUM(CS592:CW626)</f>
        <v>34</v>
      </c>
      <c r="CT627" s="1305"/>
      <c r="CU627" s="1305"/>
      <c r="CV627" s="1305"/>
      <c r="CW627" s="1075"/>
      <c r="CX627" s="1074">
        <f>SUM(CX592:DB626)</f>
        <v>12</v>
      </c>
      <c r="CY627" s="1305"/>
      <c r="CZ627" s="1305"/>
      <c r="DA627" s="1305"/>
      <c r="DB627" s="1075"/>
      <c r="DC627" s="1074">
        <f>SUM(DC592:DG626)</f>
        <v>0</v>
      </c>
      <c r="DD627" s="1305"/>
      <c r="DE627" s="1305"/>
      <c r="DF627" s="1305"/>
      <c r="DG627" s="1075"/>
      <c r="DH627" s="1074">
        <f>SUM(DH592:DL626)</f>
        <v>0</v>
      </c>
      <c r="DI627" s="1305"/>
      <c r="DJ627" s="1305"/>
      <c r="DK627" s="1305"/>
      <c r="DL627" s="1075"/>
      <c r="DM627" s="1074">
        <f>SUM(DM592:DQ626)</f>
        <v>0</v>
      </c>
      <c r="DN627" s="1305"/>
      <c r="DO627" s="1305"/>
      <c r="DP627" s="1305"/>
      <c r="DQ627" s="1075"/>
      <c r="DR627" s="1074">
        <f>SUM(DR592:DV626)</f>
        <v>0</v>
      </c>
      <c r="DS627" s="1305"/>
      <c r="DT627" s="1305"/>
      <c r="DU627" s="1305"/>
      <c r="DV627" s="1075"/>
    </row>
    <row r="628" spans="1:126" ht="13.2" customHeight="1" thickBot="1">
      <c r="B628" s="58" t="s">
        <v>743</v>
      </c>
      <c r="C628" s="1097"/>
      <c r="D628" s="1097"/>
      <c r="E628" s="1097"/>
      <c r="F628" s="1097"/>
      <c r="G628" s="1097"/>
      <c r="H628" s="1097"/>
      <c r="I628" s="1097"/>
      <c r="J628" s="1097"/>
      <c r="K628" s="1097"/>
      <c r="L628" s="1097"/>
      <c r="M628" s="1280" t="s">
        <v>1980</v>
      </c>
      <c r="N628" s="1280"/>
      <c r="O628" s="1280"/>
      <c r="P628" s="1280"/>
      <c r="Q628" s="1355"/>
      <c r="R628" s="1356"/>
      <c r="S628" s="1357"/>
      <c r="T628" s="1381"/>
      <c r="U628" s="1382"/>
      <c r="V628" s="1383"/>
      <c r="W628" s="1293"/>
      <c r="X628" s="1294"/>
      <c r="Y628" s="1295"/>
      <c r="Z628" s="1358" t="s">
        <v>1980</v>
      </c>
      <c r="AA628" s="1359"/>
      <c r="AB628" s="1360"/>
      <c r="AC628" s="1339"/>
      <c r="AD628" s="1147"/>
      <c r="AE628" s="1340"/>
      <c r="AF628" s="1165"/>
      <c r="AG628" s="1166"/>
      <c r="AH628" s="1166"/>
      <c r="AI628" s="1166"/>
      <c r="AJ628" s="1167"/>
      <c r="AK628" s="1281"/>
      <c r="AL628" s="1282"/>
      <c r="AM628" s="1282"/>
      <c r="AN628" s="1283"/>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46</v>
      </c>
      <c r="CR628" s="41"/>
      <c r="CS628" s="41"/>
    </row>
    <row r="629" spans="1:126" ht="13.2" customHeight="1">
      <c r="B629" s="58" t="s">
        <v>546</v>
      </c>
      <c r="C629" s="1097"/>
      <c r="D629" s="1097"/>
      <c r="E629" s="1097"/>
      <c r="F629" s="1097"/>
      <c r="G629" s="1097"/>
      <c r="H629" s="1097"/>
      <c r="I629" s="1097"/>
      <c r="J629" s="1097"/>
      <c r="K629" s="1097"/>
      <c r="L629" s="1097"/>
      <c r="M629" s="1280" t="s">
        <v>1980</v>
      </c>
      <c r="N629" s="1280"/>
      <c r="O629" s="1280"/>
      <c r="P629" s="1280"/>
      <c r="Q629" s="1355"/>
      <c r="R629" s="1356"/>
      <c r="S629" s="1357"/>
      <c r="T629" s="1381"/>
      <c r="U629" s="1382"/>
      <c r="V629" s="1383"/>
      <c r="W629" s="1293"/>
      <c r="X629" s="1294"/>
      <c r="Y629" s="1295"/>
      <c r="Z629" s="1358" t="s">
        <v>1980</v>
      </c>
      <c r="AA629" s="1359"/>
      <c r="AB629" s="1360"/>
      <c r="AC629" s="1339"/>
      <c r="AD629" s="1147"/>
      <c r="AE629" s="1340"/>
      <c r="AF629" s="1165"/>
      <c r="AG629" s="1166"/>
      <c r="AH629" s="1166"/>
      <c r="AI629" s="1166"/>
      <c r="AJ629" s="1167"/>
      <c r="AK629" s="1281"/>
      <c r="AL629" s="1282"/>
      <c r="AM629" s="1282"/>
      <c r="AN629" s="1283"/>
      <c r="AO629" s="1220"/>
      <c r="AP629" s="1220"/>
      <c r="AQ629" s="1220"/>
      <c r="AR629" s="1220"/>
      <c r="AS629" s="1220"/>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3.2" customHeight="1">
      <c r="B630" s="58" t="s">
        <v>174</v>
      </c>
      <c r="C630" s="1097"/>
      <c r="D630" s="1097"/>
      <c r="E630" s="1097"/>
      <c r="F630" s="1097"/>
      <c r="G630" s="1097"/>
      <c r="H630" s="1097"/>
      <c r="I630" s="1097"/>
      <c r="J630" s="1097"/>
      <c r="K630" s="1097"/>
      <c r="L630" s="1097"/>
      <c r="M630" s="1280" t="s">
        <v>1980</v>
      </c>
      <c r="N630" s="1280"/>
      <c r="O630" s="1280"/>
      <c r="P630" s="1280"/>
      <c r="Q630" s="1355"/>
      <c r="R630" s="1356"/>
      <c r="S630" s="1357"/>
      <c r="T630" s="1381"/>
      <c r="U630" s="1382"/>
      <c r="V630" s="1383"/>
      <c r="W630" s="1293"/>
      <c r="X630" s="1294"/>
      <c r="Y630" s="1295"/>
      <c r="Z630" s="1358" t="s">
        <v>1980</v>
      </c>
      <c r="AA630" s="1359"/>
      <c r="AB630" s="1360"/>
      <c r="AC630" s="1339"/>
      <c r="AD630" s="1147"/>
      <c r="AE630" s="1340"/>
      <c r="AF630" s="1165"/>
      <c r="AG630" s="1166"/>
      <c r="AH630" s="1166"/>
      <c r="AI630" s="1166"/>
      <c r="AJ630" s="1167"/>
      <c r="AK630" s="1281"/>
      <c r="AL630" s="1282"/>
      <c r="AM630" s="1282"/>
      <c r="AN630" s="1283"/>
      <c r="AO630" s="1220"/>
      <c r="AP630" s="1220"/>
      <c r="AQ630" s="1220"/>
      <c r="AR630" s="1220"/>
      <c r="AS630" s="1220"/>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3.2" customHeight="1">
      <c r="B631" s="58" t="s">
        <v>32</v>
      </c>
      <c r="C631" s="1097"/>
      <c r="D631" s="1097"/>
      <c r="E631" s="1097"/>
      <c r="F631" s="1097"/>
      <c r="G631" s="1097"/>
      <c r="H631" s="1097"/>
      <c r="I631" s="1097"/>
      <c r="J631" s="1097"/>
      <c r="K631" s="1097"/>
      <c r="L631" s="1097"/>
      <c r="M631" s="1280" t="s">
        <v>1980</v>
      </c>
      <c r="N631" s="1280"/>
      <c r="O631" s="1280"/>
      <c r="P631" s="1280"/>
      <c r="Q631" s="1355"/>
      <c r="R631" s="1356"/>
      <c r="S631" s="1357"/>
      <c r="T631" s="1381"/>
      <c r="U631" s="1382"/>
      <c r="V631" s="1383"/>
      <c r="W631" s="1293"/>
      <c r="X631" s="1294"/>
      <c r="Y631" s="1295"/>
      <c r="Z631" s="1358" t="s">
        <v>1980</v>
      </c>
      <c r="AA631" s="1359"/>
      <c r="AB631" s="1360"/>
      <c r="AC631" s="1339"/>
      <c r="AD631" s="1147"/>
      <c r="AE631" s="1340"/>
      <c r="AF631" s="1165"/>
      <c r="AG631" s="1166"/>
      <c r="AH631" s="1166"/>
      <c r="AI631" s="1166"/>
      <c r="AJ631" s="1167"/>
      <c r="AK631" s="1281"/>
      <c r="AL631" s="1282"/>
      <c r="AM631" s="1282"/>
      <c r="AN631" s="1283"/>
      <c r="AO631" s="1220"/>
      <c r="AP631" s="1220"/>
      <c r="AQ631" s="1220"/>
      <c r="AR631" s="1220"/>
      <c r="AS631" s="1220"/>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3.2" customHeight="1">
      <c r="B632" s="58" t="s">
        <v>33</v>
      </c>
      <c r="C632" s="1097"/>
      <c r="D632" s="1097"/>
      <c r="E632" s="1097"/>
      <c r="F632" s="1097"/>
      <c r="G632" s="1097"/>
      <c r="H632" s="1097"/>
      <c r="I632" s="1097"/>
      <c r="J632" s="1097"/>
      <c r="K632" s="1097"/>
      <c r="L632" s="1097"/>
      <c r="M632" s="1280" t="s">
        <v>1980</v>
      </c>
      <c r="N632" s="1280"/>
      <c r="O632" s="1280"/>
      <c r="P632" s="1280"/>
      <c r="Q632" s="1355"/>
      <c r="R632" s="1356"/>
      <c r="S632" s="1357"/>
      <c r="T632" s="1381"/>
      <c r="U632" s="1382"/>
      <c r="V632" s="1383"/>
      <c r="W632" s="1293"/>
      <c r="X632" s="1294"/>
      <c r="Y632" s="1295"/>
      <c r="Z632" s="1358" t="s">
        <v>1980</v>
      </c>
      <c r="AA632" s="1359"/>
      <c r="AB632" s="1360"/>
      <c r="AC632" s="1339"/>
      <c r="AD632" s="1147"/>
      <c r="AE632" s="1340"/>
      <c r="AF632" s="1165"/>
      <c r="AG632" s="1166"/>
      <c r="AH632" s="1166"/>
      <c r="AI632" s="1166"/>
      <c r="AJ632" s="1167"/>
      <c r="AK632" s="1281"/>
      <c r="AL632" s="1282"/>
      <c r="AM632" s="1282"/>
      <c r="AN632" s="1283"/>
      <c r="AO632" s="1220"/>
      <c r="AP632" s="1220"/>
      <c r="AQ632" s="1220"/>
      <c r="AR632" s="1220"/>
      <c r="AS632" s="1220"/>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3.2" customHeight="1">
      <c r="B633" s="1104" t="s">
        <v>359</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8">
        <f>SUM(AO621:AS632)</f>
        <v>13664264</v>
      </c>
      <c r="AP633" s="1229"/>
      <c r="AQ633" s="1229"/>
      <c r="AR633" s="1229"/>
      <c r="AS633" s="1230"/>
      <c r="AT633" s="43"/>
      <c r="AU633" s="43"/>
      <c r="AV633" s="43"/>
      <c r="AW633" s="43"/>
      <c r="AX633" s="43"/>
      <c r="AY633" s="43"/>
      <c r="AZ633" s="43"/>
      <c r="BN633" s="1505">
        <f>SUM(BN629:BR632)</f>
        <v>0</v>
      </c>
      <c r="BO633" s="1506"/>
      <c r="BP633" s="1506"/>
      <c r="BQ633" s="1506"/>
      <c r="BR633" s="1507"/>
      <c r="BS633" s="1505">
        <f>SUM(BS629:BW632)</f>
        <v>0</v>
      </c>
      <c r="BT633" s="1506"/>
      <c r="BU633" s="1506"/>
      <c r="BV633" s="1506"/>
      <c r="BW633" s="1507"/>
      <c r="BX633" s="1505">
        <f>SUM(BX629:CB632)</f>
        <v>1</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1984</v>
      </c>
      <c r="CU633" s="41"/>
    </row>
    <row r="634" spans="1:126" ht="13.2" customHeight="1">
      <c r="B634" s="1104" t="s">
        <v>360</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7">
        <v>21437610</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2" customHeight="1">
      <c r="B635" s="1400" t="s">
        <v>940</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401"/>
      <c r="AO635" s="1228">
        <f>AO633+AO634</f>
        <v>35101874</v>
      </c>
      <c r="AP635" s="1229"/>
      <c r="AQ635" s="1229"/>
      <c r="AR635" s="1229"/>
      <c r="AS635" s="1230"/>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3.2"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3.2" customHeight="1">
      <c r="A637" s="61" t="s">
        <v>900</v>
      </c>
      <c r="B637" t="s">
        <v>82</v>
      </c>
      <c r="G637" s="1186" t="str">
        <f>C621</f>
        <v>CCRC Permanent Loan</v>
      </c>
      <c r="H637" s="1186"/>
      <c r="I637" s="1186"/>
      <c r="J637" s="1186"/>
      <c r="K637" s="1186"/>
      <c r="L637" s="1186"/>
      <c r="M637" s="1186"/>
      <c r="N637" s="1186"/>
      <c r="O637" s="1186"/>
      <c r="P637" s="1186"/>
      <c r="Q637" s="1186"/>
      <c r="R637" s="1186"/>
      <c r="S637" s="12"/>
      <c r="T637" s="61" t="s">
        <v>901</v>
      </c>
      <c r="U637" t="s">
        <v>82</v>
      </c>
      <c r="Z637" s="1186" t="str">
        <f>C622</f>
        <v>LACDA AHTF</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3.2" customHeight="1">
      <c r="A638" s="4"/>
      <c r="B638" t="s">
        <v>373</v>
      </c>
      <c r="G638" s="1056" t="s">
        <v>2425</v>
      </c>
      <c r="H638" s="1056"/>
      <c r="I638" s="1056"/>
      <c r="J638" s="1056"/>
      <c r="K638" s="1056"/>
      <c r="L638" s="1056"/>
      <c r="M638" s="1056"/>
      <c r="N638" s="1056"/>
      <c r="O638" s="1056"/>
      <c r="P638" s="1056"/>
      <c r="Q638" s="1056"/>
      <c r="R638" s="1056"/>
      <c r="S638" s="12"/>
      <c r="T638" s="4"/>
      <c r="U638" t="s">
        <v>373</v>
      </c>
      <c r="Z638" s="1056" t="str">
        <f>Z564</f>
        <v>700 W. Main Street</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3.2" customHeight="1">
      <c r="A639" s="4"/>
      <c r="B639" t="s">
        <v>431</v>
      </c>
      <c r="G639" s="1056" t="s">
        <v>2426</v>
      </c>
      <c r="H639" s="1056"/>
      <c r="I639" s="1056"/>
      <c r="J639" s="1056"/>
      <c r="K639" s="1056"/>
      <c r="L639" s="1056"/>
      <c r="M639" s="1056"/>
      <c r="N639" s="1056"/>
      <c r="O639" s="1056"/>
      <c r="P639" s="1056"/>
      <c r="Q639" s="1056"/>
      <c r="R639" s="1056"/>
      <c r="T639" s="4"/>
      <c r="U639" t="s">
        <v>431</v>
      </c>
      <c r="Z639" s="1054" t="str">
        <f>Z565</f>
        <v>Alhambra</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3.2" customHeight="1">
      <c r="A640" s="4"/>
      <c r="B640" t="s">
        <v>833</v>
      </c>
      <c r="G640" s="1056" t="s">
        <v>2427</v>
      </c>
      <c r="H640" s="1056"/>
      <c r="I640" s="1056"/>
      <c r="J640" s="1056"/>
      <c r="K640" s="1056"/>
      <c r="L640" s="1056"/>
      <c r="M640" s="1056"/>
      <c r="N640" s="1056"/>
      <c r="O640" s="1056"/>
      <c r="P640" s="1056"/>
      <c r="Q640" s="1056"/>
      <c r="R640" s="1056"/>
      <c r="S640" s="12"/>
      <c r="T640" s="4"/>
      <c r="U640" t="s">
        <v>833</v>
      </c>
      <c r="Z640" s="1054" t="str">
        <f>Z566</f>
        <v>Lynn Katano</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3.2" customHeight="1">
      <c r="A641" s="4"/>
      <c r="B641" t="s">
        <v>650</v>
      </c>
      <c r="G641" s="1317" t="s">
        <v>2428</v>
      </c>
      <c r="H641" s="1058"/>
      <c r="I641" s="1058"/>
      <c r="J641" s="1058"/>
      <c r="K641" s="1058"/>
      <c r="L641" s="1058"/>
      <c r="O641" s="42" t="s">
        <v>818</v>
      </c>
      <c r="P641" s="1316"/>
      <c r="Q641" s="1316"/>
      <c r="R641" s="1316"/>
      <c r="S641" s="14"/>
      <c r="T641" s="4"/>
      <c r="U641" t="s">
        <v>650</v>
      </c>
      <c r="Z641" s="1058" t="str">
        <f>Z567</f>
        <v>626-262-4511</v>
      </c>
      <c r="AA641" s="1058"/>
      <c r="AB641" s="1058"/>
      <c r="AC641" s="1058"/>
      <c r="AD641" s="1058"/>
      <c r="AE641" s="1058"/>
      <c r="AH641" s="42" t="s">
        <v>818</v>
      </c>
      <c r="AI641" s="1316"/>
      <c r="AJ641" s="1316"/>
      <c r="AK641" s="1316"/>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3.2" customHeight="1">
      <c r="A642" s="4"/>
      <c r="B642" t="s">
        <v>834</v>
      </c>
      <c r="H642" s="1099" t="s">
        <v>2429</v>
      </c>
      <c r="I642" s="1056"/>
      <c r="J642" s="1056"/>
      <c r="K642" s="1056"/>
      <c r="L642" s="1056"/>
      <c r="M642" s="1056"/>
      <c r="N642" s="1056"/>
      <c r="O642" s="1056"/>
      <c r="P642" s="1056"/>
      <c r="Q642" s="1056"/>
      <c r="R642" s="1056"/>
      <c r="S642" s="12"/>
      <c r="T642" s="4"/>
      <c r="U642" t="s">
        <v>834</v>
      </c>
      <c r="AA642" s="1056" t="str">
        <f>M622</f>
        <v>Loan, Residual Receipts</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3.2" customHeight="1">
      <c r="A643" s="5"/>
      <c r="B643" t="s">
        <v>836</v>
      </c>
      <c r="N643" s="1118" t="s">
        <v>108</v>
      </c>
      <c r="O643" s="1118"/>
      <c r="T643" s="4"/>
      <c r="U643" t="s">
        <v>836</v>
      </c>
      <c r="AG643" s="1118" t="s">
        <v>108</v>
      </c>
      <c r="AH643" s="1118"/>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3.2"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3.2" customHeight="1">
      <c r="A645" s="61" t="s">
        <v>907</v>
      </c>
      <c r="B645" t="s">
        <v>82</v>
      </c>
      <c r="G645" s="1186" t="str">
        <f>C623</f>
        <v>HCD IIG (GP Loan)</v>
      </c>
      <c r="H645" s="1186"/>
      <c r="I645" s="1186"/>
      <c r="J645" s="1186"/>
      <c r="K645" s="1186"/>
      <c r="L645" s="1186"/>
      <c r="M645" s="1186"/>
      <c r="N645" s="1186"/>
      <c r="O645" s="1186"/>
      <c r="P645" s="1186"/>
      <c r="Q645" s="1186"/>
      <c r="R645" s="1186"/>
      <c r="T645" s="61" t="s">
        <v>432</v>
      </c>
      <c r="U645" t="s">
        <v>82</v>
      </c>
      <c r="Z645" s="1186">
        <f>C624</f>
        <v>0</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3.2" customHeight="1" thickBot="1">
      <c r="A646" s="4"/>
      <c r="B646" t="s">
        <v>373</v>
      </c>
      <c r="G646" s="1056" t="str">
        <f>G572</f>
        <v>2020 W. El Camino Avenue, Suite 650</v>
      </c>
      <c r="H646" s="1056"/>
      <c r="I646" s="1056"/>
      <c r="J646" s="1056"/>
      <c r="K646" s="1056"/>
      <c r="L646" s="1056"/>
      <c r="M646" s="1056"/>
      <c r="N646" s="1056"/>
      <c r="O646" s="1056"/>
      <c r="P646" s="1056"/>
      <c r="Q646" s="1056"/>
      <c r="R646" s="1056"/>
      <c r="T646" s="4"/>
      <c r="U646" t="s">
        <v>373</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2" customHeight="1" thickBot="1">
      <c r="A647" s="4"/>
      <c r="B647" t="s">
        <v>431</v>
      </c>
      <c r="G647" s="1054" t="str">
        <f>G573</f>
        <v>Sacramento</v>
      </c>
      <c r="H647" s="1054"/>
      <c r="I647" s="1054"/>
      <c r="J647" s="1054"/>
      <c r="K647" s="1054"/>
      <c r="L647" s="1054"/>
      <c r="M647" s="1054"/>
      <c r="N647" s="1054"/>
      <c r="O647" s="1054"/>
      <c r="P647" s="1054"/>
      <c r="Q647" s="1054"/>
      <c r="R647" s="1054"/>
      <c r="T647" s="4"/>
      <c r="U647" t="s">
        <v>431</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2" customHeight="1" thickBot="1">
      <c r="A648" s="4"/>
      <c r="B648" t="s">
        <v>833</v>
      </c>
      <c r="G648" s="1054" t="str">
        <f>G574</f>
        <v>Sheila Anadon</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2" customHeight="1" thickBot="1">
      <c r="A649" s="4"/>
      <c r="B649" t="s">
        <v>650</v>
      </c>
      <c r="G649" s="1058" t="str">
        <f>G575</f>
        <v>916-841-8309</v>
      </c>
      <c r="H649" s="1058"/>
      <c r="I649" s="1058"/>
      <c r="J649" s="1058"/>
      <c r="K649" s="1058"/>
      <c r="L649" s="1058"/>
      <c r="O649" s="42" t="s">
        <v>818</v>
      </c>
      <c r="P649" s="1316"/>
      <c r="Q649" s="1316"/>
      <c r="R649" s="1316"/>
      <c r="T649" s="4"/>
      <c r="U649" t="s">
        <v>650</v>
      </c>
      <c r="Z649" s="1058"/>
      <c r="AA649" s="1058"/>
      <c r="AB649" s="1058"/>
      <c r="AC649" s="1058"/>
      <c r="AD649" s="1058"/>
      <c r="AE649" s="1058"/>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46</v>
      </c>
      <c r="CR649" s="41"/>
      <c r="CS649" s="41"/>
    </row>
    <row r="650" spans="1:97" ht="13.2" customHeight="1">
      <c r="A650" s="4"/>
      <c r="B650" t="s">
        <v>834</v>
      </c>
      <c r="H650" s="1056" t="str">
        <f>M623</f>
        <v>Loan, General Partner</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 customHeight="1">
      <c r="B651" t="s">
        <v>836</v>
      </c>
      <c r="N651" s="1118" t="s">
        <v>108</v>
      </c>
      <c r="O651" s="1118"/>
      <c r="T651" s="4"/>
      <c r="U651" t="s">
        <v>836</v>
      </c>
      <c r="AG651" s="1118" t="s">
        <v>483</v>
      </c>
      <c r="AH651" s="1118"/>
      <c r="AM651" s="41"/>
      <c r="AN651" s="41"/>
      <c r="AO651" s="41"/>
      <c r="AP651" s="41"/>
      <c r="AQ651" s="41"/>
      <c r="AR651" s="41"/>
      <c r="AS651" s="41"/>
      <c r="AT651" s="41"/>
      <c r="AU651" s="41"/>
      <c r="AV651" s="41"/>
      <c r="AW651" s="41"/>
      <c r="AX651" s="41"/>
      <c r="AY651" s="41"/>
      <c r="AZ651" s="41"/>
      <c r="BA651" s="41"/>
      <c r="BB651" s="41"/>
      <c r="BC651" s="41"/>
      <c r="BD651" s="41"/>
      <c r="BN651" s="1505">
        <f>BN626+BN633+BN645</f>
        <v>34</v>
      </c>
      <c r="BO651" s="1506"/>
      <c r="BP651" s="1506"/>
      <c r="BQ651" s="1506"/>
      <c r="BR651" s="1507"/>
      <c r="BS651" s="1505">
        <f>BS626+BS633+BS645</f>
        <v>12</v>
      </c>
      <c r="BT651" s="1506"/>
      <c r="BU651" s="1506"/>
      <c r="BV651" s="1506"/>
      <c r="BW651" s="1507"/>
      <c r="BX651" s="1505">
        <f>BX626+BX633+BX645</f>
        <v>1</v>
      </c>
      <c r="BY651" s="1506"/>
      <c r="BZ651" s="1506"/>
      <c r="CA651" s="1506"/>
      <c r="CB651" s="1507"/>
      <c r="CC651" s="1505">
        <f>CC626+CC633+CC645</f>
        <v>0</v>
      </c>
      <c r="CD651" s="1506"/>
      <c r="CE651" s="1506"/>
      <c r="CF651" s="1506"/>
      <c r="CG651" s="1507"/>
      <c r="CH651" s="1505">
        <f>CH626+CH633+CH645</f>
        <v>0</v>
      </c>
      <c r="CI651" s="1506"/>
      <c r="CJ651" s="1506"/>
      <c r="CK651" s="1506"/>
      <c r="CL651" s="1507"/>
      <c r="CM651" s="1074">
        <f>CM645+CM633+CM626</f>
        <v>0</v>
      </c>
      <c r="CN651" s="1305"/>
      <c r="CO651" s="1305"/>
      <c r="CP651" s="1305"/>
      <c r="CQ651" s="1075"/>
      <c r="CR651" s="41"/>
      <c r="CS651" s="41"/>
    </row>
    <row r="652" spans="1:97" ht="13.2"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2" customHeight="1">
      <c r="A653" s="61" t="s">
        <v>171</v>
      </c>
      <c r="B653" t="s">
        <v>82</v>
      </c>
      <c r="G653" s="1186">
        <f>C625</f>
        <v>0</v>
      </c>
      <c r="H653" s="1186"/>
      <c r="I653" s="1186"/>
      <c r="J653" s="1186"/>
      <c r="K653" s="1186"/>
      <c r="L653" s="1186"/>
      <c r="M653" s="1186"/>
      <c r="N653" s="1186"/>
      <c r="O653" s="1186"/>
      <c r="P653" s="1186"/>
      <c r="Q653" s="1186"/>
      <c r="R653" s="1186"/>
      <c r="T653" s="61" t="s">
        <v>435</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 customHeight="1">
      <c r="A654" s="4"/>
      <c r="B654" t="s">
        <v>373</v>
      </c>
      <c r="G654" s="1056"/>
      <c r="H654" s="1056"/>
      <c r="I654" s="1056"/>
      <c r="J654" s="1056"/>
      <c r="K654" s="1056"/>
      <c r="L654" s="1056"/>
      <c r="M654" s="1056"/>
      <c r="N654" s="1056"/>
      <c r="O654" s="1056"/>
      <c r="P654" s="1056"/>
      <c r="Q654" s="1056"/>
      <c r="R654" s="1056"/>
      <c r="T654" s="4"/>
      <c r="U654" t="s">
        <v>373</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 customHeight="1">
      <c r="A655" s="4"/>
      <c r="B655" t="s">
        <v>431</v>
      </c>
      <c r="G655" s="1056"/>
      <c r="H655" s="1056"/>
      <c r="I655" s="1056"/>
      <c r="J655" s="1056"/>
      <c r="K655" s="1056"/>
      <c r="L655" s="1056"/>
      <c r="M655" s="1056"/>
      <c r="N655" s="1056"/>
      <c r="O655" s="1056"/>
      <c r="P655" s="1056"/>
      <c r="Q655" s="1056"/>
      <c r="R655" s="1056"/>
      <c r="T655" s="4"/>
      <c r="U655" t="s">
        <v>431</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 customHeight="1">
      <c r="A657" s="4"/>
      <c r="B657" t="s">
        <v>650</v>
      </c>
      <c r="G657" s="1058"/>
      <c r="H657" s="1058"/>
      <c r="I657" s="1058"/>
      <c r="J657" s="1058"/>
      <c r="K657" s="1058"/>
      <c r="L657" s="1058"/>
      <c r="O657" s="42" t="s">
        <v>818</v>
      </c>
      <c r="P657" s="1316"/>
      <c r="Q657" s="1316"/>
      <c r="R657" s="1316"/>
      <c r="T657" s="4"/>
      <c r="U657" t="s">
        <v>650</v>
      </c>
      <c r="Z657" s="1058"/>
      <c r="AA657" s="1058"/>
      <c r="AB657" s="1058"/>
      <c r="AC657" s="1058"/>
      <c r="AD657" s="1058"/>
      <c r="AE657" s="1058"/>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836</v>
      </c>
      <c r="N659" s="1118" t="s">
        <v>483</v>
      </c>
      <c r="O659" s="1118"/>
      <c r="T659" s="4"/>
      <c r="U659" t="s">
        <v>836</v>
      </c>
      <c r="AG659" s="1118" t="s">
        <v>483</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373</v>
      </c>
      <c r="G662" s="1056"/>
      <c r="H662" s="1056"/>
      <c r="I662" s="1056"/>
      <c r="J662" s="1056"/>
      <c r="K662" s="1056"/>
      <c r="L662" s="1056"/>
      <c r="M662" s="1056"/>
      <c r="N662" s="1056"/>
      <c r="O662" s="1056"/>
      <c r="P662" s="1056"/>
      <c r="Q662" s="1056"/>
      <c r="R662" s="1056"/>
      <c r="T662" s="4"/>
      <c r="U662" t="s">
        <v>373</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431</v>
      </c>
      <c r="G663" s="1056"/>
      <c r="H663" s="1056"/>
      <c r="I663" s="1056"/>
      <c r="J663" s="1056"/>
      <c r="K663" s="1056"/>
      <c r="L663" s="1056"/>
      <c r="M663" s="1056"/>
      <c r="N663" s="1056"/>
      <c r="O663" s="1056"/>
      <c r="P663" s="1056"/>
      <c r="Q663" s="1056"/>
      <c r="R663" s="1056"/>
      <c r="T663" s="4"/>
      <c r="U663" t="s">
        <v>431</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650</v>
      </c>
      <c r="G665" s="1058"/>
      <c r="H665" s="1058"/>
      <c r="I665" s="1058"/>
      <c r="J665" s="1058"/>
      <c r="K665" s="1058"/>
      <c r="L665" s="1058"/>
      <c r="O665" s="42" t="s">
        <v>818</v>
      </c>
      <c r="P665" s="1316"/>
      <c r="Q665" s="1316"/>
      <c r="R665" s="1316"/>
      <c r="T665" s="4"/>
      <c r="U665" t="s">
        <v>650</v>
      </c>
      <c r="Z665" s="1058"/>
      <c r="AA665" s="1058"/>
      <c r="AB665" s="1058"/>
      <c r="AC665" s="1058"/>
      <c r="AD665" s="1058"/>
      <c r="AE665" s="1058"/>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836</v>
      </c>
      <c r="N667" s="1118" t="s">
        <v>483</v>
      </c>
      <c r="O667" s="1118"/>
      <c r="T667" s="4"/>
      <c r="U667" t="s">
        <v>836</v>
      </c>
      <c r="AG667" s="1118" t="s">
        <v>483</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373</v>
      </c>
      <c r="G670" s="1056"/>
      <c r="H670" s="1056"/>
      <c r="I670" s="1056"/>
      <c r="J670" s="1056"/>
      <c r="K670" s="1056"/>
      <c r="L670" s="1056"/>
      <c r="M670" s="1056"/>
      <c r="N670" s="1056"/>
      <c r="O670" s="1056"/>
      <c r="P670" s="1056"/>
      <c r="Q670" s="1056"/>
      <c r="R670" s="1056"/>
      <c r="T670" s="4"/>
      <c r="U670" t="s">
        <v>373</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431</v>
      </c>
      <c r="G671" s="1056"/>
      <c r="H671" s="1056"/>
      <c r="I671" s="1056"/>
      <c r="J671" s="1056"/>
      <c r="K671" s="1056"/>
      <c r="L671" s="1056"/>
      <c r="M671" s="1056"/>
      <c r="N671" s="1056"/>
      <c r="O671" s="1056"/>
      <c r="P671" s="1056"/>
      <c r="Q671" s="1056"/>
      <c r="R671" s="1056"/>
      <c r="T671" s="4"/>
      <c r="U671" t="s">
        <v>431</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650</v>
      </c>
      <c r="G673" s="1058"/>
      <c r="H673" s="1058"/>
      <c r="I673" s="1058"/>
      <c r="J673" s="1058"/>
      <c r="K673" s="1058"/>
      <c r="L673" s="1058"/>
      <c r="O673" s="42" t="s">
        <v>818</v>
      </c>
      <c r="P673" s="1316"/>
      <c r="Q673" s="1316"/>
      <c r="R673" s="1316"/>
      <c r="T673" s="4"/>
      <c r="U673" t="s">
        <v>650</v>
      </c>
      <c r="Z673" s="1058"/>
      <c r="AA673" s="1058"/>
      <c r="AB673" s="1058"/>
      <c r="AC673" s="1058"/>
      <c r="AD673" s="1058"/>
      <c r="AE673" s="1058"/>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836</v>
      </c>
      <c r="N675" s="1118" t="s">
        <v>483</v>
      </c>
      <c r="O675" s="1118"/>
      <c r="T675" s="4"/>
      <c r="U675" t="s">
        <v>836</v>
      </c>
      <c r="AG675" s="1118" t="s">
        <v>483</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B678" t="s">
        <v>373</v>
      </c>
      <c r="G678" s="1056"/>
      <c r="H678" s="1056"/>
      <c r="I678" s="1056"/>
      <c r="J678" s="1056"/>
      <c r="K678" s="1056"/>
      <c r="L678" s="1056"/>
      <c r="M678" s="1056"/>
      <c r="N678" s="1056"/>
      <c r="O678" s="1056"/>
      <c r="P678" s="1056"/>
      <c r="Q678" s="1056"/>
      <c r="R678" s="1056"/>
      <c r="T678" s="4"/>
      <c r="U678" t="s">
        <v>373</v>
      </c>
      <c r="Z678" s="1056"/>
      <c r="AA678" s="1056"/>
      <c r="AB678" s="1056"/>
      <c r="AC678" s="1056"/>
      <c r="AD678" s="1056"/>
      <c r="AE678" s="1056"/>
      <c r="AF678" s="1056"/>
      <c r="AG678" s="1056"/>
      <c r="AH678" s="1056"/>
      <c r="AI678" s="1056"/>
      <c r="AJ678" s="1056"/>
      <c r="AK678" s="1056"/>
      <c r="AM678" s="43"/>
      <c r="BA678" s="43">
        <f>IF($G695=0,"N/A",VLOOKUP($T$189,TC_Rent,(MATCH($B695,bedrooms,FALSE))))</f>
        <v>2206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B679" t="s">
        <v>431</v>
      </c>
      <c r="G679" s="1056"/>
      <c r="H679" s="1056"/>
      <c r="I679" s="1056"/>
      <c r="J679" s="1056"/>
      <c r="K679" s="1056"/>
      <c r="L679" s="1056"/>
      <c r="M679" s="1056"/>
      <c r="N679" s="1056"/>
      <c r="O679" s="1056"/>
      <c r="P679" s="1056"/>
      <c r="Q679" s="1056"/>
      <c r="R679" s="1056"/>
      <c r="U679" t="s">
        <v>431</v>
      </c>
      <c r="Z679" s="1054"/>
      <c r="AA679" s="1054"/>
      <c r="AB679" s="1054"/>
      <c r="AC679" s="1054"/>
      <c r="AD679" s="1054"/>
      <c r="AE679" s="1054"/>
      <c r="AF679" s="1054"/>
      <c r="AG679" s="1054"/>
      <c r="AH679" s="1054"/>
      <c r="AI679" s="1054"/>
      <c r="AJ679" s="1054"/>
      <c r="AK679" s="1054"/>
      <c r="AM679" s="43"/>
      <c r="BA679" s="43">
        <f t="shared" ref="BA679:BA701" si="45">IF($G696=0,"N/A",VLOOKUP($T$189,TC_Rent,(MATCH($B696,bedrooms,FALSE))))</f>
        <v>2364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A680" s="43" t="str">
        <f t="shared" si="45"/>
        <v>N/A</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B681" t="s">
        <v>650</v>
      </c>
      <c r="G681" s="1058"/>
      <c r="H681" s="1058"/>
      <c r="I681" s="1058"/>
      <c r="J681" s="1058"/>
      <c r="K681" s="1058"/>
      <c r="L681" s="1058"/>
      <c r="O681" s="42" t="s">
        <v>818</v>
      </c>
      <c r="P681" s="1316"/>
      <c r="Q681" s="1316"/>
      <c r="R681" s="1316"/>
      <c r="U681" t="s">
        <v>650</v>
      </c>
      <c r="Z681" s="1058"/>
      <c r="AA681" s="1058"/>
      <c r="AB681" s="1058"/>
      <c r="AC681" s="1058"/>
      <c r="AD681" s="1058"/>
      <c r="AE681" s="1058"/>
      <c r="AH681" s="42" t="s">
        <v>818</v>
      </c>
      <c r="AI681" s="1316"/>
      <c r="AJ681" s="1316"/>
      <c r="AK681" s="1316"/>
      <c r="AM681" s="43"/>
      <c r="BA681" s="43" t="str">
        <f t="shared" si="45"/>
        <v>N/A</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A682" s="43" t="str">
        <f t="shared" si="45"/>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836</v>
      </c>
      <c r="N683" s="1118" t="s">
        <v>483</v>
      </c>
      <c r="O683" s="1118"/>
      <c r="U683" t="s">
        <v>836</v>
      </c>
      <c r="AG683" s="1118" t="s">
        <v>483</v>
      </c>
      <c r="AH683" s="1118"/>
      <c r="AM683" s="41"/>
      <c r="BA683" s="43" t="str">
        <f t="shared" si="45"/>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2"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2"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t="str">
        <f t="shared" si="45"/>
        <v>N/A</v>
      </c>
      <c r="BE687" s="43"/>
      <c r="BF687" s="43"/>
      <c r="BG687" s="3" t="s">
        <v>1135</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2"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t="str">
        <f t="shared" si="45"/>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2" customHeight="1">
      <c r="A689" s="3" t="s">
        <v>653</v>
      </c>
      <c r="B689" s="3"/>
      <c r="C689" s="3" t="s">
        <v>835</v>
      </c>
      <c r="BA689" s="43" t="str">
        <f t="shared" si="45"/>
        <v>N/A</v>
      </c>
      <c r="BE689" s="43"/>
      <c r="BF689" s="43"/>
      <c r="BG689" s="445">
        <f t="shared" ref="BG689:BG712" si="46">G695</f>
        <v>34</v>
      </c>
      <c r="BH689" s="452">
        <f>IF($BG$714=0,"",BG689/$BG$714)</f>
        <v>0.73913043478260865</v>
      </c>
      <c r="BI689" s="453">
        <f>IF(BH689="","",BH689*AH695)</f>
        <v>0.22173913043478258</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2" customHeight="1">
      <c r="A690" s="3"/>
      <c r="B690" s="839"/>
      <c r="C690" s="3"/>
      <c r="BA690" s="43" t="str">
        <f t="shared" si="45"/>
        <v>N/A</v>
      </c>
      <c r="BE690" s="43"/>
      <c r="BF690" s="43"/>
      <c r="BG690" s="446">
        <f t="shared" si="46"/>
        <v>12</v>
      </c>
      <c r="BH690" s="452">
        <f t="shared" ref="BH690:BH713" si="47">IF($BG$714=0,"",BG690/$BG$714)</f>
        <v>0.2608695652173913</v>
      </c>
      <c r="BI690" s="453">
        <f t="shared" ref="BI690:BI713" si="48">IF(BH690="","",BH690*AH696)</f>
        <v>7.8260869565217384E-2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2" customHeight="1">
      <c r="B691" s="1268" t="s">
        <v>54</v>
      </c>
      <c r="C691" s="1269"/>
      <c r="D691" s="1269"/>
      <c r="E691" s="1269"/>
      <c r="F691" s="1270"/>
      <c r="G691" s="1268" t="s">
        <v>256</v>
      </c>
      <c r="H691" s="1269"/>
      <c r="I691" s="1269"/>
      <c r="J691" s="1270"/>
      <c r="K691" s="1457" t="s">
        <v>1996</v>
      </c>
      <c r="L691" s="1458"/>
      <c r="M691" s="1458"/>
      <c r="N691" s="1459"/>
      <c r="O691" s="1268" t="s">
        <v>589</v>
      </c>
      <c r="P691" s="1269"/>
      <c r="Q691" s="1269"/>
      <c r="R691" s="1269"/>
      <c r="S691" s="1270"/>
      <c r="T691" s="1268" t="s">
        <v>257</v>
      </c>
      <c r="U691" s="1269"/>
      <c r="V691" s="1269"/>
      <c r="W691" s="1269"/>
      <c r="X691" s="1270"/>
      <c r="Y691" s="1268" t="s">
        <v>258</v>
      </c>
      <c r="Z691" s="1269"/>
      <c r="AA691" s="1269"/>
      <c r="AB691" s="1270"/>
      <c r="AC691" s="1268" t="s">
        <v>259</v>
      </c>
      <c r="AD691" s="1269"/>
      <c r="AE691" s="1269"/>
      <c r="AF691" s="1269"/>
      <c r="AG691" s="1270"/>
      <c r="AH691" s="1268" t="s">
        <v>1997</v>
      </c>
      <c r="AI691" s="1269"/>
      <c r="AJ691" s="1269"/>
      <c r="AK691" s="1269"/>
      <c r="AL691" s="1270"/>
      <c r="AM691" s="1268" t="s">
        <v>1998</v>
      </c>
      <c r="AN691" s="1269"/>
      <c r="AO691" s="1270"/>
      <c r="BA691" s="43" t="str">
        <f t="shared" si="45"/>
        <v>N/A</v>
      </c>
      <c r="BB691" s="41"/>
      <c r="BC691" s="41"/>
      <c r="BD691" s="41"/>
      <c r="BE691" s="41"/>
      <c r="BF691" s="41"/>
      <c r="BG691" s="446">
        <f t="shared" si="46"/>
        <v>0</v>
      </c>
      <c r="BH691" s="452">
        <f t="shared" si="47"/>
        <v>0</v>
      </c>
      <c r="BI691" s="453">
        <f t="shared" si="48"/>
        <v>0</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2" customHeight="1">
      <c r="B692" s="1271"/>
      <c r="C692" s="1272"/>
      <c r="D692" s="1272"/>
      <c r="E692" s="1272"/>
      <c r="F692" s="1273"/>
      <c r="G692" s="1271"/>
      <c r="H692" s="1272"/>
      <c r="I692" s="1272"/>
      <c r="J692" s="1273"/>
      <c r="K692" s="1460"/>
      <c r="L692" s="1461"/>
      <c r="M692" s="1461"/>
      <c r="N692" s="1462"/>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A692" s="43" t="str">
        <f t="shared" si="45"/>
        <v>N/A</v>
      </c>
      <c r="BB692" s="41"/>
      <c r="BC692" s="41"/>
      <c r="BD692" s="41"/>
      <c r="BE692" s="41"/>
      <c r="BF692" s="41"/>
      <c r="BG692" s="446">
        <f t="shared" si="46"/>
        <v>0</v>
      </c>
      <c r="BH692" s="452">
        <f t="shared" si="47"/>
        <v>0</v>
      </c>
      <c r="BI692" s="453">
        <f t="shared" si="48"/>
        <v>0</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2" customHeight="1">
      <c r="A693" s="41"/>
      <c r="B693" s="1271"/>
      <c r="C693" s="1272"/>
      <c r="D693" s="1272"/>
      <c r="E693" s="1272"/>
      <c r="F693" s="1273"/>
      <c r="G693" s="1271"/>
      <c r="H693" s="1272"/>
      <c r="I693" s="1272"/>
      <c r="J693" s="1273"/>
      <c r="K693" s="1460"/>
      <c r="L693" s="1461"/>
      <c r="M693" s="1461"/>
      <c r="N693" s="1462"/>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BA693" s="43" t="str">
        <f t="shared" si="45"/>
        <v>N/A</v>
      </c>
      <c r="BB693" s="41"/>
      <c r="BC693" s="41"/>
      <c r="BD693" s="41"/>
      <c r="BE693" s="41"/>
      <c r="BF693" s="41"/>
      <c r="BG693" s="446">
        <f t="shared" si="46"/>
        <v>0</v>
      </c>
      <c r="BH693" s="452">
        <f t="shared" si="47"/>
        <v>0</v>
      </c>
      <c r="BI693" s="453">
        <f t="shared" si="48"/>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2" customHeight="1">
      <c r="A694" s="41"/>
      <c r="B694" s="1274"/>
      <c r="C694" s="1275"/>
      <c r="D694" s="1275"/>
      <c r="E694" s="1275"/>
      <c r="F694" s="1276"/>
      <c r="G694" s="1274"/>
      <c r="H694" s="1275"/>
      <c r="I694" s="1275"/>
      <c r="J694" s="1276"/>
      <c r="K694" s="1460"/>
      <c r="L694" s="1461"/>
      <c r="M694" s="1461"/>
      <c r="N694" s="1462"/>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BA694" s="43" t="str">
        <f t="shared" si="45"/>
        <v>N/A</v>
      </c>
      <c r="BB694" s="41"/>
      <c r="BC694" s="41"/>
      <c r="BD694" s="41"/>
      <c r="BE694" s="41"/>
      <c r="BF694" s="41"/>
      <c r="BG694" s="446">
        <f t="shared" si="46"/>
        <v>0</v>
      </c>
      <c r="BH694" s="452">
        <f t="shared" si="47"/>
        <v>0</v>
      </c>
      <c r="BI694" s="453">
        <f t="shared" si="48"/>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2" customHeight="1">
      <c r="A695" s="41"/>
      <c r="B695" s="1079" t="s">
        <v>442</v>
      </c>
      <c r="C695" s="1080"/>
      <c r="D695" s="1080"/>
      <c r="E695" s="1080"/>
      <c r="F695" s="1081"/>
      <c r="G695" s="1082">
        <v>34</v>
      </c>
      <c r="H695" s="1083"/>
      <c r="I695" s="1083"/>
      <c r="J695" s="1084"/>
      <c r="K695" s="1085">
        <v>380</v>
      </c>
      <c r="L695" s="1086"/>
      <c r="M695" s="1086"/>
      <c r="N695" s="1087"/>
      <c r="O695" s="1088">
        <v>662</v>
      </c>
      <c r="P695" s="1089"/>
      <c r="Q695" s="1089"/>
      <c r="R695" s="1089"/>
      <c r="S695" s="1090"/>
      <c r="T695" s="1091">
        <f t="shared" ref="T695:T729" si="49">G695*O695</f>
        <v>22508</v>
      </c>
      <c r="U695" s="1092"/>
      <c r="V695" s="1092"/>
      <c r="W695" s="1092"/>
      <c r="X695" s="1093"/>
      <c r="Y695" s="1088">
        <v>0</v>
      </c>
      <c r="Z695" s="1089"/>
      <c r="AA695" s="1089"/>
      <c r="AB695" s="1090"/>
      <c r="AC695" s="1091">
        <f t="shared" ref="AC695:AC729" si="50">O695+Y695</f>
        <v>662</v>
      </c>
      <c r="AD695" s="1092"/>
      <c r="AE695" s="1092"/>
      <c r="AF695" s="1092"/>
      <c r="AG695" s="1093"/>
      <c r="AH695" s="1349">
        <v>0.3</v>
      </c>
      <c r="AI695" s="1350"/>
      <c r="AJ695" s="1350"/>
      <c r="AK695" s="1350"/>
      <c r="AL695" s="1351"/>
      <c r="AM695" s="1076">
        <f>IF($AH695&gt;0,($AC695/$BA678),"")</f>
        <v>0.30009066183136901</v>
      </c>
      <c r="AN695" s="1077"/>
      <c r="AO695" s="1078"/>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2" customHeight="1">
      <c r="A696" s="41"/>
      <c r="B696" s="1079" t="s">
        <v>443</v>
      </c>
      <c r="C696" s="1080"/>
      <c r="D696" s="1080"/>
      <c r="E696" s="1080"/>
      <c r="F696" s="1081"/>
      <c r="G696" s="1082">
        <v>12</v>
      </c>
      <c r="H696" s="1083"/>
      <c r="I696" s="1083"/>
      <c r="J696" s="1084"/>
      <c r="K696" s="1085">
        <v>565</v>
      </c>
      <c r="L696" s="1086"/>
      <c r="M696" s="1086"/>
      <c r="N696" s="1087"/>
      <c r="O696" s="1088">
        <v>709</v>
      </c>
      <c r="P696" s="1089"/>
      <c r="Q696" s="1089"/>
      <c r="R696" s="1089"/>
      <c r="S696" s="1090"/>
      <c r="T696" s="1091">
        <f t="shared" si="49"/>
        <v>8508</v>
      </c>
      <c r="U696" s="1092"/>
      <c r="V696" s="1092"/>
      <c r="W696" s="1092"/>
      <c r="X696" s="1093"/>
      <c r="Y696" s="1088">
        <v>0</v>
      </c>
      <c r="Z696" s="1089"/>
      <c r="AA696" s="1089"/>
      <c r="AB696" s="1090"/>
      <c r="AC696" s="1091">
        <f t="shared" si="50"/>
        <v>709</v>
      </c>
      <c r="AD696" s="1092"/>
      <c r="AE696" s="1092"/>
      <c r="AF696" s="1092"/>
      <c r="AG696" s="1093"/>
      <c r="AH696" s="1094">
        <v>0.3</v>
      </c>
      <c r="AI696" s="1095"/>
      <c r="AJ696" s="1095"/>
      <c r="AK696" s="1095"/>
      <c r="AL696" s="1096"/>
      <c r="AM696" s="1076">
        <f t="shared" ref="AM696:AM728" si="51">IF($AH696&gt;0,($AC696/$BA679), "")</f>
        <v>0.29991539763113367</v>
      </c>
      <c r="AN696" s="1077"/>
      <c r="AO696" s="1078"/>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2" customHeight="1">
      <c r="A697" s="41"/>
      <c r="B697" s="1079"/>
      <c r="C697" s="1080"/>
      <c r="D697" s="1080"/>
      <c r="E697" s="1080"/>
      <c r="F697" s="1081"/>
      <c r="G697" s="1082"/>
      <c r="H697" s="1083"/>
      <c r="I697" s="1083"/>
      <c r="J697" s="1084"/>
      <c r="K697" s="1085"/>
      <c r="L697" s="1086"/>
      <c r="M697" s="1086"/>
      <c r="N697" s="1087"/>
      <c r="O697" s="1088"/>
      <c r="P697" s="1089"/>
      <c r="Q697" s="1089"/>
      <c r="R697" s="1089"/>
      <c r="S697" s="1090"/>
      <c r="T697" s="1091">
        <f t="shared" si="49"/>
        <v>0</v>
      </c>
      <c r="U697" s="1092"/>
      <c r="V697" s="1092"/>
      <c r="W697" s="1092"/>
      <c r="X697" s="1093"/>
      <c r="Y697" s="1088"/>
      <c r="Z697" s="1089"/>
      <c r="AA697" s="1089"/>
      <c r="AB697" s="1090"/>
      <c r="AC697" s="1091">
        <f t="shared" si="50"/>
        <v>0</v>
      </c>
      <c r="AD697" s="1092"/>
      <c r="AE697" s="1092"/>
      <c r="AF697" s="1092"/>
      <c r="AG697" s="1093"/>
      <c r="AH697" s="1094"/>
      <c r="AI697" s="1095"/>
      <c r="AJ697" s="1095"/>
      <c r="AK697" s="1095"/>
      <c r="AL697" s="1096"/>
      <c r="AM697" s="1076" t="str">
        <f t="shared" si="51"/>
        <v/>
      </c>
      <c r="AN697" s="1077"/>
      <c r="AO697" s="1078"/>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2" customHeight="1">
      <c r="B698" s="1079"/>
      <c r="C698" s="1080"/>
      <c r="D698" s="1080"/>
      <c r="E698" s="1080"/>
      <c r="F698" s="1081"/>
      <c r="G698" s="1082"/>
      <c r="H698" s="1083"/>
      <c r="I698" s="1083"/>
      <c r="J698" s="1084"/>
      <c r="K698" s="1085"/>
      <c r="L698" s="1086"/>
      <c r="M698" s="1086"/>
      <c r="N698" s="1087"/>
      <c r="O698" s="1088"/>
      <c r="P698" s="1089"/>
      <c r="Q698" s="1089"/>
      <c r="R698" s="1089"/>
      <c r="S698" s="1090"/>
      <c r="T698" s="1091">
        <f t="shared" si="49"/>
        <v>0</v>
      </c>
      <c r="U698" s="1092"/>
      <c r="V698" s="1092"/>
      <c r="W698" s="1092"/>
      <c r="X698" s="1093"/>
      <c r="Y698" s="1088"/>
      <c r="Z698" s="1089"/>
      <c r="AA698" s="1089"/>
      <c r="AB698" s="1090"/>
      <c r="AC698" s="1091">
        <f t="shared" si="50"/>
        <v>0</v>
      </c>
      <c r="AD698" s="1092"/>
      <c r="AE698" s="1092"/>
      <c r="AF698" s="1092"/>
      <c r="AG698" s="1093"/>
      <c r="AH698" s="1094"/>
      <c r="AI698" s="1095"/>
      <c r="AJ698" s="1095"/>
      <c r="AK698" s="1095"/>
      <c r="AL698" s="1096"/>
      <c r="AM698" s="1076" t="str">
        <f t="shared" si="51"/>
        <v/>
      </c>
      <c r="AN698" s="1077"/>
      <c r="AO698" s="1078"/>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2" customHeight="1">
      <c r="B699" s="1079"/>
      <c r="C699" s="1080"/>
      <c r="D699" s="1080"/>
      <c r="E699" s="1080"/>
      <c r="F699" s="1081"/>
      <c r="G699" s="1082"/>
      <c r="H699" s="1083"/>
      <c r="I699" s="1083"/>
      <c r="J699" s="1084"/>
      <c r="K699" s="1085"/>
      <c r="L699" s="1086"/>
      <c r="M699" s="1086"/>
      <c r="N699" s="1087"/>
      <c r="O699" s="1088"/>
      <c r="P699" s="1089"/>
      <c r="Q699" s="1089"/>
      <c r="R699" s="1089"/>
      <c r="S699" s="1090"/>
      <c r="T699" s="1091">
        <f t="shared" si="49"/>
        <v>0</v>
      </c>
      <c r="U699" s="1092"/>
      <c r="V699" s="1092"/>
      <c r="W699" s="1092"/>
      <c r="X699" s="1093"/>
      <c r="Y699" s="1088"/>
      <c r="Z699" s="1089"/>
      <c r="AA699" s="1089"/>
      <c r="AB699" s="1090"/>
      <c r="AC699" s="1091">
        <f t="shared" si="50"/>
        <v>0</v>
      </c>
      <c r="AD699" s="1092"/>
      <c r="AE699" s="1092"/>
      <c r="AF699" s="1092"/>
      <c r="AG699" s="1093"/>
      <c r="AH699" s="1094"/>
      <c r="AI699" s="1095"/>
      <c r="AJ699" s="1095"/>
      <c r="AK699" s="1095"/>
      <c r="AL699" s="1096"/>
      <c r="AM699" s="1076" t="str">
        <f t="shared" si="51"/>
        <v/>
      </c>
      <c r="AN699" s="1077"/>
      <c r="AO699" s="1078"/>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2" customHeight="1">
      <c r="B700" s="1079"/>
      <c r="C700" s="1080"/>
      <c r="D700" s="1080"/>
      <c r="E700" s="1080"/>
      <c r="F700" s="1081"/>
      <c r="G700" s="1082"/>
      <c r="H700" s="1083"/>
      <c r="I700" s="1083"/>
      <c r="J700" s="1084"/>
      <c r="K700" s="1085"/>
      <c r="L700" s="1086"/>
      <c r="M700" s="1086"/>
      <c r="N700" s="1087"/>
      <c r="O700" s="1088"/>
      <c r="P700" s="1089"/>
      <c r="Q700" s="1089"/>
      <c r="R700" s="1089"/>
      <c r="S700" s="1090"/>
      <c r="T700" s="1091">
        <f t="shared" si="49"/>
        <v>0</v>
      </c>
      <c r="U700" s="1092"/>
      <c r="V700" s="1092"/>
      <c r="W700" s="1092"/>
      <c r="X700" s="1093"/>
      <c r="Y700" s="1088"/>
      <c r="Z700" s="1089"/>
      <c r="AA700" s="1089"/>
      <c r="AB700" s="1090"/>
      <c r="AC700" s="1091">
        <f t="shared" si="50"/>
        <v>0</v>
      </c>
      <c r="AD700" s="1092"/>
      <c r="AE700" s="1092"/>
      <c r="AF700" s="1092"/>
      <c r="AG700" s="1093"/>
      <c r="AH700" s="1094"/>
      <c r="AI700" s="1095"/>
      <c r="AJ700" s="1095"/>
      <c r="AK700" s="1095"/>
      <c r="AL700" s="1096"/>
      <c r="AM700" s="1076" t="str">
        <f t="shared" si="51"/>
        <v/>
      </c>
      <c r="AN700" s="1077"/>
      <c r="AO700" s="1078"/>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2" customHeight="1">
      <c r="B701" s="1079"/>
      <c r="C701" s="1080"/>
      <c r="D701" s="1080"/>
      <c r="E701" s="1080"/>
      <c r="F701" s="1081"/>
      <c r="G701" s="1082"/>
      <c r="H701" s="1083"/>
      <c r="I701" s="1083"/>
      <c r="J701" s="1084"/>
      <c r="K701" s="1085"/>
      <c r="L701" s="1086"/>
      <c r="M701" s="1086"/>
      <c r="N701" s="1087"/>
      <c r="O701" s="1088"/>
      <c r="P701" s="1089"/>
      <c r="Q701" s="1089"/>
      <c r="R701" s="1089"/>
      <c r="S701" s="1090"/>
      <c r="T701" s="1091">
        <f t="shared" si="49"/>
        <v>0</v>
      </c>
      <c r="U701" s="1092"/>
      <c r="V701" s="1092"/>
      <c r="W701" s="1092"/>
      <c r="X701" s="1093"/>
      <c r="Y701" s="1088"/>
      <c r="Z701" s="1089"/>
      <c r="AA701" s="1089"/>
      <c r="AB701" s="1090"/>
      <c r="AC701" s="1091">
        <f t="shared" si="50"/>
        <v>0</v>
      </c>
      <c r="AD701" s="1092"/>
      <c r="AE701" s="1092"/>
      <c r="AF701" s="1092"/>
      <c r="AG701" s="1093"/>
      <c r="AH701" s="1094"/>
      <c r="AI701" s="1095"/>
      <c r="AJ701" s="1095"/>
      <c r="AK701" s="1095"/>
      <c r="AL701" s="1096"/>
      <c r="AM701" s="1076" t="str">
        <f t="shared" si="51"/>
        <v/>
      </c>
      <c r="AN701" s="1077"/>
      <c r="AO701" s="1078"/>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2"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49"/>
        <v>0</v>
      </c>
      <c r="U702" s="1092"/>
      <c r="V702" s="1092"/>
      <c r="W702" s="1092"/>
      <c r="X702" s="1093"/>
      <c r="Y702" s="1088"/>
      <c r="Z702" s="1089"/>
      <c r="AA702" s="1089"/>
      <c r="AB702" s="1090"/>
      <c r="AC702" s="1091">
        <f t="shared" si="50"/>
        <v>0</v>
      </c>
      <c r="AD702" s="1092"/>
      <c r="AE702" s="1092"/>
      <c r="AF702" s="1092"/>
      <c r="AG702" s="1093"/>
      <c r="AH702" s="1094"/>
      <c r="AI702" s="1095"/>
      <c r="AJ702" s="1095"/>
      <c r="AK702" s="1095"/>
      <c r="AL702" s="1096"/>
      <c r="AM702" s="1076" t="str">
        <f t="shared" si="51"/>
        <v/>
      </c>
      <c r="AN702" s="1077"/>
      <c r="AO702" s="1078"/>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2"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9"/>
        <v>0</v>
      </c>
      <c r="U703" s="1092"/>
      <c r="V703" s="1092"/>
      <c r="W703" s="1092"/>
      <c r="X703" s="1093"/>
      <c r="Y703" s="1088"/>
      <c r="Z703" s="1089"/>
      <c r="AA703" s="1089"/>
      <c r="AB703" s="1090"/>
      <c r="AC703" s="1091">
        <f t="shared" si="50"/>
        <v>0</v>
      </c>
      <c r="AD703" s="1092"/>
      <c r="AE703" s="1092"/>
      <c r="AF703" s="1092"/>
      <c r="AG703" s="1093"/>
      <c r="AH703" s="1094"/>
      <c r="AI703" s="1095"/>
      <c r="AJ703" s="1095"/>
      <c r="AK703" s="1095"/>
      <c r="AL703" s="1096"/>
      <c r="AM703" s="1076" t="str">
        <f t="shared" si="51"/>
        <v/>
      </c>
      <c r="AN703" s="1077"/>
      <c r="AO703" s="1078"/>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2"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49"/>
        <v>0</v>
      </c>
      <c r="U704" s="1092"/>
      <c r="V704" s="1092"/>
      <c r="W704" s="1092"/>
      <c r="X704" s="1093"/>
      <c r="Y704" s="1088"/>
      <c r="Z704" s="1089"/>
      <c r="AA704" s="1089"/>
      <c r="AB704" s="1090"/>
      <c r="AC704" s="1091">
        <f t="shared" si="50"/>
        <v>0</v>
      </c>
      <c r="AD704" s="1092"/>
      <c r="AE704" s="1092"/>
      <c r="AF704" s="1092"/>
      <c r="AG704" s="1093"/>
      <c r="AH704" s="1094"/>
      <c r="AI704" s="1095"/>
      <c r="AJ704" s="1095"/>
      <c r="AK704" s="1095"/>
      <c r="AL704" s="1096"/>
      <c r="AM704" s="1076" t="str">
        <f t="shared" si="51"/>
        <v/>
      </c>
      <c r="AN704" s="1077"/>
      <c r="AO704" s="1078"/>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2"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9"/>
        <v>0</v>
      </c>
      <c r="U705" s="1092"/>
      <c r="V705" s="1092"/>
      <c r="W705" s="1092"/>
      <c r="X705" s="1093"/>
      <c r="Y705" s="1088"/>
      <c r="Z705" s="1089"/>
      <c r="AA705" s="1089"/>
      <c r="AB705" s="1090"/>
      <c r="AC705" s="1091">
        <f t="shared" si="50"/>
        <v>0</v>
      </c>
      <c r="AD705" s="1092"/>
      <c r="AE705" s="1092"/>
      <c r="AF705" s="1092"/>
      <c r="AG705" s="1093"/>
      <c r="AH705" s="1094"/>
      <c r="AI705" s="1095"/>
      <c r="AJ705" s="1095"/>
      <c r="AK705" s="1095"/>
      <c r="AL705" s="1096"/>
      <c r="AM705" s="1076" t="str">
        <f t="shared" si="51"/>
        <v/>
      </c>
      <c r="AN705" s="1077"/>
      <c r="AO705" s="1078"/>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2"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9"/>
        <v>0</v>
      </c>
      <c r="U706" s="1092"/>
      <c r="V706" s="1092"/>
      <c r="W706" s="1092"/>
      <c r="X706" s="1093"/>
      <c r="Y706" s="1088"/>
      <c r="Z706" s="1089"/>
      <c r="AA706" s="1089"/>
      <c r="AB706" s="1090"/>
      <c r="AC706" s="1091">
        <f t="shared" si="50"/>
        <v>0</v>
      </c>
      <c r="AD706" s="1092"/>
      <c r="AE706" s="1092"/>
      <c r="AF706" s="1092"/>
      <c r="AG706" s="1093"/>
      <c r="AH706" s="1094"/>
      <c r="AI706" s="1095"/>
      <c r="AJ706" s="1095"/>
      <c r="AK706" s="1095"/>
      <c r="AL706" s="1096"/>
      <c r="AM706" s="1076" t="str">
        <f t="shared" si="51"/>
        <v/>
      </c>
      <c r="AN706" s="1077"/>
      <c r="AO706" s="1078"/>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2"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9"/>
        <v>0</v>
      </c>
      <c r="U707" s="1092"/>
      <c r="V707" s="1092"/>
      <c r="W707" s="1092"/>
      <c r="X707" s="1093"/>
      <c r="Y707" s="1088"/>
      <c r="Z707" s="1089"/>
      <c r="AA707" s="1089"/>
      <c r="AB707" s="1090"/>
      <c r="AC707" s="1091">
        <f t="shared" si="50"/>
        <v>0</v>
      </c>
      <c r="AD707" s="1092"/>
      <c r="AE707" s="1092"/>
      <c r="AF707" s="1092"/>
      <c r="AG707" s="1093"/>
      <c r="AH707" s="1094"/>
      <c r="AI707" s="1095"/>
      <c r="AJ707" s="1095"/>
      <c r="AK707" s="1095"/>
      <c r="AL707" s="1096"/>
      <c r="AM707" s="1076" t="str">
        <f t="shared" si="51"/>
        <v/>
      </c>
      <c r="AN707" s="1077"/>
      <c r="AO707" s="1078"/>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2"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9"/>
        <v>0</v>
      </c>
      <c r="U708" s="1092"/>
      <c r="V708" s="1092"/>
      <c r="W708" s="1092"/>
      <c r="X708" s="1093"/>
      <c r="Y708" s="1088"/>
      <c r="Z708" s="1089"/>
      <c r="AA708" s="1089"/>
      <c r="AB708" s="1090"/>
      <c r="AC708" s="1091">
        <f t="shared" si="50"/>
        <v>0</v>
      </c>
      <c r="AD708" s="1092"/>
      <c r="AE708" s="1092"/>
      <c r="AF708" s="1092"/>
      <c r="AG708" s="1093"/>
      <c r="AH708" s="1094"/>
      <c r="AI708" s="1095"/>
      <c r="AJ708" s="1095"/>
      <c r="AK708" s="1095"/>
      <c r="AL708" s="1096"/>
      <c r="AM708" s="1076" t="str">
        <f t="shared" si="51"/>
        <v/>
      </c>
      <c r="AN708" s="1077"/>
      <c r="AO708" s="1078"/>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2"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9"/>
        <v>0</v>
      </c>
      <c r="U709" s="1092"/>
      <c r="V709" s="1092"/>
      <c r="W709" s="1092"/>
      <c r="X709" s="1093"/>
      <c r="Y709" s="1088"/>
      <c r="Z709" s="1089"/>
      <c r="AA709" s="1089"/>
      <c r="AB709" s="1090"/>
      <c r="AC709" s="1091">
        <f t="shared" si="50"/>
        <v>0</v>
      </c>
      <c r="AD709" s="1092"/>
      <c r="AE709" s="1092"/>
      <c r="AF709" s="1092"/>
      <c r="AG709" s="1093"/>
      <c r="AH709" s="1094"/>
      <c r="AI709" s="1095"/>
      <c r="AJ709" s="1095"/>
      <c r="AK709" s="1095"/>
      <c r="AL709" s="1096"/>
      <c r="AM709" s="1076" t="str">
        <f t="shared" si="51"/>
        <v/>
      </c>
      <c r="AN709" s="1077"/>
      <c r="AO709" s="1078"/>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2"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9"/>
        <v>0</v>
      </c>
      <c r="U710" s="1092"/>
      <c r="V710" s="1092"/>
      <c r="W710" s="1092"/>
      <c r="X710" s="1093"/>
      <c r="Y710" s="1088"/>
      <c r="Z710" s="1089"/>
      <c r="AA710" s="1089"/>
      <c r="AB710" s="1090"/>
      <c r="AC710" s="1091">
        <f t="shared" si="50"/>
        <v>0</v>
      </c>
      <c r="AD710" s="1092"/>
      <c r="AE710" s="1092"/>
      <c r="AF710" s="1092"/>
      <c r="AG710" s="1093"/>
      <c r="AH710" s="1094"/>
      <c r="AI710" s="1095"/>
      <c r="AJ710" s="1095"/>
      <c r="AK710" s="1095"/>
      <c r="AL710" s="1096"/>
      <c r="AM710" s="1076" t="str">
        <f t="shared" si="51"/>
        <v/>
      </c>
      <c r="AN710" s="1077"/>
      <c r="AO710" s="1078"/>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2"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9"/>
        <v>0</v>
      </c>
      <c r="U711" s="1092"/>
      <c r="V711" s="1092"/>
      <c r="W711" s="1092"/>
      <c r="X711" s="1093"/>
      <c r="Y711" s="1088"/>
      <c r="Z711" s="1089"/>
      <c r="AA711" s="1089"/>
      <c r="AB711" s="1090"/>
      <c r="AC711" s="1091">
        <f t="shared" si="50"/>
        <v>0</v>
      </c>
      <c r="AD711" s="1092"/>
      <c r="AE711" s="1092"/>
      <c r="AF711" s="1092"/>
      <c r="AG711" s="1093"/>
      <c r="AH711" s="1094"/>
      <c r="AI711" s="1095"/>
      <c r="AJ711" s="1095"/>
      <c r="AK711" s="1095"/>
      <c r="AL711" s="1096"/>
      <c r="AM711" s="1076" t="str">
        <f t="shared" si="51"/>
        <v/>
      </c>
      <c r="AN711" s="1077"/>
      <c r="AO711" s="1078"/>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2"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9"/>
        <v>0</v>
      </c>
      <c r="U712" s="1092"/>
      <c r="V712" s="1092"/>
      <c r="W712" s="1092"/>
      <c r="X712" s="1093"/>
      <c r="Y712" s="1088"/>
      <c r="Z712" s="1089"/>
      <c r="AA712" s="1089"/>
      <c r="AB712" s="1090"/>
      <c r="AC712" s="1091">
        <f t="shared" si="50"/>
        <v>0</v>
      </c>
      <c r="AD712" s="1092"/>
      <c r="AE712" s="1092"/>
      <c r="AF712" s="1092"/>
      <c r="AG712" s="1093"/>
      <c r="AH712" s="1094"/>
      <c r="AI712" s="1095"/>
      <c r="AJ712" s="1095"/>
      <c r="AK712" s="1095"/>
      <c r="AL712" s="1096"/>
      <c r="AM712" s="1076" t="str">
        <f t="shared" si="51"/>
        <v/>
      </c>
      <c r="AN712" s="1077"/>
      <c r="AO712" s="1078"/>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2"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9"/>
        <v>0</v>
      </c>
      <c r="U713" s="1092"/>
      <c r="V713" s="1092"/>
      <c r="W713" s="1092"/>
      <c r="X713" s="1093"/>
      <c r="Y713" s="1088"/>
      <c r="Z713" s="1089"/>
      <c r="AA713" s="1089"/>
      <c r="AB713" s="1090"/>
      <c r="AC713" s="1091">
        <f t="shared" si="50"/>
        <v>0</v>
      </c>
      <c r="AD713" s="1092"/>
      <c r="AE713" s="1092"/>
      <c r="AF713" s="1092"/>
      <c r="AG713" s="1093"/>
      <c r="AH713" s="1094"/>
      <c r="AI713" s="1095"/>
      <c r="AJ713" s="1095"/>
      <c r="AK713" s="1095"/>
      <c r="AL713" s="1096"/>
      <c r="AM713" s="1076" t="str">
        <f t="shared" si="51"/>
        <v/>
      </c>
      <c r="AN713" s="1077"/>
      <c r="AO713" s="1078"/>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2"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9"/>
        <v>0</v>
      </c>
      <c r="U714" s="1092"/>
      <c r="V714" s="1092"/>
      <c r="W714" s="1092"/>
      <c r="X714" s="1093"/>
      <c r="Y714" s="1088"/>
      <c r="Z714" s="1089"/>
      <c r="AA714" s="1089"/>
      <c r="AB714" s="1090"/>
      <c r="AC714" s="1091">
        <f t="shared" si="50"/>
        <v>0</v>
      </c>
      <c r="AD714" s="1092"/>
      <c r="AE714" s="1092"/>
      <c r="AF714" s="1092"/>
      <c r="AG714" s="1093"/>
      <c r="AH714" s="1094"/>
      <c r="AI714" s="1095"/>
      <c r="AJ714" s="1095"/>
      <c r="AK714" s="1095"/>
      <c r="AL714" s="1096"/>
      <c r="AM714" s="1076" t="str">
        <f t="shared" si="51"/>
        <v/>
      </c>
      <c r="AN714" s="1077"/>
      <c r="AO714" s="1078"/>
      <c r="BA714" s="43"/>
      <c r="BB714" s="43"/>
      <c r="BC714" s="43"/>
      <c r="BD714" s="43"/>
      <c r="BE714" s="42"/>
      <c r="BF714" s="62" t="s">
        <v>875</v>
      </c>
      <c r="BG714" s="454">
        <f>SUM(BG689:BG713)</f>
        <v>46</v>
      </c>
      <c r="BH714" s="455">
        <f>SUM(BH689:BH713)</f>
        <v>1</v>
      </c>
      <c r="BI714" s="455">
        <f>SUM(BI689:BI713)</f>
        <v>0.29999999999999993</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2"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9"/>
        <v>0</v>
      </c>
      <c r="U715" s="1092"/>
      <c r="V715" s="1092"/>
      <c r="W715" s="1092"/>
      <c r="X715" s="1093"/>
      <c r="Y715" s="1088"/>
      <c r="Z715" s="1089"/>
      <c r="AA715" s="1089"/>
      <c r="AB715" s="1090"/>
      <c r="AC715" s="1091">
        <f t="shared" si="50"/>
        <v>0</v>
      </c>
      <c r="AD715" s="1092"/>
      <c r="AE715" s="1092"/>
      <c r="AF715" s="1092"/>
      <c r="AG715" s="1093"/>
      <c r="AH715" s="1094"/>
      <c r="AI715" s="1095"/>
      <c r="AJ715" s="1095"/>
      <c r="AK715" s="1095"/>
      <c r="AL715" s="1096"/>
      <c r="AM715" s="1076" t="str">
        <f t="shared" si="51"/>
        <v/>
      </c>
      <c r="AN715" s="1077"/>
      <c r="AO715" s="1078"/>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2"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9"/>
        <v>0</v>
      </c>
      <c r="U716" s="1092"/>
      <c r="V716" s="1092"/>
      <c r="W716" s="1092"/>
      <c r="X716" s="1093"/>
      <c r="Y716" s="1088"/>
      <c r="Z716" s="1089"/>
      <c r="AA716" s="1089"/>
      <c r="AB716" s="1090"/>
      <c r="AC716" s="1091">
        <f t="shared" si="50"/>
        <v>0</v>
      </c>
      <c r="AD716" s="1092"/>
      <c r="AE716" s="1092"/>
      <c r="AF716" s="1092"/>
      <c r="AG716" s="1093"/>
      <c r="AH716" s="1094"/>
      <c r="AI716" s="1095"/>
      <c r="AJ716" s="1095"/>
      <c r="AK716" s="1095"/>
      <c r="AL716" s="1096"/>
      <c r="AM716" s="1076" t="str">
        <f t="shared" si="51"/>
        <v/>
      </c>
      <c r="AN716" s="1077"/>
      <c r="AO716" s="1078"/>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2"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9"/>
        <v>0</v>
      </c>
      <c r="U717" s="1092"/>
      <c r="V717" s="1092"/>
      <c r="W717" s="1092"/>
      <c r="X717" s="1093"/>
      <c r="Y717" s="1088"/>
      <c r="Z717" s="1089"/>
      <c r="AA717" s="1089"/>
      <c r="AB717" s="1090"/>
      <c r="AC717" s="1091">
        <f t="shared" si="50"/>
        <v>0</v>
      </c>
      <c r="AD717" s="1092"/>
      <c r="AE717" s="1092"/>
      <c r="AF717" s="1092"/>
      <c r="AG717" s="1093"/>
      <c r="AH717" s="1094"/>
      <c r="AI717" s="1095"/>
      <c r="AJ717" s="1095"/>
      <c r="AK717" s="1095"/>
      <c r="AL717" s="1096"/>
      <c r="AM717" s="1076" t="str">
        <f t="shared" si="51"/>
        <v/>
      </c>
      <c r="AN717" s="1077"/>
      <c r="AO717" s="1078"/>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2"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9"/>
        <v>0</v>
      </c>
      <c r="U718" s="1092"/>
      <c r="V718" s="1092"/>
      <c r="W718" s="1092"/>
      <c r="X718" s="1093"/>
      <c r="Y718" s="1088"/>
      <c r="Z718" s="1089"/>
      <c r="AA718" s="1089"/>
      <c r="AB718" s="1090"/>
      <c r="AC718" s="1091">
        <f t="shared" si="50"/>
        <v>0</v>
      </c>
      <c r="AD718" s="1092"/>
      <c r="AE718" s="1092"/>
      <c r="AF718" s="1092"/>
      <c r="AG718" s="1093"/>
      <c r="AH718" s="1094"/>
      <c r="AI718" s="1095"/>
      <c r="AJ718" s="1095"/>
      <c r="AK718" s="1095"/>
      <c r="AL718" s="1096"/>
      <c r="AM718" s="1076" t="str">
        <f t="shared" si="51"/>
        <v/>
      </c>
      <c r="AN718" s="1077"/>
      <c r="AO718" s="1078"/>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2"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2">G719*O719</f>
        <v>0</v>
      </c>
      <c r="U719" s="1092"/>
      <c r="V719" s="1092"/>
      <c r="W719" s="1092"/>
      <c r="X719" s="1093"/>
      <c r="Y719" s="1088"/>
      <c r="Z719" s="1089"/>
      <c r="AA719" s="1089"/>
      <c r="AB719" s="1090"/>
      <c r="AC719" s="1091">
        <f t="shared" ref="AC719:AC728" si="53">O719+Y719</f>
        <v>0</v>
      </c>
      <c r="AD719" s="1092"/>
      <c r="AE719" s="1092"/>
      <c r="AF719" s="1092"/>
      <c r="AG719" s="1093"/>
      <c r="AH719" s="1094"/>
      <c r="AI719" s="1095"/>
      <c r="AJ719" s="1095"/>
      <c r="AK719" s="1095"/>
      <c r="AL719" s="1096"/>
      <c r="AM719" s="1076" t="str">
        <f t="shared" si="51"/>
        <v/>
      </c>
      <c r="AN719" s="1077"/>
      <c r="AO719" s="1078"/>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2"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2"/>
        <v>0</v>
      </c>
      <c r="U720" s="1092"/>
      <c r="V720" s="1092"/>
      <c r="W720" s="1092"/>
      <c r="X720" s="1093"/>
      <c r="Y720" s="1088"/>
      <c r="Z720" s="1089"/>
      <c r="AA720" s="1089"/>
      <c r="AB720" s="1090"/>
      <c r="AC720" s="1091">
        <f t="shared" si="53"/>
        <v>0</v>
      </c>
      <c r="AD720" s="1092"/>
      <c r="AE720" s="1092"/>
      <c r="AF720" s="1092"/>
      <c r="AG720" s="1093"/>
      <c r="AH720" s="1094"/>
      <c r="AI720" s="1095"/>
      <c r="AJ720" s="1095"/>
      <c r="AK720" s="1095"/>
      <c r="AL720" s="1096"/>
      <c r="AM720" s="1076" t="str">
        <f t="shared" si="51"/>
        <v/>
      </c>
      <c r="AN720" s="1077"/>
      <c r="AO720" s="1078"/>
      <c r="BA720" s="41"/>
      <c r="BB720" s="41"/>
      <c r="BC720" s="41"/>
      <c r="BD720" s="41"/>
      <c r="BE720" s="41"/>
      <c r="BF720" s="41"/>
      <c r="BG720" s="851">
        <f t="shared" ref="BG720:BG733" si="54">G695</f>
        <v>34</v>
      </c>
      <c r="BH720" s="855">
        <f>IF(BG720=0,"",BG720/$BG$745)</f>
        <v>0.73913043478260865</v>
      </c>
      <c r="BI720" s="856">
        <f>IF(BH720="","",BH720*AM695)</f>
        <v>0.22180614135362056</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2"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2"/>
        <v>0</v>
      </c>
      <c r="U721" s="1092"/>
      <c r="V721" s="1092"/>
      <c r="W721" s="1092"/>
      <c r="X721" s="1093"/>
      <c r="Y721" s="1088"/>
      <c r="Z721" s="1089"/>
      <c r="AA721" s="1089"/>
      <c r="AB721" s="1090"/>
      <c r="AC721" s="1091">
        <f t="shared" si="53"/>
        <v>0</v>
      </c>
      <c r="AD721" s="1092"/>
      <c r="AE721" s="1092"/>
      <c r="AF721" s="1092"/>
      <c r="AG721" s="1093"/>
      <c r="AH721" s="1094"/>
      <c r="AI721" s="1095"/>
      <c r="AJ721" s="1095"/>
      <c r="AK721" s="1095"/>
      <c r="AL721" s="1096"/>
      <c r="AM721" s="1076" t="str">
        <f t="shared" si="51"/>
        <v/>
      </c>
      <c r="AN721" s="1077"/>
      <c r="AO721" s="1078"/>
      <c r="BA721" s="41"/>
      <c r="BB721" s="41"/>
      <c r="BC721" s="41"/>
      <c r="BD721" s="41"/>
      <c r="BE721" s="41"/>
      <c r="BF721" s="41"/>
      <c r="BG721" s="851">
        <f t="shared" si="54"/>
        <v>12</v>
      </c>
      <c r="BH721" s="855">
        <f t="shared" ref="BH721:BH744" si="55">IF(BG721=0,"",BG721/$BG$745)</f>
        <v>0.2608695652173913</v>
      </c>
      <c r="BI721" s="856">
        <f t="shared" ref="BI721:BI744" si="56">IF(BH721="","",BH721*AM696)</f>
        <v>7.8238799382034874E-2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2"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2"/>
        <v>0</v>
      </c>
      <c r="U722" s="1092"/>
      <c r="V722" s="1092"/>
      <c r="W722" s="1092"/>
      <c r="X722" s="1093"/>
      <c r="Y722" s="1088"/>
      <c r="Z722" s="1089"/>
      <c r="AA722" s="1089"/>
      <c r="AB722" s="1090"/>
      <c r="AC722" s="1091">
        <f t="shared" si="53"/>
        <v>0</v>
      </c>
      <c r="AD722" s="1092"/>
      <c r="AE722" s="1092"/>
      <c r="AF722" s="1092"/>
      <c r="AG722" s="1093"/>
      <c r="AH722" s="1094"/>
      <c r="AI722" s="1095"/>
      <c r="AJ722" s="1095"/>
      <c r="AK722" s="1095"/>
      <c r="AL722" s="1096"/>
      <c r="AM722" s="1076" t="str">
        <f t="shared" si="51"/>
        <v/>
      </c>
      <c r="AN722" s="1077"/>
      <c r="AO722" s="1078"/>
      <c r="BA722" s="41"/>
      <c r="BB722" s="41"/>
      <c r="BC722" s="41"/>
      <c r="BD722" s="41"/>
      <c r="BE722" s="43"/>
      <c r="BF722" s="43"/>
      <c r="BG722" s="851">
        <f t="shared" si="54"/>
        <v>0</v>
      </c>
      <c r="BH722" s="855" t="str">
        <f t="shared" si="55"/>
        <v/>
      </c>
      <c r="BI722" s="856" t="str">
        <f t="shared" si="56"/>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2"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2"/>
        <v>0</v>
      </c>
      <c r="U723" s="1092"/>
      <c r="V723" s="1092"/>
      <c r="W723" s="1092"/>
      <c r="X723" s="1093"/>
      <c r="Y723" s="1088"/>
      <c r="Z723" s="1089"/>
      <c r="AA723" s="1089"/>
      <c r="AB723" s="1090"/>
      <c r="AC723" s="1091">
        <f t="shared" si="53"/>
        <v>0</v>
      </c>
      <c r="AD723" s="1092"/>
      <c r="AE723" s="1092"/>
      <c r="AF723" s="1092"/>
      <c r="AG723" s="1093"/>
      <c r="AH723" s="1094"/>
      <c r="AI723" s="1095"/>
      <c r="AJ723" s="1095"/>
      <c r="AK723" s="1095"/>
      <c r="AL723" s="1096"/>
      <c r="AM723" s="1076" t="str">
        <f t="shared" si="51"/>
        <v/>
      </c>
      <c r="AN723" s="1077"/>
      <c r="AO723" s="1078"/>
      <c r="BA723" s="41"/>
      <c r="BB723" s="41"/>
      <c r="BC723" s="41"/>
      <c r="BD723" s="41"/>
      <c r="BE723" s="43"/>
      <c r="BF723" s="43"/>
      <c r="BG723" s="851">
        <f t="shared" si="54"/>
        <v>0</v>
      </c>
      <c r="BH723" s="855" t="str">
        <f t="shared" si="55"/>
        <v/>
      </c>
      <c r="BI723" s="856" t="str">
        <f t="shared" si="56"/>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2"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2"/>
        <v>0</v>
      </c>
      <c r="U724" s="1092"/>
      <c r="V724" s="1092"/>
      <c r="W724" s="1092"/>
      <c r="X724" s="1093"/>
      <c r="Y724" s="1088"/>
      <c r="Z724" s="1089"/>
      <c r="AA724" s="1089"/>
      <c r="AB724" s="1090"/>
      <c r="AC724" s="1091">
        <f t="shared" si="53"/>
        <v>0</v>
      </c>
      <c r="AD724" s="1092"/>
      <c r="AE724" s="1092"/>
      <c r="AF724" s="1092"/>
      <c r="AG724" s="1093"/>
      <c r="AH724" s="1094"/>
      <c r="AI724" s="1095"/>
      <c r="AJ724" s="1095"/>
      <c r="AK724" s="1095"/>
      <c r="AL724" s="1096"/>
      <c r="AM724" s="1076" t="str">
        <f t="shared" si="51"/>
        <v/>
      </c>
      <c r="AN724" s="1077"/>
      <c r="AO724" s="1078"/>
      <c r="BA724" s="41"/>
      <c r="BB724" s="41"/>
      <c r="BC724" s="41"/>
      <c r="BD724" s="41"/>
      <c r="BE724" s="43"/>
      <c r="BF724" s="43"/>
      <c r="BG724" s="851">
        <f t="shared" si="54"/>
        <v>0</v>
      </c>
      <c r="BH724" s="855" t="str">
        <f t="shared" si="55"/>
        <v/>
      </c>
      <c r="BI724" s="856" t="str">
        <f t="shared" si="5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2"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2"/>
        <v>0</v>
      </c>
      <c r="U725" s="1092"/>
      <c r="V725" s="1092"/>
      <c r="W725" s="1092"/>
      <c r="X725" s="1093"/>
      <c r="Y725" s="1088"/>
      <c r="Z725" s="1089"/>
      <c r="AA725" s="1089"/>
      <c r="AB725" s="1090"/>
      <c r="AC725" s="1091">
        <f t="shared" si="53"/>
        <v>0</v>
      </c>
      <c r="AD725" s="1092"/>
      <c r="AE725" s="1092"/>
      <c r="AF725" s="1092"/>
      <c r="AG725" s="1093"/>
      <c r="AH725" s="1094"/>
      <c r="AI725" s="1095"/>
      <c r="AJ725" s="1095"/>
      <c r="AK725" s="1095"/>
      <c r="AL725" s="1096"/>
      <c r="AM725" s="1076" t="str">
        <f t="shared" si="51"/>
        <v/>
      </c>
      <c r="AN725" s="1077"/>
      <c r="AO725" s="1078"/>
      <c r="BA725" s="41"/>
      <c r="BB725" s="41"/>
      <c r="BC725" s="41"/>
      <c r="BD725" s="41"/>
      <c r="BE725" s="43"/>
      <c r="BF725" s="43"/>
      <c r="BG725" s="851">
        <f t="shared" si="54"/>
        <v>0</v>
      </c>
      <c r="BH725" s="855" t="str">
        <f t="shared" si="55"/>
        <v/>
      </c>
      <c r="BI725" s="856" t="str">
        <f t="shared" si="5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2"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2"/>
        <v>0</v>
      </c>
      <c r="U726" s="1092"/>
      <c r="V726" s="1092"/>
      <c r="W726" s="1092"/>
      <c r="X726" s="1093"/>
      <c r="Y726" s="1088"/>
      <c r="Z726" s="1089"/>
      <c r="AA726" s="1089"/>
      <c r="AB726" s="1090"/>
      <c r="AC726" s="1091">
        <f t="shared" si="53"/>
        <v>0</v>
      </c>
      <c r="AD726" s="1092"/>
      <c r="AE726" s="1092"/>
      <c r="AF726" s="1092"/>
      <c r="AG726" s="1093"/>
      <c r="AH726" s="1094"/>
      <c r="AI726" s="1095"/>
      <c r="AJ726" s="1095"/>
      <c r="AK726" s="1095"/>
      <c r="AL726" s="1096"/>
      <c r="AM726" s="1076" t="str">
        <f t="shared" si="51"/>
        <v/>
      </c>
      <c r="AN726" s="1077"/>
      <c r="AO726" s="1078"/>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2"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2"/>
        <v>0</v>
      </c>
      <c r="U727" s="1092"/>
      <c r="V727" s="1092"/>
      <c r="W727" s="1092"/>
      <c r="X727" s="1093"/>
      <c r="Y727" s="1088"/>
      <c r="Z727" s="1089"/>
      <c r="AA727" s="1089"/>
      <c r="AB727" s="1090"/>
      <c r="AC727" s="1091">
        <f t="shared" si="53"/>
        <v>0</v>
      </c>
      <c r="AD727" s="1092"/>
      <c r="AE727" s="1092"/>
      <c r="AF727" s="1092"/>
      <c r="AG727" s="1093"/>
      <c r="AH727" s="1094"/>
      <c r="AI727" s="1095"/>
      <c r="AJ727" s="1095"/>
      <c r="AK727" s="1095"/>
      <c r="AL727" s="1096"/>
      <c r="AM727" s="1076" t="str">
        <f t="shared" si="51"/>
        <v/>
      </c>
      <c r="AN727" s="1077"/>
      <c r="AO727" s="1078"/>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2"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2"/>
        <v>0</v>
      </c>
      <c r="U728" s="1092"/>
      <c r="V728" s="1092"/>
      <c r="W728" s="1092"/>
      <c r="X728" s="1093"/>
      <c r="Y728" s="1088"/>
      <c r="Z728" s="1089"/>
      <c r="AA728" s="1089"/>
      <c r="AB728" s="1090"/>
      <c r="AC728" s="1091">
        <f t="shared" si="53"/>
        <v>0</v>
      </c>
      <c r="AD728" s="1092"/>
      <c r="AE728" s="1092"/>
      <c r="AF728" s="1092"/>
      <c r="AG728" s="1093"/>
      <c r="AH728" s="1094"/>
      <c r="AI728" s="1095"/>
      <c r="AJ728" s="1095"/>
      <c r="AK728" s="1095"/>
      <c r="AL728" s="1096"/>
      <c r="AM728" s="1076" t="str">
        <f t="shared" si="51"/>
        <v/>
      </c>
      <c r="AN728" s="1077"/>
      <c r="AO728" s="1078"/>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9"/>
        <v>0</v>
      </c>
      <c r="U729" s="1092"/>
      <c r="V729" s="1092"/>
      <c r="W729" s="1092"/>
      <c r="X729" s="1093"/>
      <c r="Y729" s="1088"/>
      <c r="Z729" s="1089"/>
      <c r="AA729" s="1089"/>
      <c r="AB729" s="1090"/>
      <c r="AC729" s="1091">
        <f t="shared" si="50"/>
        <v>0</v>
      </c>
      <c r="AD729" s="1092"/>
      <c r="AE729" s="1092"/>
      <c r="AF729" s="1092"/>
      <c r="AG729" s="1093"/>
      <c r="AH729" s="1094"/>
      <c r="AI729" s="1095"/>
      <c r="AJ729" s="1095"/>
      <c r="AK729" s="1095"/>
      <c r="AL729" s="1096"/>
      <c r="AM729" s="1076" t="str">
        <f>IF($AH729&gt;0,($AC729/$BA702), "")</f>
        <v/>
      </c>
      <c r="AN729" s="1077"/>
      <c r="AO729" s="1078"/>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104" t="s">
        <v>877</v>
      </c>
      <c r="C730" s="1105"/>
      <c r="D730" s="1105"/>
      <c r="E730" s="1105"/>
      <c r="F730" s="1107"/>
      <c r="G730" s="1301">
        <f>SUM(G695:J729)</f>
        <v>46</v>
      </c>
      <c r="H730" s="1302"/>
      <c r="I730" s="1302"/>
      <c r="J730" s="1303"/>
      <c r="O730" s="430" t="s">
        <v>876</v>
      </c>
      <c r="P730" s="168"/>
      <c r="Q730" s="168"/>
      <c r="R730" s="168"/>
      <c r="S730" s="842"/>
      <c r="T730" s="1091">
        <f>SUM(T695:X729)</f>
        <v>31016</v>
      </c>
      <c r="U730" s="1092"/>
      <c r="V730" s="1092"/>
      <c r="W730" s="1092"/>
      <c r="X730" s="1093"/>
      <c r="AC730" s="843" t="s">
        <v>1139</v>
      </c>
      <c r="AD730" s="844"/>
      <c r="AE730" s="844"/>
      <c r="AF730" s="844"/>
      <c r="AG730" s="845"/>
      <c r="AH730" s="1508">
        <f>BI714</f>
        <v>0.29999999999999993</v>
      </c>
      <c r="AI730" s="1509"/>
      <c r="AJ730" s="1509"/>
      <c r="AK730" s="1509"/>
      <c r="AL730" s="1510"/>
      <c r="AM730" s="1508">
        <f>IFERROR(BI745,0)</f>
        <v>0.30004494073565546</v>
      </c>
      <c r="AN730" s="1509"/>
      <c r="AO730" s="1510"/>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62"/>
      <c r="C731" s="1111" t="s">
        <v>2062</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C733" s="270" t="s">
        <v>2063</v>
      </c>
      <c r="D733" s="922"/>
      <c r="E733" s="922"/>
      <c r="F733" s="922"/>
      <c r="G733" s="923"/>
      <c r="H733" s="923"/>
      <c r="I733" s="923"/>
      <c r="J733" s="923"/>
      <c r="K733" s="922"/>
      <c r="L733" s="922"/>
      <c r="M733" s="922"/>
      <c r="N733" s="922"/>
      <c r="O733" s="1241">
        <f>CQ628</f>
        <v>46</v>
      </c>
      <c r="P733" s="1241"/>
      <c r="Q733" s="1241"/>
      <c r="R733" s="1241"/>
      <c r="S733" s="924"/>
      <c r="T733" s="924"/>
      <c r="U733" s="270" t="s">
        <v>2064</v>
      </c>
      <c r="V733" s="922"/>
      <c r="W733" s="922"/>
      <c r="X733" s="922"/>
      <c r="Y733" s="923"/>
      <c r="Z733" s="923"/>
      <c r="AA733" s="923"/>
      <c r="AB733" s="923"/>
      <c r="AC733" s="922"/>
      <c r="AD733" s="922"/>
      <c r="AE733" s="922"/>
      <c r="AF733" s="922"/>
      <c r="AG733" s="1306">
        <v>46</v>
      </c>
      <c r="AH733" s="1306"/>
      <c r="AI733" s="1306"/>
      <c r="AJ733" s="1306"/>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124</v>
      </c>
      <c r="AA736" s="1514"/>
      <c r="AB736" s="1514"/>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2">
        <f>SUM(BG720:BG744)</f>
        <v>46</v>
      </c>
      <c r="BH745" s="853">
        <f>SUM(BH720:BH744)</f>
        <v>1</v>
      </c>
      <c r="BI745" s="853">
        <f>SUM(BI720:BI744)</f>
        <v>0.30004494073565546</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J748" s="1268" t="s">
        <v>54</v>
      </c>
      <c r="K748" s="1269"/>
      <c r="L748" s="1269"/>
      <c r="M748" s="1269"/>
      <c r="N748" s="1270"/>
      <c r="O748" s="1225" t="s">
        <v>256</v>
      </c>
      <c r="P748" s="1225"/>
      <c r="Q748" s="1225"/>
      <c r="R748" s="1225"/>
      <c r="S748" s="1225"/>
      <c r="T748" s="1457" t="s">
        <v>1996</v>
      </c>
      <c r="U748" s="1458"/>
      <c r="V748" s="1458"/>
      <c r="W748" s="1459"/>
      <c r="X748" s="1268" t="s">
        <v>589</v>
      </c>
      <c r="Y748" s="1269"/>
      <c r="Z748" s="1269"/>
      <c r="AA748" s="1269"/>
      <c r="AB748" s="1270"/>
      <c r="AC748" s="1268" t="s">
        <v>257</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J749" s="1271"/>
      <c r="K749" s="1272"/>
      <c r="L749" s="1272"/>
      <c r="M749" s="1272"/>
      <c r="N749" s="1273"/>
      <c r="O749" s="1225"/>
      <c r="P749" s="1225"/>
      <c r="Q749" s="1225"/>
      <c r="R749" s="1225"/>
      <c r="S749" s="1225"/>
      <c r="T749" s="1460"/>
      <c r="U749" s="1461"/>
      <c r="V749" s="1461"/>
      <c r="W749" s="1462"/>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J750" s="1271"/>
      <c r="K750" s="1272"/>
      <c r="L750" s="1272"/>
      <c r="M750" s="1272"/>
      <c r="N750" s="1273"/>
      <c r="O750" s="1225"/>
      <c r="P750" s="1225"/>
      <c r="Q750" s="1225"/>
      <c r="R750" s="1225"/>
      <c r="S750" s="1225"/>
      <c r="T750" s="1460"/>
      <c r="U750" s="1461"/>
      <c r="V750" s="1461"/>
      <c r="W750" s="1462"/>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2" customHeight="1">
      <c r="J751" s="1274"/>
      <c r="K751" s="1275"/>
      <c r="L751" s="1275"/>
      <c r="M751" s="1275"/>
      <c r="N751" s="1276"/>
      <c r="O751" s="1225"/>
      <c r="P751" s="1225"/>
      <c r="Q751" s="1225"/>
      <c r="R751" s="1225"/>
      <c r="S751" s="1225"/>
      <c r="T751" s="1511"/>
      <c r="U751" s="1512"/>
      <c r="V751" s="1512"/>
      <c r="W751" s="1513"/>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2" customHeight="1">
      <c r="J752" s="1079" t="s">
        <v>780</v>
      </c>
      <c r="K752" s="1080"/>
      <c r="L752" s="1080"/>
      <c r="M752" s="1080"/>
      <c r="N752" s="1081"/>
      <c r="O752" s="1242">
        <v>1</v>
      </c>
      <c r="P752" s="1242"/>
      <c r="Q752" s="1242"/>
      <c r="R752" s="1242"/>
      <c r="S752" s="1242"/>
      <c r="T752" s="1085">
        <v>814</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J753" s="1079"/>
      <c r="K753" s="1080"/>
      <c r="L753" s="1080"/>
      <c r="M753" s="1080"/>
      <c r="N753" s="1081"/>
      <c r="O753" s="1242"/>
      <c r="P753" s="1242"/>
      <c r="Q753" s="1242"/>
      <c r="R753" s="1242"/>
      <c r="S753" s="1242"/>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J754" s="1079"/>
      <c r="K754" s="1080"/>
      <c r="L754" s="1080"/>
      <c r="M754" s="1080"/>
      <c r="N754" s="1081"/>
      <c r="O754" s="1242"/>
      <c r="P754" s="1242"/>
      <c r="Q754" s="1242"/>
      <c r="R754" s="1242"/>
      <c r="S754" s="1242"/>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J755" s="1079"/>
      <c r="K755" s="1080"/>
      <c r="L755" s="1080"/>
      <c r="M755" s="1080"/>
      <c r="N755" s="1081"/>
      <c r="O755" s="1242"/>
      <c r="P755" s="1242"/>
      <c r="Q755" s="1242"/>
      <c r="R755" s="1242"/>
      <c r="S755" s="1242"/>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J756" s="1104" t="s">
        <v>877</v>
      </c>
      <c r="K756" s="1105"/>
      <c r="L756" s="1105"/>
      <c r="M756" s="1105"/>
      <c r="N756" s="1107"/>
      <c r="O756" s="1074">
        <f>SUM(O752:S755)</f>
        <v>1</v>
      </c>
      <c r="P756" s="1305"/>
      <c r="Q756" s="1305"/>
      <c r="R756" s="1305"/>
      <c r="S756" s="1075"/>
      <c r="X756" s="1104" t="s">
        <v>876</v>
      </c>
      <c r="Y756" s="1105"/>
      <c r="Z756" s="1105"/>
      <c r="AA756" s="1105"/>
      <c r="AB756" s="1107"/>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B758" s="62"/>
      <c r="C758" s="62"/>
      <c r="D758" s="62"/>
      <c r="E758" s="62"/>
      <c r="F758" s="62"/>
      <c r="G758" s="10"/>
      <c r="H758" s="10"/>
      <c r="I758" s="10"/>
      <c r="J758" s="1115" t="s">
        <v>483</v>
      </c>
      <c r="K758" s="1115"/>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J762" s="1268" t="s">
        <v>54</v>
      </c>
      <c r="K762" s="1269"/>
      <c r="L762" s="1269"/>
      <c r="M762" s="1269"/>
      <c r="N762" s="1270"/>
      <c r="O762" s="1225" t="s">
        <v>256</v>
      </c>
      <c r="P762" s="1225"/>
      <c r="Q762" s="1225"/>
      <c r="R762" s="1225"/>
      <c r="S762" s="1225"/>
      <c r="T762" s="1457" t="s">
        <v>1996</v>
      </c>
      <c r="U762" s="1458"/>
      <c r="V762" s="1458"/>
      <c r="W762" s="1459"/>
      <c r="X762" s="1268" t="s">
        <v>589</v>
      </c>
      <c r="Y762" s="1269"/>
      <c r="Z762" s="1269"/>
      <c r="AA762" s="1269"/>
      <c r="AB762" s="1270"/>
      <c r="AC762" s="1268" t="s">
        <v>257</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J763" s="1271"/>
      <c r="K763" s="1272"/>
      <c r="L763" s="1272"/>
      <c r="M763" s="1272"/>
      <c r="N763" s="1273"/>
      <c r="O763" s="1225"/>
      <c r="P763" s="1225"/>
      <c r="Q763" s="1225"/>
      <c r="R763" s="1225"/>
      <c r="S763" s="1225"/>
      <c r="T763" s="1460"/>
      <c r="U763" s="1461"/>
      <c r="V763" s="1461"/>
      <c r="W763" s="1462"/>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J764" s="1271"/>
      <c r="K764" s="1272"/>
      <c r="L764" s="1272"/>
      <c r="M764" s="1272"/>
      <c r="N764" s="1273"/>
      <c r="O764" s="1225"/>
      <c r="P764" s="1225"/>
      <c r="Q764" s="1225"/>
      <c r="R764" s="1225"/>
      <c r="S764" s="1225"/>
      <c r="T764" s="1460"/>
      <c r="U764" s="1461"/>
      <c r="V764" s="1461"/>
      <c r="W764" s="1462"/>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J765" s="1274"/>
      <c r="K765" s="1275"/>
      <c r="L765" s="1275"/>
      <c r="M765" s="1275"/>
      <c r="N765" s="1276"/>
      <c r="O765" s="1225"/>
      <c r="P765" s="1225"/>
      <c r="Q765" s="1225"/>
      <c r="R765" s="1225"/>
      <c r="S765" s="1225"/>
      <c r="T765" s="1511"/>
      <c r="U765" s="1512"/>
      <c r="V765" s="1512"/>
      <c r="W765" s="1513"/>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J766" s="1079"/>
      <c r="K766" s="1080"/>
      <c r="L766" s="1080"/>
      <c r="M766" s="1080"/>
      <c r="N766" s="1081"/>
      <c r="O766" s="1242"/>
      <c r="P766" s="1242"/>
      <c r="Q766" s="1242"/>
      <c r="R766" s="1242"/>
      <c r="S766" s="1242"/>
      <c r="T766" s="1085"/>
      <c r="U766" s="1086"/>
      <c r="V766" s="1086"/>
      <c r="W766" s="1087"/>
      <c r="X766" s="1088"/>
      <c r="Y766" s="1089"/>
      <c r="Z766" s="1089"/>
      <c r="AA766" s="1089"/>
      <c r="AB766" s="1090"/>
      <c r="AC766" s="1091">
        <f t="shared" ref="AC766:AC775" si="58">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J767" s="1079"/>
      <c r="K767" s="1080"/>
      <c r="L767" s="1080"/>
      <c r="M767" s="1080"/>
      <c r="N767" s="1081"/>
      <c r="O767" s="1242"/>
      <c r="P767" s="1242"/>
      <c r="Q767" s="1242"/>
      <c r="R767" s="1242"/>
      <c r="S767" s="1242"/>
      <c r="T767" s="1085"/>
      <c r="U767" s="1086"/>
      <c r="V767" s="1086"/>
      <c r="W767" s="1087"/>
      <c r="X767" s="1088"/>
      <c r="Y767" s="1089"/>
      <c r="Z767" s="1089"/>
      <c r="AA767" s="1089"/>
      <c r="AB767" s="1090"/>
      <c r="AC767" s="1091">
        <f t="shared" si="58"/>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J768" s="1079"/>
      <c r="K768" s="1080"/>
      <c r="L768" s="1080"/>
      <c r="M768" s="1080"/>
      <c r="N768" s="1081"/>
      <c r="O768" s="1242"/>
      <c r="P768" s="1242"/>
      <c r="Q768" s="1242"/>
      <c r="R768" s="1242"/>
      <c r="S768" s="1242"/>
      <c r="T768" s="1085"/>
      <c r="U768" s="1086"/>
      <c r="V768" s="1086"/>
      <c r="W768" s="1087"/>
      <c r="X768" s="1088"/>
      <c r="Y768" s="1089"/>
      <c r="Z768" s="1089"/>
      <c r="AA768" s="1089"/>
      <c r="AB768" s="1090"/>
      <c r="AC768" s="1091">
        <f t="shared" si="58"/>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 customHeight="1">
      <c r="J769" s="1079"/>
      <c r="K769" s="1080"/>
      <c r="L769" s="1080"/>
      <c r="M769" s="1080"/>
      <c r="N769" s="1081"/>
      <c r="O769" s="1242"/>
      <c r="P769" s="1242"/>
      <c r="Q769" s="1242"/>
      <c r="R769" s="1242"/>
      <c r="S769" s="1242"/>
      <c r="T769" s="1085"/>
      <c r="U769" s="1086"/>
      <c r="V769" s="1086"/>
      <c r="W769" s="1087"/>
      <c r="X769" s="1088"/>
      <c r="Y769" s="1089"/>
      <c r="Z769" s="1089"/>
      <c r="AA769" s="1089"/>
      <c r="AB769" s="1090"/>
      <c r="AC769" s="1091">
        <f t="shared" si="58"/>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 customHeight="1">
      <c r="J770" s="1079"/>
      <c r="K770" s="1080"/>
      <c r="L770" s="1080"/>
      <c r="M770" s="1080"/>
      <c r="N770" s="1081"/>
      <c r="O770" s="1242"/>
      <c r="P770" s="1242"/>
      <c r="Q770" s="1242"/>
      <c r="R770" s="1242"/>
      <c r="S770" s="1242"/>
      <c r="T770" s="1085"/>
      <c r="U770" s="1086"/>
      <c r="V770" s="1086"/>
      <c r="W770" s="1087"/>
      <c r="X770" s="1088"/>
      <c r="Y770" s="1089"/>
      <c r="Z770" s="1089"/>
      <c r="AA770" s="1089"/>
      <c r="AB770" s="1090"/>
      <c r="AC770" s="1091">
        <f t="shared" si="58"/>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 customHeight="1">
      <c r="J771" s="1079"/>
      <c r="K771" s="1080"/>
      <c r="L771" s="1080"/>
      <c r="M771" s="1080"/>
      <c r="N771" s="1081"/>
      <c r="O771" s="1242"/>
      <c r="P771" s="1242"/>
      <c r="Q771" s="1242"/>
      <c r="R771" s="1242"/>
      <c r="S771" s="1242"/>
      <c r="T771" s="1085"/>
      <c r="U771" s="1086"/>
      <c r="V771" s="1086"/>
      <c r="W771" s="1087"/>
      <c r="X771" s="1088"/>
      <c r="Y771" s="1089"/>
      <c r="Z771" s="1089"/>
      <c r="AA771" s="1089"/>
      <c r="AB771" s="1090"/>
      <c r="AC771" s="1091">
        <f t="shared" si="58"/>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 customHeight="1">
      <c r="J772" s="1079"/>
      <c r="K772" s="1080"/>
      <c r="L772" s="1080"/>
      <c r="M772" s="1080"/>
      <c r="N772" s="1081"/>
      <c r="O772" s="1242"/>
      <c r="P772" s="1242"/>
      <c r="Q772" s="1242"/>
      <c r="R772" s="1242"/>
      <c r="S772" s="1242"/>
      <c r="T772" s="1085"/>
      <c r="U772" s="1086"/>
      <c r="V772" s="1086"/>
      <c r="W772" s="1087"/>
      <c r="X772" s="1088"/>
      <c r="Y772" s="1089"/>
      <c r="Z772" s="1089"/>
      <c r="AA772" s="1089"/>
      <c r="AB772" s="1090"/>
      <c r="AC772" s="1091">
        <f t="shared" si="58"/>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 customHeight="1">
      <c r="J773" s="1079"/>
      <c r="K773" s="1080"/>
      <c r="L773" s="1080"/>
      <c r="M773" s="1080"/>
      <c r="N773" s="1081"/>
      <c r="O773" s="1242"/>
      <c r="P773" s="1242"/>
      <c r="Q773" s="1242"/>
      <c r="R773" s="1242"/>
      <c r="S773" s="1242"/>
      <c r="T773" s="1085"/>
      <c r="U773" s="1086"/>
      <c r="V773" s="1086"/>
      <c r="W773" s="1087"/>
      <c r="X773" s="1088"/>
      <c r="Y773" s="1089"/>
      <c r="Z773" s="1089"/>
      <c r="AA773" s="1089"/>
      <c r="AB773" s="1090"/>
      <c r="AC773" s="1091">
        <f t="shared" si="58"/>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 customHeight="1">
      <c r="J774" s="1079"/>
      <c r="K774" s="1080"/>
      <c r="L774" s="1080"/>
      <c r="M774" s="1080"/>
      <c r="N774" s="1081"/>
      <c r="O774" s="1242"/>
      <c r="P774" s="1242"/>
      <c r="Q774" s="1242"/>
      <c r="R774" s="1242"/>
      <c r="S774" s="1242"/>
      <c r="T774" s="1085"/>
      <c r="U774" s="1086"/>
      <c r="V774" s="1086"/>
      <c r="W774" s="1087"/>
      <c r="X774" s="1088"/>
      <c r="Y774" s="1089"/>
      <c r="Z774" s="1089"/>
      <c r="AA774" s="1089"/>
      <c r="AB774" s="1090"/>
      <c r="AC774" s="1091">
        <f t="shared" si="58"/>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 customHeight="1">
      <c r="J775" s="1079"/>
      <c r="K775" s="1080"/>
      <c r="L775" s="1080"/>
      <c r="M775" s="1080"/>
      <c r="N775" s="1081"/>
      <c r="O775" s="1242"/>
      <c r="P775" s="1242"/>
      <c r="Q775" s="1242"/>
      <c r="R775" s="1242"/>
      <c r="S775" s="1242"/>
      <c r="T775" s="1085"/>
      <c r="U775" s="1086"/>
      <c r="V775" s="1086"/>
      <c r="W775" s="1087"/>
      <c r="X775" s="1088"/>
      <c r="Y775" s="1089"/>
      <c r="Z775" s="1089"/>
      <c r="AA775" s="1089"/>
      <c r="AB775" s="1090"/>
      <c r="AC775" s="1091">
        <f t="shared" si="58"/>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 customHeight="1">
      <c r="J776" s="1104" t="s">
        <v>877</v>
      </c>
      <c r="K776" s="1105"/>
      <c r="L776" s="1105"/>
      <c r="M776" s="1105"/>
      <c r="N776" s="1107"/>
      <c r="O776" s="1241">
        <f>SUM(O766:S775)</f>
        <v>0</v>
      </c>
      <c r="P776" s="1241"/>
      <c r="Q776" s="1241"/>
      <c r="R776" s="1241"/>
      <c r="S776" s="1241"/>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 customHeight="1">
      <c r="J779" s="8"/>
      <c r="K779" s="9"/>
      <c r="L779" s="9"/>
      <c r="M779" s="9"/>
      <c r="N779" s="9"/>
      <c r="O779" s="9"/>
      <c r="P779" s="9"/>
      <c r="Q779" s="9"/>
      <c r="R779" s="9"/>
      <c r="S779" s="9"/>
      <c r="T779" s="9"/>
      <c r="U779" s="9"/>
      <c r="V779" s="9"/>
      <c r="W779" s="9"/>
      <c r="X779" s="60" t="s">
        <v>778</v>
      </c>
      <c r="Y779" s="1300">
        <f>T730+AC756+AC776</f>
        <v>31016</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 customHeight="1">
      <c r="J780" s="53"/>
      <c r="K780" s="54"/>
      <c r="L780" s="54"/>
      <c r="M780" s="54"/>
      <c r="N780" s="54"/>
      <c r="O780" s="54"/>
      <c r="P780" s="54"/>
      <c r="Q780" s="54"/>
      <c r="R780" s="54"/>
      <c r="S780" s="54"/>
      <c r="T780" s="54"/>
      <c r="U780" s="54"/>
      <c r="V780" s="54"/>
      <c r="W780" s="54"/>
      <c r="X780" s="171" t="s">
        <v>779</v>
      </c>
      <c r="Y780" s="1300">
        <f>(T730+AC756+AC776)*12</f>
        <v>372192</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H785" s="8" t="s">
        <v>328</v>
      </c>
      <c r="I785" s="9"/>
      <c r="J785" s="9"/>
      <c r="K785" s="9"/>
      <c r="L785" s="9"/>
      <c r="M785" s="9"/>
      <c r="N785" s="9"/>
      <c r="O785" s="9"/>
      <c r="P785" s="9"/>
      <c r="Q785" s="9"/>
      <c r="R785" s="9"/>
      <c r="S785" s="9"/>
      <c r="T785" s="9"/>
      <c r="U785" s="9"/>
      <c r="V785" s="9"/>
      <c r="W785" s="9"/>
      <c r="X785" s="9"/>
      <c r="Y785" s="9"/>
      <c r="Z785" s="1193">
        <v>46</v>
      </c>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H786" s="8" t="s">
        <v>329</v>
      </c>
      <c r="I786" s="9"/>
      <c r="J786" s="9"/>
      <c r="K786" s="9"/>
      <c r="L786" s="9"/>
      <c r="M786" s="9"/>
      <c r="N786" s="9"/>
      <c r="O786" s="9"/>
      <c r="P786" s="9"/>
      <c r="Q786" s="9"/>
      <c r="R786" s="9"/>
      <c r="S786" s="9"/>
      <c r="T786" s="9"/>
      <c r="U786" s="9"/>
      <c r="V786" s="9"/>
      <c r="W786" s="9"/>
      <c r="X786" s="9"/>
      <c r="Y786" s="9"/>
      <c r="Z786" s="1449">
        <v>20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H787" s="8" t="s">
        <v>689</v>
      </c>
      <c r="I787" s="9"/>
      <c r="J787" s="9"/>
      <c r="K787" s="9"/>
      <c r="L787" s="9"/>
      <c r="M787" s="9"/>
      <c r="N787" s="9"/>
      <c r="O787" s="9"/>
      <c r="P787" s="9"/>
      <c r="Q787" s="9"/>
      <c r="R787" s="9"/>
      <c r="S787" s="9"/>
      <c r="T787" s="9"/>
      <c r="U787" s="9"/>
      <c r="V787" s="9"/>
      <c r="W787" s="9"/>
      <c r="X787" s="9"/>
      <c r="Y787" s="9"/>
      <c r="Z787" s="1456">
        <v>52340</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H788" s="8"/>
      <c r="I788" s="9"/>
      <c r="J788" s="9"/>
      <c r="K788" s="9"/>
      <c r="L788" s="9"/>
      <c r="M788" s="9"/>
      <c r="N788" s="9"/>
      <c r="O788" s="9"/>
      <c r="P788" s="9"/>
      <c r="Q788" s="9"/>
      <c r="R788" s="9"/>
      <c r="S788" s="9"/>
      <c r="T788" s="9"/>
      <c r="U788" s="9"/>
      <c r="V788" s="9"/>
      <c r="W788" s="9"/>
      <c r="X788" s="9"/>
      <c r="Y788" s="59" t="s">
        <v>776</v>
      </c>
      <c r="Z788" s="1297">
        <f>'Subsidy Contract Calculation'!I40</f>
        <v>680352</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H792" s="8" t="s">
        <v>690</v>
      </c>
      <c r="I792" s="9"/>
      <c r="J792" s="9"/>
      <c r="K792" s="9"/>
      <c r="L792" s="9"/>
      <c r="M792" s="9"/>
      <c r="N792" s="9"/>
      <c r="O792" s="9"/>
      <c r="P792" s="9"/>
      <c r="Q792" s="9"/>
      <c r="R792" s="9"/>
      <c r="S792" s="9"/>
      <c r="T792" s="9"/>
      <c r="U792" s="9"/>
      <c r="V792" s="9"/>
      <c r="W792" s="9"/>
      <c r="X792" s="9"/>
      <c r="Y792" s="9"/>
      <c r="Z792" s="1217">
        <v>1692</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H793" s="8" t="s">
        <v>691</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H794" s="8" t="s">
        <v>692</v>
      </c>
      <c r="I794" s="9"/>
      <c r="J794" s="9"/>
      <c r="K794" s="9"/>
      <c r="L794" s="9"/>
      <c r="M794" s="9"/>
      <c r="N794" s="9"/>
      <c r="O794" s="9"/>
      <c r="P794" s="9"/>
      <c r="Q794" s="9"/>
      <c r="R794" s="9"/>
      <c r="S794" s="9"/>
      <c r="T794" s="9"/>
      <c r="U794" s="9"/>
      <c r="V794" s="9"/>
      <c r="W794" s="9"/>
      <c r="X794" s="9"/>
      <c r="Y794" s="9"/>
      <c r="Z794" s="1217"/>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H795" s="8" t="s">
        <v>693</v>
      </c>
      <c r="I795" s="9"/>
      <c r="J795" s="9"/>
      <c r="K795" s="9"/>
      <c r="L795" s="9"/>
      <c r="M795" s="9"/>
      <c r="N795" s="9"/>
      <c r="O795" s="9"/>
      <c r="P795" s="1159" t="s">
        <v>562</v>
      </c>
      <c r="Q795" s="1160"/>
      <c r="R795" s="1160"/>
      <c r="S795" s="1160"/>
      <c r="T795" s="1160"/>
      <c r="U795" s="1160"/>
      <c r="V795" s="1160"/>
      <c r="W795" s="1160"/>
      <c r="X795" s="1160"/>
      <c r="Y795" s="1161"/>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H796" s="8"/>
      <c r="I796" s="9"/>
      <c r="J796" s="9"/>
      <c r="K796" s="9"/>
      <c r="L796" s="9"/>
      <c r="M796" s="9"/>
      <c r="N796" s="9"/>
      <c r="O796" s="9"/>
      <c r="P796" s="9"/>
      <c r="Q796" s="9"/>
      <c r="R796" s="9"/>
      <c r="S796" s="9"/>
      <c r="T796" s="9"/>
      <c r="U796" s="9"/>
      <c r="V796" s="9"/>
      <c r="W796" s="9"/>
      <c r="X796" s="9"/>
      <c r="Y796" s="59" t="s">
        <v>777</v>
      </c>
      <c r="Z796" s="1228">
        <f>SUM(Z792:AE795)</f>
        <v>1692</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H797" s="8"/>
      <c r="I797" s="9"/>
      <c r="J797" s="9"/>
      <c r="K797" s="9"/>
      <c r="L797" s="9"/>
      <c r="M797" s="9"/>
      <c r="N797" s="9"/>
      <c r="O797" s="9"/>
      <c r="P797" s="9"/>
      <c r="Q797" s="9"/>
      <c r="R797" s="9"/>
      <c r="S797" s="9"/>
      <c r="T797" s="9"/>
      <c r="U797" s="9"/>
      <c r="V797" s="9"/>
      <c r="W797" s="9"/>
      <c r="X797" s="9"/>
      <c r="Y797" s="59" t="s">
        <v>655</v>
      </c>
      <c r="Z797" s="1228">
        <f>Z796+Y780+Z788</f>
        <v>1054236</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2"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2" customHeight="1">
      <c r="C802" s="6"/>
      <c r="D802" s="7"/>
      <c r="E802" s="7"/>
      <c r="F802" s="7"/>
      <c r="G802" s="7"/>
      <c r="H802" s="7"/>
      <c r="I802" s="7"/>
      <c r="J802" s="7"/>
      <c r="K802" s="7"/>
      <c r="L802" s="64"/>
      <c r="M802" s="1169" t="s">
        <v>878</v>
      </c>
      <c r="N802" s="1169"/>
      <c r="O802" s="1169"/>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2"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2" customHeight="1">
      <c r="C804" s="1185" t="s">
        <v>694</v>
      </c>
      <c r="D804" s="1186"/>
      <c r="E804" s="1186"/>
      <c r="F804" s="1186"/>
      <c r="G804" s="1186"/>
      <c r="H804" s="1186"/>
      <c r="I804" s="54"/>
      <c r="J804" s="54"/>
      <c r="K804" s="54"/>
      <c r="L804" s="55"/>
      <c r="M804" s="1182"/>
      <c r="N804" s="1182"/>
      <c r="O804" s="1182"/>
      <c r="P804" s="1182"/>
      <c r="Q804" s="1182"/>
      <c r="R804" s="1182"/>
      <c r="S804" s="1182"/>
      <c r="T804" s="1182"/>
      <c r="U804" s="1182"/>
      <c r="V804" s="1182"/>
      <c r="W804" s="1182"/>
      <c r="X804" s="1182"/>
      <c r="Y804" s="1182"/>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2" customHeight="1">
      <c r="C805" s="1183" t="s">
        <v>695</v>
      </c>
      <c r="D805" s="1184"/>
      <c r="E805" s="1184"/>
      <c r="F805" s="1184"/>
      <c r="G805" s="1184"/>
      <c r="H805" s="1184"/>
      <c r="I805" s="9"/>
      <c r="J805" s="9"/>
      <c r="K805" s="9"/>
      <c r="L805" s="52"/>
      <c r="M805" s="1182"/>
      <c r="N805" s="1182"/>
      <c r="O805" s="1182"/>
      <c r="P805" s="1182"/>
      <c r="Q805" s="1182"/>
      <c r="R805" s="1182"/>
      <c r="S805" s="1182"/>
      <c r="T805" s="1182"/>
      <c r="U805" s="1182"/>
      <c r="V805" s="1182"/>
      <c r="W805" s="1182"/>
      <c r="X805" s="1182"/>
      <c r="Y805" s="1182"/>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2" customHeight="1">
      <c r="C806" s="1183" t="s">
        <v>71</v>
      </c>
      <c r="D806" s="1184"/>
      <c r="E806" s="1184"/>
      <c r="F806" s="1184"/>
      <c r="G806" s="1184"/>
      <c r="H806" s="1184"/>
      <c r="I806" s="66"/>
      <c r="J806" s="66"/>
      <c r="K806" s="66"/>
      <c r="L806" s="67"/>
      <c r="M806" s="1182"/>
      <c r="N806" s="1182"/>
      <c r="O806" s="1182"/>
      <c r="P806" s="1182"/>
      <c r="Q806" s="1182"/>
      <c r="R806" s="1182"/>
      <c r="S806" s="1182"/>
      <c r="T806" s="1182"/>
      <c r="U806" s="1182"/>
      <c r="V806" s="1182"/>
      <c r="W806" s="1182"/>
      <c r="X806" s="1182"/>
      <c r="Y806" s="1182"/>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2"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c r="V807" s="1182"/>
      <c r="W807" s="1182"/>
      <c r="X807" s="1182"/>
      <c r="Y807" s="1182"/>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2" customHeight="1">
      <c r="C808" s="1183" t="s">
        <v>790</v>
      </c>
      <c r="D808" s="1184"/>
      <c r="E808" s="1184"/>
      <c r="F808" s="1184"/>
      <c r="G808" s="1184"/>
      <c r="H808" s="1184"/>
      <c r="I808" s="66"/>
      <c r="J808" s="66"/>
      <c r="K808" s="66"/>
      <c r="L808" s="67"/>
      <c r="M808" s="1182"/>
      <c r="N808" s="1182"/>
      <c r="O808" s="1182"/>
      <c r="P808" s="1182"/>
      <c r="Q808" s="1182"/>
      <c r="R808" s="1182"/>
      <c r="S808" s="1182"/>
      <c r="T808" s="1182"/>
      <c r="U808" s="1182"/>
      <c r="V808" s="1182"/>
      <c r="W808" s="1182"/>
      <c r="X808" s="1182"/>
      <c r="Y808" s="1182"/>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2" customHeight="1">
      <c r="C809" s="1123"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2" customHeight="1">
      <c r="C810" s="65" t="s">
        <v>266</v>
      </c>
      <c r="D810" s="66"/>
      <c r="E810" s="66"/>
      <c r="F810" s="1159" t="s">
        <v>562</v>
      </c>
      <c r="G810" s="1160"/>
      <c r="H810" s="1160"/>
      <c r="I810" s="1160"/>
      <c r="J810" s="1160"/>
      <c r="K810" s="1160"/>
      <c r="L810" s="1160"/>
      <c r="M810" s="1182"/>
      <c r="N810" s="1182"/>
      <c r="O810" s="1182"/>
      <c r="P810" s="1182"/>
      <c r="Q810" s="1182"/>
      <c r="R810" s="1182"/>
      <c r="S810" s="1182"/>
      <c r="T810" s="1182"/>
      <c r="U810" s="1182"/>
      <c r="V810" s="1182"/>
      <c r="W810" s="1182"/>
      <c r="X810" s="1182"/>
      <c r="Y810" s="1182"/>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2" customHeight="1">
      <c r="C811" s="1104" t="s">
        <v>876</v>
      </c>
      <c r="D811" s="1105"/>
      <c r="E811" s="1105"/>
      <c r="F811" s="1105"/>
      <c r="G811" s="1105"/>
      <c r="H811" s="1105"/>
      <c r="I811" s="1105"/>
      <c r="J811" s="1105"/>
      <c r="K811" s="1105"/>
      <c r="L811" s="1107"/>
      <c r="M811" s="1296">
        <f>SUM(M804:P810)</f>
        <v>0</v>
      </c>
      <c r="N811" s="1296"/>
      <c r="O811" s="1296"/>
      <c r="P811" s="1296"/>
      <c r="Q811" s="1296">
        <f>SUM(Q804:T810)</f>
        <v>0</v>
      </c>
      <c r="R811" s="1296"/>
      <c r="S811" s="1296"/>
      <c r="T811" s="1296"/>
      <c r="U811" s="1296">
        <f>SUM(U804:X810)</f>
        <v>0</v>
      </c>
      <c r="V811" s="1296"/>
      <c r="W811" s="1296"/>
      <c r="X811" s="1296"/>
      <c r="Y811" s="1296">
        <f>SUM(Y804:AB810)</f>
        <v>0</v>
      </c>
      <c r="Z811" s="1296"/>
      <c r="AA811" s="1296"/>
      <c r="AB811" s="1296"/>
      <c r="AC811" s="1296">
        <f>SUM(AC804:AF810)</f>
        <v>0</v>
      </c>
      <c r="AD811" s="1296"/>
      <c r="AE811" s="1296"/>
      <c r="AF811" s="1296"/>
      <c r="AG811" s="1296">
        <f>SUM(AG804:AJ810)</f>
        <v>0</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2"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 customHeight="1">
      <c r="A816"/>
      <c r="B816"/>
      <c r="C816" s="1526" t="s">
        <v>2431</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6" t="s">
        <v>369</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3" t="s">
        <v>468</v>
      </c>
      <c r="D821"/>
      <c r="E821"/>
      <c r="F821"/>
      <c r="G821"/>
      <c r="H821"/>
      <c r="I821"/>
      <c r="J821" s="8" t="s">
        <v>327</v>
      </c>
      <c r="K821" s="9"/>
      <c r="L821" s="9"/>
      <c r="M821" s="9"/>
      <c r="N821" s="9"/>
      <c r="O821" s="9"/>
      <c r="P821" s="9"/>
      <c r="Q821" s="9"/>
      <c r="R821" s="9"/>
      <c r="S821" s="9"/>
      <c r="T821" s="9"/>
      <c r="U821" s="9"/>
      <c r="V821" s="52"/>
      <c r="W821" s="1220"/>
      <c r="X821" s="1220"/>
      <c r="Y821" s="1220"/>
      <c r="Z821" s="1220"/>
      <c r="AA821" s="1220"/>
      <c r="AB821" s="1220"/>
      <c r="AC821" s="1220"/>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c r="D822"/>
      <c r="E822"/>
      <c r="F822"/>
      <c r="G822"/>
      <c r="H822"/>
      <c r="I822"/>
      <c r="J822" s="8" t="s">
        <v>326</v>
      </c>
      <c r="K822" s="9"/>
      <c r="L822" s="9"/>
      <c r="M822" s="9"/>
      <c r="N822" s="9"/>
      <c r="O822" s="9"/>
      <c r="P822" s="9"/>
      <c r="Q822" s="9"/>
      <c r="R822" s="9"/>
      <c r="S822" s="9"/>
      <c r="T822" s="9"/>
      <c r="U822" s="9"/>
      <c r="V822" s="52"/>
      <c r="W822" s="1220">
        <v>3000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3.2" customHeight="1">
      <c r="A823"/>
      <c r="B823"/>
      <c r="C823"/>
      <c r="D823"/>
      <c r="E823"/>
      <c r="F823"/>
      <c r="G823"/>
      <c r="H823"/>
      <c r="I823"/>
      <c r="J823" s="8" t="s">
        <v>325</v>
      </c>
      <c r="K823" s="9"/>
      <c r="L823" s="9"/>
      <c r="M823" s="9"/>
      <c r="N823" s="9"/>
      <c r="O823" s="9"/>
      <c r="P823" s="9"/>
      <c r="Q823" s="9"/>
      <c r="R823" s="9"/>
      <c r="S823" s="9"/>
      <c r="T823" s="9"/>
      <c r="U823" s="9"/>
      <c r="V823" s="52"/>
      <c r="W823" s="1220">
        <v>14500</v>
      </c>
      <c r="X823" s="1220"/>
      <c r="Y823" s="1220"/>
      <c r="Z823" s="1220"/>
      <c r="AA823" s="1220"/>
      <c r="AB823" s="1220"/>
      <c r="AC823" s="1220"/>
      <c r="AD823"/>
      <c r="AE823"/>
      <c r="AF823"/>
      <c r="AG823"/>
      <c r="AH823"/>
      <c r="AI823"/>
      <c r="AJ823"/>
      <c r="AK823"/>
      <c r="AL823"/>
      <c r="AM823" s="38"/>
      <c r="AN823" s="38"/>
      <c r="BA823" s="75" t="s">
        <v>369</v>
      </c>
      <c r="BC823" s="317"/>
      <c r="BD823" s="318"/>
      <c r="BE823" s="40"/>
      <c r="BF823" s="40"/>
      <c r="BG823" s="40"/>
    </row>
    <row r="824" spans="1:126" s="5" customFormat="1" ht="13.2" customHeight="1">
      <c r="A824"/>
      <c r="B824"/>
      <c r="C824"/>
      <c r="D824"/>
      <c r="E824"/>
      <c r="F824"/>
      <c r="G824"/>
      <c r="H824"/>
      <c r="I824"/>
      <c r="J824" s="8" t="s">
        <v>324</v>
      </c>
      <c r="K824" s="9"/>
      <c r="L824" s="9"/>
      <c r="M824" s="9"/>
      <c r="N824" s="9"/>
      <c r="O824" s="9"/>
      <c r="P824" s="9"/>
      <c r="Q824" s="9"/>
      <c r="R824" s="9"/>
      <c r="S824" s="9"/>
      <c r="T824" s="9"/>
      <c r="U824" s="9"/>
      <c r="V824" s="52"/>
      <c r="W824" s="1220">
        <v>54240</v>
      </c>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 customHeight="1">
      <c r="A825"/>
      <c r="B825"/>
      <c r="C825"/>
      <c r="D825"/>
      <c r="E825"/>
      <c r="F825"/>
      <c r="G825"/>
      <c r="H825"/>
      <c r="I825"/>
      <c r="J825" s="8" t="s">
        <v>283</v>
      </c>
      <c r="K825" s="9"/>
      <c r="L825" s="9"/>
      <c r="M825" s="1240" t="s">
        <v>2435</v>
      </c>
      <c r="N825" s="1160"/>
      <c r="O825" s="1160"/>
      <c r="P825" s="1160"/>
      <c r="Q825" s="1160"/>
      <c r="R825" s="1160"/>
      <c r="S825" s="1160"/>
      <c r="T825" s="1160"/>
      <c r="U825" s="1160"/>
      <c r="V825" s="1161"/>
      <c r="W825" s="1220">
        <v>17800</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3" t="str">
        <f>T189</f>
        <v>Los Angeles</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 customHeight="1">
      <c r="A826"/>
      <c r="B826"/>
      <c r="C826"/>
      <c r="D826"/>
      <c r="E826"/>
      <c r="F826"/>
      <c r="G826"/>
      <c r="H826"/>
      <c r="I826"/>
      <c r="J826" s="8"/>
      <c r="K826" s="9"/>
      <c r="L826" s="9"/>
      <c r="M826" s="9"/>
      <c r="N826" s="9"/>
      <c r="O826" s="9"/>
      <c r="P826" s="9"/>
      <c r="Q826" s="9"/>
      <c r="R826" s="9"/>
      <c r="S826" s="9"/>
      <c r="T826" s="9"/>
      <c r="U826" s="9"/>
      <c r="V826" s="60" t="s">
        <v>467</v>
      </c>
      <c r="W826" s="1228">
        <f>SUM(W821:AC825)</f>
        <v>89540</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 customHeight="1">
      <c r="A828"/>
      <c r="B828"/>
      <c r="C828" s="3" t="s">
        <v>469</v>
      </c>
      <c r="D828"/>
      <c r="E828"/>
      <c r="F828"/>
      <c r="G828"/>
      <c r="H828"/>
      <c r="I828"/>
      <c r="J828" s="1104" t="s">
        <v>470</v>
      </c>
      <c r="K828" s="1105"/>
      <c r="L828" s="1105"/>
      <c r="M828" s="1105"/>
      <c r="N828" s="1105"/>
      <c r="O828" s="1105"/>
      <c r="P828" s="1105"/>
      <c r="Q828" s="1105"/>
      <c r="R828" s="1105"/>
      <c r="S828" s="1105"/>
      <c r="T828" s="1105"/>
      <c r="U828" s="1105"/>
      <c r="V828" s="1107"/>
      <c r="W828" s="1217">
        <v>36660</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 customHeight="1">
      <c r="A830"/>
      <c r="B830"/>
      <c r="C830" s="3" t="s">
        <v>734</v>
      </c>
      <c r="D830"/>
      <c r="E830"/>
      <c r="F830"/>
      <c r="G830"/>
      <c r="H830"/>
      <c r="I830"/>
      <c r="J830" s="8" t="s">
        <v>323</v>
      </c>
      <c r="K830" s="9"/>
      <c r="L830" s="9"/>
      <c r="M830" s="9"/>
      <c r="N830" s="9"/>
      <c r="O830" s="9"/>
      <c r="P830" s="9"/>
      <c r="Q830" s="9"/>
      <c r="R830" s="9"/>
      <c r="S830" s="9"/>
      <c r="T830" s="9"/>
      <c r="U830" s="9"/>
      <c r="V830" s="52"/>
      <c r="W830" s="1278"/>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 customHeight="1">
      <c r="A831"/>
      <c r="B831"/>
      <c r="C831"/>
      <c r="D831"/>
      <c r="E831"/>
      <c r="F831"/>
      <c r="G831"/>
      <c r="H831"/>
      <c r="I831"/>
      <c r="J831" s="8" t="s">
        <v>322</v>
      </c>
      <c r="K831" s="9"/>
      <c r="L831" s="9"/>
      <c r="M831" s="9"/>
      <c r="N831" s="9"/>
      <c r="O831" s="9"/>
      <c r="P831" s="9"/>
      <c r="Q831" s="9"/>
      <c r="R831" s="9"/>
      <c r="S831" s="9"/>
      <c r="T831" s="9"/>
      <c r="U831" s="9"/>
      <c r="V831" s="52"/>
      <c r="W831" s="1278"/>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 customHeight="1">
      <c r="A832"/>
      <c r="B832"/>
      <c r="C832"/>
      <c r="D832"/>
      <c r="E832"/>
      <c r="F832"/>
      <c r="G832"/>
      <c r="H832"/>
      <c r="I832"/>
      <c r="J832" s="8" t="s">
        <v>790</v>
      </c>
      <c r="K832" s="9"/>
      <c r="L832" s="9"/>
      <c r="M832" s="9"/>
      <c r="N832" s="9"/>
      <c r="O832" s="9"/>
      <c r="P832" s="9"/>
      <c r="Q832" s="9"/>
      <c r="R832" s="9"/>
      <c r="S832" s="9"/>
      <c r="T832" s="9"/>
      <c r="U832" s="9"/>
      <c r="V832" s="52"/>
      <c r="W832" s="1278">
        <v>55400</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68" t="s">
        <v>463</v>
      </c>
      <c r="K833" s="9"/>
      <c r="L833" s="9"/>
      <c r="M833" s="9"/>
      <c r="N833" s="9"/>
      <c r="O833" s="9"/>
      <c r="P833" s="9"/>
      <c r="Q833" s="9"/>
      <c r="R833" s="9"/>
      <c r="S833" s="9"/>
      <c r="T833" s="9"/>
      <c r="U833" s="9"/>
      <c r="V833" s="52"/>
      <c r="W833" s="1278">
        <v>49671</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105071</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2" customHeight="1">
      <c r="A836"/>
      <c r="B836"/>
      <c r="C836" s="3" t="s">
        <v>471</v>
      </c>
      <c r="D836"/>
      <c r="E836"/>
      <c r="F836"/>
      <c r="G836"/>
      <c r="H836"/>
      <c r="I836"/>
      <c r="J836" s="8" t="s">
        <v>462</v>
      </c>
      <c r="K836" s="9"/>
      <c r="L836" s="9"/>
      <c r="M836" s="9"/>
      <c r="N836" s="9"/>
      <c r="O836" s="9"/>
      <c r="P836" s="9"/>
      <c r="Q836" s="9"/>
      <c r="R836" s="9"/>
      <c r="S836" s="9"/>
      <c r="T836" s="9"/>
      <c r="U836" s="9"/>
      <c r="V836" s="52"/>
      <c r="W836" s="1515">
        <v>66768</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2" customHeight="1">
      <c r="A837"/>
      <c r="B837"/>
      <c r="C837" s="3"/>
      <c r="D837"/>
      <c r="E837"/>
      <c r="F837"/>
      <c r="G837"/>
      <c r="H837"/>
      <c r="I837"/>
      <c r="J837" s="214" t="s">
        <v>1935</v>
      </c>
      <c r="K837" s="9"/>
      <c r="L837" s="9"/>
      <c r="M837" s="9"/>
      <c r="N837" s="9"/>
      <c r="O837" s="9"/>
      <c r="P837" s="9"/>
      <c r="Q837" s="9"/>
      <c r="R837" s="9"/>
      <c r="S837" s="9"/>
      <c r="T837" s="1520">
        <v>1</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2" customHeight="1">
      <c r="A838"/>
      <c r="B838"/>
      <c r="C838" s="3" t="s">
        <v>867</v>
      </c>
      <c r="D838"/>
      <c r="E838"/>
      <c r="F838"/>
      <c r="G838"/>
      <c r="H838"/>
      <c r="I838"/>
      <c r="J838" s="8" t="s">
        <v>461</v>
      </c>
      <c r="K838" s="9"/>
      <c r="L838" s="9"/>
      <c r="M838" s="9"/>
      <c r="N838" s="9"/>
      <c r="O838" s="9"/>
      <c r="P838" s="9"/>
      <c r="Q838" s="9"/>
      <c r="R838" s="9"/>
      <c r="S838" s="9"/>
      <c r="T838" s="9"/>
      <c r="U838" s="9"/>
      <c r="V838" s="52"/>
      <c r="W838" s="1515">
        <v>68052</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2" customHeight="1">
      <c r="C839" s="3"/>
      <c r="J839" s="214" t="s">
        <v>1936</v>
      </c>
      <c r="K839" s="9"/>
      <c r="L839" s="9"/>
      <c r="M839" s="9"/>
      <c r="N839" s="9"/>
      <c r="O839" s="9"/>
      <c r="P839" s="9"/>
      <c r="Q839" s="9"/>
      <c r="R839" s="9"/>
      <c r="S839" s="9"/>
      <c r="T839" s="1520"/>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2" customHeight="1">
      <c r="J840" s="8" t="s">
        <v>283</v>
      </c>
      <c r="K840" s="9"/>
      <c r="L840" s="9"/>
      <c r="M840" s="1240" t="s">
        <v>2432</v>
      </c>
      <c r="N840" s="1160"/>
      <c r="O840" s="1160"/>
      <c r="P840" s="1160"/>
      <c r="Q840" s="1160"/>
      <c r="R840" s="1160"/>
      <c r="S840" s="1160"/>
      <c r="T840" s="1160"/>
      <c r="U840" s="1160"/>
      <c r="V840" s="1161"/>
      <c r="W840" s="1515">
        <v>29660</v>
      </c>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2" customHeight="1">
      <c r="J841" s="8"/>
      <c r="K841" s="9"/>
      <c r="L841" s="9"/>
      <c r="M841" s="9"/>
      <c r="N841" s="9"/>
      <c r="O841" s="9"/>
      <c r="P841" s="9"/>
      <c r="Q841" s="9"/>
      <c r="R841" s="9"/>
      <c r="S841" s="9"/>
      <c r="T841" s="9"/>
      <c r="U841" s="9"/>
      <c r="V841" s="60" t="s">
        <v>14</v>
      </c>
      <c r="W841" s="1177">
        <f>SUM(W836:AC840)</f>
        <v>164480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2" customHeight="1">
      <c r="J842" s="8"/>
      <c r="K842" s="9"/>
      <c r="L842" s="9"/>
      <c r="M842" s="9"/>
      <c r="N842" s="9"/>
      <c r="O842" s="9"/>
      <c r="P842" s="9"/>
      <c r="Q842" s="9"/>
      <c r="R842" s="9"/>
      <c r="S842" s="9"/>
      <c r="T842" s="9"/>
      <c r="U842" s="9"/>
      <c r="V842" s="60" t="s">
        <v>15</v>
      </c>
      <c r="W842" s="1515">
        <v>70000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2"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2" customHeight="1">
      <c r="C844" s="3" t="s">
        <v>55</v>
      </c>
      <c r="J844" s="8" t="s">
        <v>725</v>
      </c>
      <c r="K844" s="9"/>
      <c r="L844" s="9"/>
      <c r="M844" s="9"/>
      <c r="N844" s="9"/>
      <c r="O844" s="9"/>
      <c r="P844" s="9"/>
      <c r="Q844" s="9"/>
      <c r="R844" s="9"/>
      <c r="S844" s="9"/>
      <c r="T844" s="9"/>
      <c r="U844" s="9"/>
      <c r="V844" s="52"/>
      <c r="W844" s="1220">
        <v>2820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2" customHeight="1">
      <c r="A845"/>
      <c r="B845"/>
      <c r="C845"/>
      <c r="D845"/>
      <c r="E845"/>
      <c r="F845"/>
      <c r="G845"/>
      <c r="H845"/>
      <c r="I845"/>
      <c r="J845" s="8" t="s">
        <v>622</v>
      </c>
      <c r="K845" s="9"/>
      <c r="L845" s="9"/>
      <c r="M845" s="9"/>
      <c r="N845" s="9"/>
      <c r="O845" s="9"/>
      <c r="P845" s="9"/>
      <c r="Q845" s="9"/>
      <c r="R845" s="9"/>
      <c r="S845" s="9"/>
      <c r="T845" s="9"/>
      <c r="U845" s="9"/>
      <c r="V845" s="52"/>
      <c r="W845" s="1220">
        <v>13200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C846"/>
      <c r="D846"/>
      <c r="E846"/>
      <c r="F846"/>
      <c r="G846"/>
      <c r="H846"/>
      <c r="I846"/>
      <c r="J846" s="8" t="s">
        <v>621</v>
      </c>
      <c r="K846" s="9"/>
      <c r="L846" s="9"/>
      <c r="M846" s="9"/>
      <c r="N846" s="9"/>
      <c r="O846" s="9"/>
      <c r="P846" s="9"/>
      <c r="Q846" s="9"/>
      <c r="R846" s="9"/>
      <c r="S846" s="9"/>
      <c r="T846" s="9"/>
      <c r="U846" s="9"/>
      <c r="V846" s="52"/>
      <c r="W846" s="1220">
        <v>14100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2" customHeight="1">
      <c r="A847"/>
      <c r="B847"/>
      <c r="C847"/>
      <c r="D847"/>
      <c r="E847"/>
      <c r="F847"/>
      <c r="G847"/>
      <c r="H847"/>
      <c r="I847"/>
      <c r="J847" s="8" t="s">
        <v>620</v>
      </c>
      <c r="K847" s="9"/>
      <c r="L847" s="9"/>
      <c r="M847" s="9"/>
      <c r="N847" s="9"/>
      <c r="O847" s="9"/>
      <c r="P847" s="9"/>
      <c r="Q847" s="9"/>
      <c r="R847" s="9"/>
      <c r="S847" s="9"/>
      <c r="T847" s="9"/>
      <c r="U847" s="9"/>
      <c r="V847" s="52"/>
      <c r="W847" s="1220">
        <v>8460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2" customHeight="1">
      <c r="A848"/>
      <c r="B848"/>
      <c r="C848"/>
      <c r="D848"/>
      <c r="E848"/>
      <c r="F848"/>
      <c r="G848"/>
      <c r="H848"/>
      <c r="I848"/>
      <c r="J848" s="8" t="s">
        <v>619</v>
      </c>
      <c r="K848" s="9"/>
      <c r="L848" s="9"/>
      <c r="M848" s="9"/>
      <c r="N848" s="9"/>
      <c r="O848" s="9"/>
      <c r="P848" s="9"/>
      <c r="Q848" s="9"/>
      <c r="R848" s="9"/>
      <c r="S848" s="9"/>
      <c r="T848" s="9"/>
      <c r="U848" s="9"/>
      <c r="V848" s="52"/>
      <c r="W848" s="1220">
        <v>6000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2" customHeight="1">
      <c r="A849"/>
      <c r="B849"/>
      <c r="C849"/>
      <c r="D849"/>
      <c r="E849"/>
      <c r="F849"/>
      <c r="G849"/>
      <c r="H849"/>
      <c r="I849"/>
      <c r="J849" s="8" t="s">
        <v>618</v>
      </c>
      <c r="K849" s="9"/>
      <c r="L849" s="9"/>
      <c r="M849" s="9"/>
      <c r="N849" s="9"/>
      <c r="O849" s="9"/>
      <c r="P849" s="9"/>
      <c r="Q849" s="9"/>
      <c r="R849" s="9"/>
      <c r="S849" s="9"/>
      <c r="T849" s="9"/>
      <c r="U849" s="9"/>
      <c r="V849" s="52"/>
      <c r="W849" s="1220">
        <v>9600</v>
      </c>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 customHeight="1">
      <c r="A850"/>
      <c r="B850"/>
      <c r="C850"/>
      <c r="D850"/>
      <c r="E850"/>
      <c r="F850"/>
      <c r="G850"/>
      <c r="H850"/>
      <c r="I850"/>
      <c r="J850" s="8" t="s">
        <v>283</v>
      </c>
      <c r="K850" s="9"/>
      <c r="L850" s="9"/>
      <c r="M850" s="1240" t="s">
        <v>2433</v>
      </c>
      <c r="N850" s="1160"/>
      <c r="O850" s="1160"/>
      <c r="P850" s="1160"/>
      <c r="Q850" s="1160"/>
      <c r="R850" s="1160"/>
      <c r="S850" s="1160"/>
      <c r="T850" s="1160"/>
      <c r="U850" s="1160"/>
      <c r="V850" s="1161"/>
      <c r="W850" s="1220">
        <v>7990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 customHeight="1">
      <c r="A851"/>
      <c r="B851"/>
      <c r="C851"/>
      <c r="D851"/>
      <c r="E851"/>
      <c r="F851"/>
      <c r="G851"/>
      <c r="H851"/>
      <c r="I851"/>
      <c r="J851" s="8"/>
      <c r="K851" s="9"/>
      <c r="L851" s="9"/>
      <c r="M851" s="9"/>
      <c r="N851" s="9"/>
      <c r="O851" s="9"/>
      <c r="P851" s="9"/>
      <c r="Q851" s="9"/>
      <c r="R851" s="9"/>
      <c r="S851" s="9"/>
      <c r="T851" s="9"/>
      <c r="U851" s="9"/>
      <c r="V851" s="60" t="s">
        <v>16</v>
      </c>
      <c r="W851" s="1300">
        <f>SUM(W844:AC850)</f>
        <v>62170</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 customHeight="1">
      <c r="A853"/>
      <c r="B853"/>
      <c r="C853" s="3" t="s">
        <v>1868</v>
      </c>
      <c r="D853"/>
      <c r="E853"/>
      <c r="F853"/>
      <c r="G853"/>
      <c r="H853"/>
      <c r="I853"/>
      <c r="J853" s="8" t="s">
        <v>283</v>
      </c>
      <c r="K853" s="9"/>
      <c r="L853" s="9"/>
      <c r="M853" s="1240" t="s">
        <v>2434</v>
      </c>
      <c r="N853" s="1160"/>
      <c r="O853" s="1160"/>
      <c r="P853" s="1160"/>
      <c r="Q853" s="1160"/>
      <c r="R853" s="1160"/>
      <c r="S853" s="1160"/>
      <c r="T853" s="1160"/>
      <c r="U853" s="1160"/>
      <c r="V853" s="1161"/>
      <c r="W853" s="1217">
        <v>840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 customHeight="1">
      <c r="A854"/>
      <c r="B854"/>
      <c r="C854" s="3" t="s">
        <v>1869</v>
      </c>
      <c r="D854"/>
      <c r="E854"/>
      <c r="F854"/>
      <c r="G854"/>
      <c r="H854"/>
      <c r="I854"/>
      <c r="J854" s="8" t="s">
        <v>283</v>
      </c>
      <c r="K854" s="9"/>
      <c r="L854" s="9"/>
      <c r="M854" s="1159" t="s">
        <v>562</v>
      </c>
      <c r="N854" s="1160"/>
      <c r="O854" s="1160"/>
      <c r="P854" s="1160"/>
      <c r="Q854" s="1160"/>
      <c r="R854" s="1160"/>
      <c r="S854" s="1160"/>
      <c r="T854" s="1160"/>
      <c r="U854" s="1160"/>
      <c r="V854" s="1161"/>
      <c r="W854" s="1217"/>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 customHeight="1">
      <c r="A855"/>
      <c r="B855"/>
      <c r="C855"/>
      <c r="D855"/>
      <c r="E855"/>
      <c r="F855"/>
      <c r="G855"/>
      <c r="H855"/>
      <c r="I855"/>
      <c r="J855" s="8" t="s">
        <v>283</v>
      </c>
      <c r="K855" s="9"/>
      <c r="L855" s="9"/>
      <c r="M855" s="1159" t="s">
        <v>562</v>
      </c>
      <c r="N855" s="1160"/>
      <c r="O855" s="1160"/>
      <c r="P855" s="1160"/>
      <c r="Q855" s="1160"/>
      <c r="R855" s="1160"/>
      <c r="S855" s="1160"/>
      <c r="T855" s="1160"/>
      <c r="U855" s="1160"/>
      <c r="V855" s="1161"/>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283</v>
      </c>
      <c r="K856" s="9"/>
      <c r="L856" s="9"/>
      <c r="M856" s="1159" t="s">
        <v>562</v>
      </c>
      <c r="N856" s="1160"/>
      <c r="O856" s="1160"/>
      <c r="P856" s="1160"/>
      <c r="Q856" s="1160"/>
      <c r="R856" s="1160"/>
      <c r="S856" s="1160"/>
      <c r="T856" s="1160"/>
      <c r="U856" s="1160"/>
      <c r="V856" s="1161"/>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283</v>
      </c>
      <c r="K857" s="9"/>
      <c r="L857" s="9"/>
      <c r="M857" s="1159" t="s">
        <v>562</v>
      </c>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 customHeight="1">
      <c r="A858"/>
      <c r="B858"/>
      <c r="C858"/>
      <c r="D858"/>
      <c r="E858"/>
      <c r="F858"/>
      <c r="G858"/>
      <c r="H858"/>
      <c r="I858"/>
      <c r="J858" s="8"/>
      <c r="K858" s="9"/>
      <c r="L858" s="9"/>
      <c r="M858" s="9"/>
      <c r="N858" s="9"/>
      <c r="O858" s="9"/>
      <c r="P858" s="9"/>
      <c r="Q858" s="9"/>
      <c r="R858" s="9"/>
      <c r="S858" s="9"/>
      <c r="T858" s="9"/>
      <c r="U858" s="9"/>
      <c r="V858" s="60" t="s">
        <v>17</v>
      </c>
      <c r="W858" s="1228">
        <f>SUM(W853:AC857)</f>
        <v>840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2"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2"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2"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2"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528761</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2"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47</v>
      </c>
      <c r="AD863" s="1537"/>
      <c r="AE863" s="1537"/>
      <c r="AF863" s="1537"/>
      <c r="AG863" s="1537"/>
      <c r="AH863" s="1538"/>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2" customHeight="1" thickBot="1">
      <c r="A864"/>
      <c r="B864"/>
      <c r="C864"/>
      <c r="D864"/>
      <c r="E864" s="1307" t="s">
        <v>347</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8">
        <f>IF(ISERROR((ROUNDDOWN(AC862/AC863,0))),0,(ROUNDDOWN(AC862/AC863,0)))</f>
        <v>11250</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2"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f>449208</f>
        <v>449208</v>
      </c>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2"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2"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c r="AD867" s="1218"/>
      <c r="AE867" s="1218"/>
      <c r="AF867" s="1218"/>
      <c r="AG867" s="1218"/>
      <c r="AH867" s="1219"/>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23500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7">
        <v>7150</v>
      </c>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v>3525</v>
      </c>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1"/>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2" customHeight="1">
      <c r="A872"/>
      <c r="B872"/>
      <c r="C872"/>
      <c r="D872"/>
      <c r="E872" s="1446" t="s">
        <v>1209</v>
      </c>
      <c r="F872" s="1447"/>
      <c r="G872" s="1447"/>
      <c r="H872" s="1447"/>
      <c r="I872" s="1447"/>
      <c r="J872" s="1447"/>
      <c r="K872" s="1447"/>
      <c r="L872" s="1447"/>
      <c r="M872" s="1447"/>
      <c r="N872" s="1447"/>
      <c r="O872" s="1447"/>
      <c r="P872" s="1447"/>
      <c r="Q872" s="1447"/>
      <c r="R872" s="1447"/>
      <c r="S872" s="1447"/>
      <c r="T872" s="1447"/>
      <c r="U872" s="1447"/>
      <c r="V872" s="1447"/>
      <c r="W872" s="1447"/>
      <c r="X872" s="1447"/>
      <c r="Y872" s="1447"/>
      <c r="Z872" s="1447"/>
      <c r="AA872" s="1447"/>
      <c r="AB872" s="1448"/>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2" customHeight="1">
      <c r="A873"/>
      <c r="B873"/>
      <c r="C873"/>
      <c r="D873"/>
      <c r="E873" s="1446" t="s">
        <v>1209</v>
      </c>
      <c r="F873" s="1447"/>
      <c r="G873" s="1447"/>
      <c r="H873" s="1447"/>
      <c r="I873" s="1447"/>
      <c r="J873" s="1447"/>
      <c r="K873" s="1447"/>
      <c r="L873" s="1447"/>
      <c r="M873" s="1447"/>
      <c r="N873" s="1447"/>
      <c r="O873" s="1447"/>
      <c r="P873" s="1447"/>
      <c r="Q873" s="1447"/>
      <c r="R873" s="1447"/>
      <c r="S873" s="1447"/>
      <c r="T873" s="1447"/>
      <c r="U873" s="1447"/>
      <c r="V873" s="1447"/>
      <c r="W873" s="1447"/>
      <c r="X873" s="1447"/>
      <c r="Y873" s="1447"/>
      <c r="Z873" s="1447"/>
      <c r="AA873" s="1447"/>
      <c r="AB873" s="1448"/>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2"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2"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2"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2"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2"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2"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2"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2" customHeight="1">
      <c r="F892" s="1222" t="s">
        <v>961</v>
      </c>
      <c r="G892" s="1223"/>
      <c r="H892" s="1223"/>
      <c r="I892" s="1223"/>
      <c r="J892" s="1223"/>
      <c r="K892" s="1223"/>
      <c r="L892" s="1223"/>
      <c r="M892" s="1223"/>
      <c r="N892" s="1223"/>
      <c r="O892" s="1223"/>
      <c r="P892" s="1223"/>
      <c r="Q892" s="1223"/>
      <c r="R892" s="1223"/>
      <c r="S892" s="1223"/>
      <c r="T892" s="1224"/>
      <c r="U892" s="1168" t="s">
        <v>346</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2"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2"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39" t="s">
        <v>56</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2" customHeight="1">
      <c r="F895" s="1313" t="s">
        <v>158</v>
      </c>
      <c r="G895" s="1314"/>
      <c r="H895" s="1314"/>
      <c r="I895" s="1314"/>
      <c r="J895" s="1314"/>
      <c r="K895" s="1314"/>
      <c r="L895" s="1314"/>
      <c r="M895" s="1314"/>
      <c r="N895" s="1314"/>
      <c r="O895" s="1314"/>
      <c r="P895" s="1314"/>
      <c r="Q895" s="1314"/>
      <c r="R895" s="1314"/>
      <c r="S895" s="1314"/>
      <c r="T895" s="1315"/>
      <c r="U895" s="1214" t="s">
        <v>124</v>
      </c>
      <c r="V895" s="1145"/>
      <c r="W895" s="1145"/>
      <c r="X895" s="1145"/>
      <c r="Y895" s="1145"/>
      <c r="Z895" s="1146"/>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2" customHeight="1">
      <c r="F896" s="1313" t="s">
        <v>160</v>
      </c>
      <c r="G896" s="1314"/>
      <c r="H896" s="1314"/>
      <c r="I896" s="1314"/>
      <c r="J896" s="1314"/>
      <c r="K896" s="1314"/>
      <c r="L896" s="1314"/>
      <c r="M896" s="1314"/>
      <c r="N896" s="1314"/>
      <c r="O896" s="1314"/>
      <c r="P896" s="1314"/>
      <c r="Q896" s="1314"/>
      <c r="R896" s="1314"/>
      <c r="S896" s="1314"/>
      <c r="T896" s="1315"/>
      <c r="U896" s="1214" t="s">
        <v>124</v>
      </c>
      <c r="V896" s="1145"/>
      <c r="W896" s="1145"/>
      <c r="X896" s="1145"/>
      <c r="Y896" s="1145"/>
      <c r="Z896" s="1146"/>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2" customHeight="1">
      <c r="F897" s="1540" t="s">
        <v>946</v>
      </c>
      <c r="G897" s="1541"/>
      <c r="H897" s="1541"/>
      <c r="I897" s="1541"/>
      <c r="J897" s="1541"/>
      <c r="K897" s="1541"/>
      <c r="L897" s="1541"/>
      <c r="M897" s="1541"/>
      <c r="N897" s="1541"/>
      <c r="O897" s="1541"/>
      <c r="P897" s="1541"/>
      <c r="Q897" s="1541"/>
      <c r="R897" s="1541"/>
      <c r="S897" s="1541"/>
      <c r="T897" s="1542"/>
      <c r="U897" s="1214" t="s">
        <v>124</v>
      </c>
      <c r="V897" s="1145"/>
      <c r="W897" s="1145"/>
      <c r="X897" s="1145"/>
      <c r="Y897" s="1145"/>
      <c r="Z897" s="1146"/>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2" customHeight="1">
      <c r="F898" s="1540" t="s">
        <v>947</v>
      </c>
      <c r="G898" s="1541"/>
      <c r="H898" s="1541"/>
      <c r="I898" s="1541"/>
      <c r="J898" s="1541"/>
      <c r="K898" s="1541"/>
      <c r="L898" s="1541"/>
      <c r="M898" s="1541"/>
      <c r="N898" s="1541"/>
      <c r="O898" s="1541"/>
      <c r="P898" s="1541"/>
      <c r="Q898" s="1541"/>
      <c r="R898" s="1541"/>
      <c r="S898" s="1541"/>
      <c r="T898" s="1542"/>
      <c r="U898" s="1214" t="s">
        <v>124</v>
      </c>
      <c r="V898" s="1145"/>
      <c r="W898" s="1145"/>
      <c r="X898" s="1145"/>
      <c r="Y898" s="1145"/>
      <c r="Z898" s="1146"/>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2" customHeight="1">
      <c r="F899" s="1540" t="s">
        <v>948</v>
      </c>
      <c r="G899" s="1541"/>
      <c r="H899" s="1541"/>
      <c r="I899" s="1541"/>
      <c r="J899" s="1541"/>
      <c r="K899" s="1541"/>
      <c r="L899" s="1541"/>
      <c r="M899" s="1541"/>
      <c r="N899" s="1541"/>
      <c r="O899" s="1541"/>
      <c r="P899" s="1541"/>
      <c r="Q899" s="1541"/>
      <c r="R899" s="1541"/>
      <c r="S899" s="1541"/>
      <c r="T899" s="1542"/>
      <c r="U899" s="1214" t="s">
        <v>124</v>
      </c>
      <c r="V899" s="1145"/>
      <c r="W899" s="1145"/>
      <c r="X899" s="1145"/>
      <c r="Y899" s="1145"/>
      <c r="Z899" s="1146"/>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2" customHeight="1">
      <c r="F900" s="1313" t="s">
        <v>159</v>
      </c>
      <c r="G900" s="1314"/>
      <c r="H900" s="1314"/>
      <c r="I900" s="1314"/>
      <c r="J900" s="1314"/>
      <c r="K900" s="1314"/>
      <c r="L900" s="1314"/>
      <c r="M900" s="1314"/>
      <c r="N900" s="1314"/>
      <c r="O900" s="1314"/>
      <c r="P900" s="1314"/>
      <c r="Q900" s="1314"/>
      <c r="R900" s="1314"/>
      <c r="S900" s="1314"/>
      <c r="T900" s="1315"/>
      <c r="U900" s="1214" t="s">
        <v>124</v>
      </c>
      <c r="V900" s="1145"/>
      <c r="W900" s="1145"/>
      <c r="X900" s="1145"/>
      <c r="Y900" s="1145"/>
      <c r="Z900" s="1146"/>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2" customHeight="1">
      <c r="F901" s="1313" t="s">
        <v>2290</v>
      </c>
      <c r="G901" s="1314"/>
      <c r="H901" s="1314"/>
      <c r="I901" s="1314"/>
      <c r="J901" s="1314"/>
      <c r="K901" s="1314"/>
      <c r="L901" s="1314"/>
      <c r="M901" s="1314"/>
      <c r="N901" s="1314"/>
      <c r="O901" s="1314"/>
      <c r="P901" s="1314"/>
      <c r="Q901" s="1314"/>
      <c r="R901" s="1314"/>
      <c r="S901" s="1314"/>
      <c r="T901" s="1315"/>
      <c r="U901" s="1214" t="s">
        <v>124</v>
      </c>
      <c r="V901" s="1145"/>
      <c r="W901" s="1145"/>
      <c r="X901" s="1145"/>
      <c r="Y901" s="1145"/>
      <c r="Z901" s="1146"/>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2" customHeight="1">
      <c r="F902" s="1313" t="s">
        <v>161</v>
      </c>
      <c r="G902" s="1314"/>
      <c r="H902" s="1314"/>
      <c r="I902" s="1314"/>
      <c r="J902" s="1314"/>
      <c r="K902" s="1314"/>
      <c r="L902" s="1314"/>
      <c r="M902" s="1314"/>
      <c r="N902" s="1314"/>
      <c r="O902" s="1314"/>
      <c r="P902" s="1314"/>
      <c r="Q902" s="1314"/>
      <c r="R902" s="1314"/>
      <c r="S902" s="1314"/>
      <c r="T902" s="1315"/>
      <c r="U902" s="1214" t="s">
        <v>124</v>
      </c>
      <c r="V902" s="1145"/>
      <c r="W902" s="1145"/>
      <c r="X902" s="1145"/>
      <c r="Y902" s="1145"/>
      <c r="Z902" s="1146"/>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2" customHeight="1">
      <c r="F903" s="1313" t="s">
        <v>2287</v>
      </c>
      <c r="G903" s="1314"/>
      <c r="H903" s="1314"/>
      <c r="I903" s="1314"/>
      <c r="J903" s="1314"/>
      <c r="K903" s="1314"/>
      <c r="L903" s="1314"/>
      <c r="M903" s="1314"/>
      <c r="N903" s="1314"/>
      <c r="O903" s="1314"/>
      <c r="P903" s="1314"/>
      <c r="Q903" s="1314"/>
      <c r="R903" s="1314"/>
      <c r="S903" s="1314"/>
      <c r="T903" s="1315"/>
      <c r="U903" s="1214" t="s">
        <v>124</v>
      </c>
      <c r="V903" s="1145"/>
      <c r="W903" s="1145"/>
      <c r="X903" s="1145"/>
      <c r="Y903" s="1145"/>
      <c r="Z903" s="1146"/>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2" customHeight="1">
      <c r="F904" s="1313" t="s">
        <v>2288</v>
      </c>
      <c r="G904" s="1314"/>
      <c r="H904" s="1314"/>
      <c r="I904" s="1314"/>
      <c r="J904" s="1314"/>
      <c r="K904" s="1314"/>
      <c r="L904" s="1314"/>
      <c r="M904" s="1314"/>
      <c r="N904" s="1314"/>
      <c r="O904" s="1314"/>
      <c r="P904" s="1314"/>
      <c r="Q904" s="1314"/>
      <c r="R904" s="1314"/>
      <c r="S904" s="1314"/>
      <c r="T904" s="1315"/>
      <c r="U904" s="1214" t="s">
        <v>124</v>
      </c>
      <c r="V904" s="1145"/>
      <c r="W904" s="1145"/>
      <c r="X904" s="1145"/>
      <c r="Y904" s="1145"/>
      <c r="Z904" s="1146"/>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2" customHeight="1">
      <c r="F905" s="1313" t="s">
        <v>2289</v>
      </c>
      <c r="G905" s="1314"/>
      <c r="H905" s="1314"/>
      <c r="I905" s="1314"/>
      <c r="J905" s="1314"/>
      <c r="K905" s="1314"/>
      <c r="L905" s="1314"/>
      <c r="M905" s="1314"/>
      <c r="N905" s="1314"/>
      <c r="O905" s="1314"/>
      <c r="P905" s="1314"/>
      <c r="Q905" s="1314"/>
      <c r="R905" s="1314"/>
      <c r="S905" s="1314"/>
      <c r="T905" s="1315"/>
      <c r="U905" s="1214" t="s">
        <v>124</v>
      </c>
      <c r="V905" s="1145"/>
      <c r="W905" s="1145"/>
      <c r="X905" s="1145"/>
      <c r="Y905" s="1145"/>
      <c r="Z905" s="1146"/>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2" customHeight="1">
      <c r="F906" s="1313" t="s">
        <v>2283</v>
      </c>
      <c r="G906" s="1314"/>
      <c r="H906" s="1314"/>
      <c r="I906" s="1314"/>
      <c r="J906" s="1314"/>
      <c r="K906" s="1314"/>
      <c r="L906" s="1314"/>
      <c r="M906" s="1314"/>
      <c r="N906" s="1314"/>
      <c r="O906" s="1314"/>
      <c r="P906" s="1314"/>
      <c r="Q906" s="1314"/>
      <c r="R906" s="1314"/>
      <c r="S906" s="1314"/>
      <c r="T906" s="1315"/>
      <c r="U906" s="1214" t="s">
        <v>124</v>
      </c>
      <c r="V906" s="1145"/>
      <c r="W906" s="1145"/>
      <c r="X906" s="1145"/>
      <c r="Y906" s="1145"/>
      <c r="Z906" s="1146"/>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2" customHeight="1">
      <c r="F907" s="1313" t="s">
        <v>2280</v>
      </c>
      <c r="G907" s="1314"/>
      <c r="H907" s="1314"/>
      <c r="I907" s="1314"/>
      <c r="J907" s="1314"/>
      <c r="K907" s="1314"/>
      <c r="L907" s="1314"/>
      <c r="M907" s="1314"/>
      <c r="N907" s="1314"/>
      <c r="O907" s="1314"/>
      <c r="P907" s="1314"/>
      <c r="Q907" s="1314"/>
      <c r="R907" s="1314"/>
      <c r="S907" s="1314"/>
      <c r="T907" s="1315"/>
      <c r="U907" s="1214" t="s">
        <v>124</v>
      </c>
      <c r="V907" s="1145"/>
      <c r="W907" s="1145"/>
      <c r="X907" s="1145"/>
      <c r="Y907" s="1145"/>
      <c r="Z907" s="1146"/>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2" customHeight="1">
      <c r="F908" s="1577" t="s">
        <v>157</v>
      </c>
      <c r="G908" s="1578"/>
      <c r="H908" s="1578"/>
      <c r="I908" s="1578"/>
      <c r="J908" s="1578"/>
      <c r="K908" s="1578"/>
      <c r="L908" s="1578"/>
      <c r="M908" s="1578"/>
      <c r="N908" s="1578"/>
      <c r="O908" s="1578"/>
      <c r="P908" s="1578"/>
      <c r="Q908" s="1578"/>
      <c r="R908" s="1578"/>
      <c r="S908" s="1578"/>
      <c r="T908" s="1579"/>
      <c r="U908" s="1214" t="s">
        <v>124</v>
      </c>
      <c r="V908" s="1145"/>
      <c r="W908" s="1145"/>
      <c r="X908" s="1145"/>
      <c r="Y908" s="1145"/>
      <c r="Z908" s="1146"/>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2" customHeight="1">
      <c r="F909" s="1313" t="s">
        <v>1906</v>
      </c>
      <c r="G909" s="1314"/>
      <c r="H909" s="1314"/>
      <c r="I909" s="1314"/>
      <c r="J909" s="1314"/>
      <c r="K909" s="1314"/>
      <c r="L909" s="1314"/>
      <c r="M909" s="1314"/>
      <c r="N909" s="1314"/>
      <c r="O909" s="1314"/>
      <c r="P909" s="1314"/>
      <c r="Q909" s="1314"/>
      <c r="R909" s="1314"/>
      <c r="S909" s="1314"/>
      <c r="T909" s="1315"/>
      <c r="U909" s="1214" t="s">
        <v>124</v>
      </c>
      <c r="V909" s="1145"/>
      <c r="W909" s="1145"/>
      <c r="X909" s="1145"/>
      <c r="Y909" s="1145"/>
      <c r="Z909" s="1146"/>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2" customHeight="1">
      <c r="F910" s="1540" t="s">
        <v>1008</v>
      </c>
      <c r="G910" s="1541"/>
      <c r="H910" s="1541"/>
      <c r="I910" s="1541"/>
      <c r="J910" s="1541"/>
      <c r="K910" s="1541"/>
      <c r="L910" s="1541"/>
      <c r="M910" s="1541"/>
      <c r="N910" s="1541"/>
      <c r="O910" s="1541"/>
      <c r="P910" s="1541"/>
      <c r="Q910" s="1541"/>
      <c r="R910" s="1541"/>
      <c r="S910" s="1541"/>
      <c r="T910" s="1542"/>
      <c r="U910" s="1214" t="s">
        <v>124</v>
      </c>
      <c r="V910" s="1145"/>
      <c r="W910" s="1145"/>
      <c r="X910" s="1145"/>
      <c r="Y910" s="1145"/>
      <c r="Z910" s="1146"/>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2" customHeight="1">
      <c r="F911" s="1565" t="s">
        <v>2291</v>
      </c>
      <c r="G911" s="1566"/>
      <c r="H911" s="1566"/>
      <c r="I911" s="1566"/>
      <c r="J911" s="1566"/>
      <c r="K911" s="1566"/>
      <c r="L911" s="1566"/>
      <c r="M911" s="1566"/>
      <c r="N911" s="1566"/>
      <c r="O911" s="1566"/>
      <c r="P911" s="1566"/>
      <c r="Q911" s="1566"/>
      <c r="R911" s="1566"/>
      <c r="S911" s="1566"/>
      <c r="T911" s="1567"/>
      <c r="U911" s="1214" t="s">
        <v>124</v>
      </c>
      <c r="V911" s="1145"/>
      <c r="W911" s="1145"/>
      <c r="X911" s="1145"/>
      <c r="Y911" s="1145"/>
      <c r="Z911" s="1146"/>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2" customHeight="1">
      <c r="F912" s="1565" t="s">
        <v>2293</v>
      </c>
      <c r="G912" s="1566"/>
      <c r="H912" s="1566"/>
      <c r="I912" s="1566"/>
      <c r="J912" s="1566"/>
      <c r="K912" s="1566"/>
      <c r="L912" s="1566"/>
      <c r="M912" s="1566"/>
      <c r="N912" s="1566"/>
      <c r="O912" s="1566"/>
      <c r="P912" s="1566"/>
      <c r="Q912" s="1566"/>
      <c r="R912" s="1566"/>
      <c r="S912" s="1566"/>
      <c r="T912" s="1567"/>
      <c r="U912" s="1214" t="s">
        <v>124</v>
      </c>
      <c r="V912" s="1145"/>
      <c r="W912" s="1145"/>
      <c r="X912" s="1145"/>
      <c r="Y912" s="1145"/>
      <c r="Z912" s="1146"/>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 customHeight="1">
      <c r="F913" s="1313" t="s">
        <v>2281</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 customHeight="1">
      <c r="F914" s="1313" t="s">
        <v>2285</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 customHeight="1">
      <c r="F915" s="1313" t="s">
        <v>2282</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 customHeight="1">
      <c r="F916" s="1565" t="s">
        <v>1904</v>
      </c>
      <c r="G916" s="1566"/>
      <c r="H916" s="1566"/>
      <c r="I916" s="1566"/>
      <c r="J916" s="1566"/>
      <c r="K916" s="1566"/>
      <c r="L916" s="1566"/>
      <c r="M916" s="1566"/>
      <c r="N916" s="1566"/>
      <c r="O916" s="1566"/>
      <c r="P916" s="1566"/>
      <c r="Q916" s="1566"/>
      <c r="R916" s="1566"/>
      <c r="S916" s="1566"/>
      <c r="T916" s="1567"/>
      <c r="U916" s="1214" t="s">
        <v>124</v>
      </c>
      <c r="V916" s="1145"/>
      <c r="W916" s="1145"/>
      <c r="X916" s="1145"/>
      <c r="Y916" s="1145"/>
      <c r="Z916" s="1146"/>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 customHeight="1">
      <c r="F917" s="1565" t="s">
        <v>2294</v>
      </c>
      <c r="G917" s="1566"/>
      <c r="H917" s="1566"/>
      <c r="I917" s="1566"/>
      <c r="J917" s="1566"/>
      <c r="K917" s="1566"/>
      <c r="L917" s="1566"/>
      <c r="M917" s="1566"/>
      <c r="N917" s="1566"/>
      <c r="O917" s="1566"/>
      <c r="P917" s="1566"/>
      <c r="Q917" s="1566"/>
      <c r="R917" s="1566"/>
      <c r="S917" s="1566"/>
      <c r="T917" s="1567"/>
      <c r="U917" s="1214" t="s">
        <v>124</v>
      </c>
      <c r="V917" s="1145"/>
      <c r="W917" s="1145"/>
      <c r="X917" s="1145"/>
      <c r="Y917" s="1145"/>
      <c r="Z917" s="1146"/>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 customHeight="1">
      <c r="F918" s="1565" t="s">
        <v>1905</v>
      </c>
      <c r="G918" s="1566"/>
      <c r="H918" s="1566"/>
      <c r="I918" s="1566"/>
      <c r="J918" s="1566"/>
      <c r="K918" s="1566"/>
      <c r="L918" s="1566"/>
      <c r="M918" s="1566"/>
      <c r="N918" s="1566"/>
      <c r="O918" s="1566"/>
      <c r="P918" s="1566"/>
      <c r="Q918" s="1566"/>
      <c r="R918" s="1566"/>
      <c r="S918" s="1566"/>
      <c r="T918" s="1567"/>
      <c r="U918" s="1214" t="s">
        <v>124</v>
      </c>
      <c r="V918" s="1145"/>
      <c r="W918" s="1145"/>
      <c r="X918" s="1145"/>
      <c r="Y918" s="1145"/>
      <c r="Z918" s="1146"/>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 customHeight="1">
      <c r="F919" s="1565" t="s">
        <v>156</v>
      </c>
      <c r="G919" s="1566"/>
      <c r="H919" s="1566"/>
      <c r="I919" s="1566"/>
      <c r="J919" s="1566"/>
      <c r="K919" s="1566"/>
      <c r="L919" s="1566"/>
      <c r="M919" s="1566"/>
      <c r="N919" s="1566"/>
      <c r="O919" s="1566"/>
      <c r="P919" s="1566"/>
      <c r="Q919" s="1566"/>
      <c r="R919" s="1566"/>
      <c r="S919" s="1566"/>
      <c r="T919" s="1567"/>
      <c r="U919" s="1214" t="s">
        <v>124</v>
      </c>
      <c r="V919" s="1145"/>
      <c r="W919" s="1145"/>
      <c r="X919" s="1145"/>
      <c r="Y919" s="1145"/>
      <c r="Z919" s="1146"/>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 customHeight="1">
      <c r="F920" s="1565" t="s">
        <v>2292</v>
      </c>
      <c r="G920" s="1566"/>
      <c r="H920" s="1566"/>
      <c r="I920" s="1566"/>
      <c r="J920" s="1566"/>
      <c r="K920" s="1566"/>
      <c r="L920" s="1566"/>
      <c r="M920" s="1566"/>
      <c r="N920" s="1566"/>
      <c r="O920" s="1566"/>
      <c r="P920" s="1566"/>
      <c r="Q920" s="1566"/>
      <c r="R920" s="1566"/>
      <c r="S920" s="1566"/>
      <c r="T920" s="1567"/>
      <c r="U920" s="1214" t="s">
        <v>124</v>
      </c>
      <c r="V920" s="1145"/>
      <c r="W920" s="1145"/>
      <c r="X920" s="1145"/>
      <c r="Y920" s="1145"/>
      <c r="Z920" s="1146"/>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 customHeight="1">
      <c r="F921" s="8" t="s">
        <v>1019</v>
      </c>
      <c r="G921" s="9"/>
      <c r="H921" s="9"/>
      <c r="I921" s="9"/>
      <c r="J921" s="9"/>
      <c r="K921" s="9"/>
      <c r="L921" s="9"/>
      <c r="M921" s="9"/>
      <c r="N921" s="9"/>
      <c r="O921" s="9"/>
      <c r="P921" s="1079" t="s">
        <v>483</v>
      </c>
      <c r="Q921" s="1145"/>
      <c r="R921" s="1145"/>
      <c r="S921" s="1145"/>
      <c r="T921" s="1146"/>
      <c r="U921" s="1214" t="s">
        <v>124</v>
      </c>
      <c r="V921" s="1145"/>
      <c r="W921" s="1145"/>
      <c r="X921" s="1145"/>
      <c r="Y921" s="1145"/>
      <c r="Z921" s="1146"/>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 customHeight="1">
      <c r="F922" s="1313" t="s">
        <v>2284</v>
      </c>
      <c r="G922" s="1314"/>
      <c r="H922" s="1315"/>
      <c r="I922" s="1240" t="s">
        <v>562</v>
      </c>
      <c r="J922" s="1258"/>
      <c r="K922" s="1258"/>
      <c r="L922" s="1258"/>
      <c r="M922" s="1258"/>
      <c r="N922" s="1258"/>
      <c r="O922" s="1258"/>
      <c r="P922" s="1258"/>
      <c r="Q922" s="1258"/>
      <c r="R922" s="1258"/>
      <c r="S922" s="1258"/>
      <c r="T922" s="1259"/>
      <c r="U922" s="1214" t="s">
        <v>124</v>
      </c>
      <c r="V922" s="1145"/>
      <c r="W922" s="1145"/>
      <c r="X922" s="1145"/>
      <c r="Y922" s="1145"/>
      <c r="Z922" s="1146"/>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 customHeight="1">
      <c r="F923" s="1313" t="s">
        <v>374</v>
      </c>
      <c r="G923" s="1314"/>
      <c r="H923" s="1315"/>
      <c r="I923" s="1240" t="s">
        <v>2436</v>
      </c>
      <c r="J923" s="1258"/>
      <c r="K923" s="1258"/>
      <c r="L923" s="1258"/>
      <c r="M923" s="1258"/>
      <c r="N923" s="1258"/>
      <c r="O923" s="1258"/>
      <c r="P923" s="1258"/>
      <c r="Q923" s="1258"/>
      <c r="R923" s="1258"/>
      <c r="S923" s="1258"/>
      <c r="T923" s="1259"/>
      <c r="U923" s="1214" t="s">
        <v>108</v>
      </c>
      <c r="V923" s="1145"/>
      <c r="W923" s="1145"/>
      <c r="X923" s="1145"/>
      <c r="Y923" s="1145"/>
      <c r="Z923" s="1146"/>
      <c r="AA923" s="1174">
        <v>3512264</v>
      </c>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 customHeight="1">
      <c r="F924" s="1313" t="s">
        <v>826</v>
      </c>
      <c r="G924" s="1314"/>
      <c r="H924" s="1315"/>
      <c r="I924" s="1240" t="s">
        <v>2410</v>
      </c>
      <c r="J924" s="1258"/>
      <c r="K924" s="1258"/>
      <c r="L924" s="1258"/>
      <c r="M924" s="1258"/>
      <c r="N924" s="1258"/>
      <c r="O924" s="1258"/>
      <c r="P924" s="1258"/>
      <c r="Q924" s="1258"/>
      <c r="R924" s="1258"/>
      <c r="S924" s="1258"/>
      <c r="T924" s="1259"/>
      <c r="U924" s="1214" t="s">
        <v>108</v>
      </c>
      <c r="V924" s="1145"/>
      <c r="W924" s="1145"/>
      <c r="X924" s="1145"/>
      <c r="Y924" s="1145"/>
      <c r="Z924" s="1146"/>
      <c r="AA924" s="1174">
        <v>6560000</v>
      </c>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 customHeight="1">
      <c r="F925" s="1313" t="s">
        <v>283</v>
      </c>
      <c r="G925" s="1314"/>
      <c r="H925" s="1315"/>
      <c r="I925" s="1240" t="s">
        <v>562</v>
      </c>
      <c r="J925" s="1258"/>
      <c r="K925" s="1258"/>
      <c r="L925" s="1258"/>
      <c r="M925" s="1258"/>
      <c r="N925" s="1258"/>
      <c r="O925" s="1258"/>
      <c r="P925" s="1258"/>
      <c r="Q925" s="1258"/>
      <c r="R925" s="1258"/>
      <c r="S925" s="1258"/>
      <c r="T925" s="1259"/>
      <c r="U925" s="1214" t="s">
        <v>124</v>
      </c>
      <c r="V925" s="1145"/>
      <c r="W925" s="1145"/>
      <c r="X925" s="1145"/>
      <c r="Y925" s="1145"/>
      <c r="Z925" s="1146"/>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 customHeight="1">
      <c r="A926" s="21"/>
      <c r="F926" s="1313" t="s">
        <v>283</v>
      </c>
      <c r="G926" s="1314"/>
      <c r="H926" s="1315"/>
      <c r="I926" s="1240" t="s">
        <v>562</v>
      </c>
      <c r="J926" s="1258"/>
      <c r="K926" s="1258"/>
      <c r="L926" s="1258"/>
      <c r="M926" s="1258"/>
      <c r="N926" s="1258"/>
      <c r="O926" s="1258"/>
      <c r="P926" s="1258"/>
      <c r="Q926" s="1258"/>
      <c r="R926" s="1258"/>
      <c r="S926" s="1258"/>
      <c r="T926" s="1259"/>
      <c r="U926" s="1214" t="s">
        <v>124</v>
      </c>
      <c r="V926" s="1145"/>
      <c r="W926" s="1145"/>
      <c r="X926" s="1145"/>
      <c r="Y926" s="1145"/>
      <c r="Z926" s="1146"/>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s="72" t="s">
        <v>827</v>
      </c>
      <c r="D931" s="9"/>
      <c r="E931" s="9"/>
      <c r="F931" s="9"/>
      <c r="G931" s="9"/>
      <c r="H931" s="9"/>
      <c r="I931" s="9"/>
      <c r="J931" s="9"/>
      <c r="K931" s="9"/>
      <c r="L931" s="1260">
        <v>45035</v>
      </c>
      <c r="M931" s="1354"/>
      <c r="N931" s="1354"/>
      <c r="O931" s="1354"/>
      <c r="P931" s="1354"/>
      <c r="Q931" s="1354"/>
      <c r="R931" s="1354"/>
      <c r="S931" s="1455"/>
      <c r="U931" s="72" t="s">
        <v>827</v>
      </c>
      <c r="V931" s="9"/>
      <c r="W931" s="9"/>
      <c r="X931" s="9"/>
      <c r="Y931" s="9"/>
      <c r="Z931" s="9"/>
      <c r="AA931" s="9"/>
      <c r="AB931" s="9"/>
      <c r="AC931" s="9"/>
      <c r="AD931" s="52"/>
      <c r="AE931" s="1260"/>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s="72" t="s">
        <v>828</v>
      </c>
      <c r="D932" s="9"/>
      <c r="E932" s="9"/>
      <c r="F932" s="9"/>
      <c r="G932" s="9"/>
      <c r="H932" s="9"/>
      <c r="I932" s="9"/>
      <c r="J932" s="9"/>
      <c r="K932" s="9"/>
      <c r="L932" s="1263" t="s">
        <v>2437</v>
      </c>
      <c r="M932" s="1354"/>
      <c r="N932" s="1354"/>
      <c r="O932" s="1354"/>
      <c r="P932" s="1354"/>
      <c r="Q932" s="1354"/>
      <c r="R932" s="1354"/>
      <c r="S932" s="1455"/>
      <c r="U932" s="72" t="s">
        <v>828</v>
      </c>
      <c r="V932" s="9"/>
      <c r="W932" s="9"/>
      <c r="X932" s="9"/>
      <c r="Y932" s="9"/>
      <c r="Z932" s="9"/>
      <c r="AA932" s="9"/>
      <c r="AB932" s="9"/>
      <c r="AC932" s="9"/>
      <c r="AD932" s="52"/>
      <c r="AE932" s="1263"/>
      <c r="AF932" s="1149"/>
      <c r="AG932" s="1149"/>
      <c r="AH932" s="1149"/>
      <c r="AI932" s="1149"/>
      <c r="AJ932" s="1149"/>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s="72" t="s">
        <v>1108</v>
      </c>
      <c r="D933" s="9"/>
      <c r="E933" s="9"/>
      <c r="L933" s="1162" t="s">
        <v>2438</v>
      </c>
      <c r="M933" s="1163"/>
      <c r="N933" s="1163"/>
      <c r="O933" s="1163"/>
      <c r="P933" s="1163"/>
      <c r="Q933" s="1163"/>
      <c r="R933" s="1163"/>
      <c r="S933" s="1164"/>
      <c r="U933" s="72" t="s">
        <v>1108</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C934" s="72" t="s">
        <v>829</v>
      </c>
      <c r="D934" s="9"/>
      <c r="E934" s="9"/>
      <c r="F934" s="9"/>
      <c r="G934" s="9"/>
      <c r="H934" s="9"/>
      <c r="I934" s="9"/>
      <c r="J934" s="9"/>
      <c r="K934" s="9"/>
      <c r="L934" s="1196">
        <v>1</v>
      </c>
      <c r="M934" s="1197"/>
      <c r="N934" s="1197"/>
      <c r="O934" s="1197"/>
      <c r="P934" s="1197"/>
      <c r="Q934" s="1197"/>
      <c r="R934" s="1197"/>
      <c r="S934" s="1198"/>
      <c r="U934" s="72" t="s">
        <v>829</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C935" s="72" t="s">
        <v>830</v>
      </c>
      <c r="D935" s="9"/>
      <c r="E935" s="9"/>
      <c r="F935" s="9"/>
      <c r="G935" s="9"/>
      <c r="H935" s="9"/>
      <c r="I935" s="9"/>
      <c r="J935" s="9"/>
      <c r="K935" s="9"/>
      <c r="L935" s="1190">
        <v>46</v>
      </c>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C936" s="72" t="s">
        <v>831</v>
      </c>
      <c r="D936" s="9"/>
      <c r="E936" s="9"/>
      <c r="F936" s="9"/>
      <c r="G936" s="9"/>
      <c r="H936" s="9"/>
      <c r="I936" s="9"/>
      <c r="J936" s="9"/>
      <c r="K936" s="9"/>
      <c r="L936" s="1217">
        <v>1052544</v>
      </c>
      <c r="M936" s="1218"/>
      <c r="N936" s="1218"/>
      <c r="O936" s="1218"/>
      <c r="P936" s="1218"/>
      <c r="Q936" s="1218"/>
      <c r="R936" s="1218"/>
      <c r="S936" s="1219"/>
      <c r="U936" s="72" t="s">
        <v>831</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C937" s="72" t="s">
        <v>832</v>
      </c>
      <c r="D937" s="9"/>
      <c r="E937" s="9"/>
      <c r="F937" s="9"/>
      <c r="G937" s="9"/>
      <c r="H937" s="9"/>
      <c r="I937" s="9"/>
      <c r="J937" s="9"/>
      <c r="K937" s="9"/>
      <c r="L937" s="1217">
        <f>L936*L938</f>
        <v>21050880</v>
      </c>
      <c r="M937" s="1218"/>
      <c r="N937" s="1218"/>
      <c r="O937" s="1218"/>
      <c r="P937" s="1218"/>
      <c r="Q937" s="1218"/>
      <c r="R937" s="1218"/>
      <c r="S937" s="1219"/>
      <c r="U937" s="72" t="s">
        <v>832</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C938" s="214" t="s">
        <v>1974</v>
      </c>
      <c r="D938" s="9"/>
      <c r="E938" s="9"/>
      <c r="F938" s="9"/>
      <c r="G938" s="9"/>
      <c r="H938" s="9"/>
      <c r="I938" s="9"/>
      <c r="J938" s="9"/>
      <c r="K938" s="9"/>
      <c r="L938" s="1190">
        <v>20</v>
      </c>
      <c r="M938" s="1191"/>
      <c r="N938" s="1191"/>
      <c r="O938" s="1191"/>
      <c r="P938" s="1191"/>
      <c r="Q938" s="1191"/>
      <c r="R938" s="1191"/>
      <c r="S938" s="1192"/>
      <c r="U938" s="214" t="s">
        <v>1974</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F943" s="8" t="s">
        <v>847</v>
      </c>
      <c r="G943" s="9"/>
      <c r="H943" s="9"/>
      <c r="I943" s="9"/>
      <c r="J943" s="9"/>
      <c r="K943" s="9"/>
      <c r="L943" s="52"/>
      <c r="M943" s="1180"/>
      <c r="N943" s="1116"/>
      <c r="O943" s="1116"/>
      <c r="P943" s="1116"/>
      <c r="Q943" s="1116"/>
      <c r="R943" s="1116"/>
      <c r="S943" s="1181"/>
      <c r="T943" s="72" t="s">
        <v>950</v>
      </c>
      <c r="U943" s="9"/>
      <c r="V943" s="9"/>
      <c r="W943" s="9"/>
      <c r="X943" s="9"/>
      <c r="Y943" s="9"/>
      <c r="Z943" s="52"/>
      <c r="AA943" s="1180"/>
      <c r="AB943" s="1116"/>
      <c r="AC943" s="1116"/>
      <c r="AD943" s="1116"/>
      <c r="AE943" s="1116"/>
      <c r="AF943" s="1116"/>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F944" s="8" t="s">
        <v>848</v>
      </c>
      <c r="G944" s="9"/>
      <c r="H944" s="9"/>
      <c r="I944" s="9"/>
      <c r="J944" s="9"/>
      <c r="K944" s="9"/>
      <c r="L944" s="52"/>
      <c r="M944" s="1180"/>
      <c r="N944" s="1116"/>
      <c r="O944" s="1116"/>
      <c r="P944" s="1116"/>
      <c r="Q944" s="1116"/>
      <c r="R944" s="1116"/>
      <c r="S944" s="1181"/>
      <c r="T944" s="72" t="s">
        <v>949</v>
      </c>
      <c r="U944" s="9"/>
      <c r="V944" s="9"/>
      <c r="W944" s="9"/>
      <c r="X944" s="9"/>
      <c r="Y944" s="9"/>
      <c r="Z944" s="52"/>
      <c r="AA944" s="1180"/>
      <c r="AB944" s="1116"/>
      <c r="AC944" s="1116"/>
      <c r="AD944" s="1116"/>
      <c r="AE944" s="1116"/>
      <c r="AF944" s="1116"/>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F945" s="72" t="s">
        <v>1140</v>
      </c>
      <c r="G945" s="9"/>
      <c r="H945" s="9"/>
      <c r="I945" s="9"/>
      <c r="J945" s="9"/>
      <c r="K945" s="9"/>
      <c r="L945" s="52"/>
      <c r="M945" s="1129" t="s">
        <v>124</v>
      </c>
      <c r="N945" s="1054"/>
      <c r="O945" s="1054"/>
      <c r="P945" s="1054"/>
      <c r="Q945" s="1054"/>
      <c r="R945" s="1054"/>
      <c r="S945" s="1130"/>
      <c r="T945" s="8" t="s">
        <v>566</v>
      </c>
      <c r="U945" s="9"/>
      <c r="V945" s="9"/>
      <c r="W945" s="9"/>
      <c r="X945" s="9"/>
      <c r="Y945" s="9"/>
      <c r="Z945" s="52"/>
      <c r="AA945" s="1180"/>
      <c r="AB945" s="1116"/>
      <c r="AC945" s="1116"/>
      <c r="AD945" s="1116"/>
      <c r="AE945" s="1116"/>
      <c r="AF945" s="1116"/>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F946" s="8" t="s">
        <v>849</v>
      </c>
      <c r="G946" s="9"/>
      <c r="H946" s="9"/>
      <c r="I946" s="9"/>
      <c r="J946" s="9"/>
      <c r="K946" s="9"/>
      <c r="L946" s="52"/>
      <c r="M946" s="1180"/>
      <c r="N946" s="1116"/>
      <c r="O946" s="1116"/>
      <c r="P946" s="1116"/>
      <c r="Q946" s="1116"/>
      <c r="R946" s="1116"/>
      <c r="S946" s="1181"/>
      <c r="T946" s="8" t="s">
        <v>567</v>
      </c>
      <c r="U946" s="9"/>
      <c r="V946" s="9"/>
      <c r="W946" s="9"/>
      <c r="X946" s="9"/>
      <c r="Y946" s="9"/>
      <c r="Z946" s="52"/>
      <c r="AA946" s="1180"/>
      <c r="AB946" s="1116"/>
      <c r="AC946" s="1116"/>
      <c r="AD946" s="1116"/>
      <c r="AE946" s="1116"/>
      <c r="AF946" s="1116"/>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F947" s="8" t="s">
        <v>83</v>
      </c>
      <c r="G947" s="9"/>
      <c r="H947" s="9"/>
      <c r="I947" s="9"/>
      <c r="J947" s="9"/>
      <c r="K947" s="9"/>
      <c r="L947" s="52"/>
      <c r="M947" s="1180"/>
      <c r="N947" s="1116"/>
      <c r="O947" s="1116"/>
      <c r="P947" s="1116"/>
      <c r="Q947" s="1116"/>
      <c r="R947" s="1116"/>
      <c r="S947" s="1181"/>
      <c r="T947" s="8" t="s">
        <v>494</v>
      </c>
      <c r="U947" s="9"/>
      <c r="V947" s="9"/>
      <c r="W947" s="9"/>
      <c r="X947" s="9"/>
      <c r="Y947" s="9"/>
      <c r="Z947" s="52"/>
      <c r="AA947" s="1180"/>
      <c r="AB947" s="1116"/>
      <c r="AC947" s="1116"/>
      <c r="AD947" s="1116"/>
      <c r="AE947" s="1116"/>
      <c r="AF947" s="1116"/>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F948" s="414" t="s">
        <v>1108</v>
      </c>
      <c r="G948" s="7"/>
      <c r="H948" s="7"/>
      <c r="I948" s="7"/>
      <c r="J948" s="7"/>
      <c r="K948" s="7"/>
      <c r="L948" s="64"/>
      <c r="M948" s="1162" t="s">
        <v>79</v>
      </c>
      <c r="N948" s="1163"/>
      <c r="O948" s="1163"/>
      <c r="P948" s="1163"/>
      <c r="Q948" s="1163"/>
      <c r="R948" s="1163"/>
      <c r="S948" s="1164"/>
      <c r="T948" s="1394"/>
      <c r="U948" s="1395"/>
      <c r="V948" s="1395"/>
      <c r="W948" s="1395"/>
      <c r="X948" s="1395"/>
      <c r="Y948" s="1395"/>
      <c r="Z948" s="1396"/>
      <c r="AA948" s="1180"/>
      <c r="AB948" s="1116"/>
      <c r="AC948" s="1116"/>
      <c r="AD948" s="1116"/>
      <c r="AE948" s="1116"/>
      <c r="AF948" s="1116"/>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F949" s="6" t="s">
        <v>84</v>
      </c>
      <c r="G949" s="7"/>
      <c r="H949" s="7"/>
      <c r="I949" s="7"/>
      <c r="J949" s="7"/>
      <c r="K949" s="7"/>
      <c r="L949" s="64"/>
      <c r="M949" s="1180"/>
      <c r="N949" s="1116"/>
      <c r="O949" s="1116"/>
      <c r="P949" s="1116"/>
      <c r="Q949" s="1116"/>
      <c r="R949" s="1116"/>
      <c r="S949" s="1181"/>
      <c r="T949" s="1394"/>
      <c r="U949" s="1395"/>
      <c r="V949" s="1395"/>
      <c r="W949" s="1395"/>
      <c r="X949" s="1395"/>
      <c r="Y949" s="1395"/>
      <c r="Z949" s="1396"/>
      <c r="AA949" s="1180"/>
      <c r="AB949" s="1116"/>
      <c r="AC949" s="1116"/>
      <c r="AD949" s="1116"/>
      <c r="AE949" s="1116"/>
      <c r="AF949" s="1116"/>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F950" s="6" t="s">
        <v>565</v>
      </c>
      <c r="G950" s="7"/>
      <c r="H950" s="7"/>
      <c r="I950" s="7"/>
      <c r="J950" s="7"/>
      <c r="K950" s="7"/>
      <c r="L950" s="7"/>
      <c r="M950" s="7"/>
      <c r="N950" s="7"/>
      <c r="O950" s="1129" t="s">
        <v>483</v>
      </c>
      <c r="P950" s="1130"/>
      <c r="Q950" s="146"/>
      <c r="R950" s="146"/>
      <c r="S950" s="147"/>
      <c r="T950" s="6" t="s">
        <v>283</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F951" s="1185" t="s">
        <v>226</v>
      </c>
      <c r="G951" s="1186"/>
      <c r="H951" s="1186"/>
      <c r="I951" s="1186"/>
      <c r="J951" s="1186"/>
      <c r="K951" s="1186"/>
      <c r="L951" s="1186"/>
      <c r="M951" s="1180"/>
      <c r="N951" s="1116"/>
      <c r="O951" s="1116"/>
      <c r="P951" s="1116"/>
      <c r="Q951" s="1116"/>
      <c r="R951" s="1116"/>
      <c r="S951" s="1181"/>
      <c r="T951" s="53"/>
      <c r="U951" s="54"/>
      <c r="V951" s="54"/>
      <c r="W951" s="54"/>
      <c r="X951" s="54"/>
      <c r="Y951" s="54"/>
      <c r="Z951" s="226" t="s">
        <v>227</v>
      </c>
      <c r="AA951" s="1392"/>
      <c r="AB951" s="1319"/>
      <c r="AC951" s="1319"/>
      <c r="AD951" s="1319"/>
      <c r="AE951" s="1319"/>
      <c r="AF951" s="1319"/>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2"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3.2"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3.2"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425</v>
      </c>
      <c r="E960" s="1188"/>
      <c r="F960" s="1188"/>
      <c r="G960" s="1188"/>
      <c r="H960" s="1188"/>
      <c r="I960" s="1188"/>
      <c r="J960" s="1188"/>
      <c r="K960" s="1188"/>
      <c r="L960" s="1188"/>
      <c r="M960" s="1188"/>
      <c r="N960" s="1188"/>
      <c r="O960" s="1188"/>
      <c r="P960" s="1188"/>
      <c r="Q960" s="1189"/>
      <c r="R960" s="1187" t="s">
        <v>426</v>
      </c>
      <c r="S960" s="1188"/>
      <c r="T960" s="1188"/>
      <c r="U960" s="1188"/>
      <c r="V960" s="1188"/>
      <c r="W960" s="1188"/>
      <c r="X960" s="1188"/>
      <c r="Y960" s="1188"/>
      <c r="Z960" s="1188"/>
      <c r="AA960" s="1189"/>
      <c r="AB960" s="1187" t="s">
        <v>427</v>
      </c>
      <c r="AC960" s="1188"/>
      <c r="AD960" s="1188"/>
      <c r="AE960" s="1188"/>
      <c r="AF960" s="1188"/>
      <c r="AG960" s="1188"/>
      <c r="AH960" s="1188"/>
      <c r="AI960" s="1189"/>
      <c r="AJ960" s="1187" t="s">
        <v>428</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A961" s="21"/>
      <c r="B961" s="79"/>
      <c r="C961" s="858"/>
      <c r="D961" s="1254" t="s">
        <v>420</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437727</v>
      </c>
      <c r="S961" s="1257"/>
      <c r="T961" s="1257"/>
      <c r="U961" s="1257"/>
      <c r="V961" s="1257"/>
      <c r="W961" s="1257"/>
      <c r="X961" s="1257"/>
      <c r="Y961" s="1257"/>
      <c r="Z961" s="1257"/>
      <c r="AA961" s="1257"/>
      <c r="AB961" s="1375">
        <f>BN651</f>
        <v>34</v>
      </c>
      <c r="AC961" s="1376"/>
      <c r="AD961" s="1376"/>
      <c r="AE961" s="1376"/>
      <c r="AF961" s="1376"/>
      <c r="AG961" s="1376"/>
      <c r="AH961" s="1376"/>
      <c r="AI961" s="1377"/>
      <c r="AJ961" s="1231">
        <f>IF(ISERROR((R961*AB961)),0,(R961*AB961))</f>
        <v>14882718</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A962" s="21"/>
      <c r="B962" s="79"/>
      <c r="C962" s="83"/>
      <c r="D962" s="1254" t="s">
        <v>443</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504695</v>
      </c>
      <c r="S962" s="1257"/>
      <c r="T962" s="1257"/>
      <c r="U962" s="1257"/>
      <c r="V962" s="1257"/>
      <c r="W962" s="1257"/>
      <c r="X962" s="1257"/>
      <c r="Y962" s="1257"/>
      <c r="Z962" s="1257"/>
      <c r="AA962" s="1257"/>
      <c r="AB962" s="1375">
        <f>BS651</f>
        <v>12</v>
      </c>
      <c r="AC962" s="1376"/>
      <c r="AD962" s="1376"/>
      <c r="AE962" s="1376"/>
      <c r="AF962" s="1376"/>
      <c r="AG962" s="1376"/>
      <c r="AH962" s="1376"/>
      <c r="AI962" s="1377"/>
      <c r="AJ962" s="1231">
        <f>IF(ISERROR((R962*AB962)),0,(R962*AB962))</f>
        <v>6056340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A963" s="21"/>
      <c r="B963" s="79"/>
      <c r="C963" s="83"/>
      <c r="D963" s="1254" t="s">
        <v>780</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608800</v>
      </c>
      <c r="S963" s="1257"/>
      <c r="T963" s="1257"/>
      <c r="U963" s="1257"/>
      <c r="V963" s="1257"/>
      <c r="W963" s="1257"/>
      <c r="X963" s="1257"/>
      <c r="Y963" s="1257"/>
      <c r="Z963" s="1257"/>
      <c r="AA963" s="1257"/>
      <c r="AB963" s="1375">
        <f>BX651</f>
        <v>1</v>
      </c>
      <c r="AC963" s="1376"/>
      <c r="AD963" s="1376"/>
      <c r="AE963" s="1376"/>
      <c r="AF963" s="1376"/>
      <c r="AG963" s="1376"/>
      <c r="AH963" s="1376"/>
      <c r="AI963" s="1377"/>
      <c r="AJ963" s="1231">
        <f>IF(ISERROR((R963*AB963)),0,(R963*AB963))</f>
        <v>608800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 customHeight="1">
      <c r="A964" s="21"/>
      <c r="B964" s="79"/>
      <c r="C964" s="83"/>
      <c r="D964" s="1254" t="s">
        <v>781</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779264</v>
      </c>
      <c r="S964" s="1257"/>
      <c r="T964" s="1257"/>
      <c r="U964" s="1257"/>
      <c r="V964" s="1257"/>
      <c r="W964" s="1257"/>
      <c r="X964" s="1257"/>
      <c r="Y964" s="1257"/>
      <c r="Z964" s="1257"/>
      <c r="AA964" s="1257"/>
      <c r="AB964" s="1375">
        <f>CC651</f>
        <v>0</v>
      </c>
      <c r="AC964" s="1376"/>
      <c r="AD964" s="1376"/>
      <c r="AE964" s="1376"/>
      <c r="AF964" s="1376"/>
      <c r="AG964" s="1376"/>
      <c r="AH964" s="1376"/>
      <c r="AI964" s="1377"/>
      <c r="AJ964" s="1231">
        <f>IF(ISERROR((R964*AB964)),0,(R964*AB964))</f>
        <v>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 customHeight="1">
      <c r="A965" s="21"/>
      <c r="B965" s="53"/>
      <c r="C965" s="81"/>
      <c r="D965" s="1254" t="s">
        <v>791</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868149</v>
      </c>
      <c r="S965" s="1257"/>
      <c r="T965" s="1257"/>
      <c r="U965" s="1257"/>
      <c r="V965" s="1257"/>
      <c r="W965" s="1257"/>
      <c r="X965" s="1257"/>
      <c r="Y965" s="1257"/>
      <c r="Z965" s="1257"/>
      <c r="AA965" s="1257"/>
      <c r="AB965" s="1375">
        <f>CM651+CH651</f>
        <v>0</v>
      </c>
      <c r="AC965" s="1376"/>
      <c r="AD965" s="1376"/>
      <c r="AE965" s="1376"/>
      <c r="AF965" s="1376"/>
      <c r="AG965" s="1376"/>
      <c r="AH965" s="1376"/>
      <c r="AI965" s="1377"/>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5">
        <f>SUM(AB961:AI965)</f>
        <v>47</v>
      </c>
      <c r="AC966" s="1376"/>
      <c r="AD966" s="1376"/>
      <c r="AE966" s="1376"/>
      <c r="AF966" s="1376"/>
      <c r="AG966" s="1376"/>
      <c r="AH966" s="1376"/>
      <c r="AI966" s="1377"/>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1">
        <f>SUM(AJ961:AQ965)</f>
        <v>21547858</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7" t="s">
        <v>480</v>
      </c>
      <c r="AG968" s="1398"/>
      <c r="AH968" s="1398"/>
      <c r="AI968" s="1399"/>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859" t="s">
        <v>482</v>
      </c>
      <c r="D969" s="1204" t="s">
        <v>1891</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0" t="s">
        <v>108</v>
      </c>
      <c r="AH969" s="1561"/>
      <c r="AI969" s="85"/>
      <c r="AJ969" s="1363">
        <f>ROUND(IF(AND(AG969="yes",D975&lt;&gt;""),AJ967*0.2,0),0)</f>
        <v>4309572</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860"/>
      <c r="C970" s="861"/>
      <c r="D970" s="1248" t="s">
        <v>2277</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860"/>
      <c r="C974" s="861"/>
      <c r="D974" s="1251" t="s">
        <v>2278</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860"/>
      <c r="C975" s="861"/>
      <c r="D975" s="1386" t="s">
        <v>2439</v>
      </c>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862"/>
      <c r="C976" s="863"/>
      <c r="D976" s="1384" t="s">
        <v>2000</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5"/>
      <c r="AF976" s="82"/>
      <c r="AG976" s="1361" t="s">
        <v>483</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860"/>
      <c r="C977" s="864"/>
      <c r="D977" s="1248" t="s">
        <v>1892</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62"/>
      <c r="C982" s="555" t="s">
        <v>486</v>
      </c>
      <c r="D982" s="1384" t="s">
        <v>2001</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5"/>
      <c r="AF982" s="84"/>
      <c r="AG982" s="1361" t="s">
        <v>483</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79"/>
      <c r="C983" s="556"/>
      <c r="D983" s="1523" t="s">
        <v>2002</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2"/>
      <c r="C986" s="555" t="s">
        <v>490</v>
      </c>
      <c r="D986" s="1384" t="s">
        <v>1893</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5"/>
      <c r="AF986" s="82"/>
      <c r="AG986" s="1361" t="s">
        <v>483</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79"/>
      <c r="C987" s="556"/>
      <c r="D987" s="1372" t="s">
        <v>1894</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2"/>
      <c r="C988" s="555" t="s">
        <v>493</v>
      </c>
      <c r="D988" s="1384" t="s">
        <v>1895</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5"/>
      <c r="AF988" s="82"/>
      <c r="AG988" s="1361" t="s">
        <v>108</v>
      </c>
      <c r="AH988" s="1362"/>
      <c r="AI988" s="82"/>
      <c r="AJ988" s="1363">
        <f>ROUND(IF(AG988="yes",AJ967*0.02,0),0)</f>
        <v>430957</v>
      </c>
      <c r="AK988" s="1364"/>
      <c r="AL988" s="1364"/>
      <c r="AM988" s="1364"/>
      <c r="AN988" s="1364"/>
      <c r="AO988" s="1364"/>
      <c r="AP988" s="1364"/>
      <c r="AQ988" s="136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79"/>
      <c r="C989" s="556"/>
      <c r="D989" s="1523" t="s">
        <v>1896</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4"/>
      <c r="AG990" s="1575"/>
      <c r="AH990" s="1575"/>
      <c r="AI990" s="1576"/>
      <c r="AJ990" s="1369"/>
      <c r="AK990" s="1370"/>
      <c r="AL990" s="1370"/>
      <c r="AM990" s="1370"/>
      <c r="AN990" s="1370"/>
      <c r="AO990" s="1370"/>
      <c r="AP990" s="1370"/>
      <c r="AQ990" s="13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thickBot="1">
      <c r="A991" s="21"/>
      <c r="B991" s="82"/>
      <c r="C991" s="555" t="s">
        <v>596</v>
      </c>
      <c r="D991" s="1204" t="s">
        <v>1897</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1" t="s">
        <v>483</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thickBot="1">
      <c r="A992" s="21"/>
      <c r="B992" s="79"/>
      <c r="C992" s="556"/>
      <c r="D992" s="1523" t="s">
        <v>2003</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7" t="str">
        <f>IF(AND(AG991="Yes",BA992=0),BA994,"")</f>
        <v/>
      </c>
      <c r="AG992" s="1208"/>
      <c r="AH992" s="1208"/>
      <c r="AI992" s="1209"/>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7"/>
      <c r="AG993" s="1208"/>
      <c r="AH993" s="1208"/>
      <c r="AI993" s="1209"/>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5"/>
      <c r="AG994" s="1556"/>
      <c r="AH994" s="1556"/>
      <c r="AI994" s="1557"/>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82"/>
      <c r="C995" s="555" t="s">
        <v>601</v>
      </c>
      <c r="D995" s="1546" t="s">
        <v>1898</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1" t="s">
        <v>483</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868"/>
      <c r="C996" s="869"/>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07" t="str">
        <f>IF(AG995="yes","Please Select Type and Enter Amount:","")</f>
        <v/>
      </c>
      <c r="AG996" s="1208"/>
      <c r="AH996" s="1208"/>
      <c r="AI996" s="1209"/>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868"/>
      <c r="C997" s="869"/>
      <c r="D997" s="1523" t="s">
        <v>1899</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7"/>
      <c r="AG997" s="1208"/>
      <c r="AH997" s="1208"/>
      <c r="AI997" s="1209"/>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868"/>
      <c r="C998" s="869"/>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10"/>
      <c r="AG998" s="1210"/>
      <c r="AH998" s="1210"/>
      <c r="AI998" s="1210"/>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A999" s="21"/>
      <c r="B999" s="868"/>
      <c r="C999" s="869"/>
      <c r="D999" s="870" t="s">
        <v>883</v>
      </c>
      <c r="E999" s="88"/>
      <c r="F999" s="88"/>
      <c r="G999" s="410"/>
      <c r="H999" s="410"/>
      <c r="I999" s="55"/>
      <c r="J999" s="1552" t="s">
        <v>124</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10"/>
      <c r="AG999" s="1210"/>
      <c r="AH999" s="1210"/>
      <c r="AI999" s="1210"/>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c r="A1000" s="21"/>
      <c r="B1000" s="82"/>
      <c r="C1000" s="555" t="s">
        <v>573</v>
      </c>
      <c r="D1000" s="1384" t="s">
        <v>1900</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5"/>
      <c r="AF1000" s="82"/>
      <c r="AG1000" s="1361" t="s">
        <v>108</v>
      </c>
      <c r="AH1000" s="1362"/>
      <c r="AI1000" s="85"/>
      <c r="AJ1000" s="1363">
        <f>ROUND(IF(AG1000="Yes",AF1002,0),0)</f>
        <v>342299</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c r="A1001" s="21"/>
      <c r="B1001" s="79"/>
      <c r="C1001" s="556"/>
      <c r="D1001" s="1523" t="s">
        <v>2004</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1" t="str">
        <f>IF(AG1000="yes","Please Enter Amount:","")</f>
        <v>Please Enter Amount:</v>
      </c>
      <c r="AG1001" s="1212"/>
      <c r="AH1001" s="1212"/>
      <c r="AI1001" s="1213"/>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10">
        <v>342299</v>
      </c>
      <c r="AG1002" s="1210"/>
      <c r="AH1002" s="1210"/>
      <c r="AI1002" s="1210"/>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0"/>
      <c r="AG1003" s="1210"/>
      <c r="AH1003" s="1210"/>
      <c r="AI1003" s="1210"/>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3.2" customHeight="1">
      <c r="A1004" s="21"/>
      <c r="B1004" s="82"/>
      <c r="C1004" s="555" t="s">
        <v>578</v>
      </c>
      <c r="D1004" s="1204" t="s">
        <v>1901</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1" t="s">
        <v>108</v>
      </c>
      <c r="AH1004" s="1362"/>
      <c r="AI1004" s="85"/>
      <c r="AJ1004" s="1363">
        <f>ROUND(IF(AG1004="yes",(AJ967*0.1),0),0)</f>
        <v>2154786</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3.2" customHeight="1">
      <c r="A1005" s="21"/>
      <c r="B1005" s="79"/>
      <c r="C1005" s="556"/>
      <c r="D1005" s="1523" t="s">
        <v>1902</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3.2"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3.2" customHeight="1">
      <c r="A1007" s="554"/>
      <c r="B1007" s="79"/>
      <c r="C1007" s="555" t="s">
        <v>581</v>
      </c>
      <c r="D1007" s="1384" t="s">
        <v>2005</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5"/>
      <c r="AF1007" s="82"/>
      <c r="AG1007" s="1361" t="s">
        <v>483</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3.2" customHeight="1">
      <c r="A1008" s="554"/>
      <c r="B1008" s="79"/>
      <c r="C1008" s="556"/>
      <c r="D1008" s="1531"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2"/>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554"/>
      <c r="B1009" s="79"/>
      <c r="C1009" s="556"/>
      <c r="D1009" s="153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2"/>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86"/>
      <c r="B1011" s="79"/>
      <c r="C1011" s="555" t="s">
        <v>581</v>
      </c>
      <c r="D1011" s="1204" t="s">
        <v>2007</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3" t="s">
        <v>483</v>
      </c>
      <c r="AH1011" s="1544"/>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 customHeight="1">
      <c r="A1012" s="86"/>
      <c r="B1012" s="79"/>
      <c r="C1012" s="556"/>
      <c r="D1012" s="1531"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2"/>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2" customHeight="1">
      <c r="A1013" s="86"/>
      <c r="B1013" s="79"/>
      <c r="C1013" s="556"/>
      <c r="D1013" s="153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2"/>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2" customHeight="1">
      <c r="A1014" s="86"/>
      <c r="B1014" s="79"/>
      <c r="C1014" s="556"/>
      <c r="D1014" s="153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2"/>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2"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 customHeight="1">
      <c r="A1016" s="86"/>
      <c r="B1016" s="82"/>
      <c r="C1016" s="877" t="s">
        <v>2009</v>
      </c>
      <c r="D1016" s="1384" t="s">
        <v>1903</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5"/>
      <c r="AF1016" s="82"/>
      <c r="AG1016" s="1361" t="s">
        <v>483</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86"/>
      <c r="B1017" s="79"/>
      <c r="C1017" s="556"/>
      <c r="D1017" s="1523" t="s">
        <v>2217</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28785472</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4">
        <f>'Sources and Uses Budget'!S106+'Sources and Uses Budget'!T106</f>
        <v>29366284</v>
      </c>
      <c r="Y1024" s="1454"/>
      <c r="Z1024" s="1454"/>
      <c r="AA1024" s="1454"/>
      <c r="AB1024" s="1454"/>
      <c r="AC1024" s="145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0">
        <f>IFERROR(X1024/AJ1020,"")</f>
        <v>1.0201772616408722</v>
      </c>
      <c r="Y1025" s="1451"/>
      <c r="Z1025" s="1451"/>
      <c r="AA1025" s="1451"/>
      <c r="AB1025" s="1451"/>
      <c r="AC1025" s="145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2"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 customHeight="1">
      <c r="A1031"/>
      <c r="B1031" s="1453"/>
      <c r="C1031" s="1453"/>
      <c r="D1031" s="1453"/>
      <c r="E1031" s="1453"/>
      <c r="F1031" s="1453"/>
      <c r="G1031" s="1453"/>
      <c r="H1031" s="1453"/>
      <c r="I1031" s="1453"/>
      <c r="J1031" s="1453"/>
      <c r="K1031" s="1453"/>
      <c r="L1031" s="1453"/>
      <c r="M1031" s="1453"/>
      <c r="N1031" s="1453"/>
      <c r="O1031" s="1453"/>
      <c r="P1031" s="1453"/>
      <c r="Q1031" s="1453"/>
      <c r="R1031" s="1453"/>
      <c r="S1031" s="1453"/>
      <c r="T1031" s="1453"/>
      <c r="U1031" s="1453"/>
      <c r="V1031" s="1453"/>
      <c r="W1031" s="1453"/>
      <c r="X1031" s="1453"/>
      <c r="Y1031" s="1453"/>
      <c r="Z1031" s="1453"/>
      <c r="AA1031" s="1453"/>
      <c r="AB1031" s="1453"/>
      <c r="AC1031" s="1453"/>
      <c r="AD1031" s="1453"/>
      <c r="AE1031" s="1453"/>
      <c r="AF1031" s="1453"/>
      <c r="AG1031" s="1453"/>
      <c r="AH1031" s="1453"/>
      <c r="AI1031" s="1453"/>
      <c r="AJ1031" s="1453"/>
      <c r="AK1031" s="145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1118" t="s">
        <v>124</v>
      </c>
      <c r="B1036" s="1118"/>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2"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 customHeight="1">
      <c r="A1042" s="1118" t="s">
        <v>124</v>
      </c>
      <c r="B1042" s="1118"/>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2" customHeight="1">
      <c r="A1048" s="1118" t="s">
        <v>124</v>
      </c>
      <c r="B1048" s="1118"/>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2"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2"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2"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2"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2"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2"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2" customHeight="1">
      <c r="A1055" s="1118" t="s">
        <v>124</v>
      </c>
      <c r="B1055" s="1118"/>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2"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2"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2"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2" customHeight="1">
      <c r="A1059" s="1118" t="s">
        <v>124</v>
      </c>
      <c r="B1059" s="1118"/>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2"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2"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2"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2" customHeight="1">
      <c r="A1063" s="1118" t="s">
        <v>124</v>
      </c>
      <c r="B1063" s="1118"/>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2"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2"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2" customHeight="1">
      <c r="A1066" s="1118" t="s">
        <v>124</v>
      </c>
      <c r="B1066" s="1118"/>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2"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2"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2"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2"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2" customHeight="1">
      <c r="A1071" s="1118" t="s">
        <v>124</v>
      </c>
      <c r="B1071" s="1118"/>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2"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2"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2"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2" customHeight="1">
      <c r="A1075" s="1238" t="s">
        <v>124</v>
      </c>
      <c r="B1075" s="1238"/>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2"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2"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2"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0" workbookViewId="0">
      <selection activeCell="C94" sqref="C94"/>
    </sheetView>
  </sheetViews>
  <sheetFormatPr defaultColWidth="8.6640625" defaultRowHeight="12" zeroHeight="1"/>
  <cols>
    <col min="1" max="1" width="32.44140625" style="483" customWidth="1"/>
    <col min="2" max="12" width="12.33203125" style="481" customWidth="1"/>
    <col min="13" max="17" width="11.44140625" style="481" customWidth="1"/>
    <col min="18" max="18" width="12.44140625" style="481" customWidth="1"/>
    <col min="19" max="20" width="12.33203125" style="481" customWidth="1"/>
    <col min="21" max="21" width="0.44140625" style="482" customWidth="1"/>
    <col min="22" max="16384" width="8.6640625" style="481"/>
  </cols>
  <sheetData>
    <row r="1" spans="1:21" s="200" customFormat="1" ht="13.8">
      <c r="A1" s="264" t="s">
        <v>131</v>
      </c>
      <c r="B1" s="227"/>
      <c r="C1" s="227"/>
      <c r="D1" s="227"/>
      <c r="E1" s="228"/>
      <c r="F1" s="1580" t="s">
        <v>184</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508</v>
      </c>
      <c r="D2" s="232" t="s">
        <v>507</v>
      </c>
      <c r="E2" s="232" t="s">
        <v>798</v>
      </c>
      <c r="F2" s="233" t="str">
        <f>Application!B621&amp;Application!C621</f>
        <v>1)CCRC Permanent Loan</v>
      </c>
      <c r="G2" s="233" t="str">
        <f>Application!B622&amp;Application!C622</f>
        <v>2)LACDA AHTF</v>
      </c>
      <c r="H2" s="233" t="str">
        <f>Application!B623&amp;Application!C623</f>
        <v>3)HCD IIG (GP Loan)</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ht="11.4">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2070000</v>
      </c>
      <c r="C4" s="241">
        <v>2070000</v>
      </c>
      <c r="D4" s="241"/>
      <c r="E4" s="241"/>
      <c r="F4" s="241">
        <f>C4</f>
        <v>2070000</v>
      </c>
      <c r="G4" s="241"/>
      <c r="H4" s="241"/>
      <c r="I4" s="241"/>
      <c r="J4" s="241"/>
      <c r="K4" s="241"/>
      <c r="L4" s="241"/>
      <c r="M4" s="241"/>
      <c r="N4" s="241"/>
      <c r="O4" s="241"/>
      <c r="P4" s="241"/>
      <c r="Q4" s="241"/>
      <c r="R4" s="241">
        <f>C4</f>
        <v>2070000</v>
      </c>
      <c r="S4" s="242"/>
      <c r="T4" s="242"/>
      <c r="U4" s="237"/>
    </row>
    <row r="5" spans="1:21" s="238" customFormat="1" ht="13.2">
      <c r="A5" s="300" t="s">
        <v>68</v>
      </c>
      <c r="B5" s="240">
        <f>SUM(C5+D5)</f>
        <v>145000</v>
      </c>
      <c r="C5" s="241">
        <v>145000</v>
      </c>
      <c r="D5" s="241"/>
      <c r="E5" s="241"/>
      <c r="F5" s="241"/>
      <c r="G5" s="241"/>
      <c r="H5" s="241">
        <f>C5</f>
        <v>145000</v>
      </c>
      <c r="I5" s="241"/>
      <c r="J5" s="241"/>
      <c r="K5" s="241"/>
      <c r="L5" s="241"/>
      <c r="M5" s="241"/>
      <c r="N5" s="241"/>
      <c r="O5" s="241"/>
      <c r="P5" s="241"/>
      <c r="Q5" s="241"/>
      <c r="R5" s="241">
        <f>SUM(E5:Q5)</f>
        <v>145000</v>
      </c>
      <c r="S5" s="242"/>
      <c r="T5" s="242"/>
      <c r="U5" s="237"/>
    </row>
    <row r="6" spans="1:21" s="238" customFormat="1" ht="11.4">
      <c r="A6" s="239" t="s">
        <v>344</v>
      </c>
      <c r="B6" s="240">
        <f>SUM(C6+D6)</f>
        <v>25000</v>
      </c>
      <c r="C6" s="241">
        <v>25000</v>
      </c>
      <c r="D6" s="241"/>
      <c r="E6" s="241">
        <f>B6-SUM(F6:Q6)</f>
        <v>25000</v>
      </c>
      <c r="F6" s="241"/>
      <c r="G6" s="241"/>
      <c r="H6" s="241"/>
      <c r="I6" s="241"/>
      <c r="J6" s="241"/>
      <c r="K6" s="241"/>
      <c r="L6" s="241"/>
      <c r="M6" s="241"/>
      <c r="N6" s="241"/>
      <c r="O6" s="241"/>
      <c r="P6" s="241"/>
      <c r="Q6" s="241"/>
      <c r="R6" s="241">
        <f>SUM(E6:Q6)</f>
        <v>25000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2240000</v>
      </c>
      <c r="C8" s="240">
        <f t="shared" ref="C8:R8" si="0">SUM(C4:C7)</f>
        <v>2240000</v>
      </c>
      <c r="D8" s="240">
        <f t="shared" si="0"/>
        <v>0</v>
      </c>
      <c r="E8" s="240">
        <f t="shared" si="0"/>
        <v>25000</v>
      </c>
      <c r="F8" s="240">
        <f t="shared" si="0"/>
        <v>2070000</v>
      </c>
      <c r="G8" s="240">
        <f t="shared" si="0"/>
        <v>0</v>
      </c>
      <c r="H8" s="240">
        <f t="shared" si="0"/>
        <v>145000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2240000</v>
      </c>
      <c r="S8" s="242"/>
      <c r="T8" s="242"/>
      <c r="U8" s="237"/>
    </row>
    <row r="9" spans="1:21" s="238" customFormat="1" ht="11.4">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153797</v>
      </c>
      <c r="C10" s="241">
        <v>153797</v>
      </c>
      <c r="D10" s="241"/>
      <c r="E10" s="241"/>
      <c r="F10" s="241"/>
      <c r="G10" s="241"/>
      <c r="H10" s="241">
        <f>C10</f>
        <v>153797</v>
      </c>
      <c r="I10" s="241"/>
      <c r="J10" s="241"/>
      <c r="K10" s="241"/>
      <c r="L10" s="241"/>
      <c r="M10" s="241"/>
      <c r="N10" s="241"/>
      <c r="O10" s="241"/>
      <c r="P10" s="241"/>
      <c r="Q10" s="241"/>
      <c r="R10" s="241">
        <f>SUM(E10:Q10)</f>
        <v>153797</v>
      </c>
      <c r="S10" s="241">
        <f>C10</f>
        <v>153797</v>
      </c>
      <c r="T10" s="241"/>
      <c r="U10" s="237"/>
    </row>
    <row r="11" spans="1:21" s="238" customFormat="1">
      <c r="A11" s="243" t="s">
        <v>586</v>
      </c>
      <c r="B11" s="240">
        <f>SUM(C11:D11)</f>
        <v>153797</v>
      </c>
      <c r="C11" s="240">
        <f t="shared" ref="C11:T11" si="1">SUM(C9:C10)</f>
        <v>153797</v>
      </c>
      <c r="D11" s="240">
        <f t="shared" si="1"/>
        <v>0</v>
      </c>
      <c r="E11" s="240">
        <f t="shared" si="1"/>
        <v>0</v>
      </c>
      <c r="F11" s="240">
        <f t="shared" si="1"/>
        <v>0</v>
      </c>
      <c r="G11" s="240">
        <f t="shared" si="1"/>
        <v>0</v>
      </c>
      <c r="H11" s="240">
        <f t="shared" si="1"/>
        <v>153797</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153797</v>
      </c>
      <c r="S11" s="242"/>
      <c r="T11" s="240">
        <f t="shared" si="1"/>
        <v>0</v>
      </c>
      <c r="U11" s="237"/>
    </row>
    <row r="12" spans="1:21" s="238" customFormat="1">
      <c r="A12" s="243" t="s">
        <v>711</v>
      </c>
      <c r="B12" s="240">
        <f t="shared" ref="B12:R12" si="2">SUM(B8+B11)</f>
        <v>2393797</v>
      </c>
      <c r="C12" s="240">
        <f t="shared" si="2"/>
        <v>2393797</v>
      </c>
      <c r="D12" s="240">
        <f t="shared" si="2"/>
        <v>0</v>
      </c>
      <c r="E12" s="240">
        <f t="shared" si="2"/>
        <v>25000</v>
      </c>
      <c r="F12" s="240">
        <f t="shared" si="2"/>
        <v>2070000</v>
      </c>
      <c r="G12" s="240">
        <f t="shared" si="2"/>
        <v>0</v>
      </c>
      <c r="H12" s="240">
        <f t="shared" si="2"/>
        <v>298797</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2393797</v>
      </c>
      <c r="S12" s="242"/>
      <c r="T12" s="242"/>
      <c r="U12" s="237"/>
    </row>
    <row r="13" spans="1:21" s="238" customFormat="1" ht="11.4">
      <c r="A13" s="456" t="s">
        <v>1110</v>
      </c>
      <c r="B13" s="240">
        <f>SUM(C13+D13)</f>
        <v>573468</v>
      </c>
      <c r="C13" s="241">
        <f>163908+109560+300000</f>
        <v>573468</v>
      </c>
      <c r="D13" s="241"/>
      <c r="E13" s="241">
        <f>B13-SUM(F13:Q13)</f>
        <v>573468</v>
      </c>
      <c r="F13" s="241"/>
      <c r="G13" s="241"/>
      <c r="H13" s="241"/>
      <c r="I13" s="241"/>
      <c r="J13" s="241"/>
      <c r="K13" s="241"/>
      <c r="L13" s="241"/>
      <c r="M13" s="241"/>
      <c r="N13" s="241"/>
      <c r="O13" s="241"/>
      <c r="P13" s="241"/>
      <c r="Q13" s="241"/>
      <c r="R13" s="241">
        <f>SUM(E13:Q13)</f>
        <v>573468</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75000</v>
      </c>
      <c r="C27" s="241">
        <f>95000-20000</f>
        <v>75000</v>
      </c>
      <c r="D27" s="241"/>
      <c r="E27" s="241">
        <f>B27-SUM(F27:Q27)</f>
        <v>75000</v>
      </c>
      <c r="F27" s="241"/>
      <c r="G27" s="241"/>
      <c r="H27" s="241"/>
      <c r="I27" s="241"/>
      <c r="J27" s="241"/>
      <c r="K27" s="241"/>
      <c r="L27" s="241"/>
      <c r="M27" s="241"/>
      <c r="N27" s="241"/>
      <c r="O27" s="241"/>
      <c r="P27" s="241"/>
      <c r="Q27" s="241"/>
      <c r="R27" s="241">
        <f t="shared" si="4"/>
        <v>75000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908138</v>
      </c>
      <c r="C29" s="241">
        <f>688128+198010+22000</f>
        <v>908138</v>
      </c>
      <c r="D29" s="241"/>
      <c r="E29" s="241"/>
      <c r="F29" s="241"/>
      <c r="G29" s="241"/>
      <c r="H29" s="241">
        <f>C29</f>
        <v>908138</v>
      </c>
      <c r="I29" s="241"/>
      <c r="J29" s="241"/>
      <c r="K29" s="241"/>
      <c r="L29" s="241"/>
      <c r="M29" s="241"/>
      <c r="N29" s="241"/>
      <c r="O29" s="241"/>
      <c r="P29" s="241"/>
      <c r="Q29" s="241"/>
      <c r="R29" s="241">
        <f t="shared" ref="R29:R37" si="7">SUM(E29:Q29)</f>
        <v>908138</v>
      </c>
      <c r="S29" s="241">
        <f>688128</f>
        <v>688128</v>
      </c>
      <c r="T29" s="241"/>
      <c r="U29" s="237"/>
    </row>
    <row r="30" spans="1:21" s="238" customFormat="1" ht="11.4">
      <c r="A30" s="239" t="s">
        <v>911</v>
      </c>
      <c r="B30" s="240">
        <f t="shared" si="6"/>
        <v>15231019</v>
      </c>
      <c r="C30" s="241">
        <f>14288159+205578+189641+189641+358000</f>
        <v>15231019</v>
      </c>
      <c r="D30" s="241"/>
      <c r="E30" s="241">
        <f>B30-SUM(F30:Q30)</f>
        <v>4843690</v>
      </c>
      <c r="F30" s="241">
        <f>3592000-F4</f>
        <v>1522000</v>
      </c>
      <c r="G30" s="241">
        <f>6560000</f>
        <v>6560000</v>
      </c>
      <c r="H30" s="241">
        <f>3512264-SUM(H5+H10+H29)</f>
        <v>2305329</v>
      </c>
      <c r="I30" s="241"/>
      <c r="J30" s="241"/>
      <c r="K30" s="241"/>
      <c r="L30" s="241"/>
      <c r="M30" s="241"/>
      <c r="N30" s="241"/>
      <c r="O30" s="241"/>
      <c r="P30" s="241"/>
      <c r="Q30" s="241"/>
      <c r="R30" s="241">
        <f t="shared" si="7"/>
        <v>15231019</v>
      </c>
      <c r="S30" s="241">
        <f t="shared" ref="S30:S37" si="8">C30</f>
        <v>15231019</v>
      </c>
      <c r="T30" s="241"/>
      <c r="U30" s="237"/>
    </row>
    <row r="31" spans="1:21" s="238" customFormat="1" ht="11.4">
      <c r="A31" s="239" t="s">
        <v>912</v>
      </c>
      <c r="B31" s="240">
        <f t="shared" si="6"/>
        <v>1092914</v>
      </c>
      <c r="C31" s="241">
        <v>1092914</v>
      </c>
      <c r="D31" s="241"/>
      <c r="E31" s="241">
        <f t="shared" ref="E31:E37" si="9">B31-SUM(F31:Q31)</f>
        <v>1092914</v>
      </c>
      <c r="F31" s="241"/>
      <c r="G31" s="241"/>
      <c r="H31" s="241"/>
      <c r="I31" s="241"/>
      <c r="J31" s="241"/>
      <c r="K31" s="241"/>
      <c r="L31" s="241"/>
      <c r="M31" s="241"/>
      <c r="N31" s="241"/>
      <c r="O31" s="241"/>
      <c r="P31" s="241"/>
      <c r="Q31" s="241"/>
      <c r="R31" s="241">
        <f t="shared" si="7"/>
        <v>1092914</v>
      </c>
      <c r="S31" s="241">
        <f t="shared" si="8"/>
        <v>1092914</v>
      </c>
      <c r="T31" s="241"/>
      <c r="U31" s="237"/>
    </row>
    <row r="32" spans="1:21" s="238" customFormat="1" ht="11.4">
      <c r="A32" s="239" t="s">
        <v>913</v>
      </c>
      <c r="B32" s="240">
        <f t="shared" si="6"/>
        <v>630505</v>
      </c>
      <c r="C32" s="241">
        <f>1261010/2</f>
        <v>630505</v>
      </c>
      <c r="D32" s="241"/>
      <c r="E32" s="241">
        <f t="shared" si="9"/>
        <v>630505</v>
      </c>
      <c r="F32" s="241"/>
      <c r="G32" s="241"/>
      <c r="H32" s="241"/>
      <c r="I32" s="241"/>
      <c r="J32" s="241"/>
      <c r="K32" s="241"/>
      <c r="L32" s="241"/>
      <c r="M32" s="241"/>
      <c r="N32" s="241"/>
      <c r="O32" s="241"/>
      <c r="P32" s="241"/>
      <c r="Q32" s="241"/>
      <c r="R32" s="241">
        <f t="shared" si="7"/>
        <v>630505</v>
      </c>
      <c r="S32" s="241">
        <f t="shared" si="8"/>
        <v>630505</v>
      </c>
      <c r="T32" s="241"/>
      <c r="U32" s="237"/>
    </row>
    <row r="33" spans="1:21" s="238" customFormat="1" ht="11.4">
      <c r="A33" s="239" t="s">
        <v>914</v>
      </c>
      <c r="B33" s="240">
        <f t="shared" si="6"/>
        <v>630505</v>
      </c>
      <c r="C33" s="241">
        <f>1261010/2</f>
        <v>630505</v>
      </c>
      <c r="D33" s="241"/>
      <c r="E33" s="241">
        <f t="shared" si="9"/>
        <v>630505</v>
      </c>
      <c r="F33" s="241"/>
      <c r="G33" s="241"/>
      <c r="H33" s="241"/>
      <c r="I33" s="241"/>
      <c r="J33" s="241"/>
      <c r="K33" s="241"/>
      <c r="L33" s="241"/>
      <c r="M33" s="241"/>
      <c r="N33" s="241"/>
      <c r="O33" s="241"/>
      <c r="P33" s="241"/>
      <c r="Q33" s="241"/>
      <c r="R33" s="241">
        <f t="shared" si="7"/>
        <v>630505</v>
      </c>
      <c r="S33" s="241">
        <f t="shared" si="8"/>
        <v>630505</v>
      </c>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c r="S34" s="241"/>
      <c r="T34" s="241"/>
      <c r="U34" s="237"/>
    </row>
    <row r="35" spans="1:21" s="238" customFormat="1" ht="11.4">
      <c r="A35" s="239" t="s">
        <v>916</v>
      </c>
      <c r="B35" s="240">
        <f t="shared" si="6"/>
        <v>266814</v>
      </c>
      <c r="C35" s="241">
        <v>266814</v>
      </c>
      <c r="D35" s="241"/>
      <c r="E35" s="241">
        <f t="shared" si="9"/>
        <v>266814</v>
      </c>
      <c r="F35" s="241"/>
      <c r="G35" s="241"/>
      <c r="H35" s="241"/>
      <c r="I35" s="241"/>
      <c r="J35" s="241"/>
      <c r="K35" s="241"/>
      <c r="L35" s="241"/>
      <c r="M35" s="241"/>
      <c r="N35" s="241"/>
      <c r="O35" s="241"/>
      <c r="P35" s="241"/>
      <c r="Q35" s="241"/>
      <c r="R35" s="241">
        <f t="shared" si="7"/>
        <v>266814</v>
      </c>
      <c r="S35" s="241">
        <f t="shared" si="8"/>
        <v>266814</v>
      </c>
      <c r="T35" s="241"/>
      <c r="U35" s="237"/>
    </row>
    <row r="36" spans="1:21" s="238" customFormat="1" ht="11.4">
      <c r="A36" s="250" t="s">
        <v>1955</v>
      </c>
      <c r="B36" s="240">
        <f t="shared" si="6"/>
        <v>0</v>
      </c>
      <c r="C36" s="241"/>
      <c r="D36" s="241"/>
      <c r="E36" s="241"/>
      <c r="F36" s="241"/>
      <c r="G36" s="241"/>
      <c r="H36" s="241"/>
      <c r="I36" s="241"/>
      <c r="J36" s="241"/>
      <c r="K36" s="241"/>
      <c r="L36" s="241"/>
      <c r="M36" s="241"/>
      <c r="N36" s="241"/>
      <c r="O36" s="241"/>
      <c r="P36" s="241"/>
      <c r="Q36" s="241"/>
      <c r="R36" s="241"/>
      <c r="S36" s="241"/>
      <c r="T36" s="241"/>
      <c r="U36" s="237"/>
    </row>
    <row r="37" spans="1:21" s="238" customFormat="1" ht="11.4">
      <c r="A37" s="246" t="s">
        <v>2440</v>
      </c>
      <c r="B37" s="240">
        <f t="shared" si="6"/>
        <v>284720</v>
      </c>
      <c r="C37" s="241">
        <v>284720</v>
      </c>
      <c r="D37" s="241"/>
      <c r="E37" s="241">
        <f t="shared" si="9"/>
        <v>284720</v>
      </c>
      <c r="F37" s="241"/>
      <c r="G37" s="241"/>
      <c r="H37" s="241"/>
      <c r="I37" s="241"/>
      <c r="J37" s="241"/>
      <c r="K37" s="241"/>
      <c r="L37" s="241"/>
      <c r="M37" s="241"/>
      <c r="N37" s="241"/>
      <c r="O37" s="241"/>
      <c r="P37" s="241"/>
      <c r="Q37" s="241"/>
      <c r="R37" s="241">
        <f t="shared" si="7"/>
        <v>284720</v>
      </c>
      <c r="S37" s="241">
        <f t="shared" si="8"/>
        <v>284720</v>
      </c>
      <c r="T37" s="241"/>
      <c r="U37" s="237"/>
    </row>
    <row r="38" spans="1:21" s="238" customFormat="1">
      <c r="A38" s="243" t="s">
        <v>919</v>
      </c>
      <c r="B38" s="240">
        <f t="shared" si="6"/>
        <v>19044615</v>
      </c>
      <c r="C38" s="240">
        <f>SUM(C29:C37)</f>
        <v>19044615</v>
      </c>
      <c r="D38" s="240">
        <f>SUM(D29:D37)</f>
        <v>0</v>
      </c>
      <c r="E38" s="240">
        <f>SUM(E29:E37)</f>
        <v>7749148</v>
      </c>
      <c r="F38" s="240">
        <f t="shared" ref="F38:T38" si="10">SUM(F29:F37)</f>
        <v>1522000</v>
      </c>
      <c r="G38" s="240">
        <f t="shared" si="10"/>
        <v>6560000</v>
      </c>
      <c r="H38" s="240">
        <f t="shared" si="10"/>
        <v>3213467</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19044615</v>
      </c>
      <c r="S38" s="244">
        <f t="shared" si="10"/>
        <v>18824605</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751000</v>
      </c>
      <c r="C40" s="241">
        <v>751000</v>
      </c>
      <c r="D40" s="241"/>
      <c r="E40" s="241">
        <f>B40-SUM(F40:Q40)</f>
        <v>751000</v>
      </c>
      <c r="F40" s="241"/>
      <c r="G40" s="241"/>
      <c r="H40" s="241"/>
      <c r="I40" s="241"/>
      <c r="J40" s="241"/>
      <c r="K40" s="241"/>
      <c r="L40" s="241"/>
      <c r="M40" s="241"/>
      <c r="N40" s="241"/>
      <c r="O40" s="241"/>
      <c r="P40" s="241"/>
      <c r="Q40" s="241"/>
      <c r="R40" s="241">
        <f>SUM(E40:Q40)</f>
        <v>751000</v>
      </c>
      <c r="S40" s="241">
        <f>C40</f>
        <v>751000</v>
      </c>
      <c r="T40" s="241"/>
      <c r="U40" s="237"/>
    </row>
    <row r="41" spans="1:21" s="238" customFormat="1" ht="11.4">
      <c r="A41" s="239" t="s">
        <v>922</v>
      </c>
      <c r="B41" s="240">
        <f>SUM(C41+D41)</f>
        <v>260000</v>
      </c>
      <c r="C41" s="241">
        <v>260000</v>
      </c>
      <c r="D41" s="241"/>
      <c r="E41" s="241">
        <f>B41-SUM(F41:Q41)</f>
        <v>260000</v>
      </c>
      <c r="F41" s="241"/>
      <c r="G41" s="241"/>
      <c r="H41" s="241"/>
      <c r="I41" s="241"/>
      <c r="J41" s="241"/>
      <c r="K41" s="241"/>
      <c r="L41" s="241"/>
      <c r="M41" s="241"/>
      <c r="N41" s="241"/>
      <c r="O41" s="241"/>
      <c r="P41" s="241"/>
      <c r="Q41" s="241"/>
      <c r="R41" s="241">
        <f>SUM(E41:Q41)</f>
        <v>260000</v>
      </c>
      <c r="S41" s="241">
        <f>C41</f>
        <v>260000</v>
      </c>
      <c r="T41" s="241"/>
      <c r="U41" s="237"/>
    </row>
    <row r="42" spans="1:21" s="238" customFormat="1">
      <c r="A42" s="243" t="s">
        <v>923</v>
      </c>
      <c r="B42" s="240">
        <f>SUM(C42:D42)</f>
        <v>1011000</v>
      </c>
      <c r="C42" s="240">
        <f>SUM(C39:C41)</f>
        <v>1011000</v>
      </c>
      <c r="D42" s="240">
        <f>SUM(D39:D41)</f>
        <v>0</v>
      </c>
      <c r="E42" s="240">
        <f t="shared" ref="E42:T42" si="11">SUM(E40:E41)</f>
        <v>1011000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1011000</v>
      </c>
      <c r="S42" s="244">
        <f t="shared" si="11"/>
        <v>1011000</v>
      </c>
      <c r="T42" s="244">
        <f t="shared" si="11"/>
        <v>0</v>
      </c>
      <c r="U42" s="237"/>
    </row>
    <row r="43" spans="1:21" s="238" customFormat="1">
      <c r="A43" s="243" t="s">
        <v>924</v>
      </c>
      <c r="B43" s="240">
        <f>SUM(C43:D43)</f>
        <v>486400</v>
      </c>
      <c r="C43" s="241">
        <f>90000+36000+71000+15000+81400+35000+30000+75000+53000</f>
        <v>486400</v>
      </c>
      <c r="D43" s="241"/>
      <c r="E43" s="241">
        <f>B43-SUM(F43:Q43)</f>
        <v>486400</v>
      </c>
      <c r="F43" s="241"/>
      <c r="G43" s="241"/>
      <c r="H43" s="241"/>
      <c r="I43" s="241"/>
      <c r="J43" s="241"/>
      <c r="K43" s="241"/>
      <c r="L43" s="241"/>
      <c r="M43" s="241"/>
      <c r="N43" s="241"/>
      <c r="O43" s="241"/>
      <c r="P43" s="241"/>
      <c r="Q43" s="241"/>
      <c r="R43" s="241">
        <f>SUM(E43:Q43)</f>
        <v>486400</v>
      </c>
      <c r="S43" s="241">
        <f>C43</f>
        <v>486400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2">SUM(C45+D45)</f>
        <v>3298926</v>
      </c>
      <c r="C45" s="241">
        <v>3298926</v>
      </c>
      <c r="D45" s="241"/>
      <c r="E45" s="241">
        <f>B45-SUM(F45:Q45)</f>
        <v>3298926</v>
      </c>
      <c r="F45" s="241"/>
      <c r="G45" s="241"/>
      <c r="H45" s="241"/>
      <c r="I45" s="241"/>
      <c r="J45" s="241"/>
      <c r="K45" s="241"/>
      <c r="L45" s="241"/>
      <c r="M45" s="241"/>
      <c r="N45" s="241"/>
      <c r="O45" s="241"/>
      <c r="P45" s="241"/>
      <c r="Q45" s="241"/>
      <c r="R45" s="241">
        <f t="shared" ref="R45:R52" si="13">SUM(E45:Q45)</f>
        <v>3298926</v>
      </c>
      <c r="S45" s="241">
        <v>1768102</v>
      </c>
      <c r="T45" s="241"/>
      <c r="U45" s="237"/>
    </row>
    <row r="46" spans="1:21" s="238" customFormat="1" ht="11.4">
      <c r="A46" s="239" t="s">
        <v>927</v>
      </c>
      <c r="B46" s="240">
        <f t="shared" si="12"/>
        <v>164999</v>
      </c>
      <c r="C46" s="241">
        <v>164999</v>
      </c>
      <c r="D46" s="241"/>
      <c r="E46" s="241">
        <f t="shared" ref="E46:E52" si="14">B46-SUM(F46:Q46)</f>
        <v>164999</v>
      </c>
      <c r="F46" s="241"/>
      <c r="G46" s="241"/>
      <c r="H46" s="241"/>
      <c r="I46" s="241"/>
      <c r="J46" s="241"/>
      <c r="K46" s="241"/>
      <c r="L46" s="241"/>
      <c r="M46" s="241"/>
      <c r="N46" s="241"/>
      <c r="O46" s="241"/>
      <c r="P46" s="241"/>
      <c r="Q46" s="241"/>
      <c r="R46" s="241">
        <f t="shared" si="13"/>
        <v>164999</v>
      </c>
      <c r="S46" s="241">
        <v>88433</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c r="S47" s="241"/>
      <c r="T47" s="241"/>
      <c r="U47" s="237"/>
    </row>
    <row r="48" spans="1:21" s="238" customFormat="1" ht="11.4">
      <c r="A48" s="239" t="s">
        <v>929</v>
      </c>
      <c r="B48" s="240">
        <f t="shared" si="12"/>
        <v>15000</v>
      </c>
      <c r="C48" s="241">
        <v>15000</v>
      </c>
      <c r="D48" s="241"/>
      <c r="E48" s="241">
        <f t="shared" si="14"/>
        <v>15000</v>
      </c>
      <c r="F48" s="241"/>
      <c r="G48" s="241"/>
      <c r="H48" s="241"/>
      <c r="I48" s="241"/>
      <c r="J48" s="241"/>
      <c r="K48" s="241"/>
      <c r="L48" s="241"/>
      <c r="M48" s="241"/>
      <c r="N48" s="241"/>
      <c r="O48" s="241"/>
      <c r="P48" s="241"/>
      <c r="Q48" s="241"/>
      <c r="R48" s="241">
        <f t="shared" si="13"/>
        <v>15000</v>
      </c>
      <c r="S48" s="241">
        <f>C48</f>
        <v>15000</v>
      </c>
      <c r="T48" s="241"/>
      <c r="U48" s="237"/>
    </row>
    <row r="49" spans="1:21" s="238" customFormat="1" ht="11.4">
      <c r="A49" s="239" t="s">
        <v>932</v>
      </c>
      <c r="B49" s="240">
        <f t="shared" si="12"/>
        <v>105000</v>
      </c>
      <c r="C49" s="241">
        <v>105000</v>
      </c>
      <c r="D49" s="241"/>
      <c r="E49" s="241">
        <f t="shared" si="14"/>
        <v>105000</v>
      </c>
      <c r="F49" s="241"/>
      <c r="G49" s="241"/>
      <c r="H49" s="241"/>
      <c r="I49" s="241"/>
      <c r="J49" s="241"/>
      <c r="K49" s="241"/>
      <c r="L49" s="241"/>
      <c r="M49" s="241"/>
      <c r="N49" s="241"/>
      <c r="O49" s="241"/>
      <c r="P49" s="241"/>
      <c r="Q49" s="241"/>
      <c r="R49" s="241">
        <f t="shared" si="13"/>
        <v>105000</v>
      </c>
      <c r="S49" s="241">
        <f>C49</f>
        <v>105000</v>
      </c>
      <c r="T49" s="241"/>
      <c r="U49" s="237"/>
    </row>
    <row r="50" spans="1:21" s="238" customFormat="1" ht="11.4">
      <c r="A50" s="239" t="s">
        <v>930</v>
      </c>
      <c r="B50" s="240">
        <f t="shared" si="12"/>
        <v>183125</v>
      </c>
      <c r="C50" s="241">
        <v>183125</v>
      </c>
      <c r="D50" s="241"/>
      <c r="E50" s="241">
        <f t="shared" si="14"/>
        <v>183125</v>
      </c>
      <c r="F50" s="241"/>
      <c r="G50" s="241"/>
      <c r="H50" s="241"/>
      <c r="I50" s="241"/>
      <c r="J50" s="241"/>
      <c r="K50" s="241"/>
      <c r="L50" s="241"/>
      <c r="M50" s="241"/>
      <c r="N50" s="241"/>
      <c r="O50" s="241"/>
      <c r="P50" s="241"/>
      <c r="Q50" s="241"/>
      <c r="R50" s="241">
        <f t="shared" si="13"/>
        <v>183125</v>
      </c>
      <c r="S50" s="241">
        <f>C50</f>
        <v>183125</v>
      </c>
      <c r="T50" s="241"/>
      <c r="U50" s="237"/>
    </row>
    <row r="51" spans="1:21" s="238" customFormat="1" ht="11.4">
      <c r="A51" s="239" t="s">
        <v>931</v>
      </c>
      <c r="B51" s="240">
        <f t="shared" si="12"/>
        <v>390000</v>
      </c>
      <c r="C51" s="241">
        <v>390000</v>
      </c>
      <c r="D51" s="241"/>
      <c r="E51" s="241">
        <f t="shared" si="14"/>
        <v>390000</v>
      </c>
      <c r="F51" s="241"/>
      <c r="G51" s="241"/>
      <c r="H51" s="241"/>
      <c r="I51" s="241"/>
      <c r="J51" s="241"/>
      <c r="K51" s="241"/>
      <c r="L51" s="241"/>
      <c r="M51" s="241"/>
      <c r="N51" s="241"/>
      <c r="O51" s="241"/>
      <c r="P51" s="241"/>
      <c r="Q51" s="241"/>
      <c r="R51" s="241">
        <f t="shared" si="13"/>
        <v>390000</v>
      </c>
      <c r="S51" s="241">
        <f>C51</f>
        <v>390000</v>
      </c>
      <c r="T51" s="241"/>
      <c r="U51" s="237"/>
    </row>
    <row r="52" spans="1:21" s="238" customFormat="1" ht="22.8">
      <c r="A52" s="246" t="s">
        <v>2444</v>
      </c>
      <c r="B52" s="240">
        <f t="shared" si="12"/>
        <v>68150</v>
      </c>
      <c r="C52" s="241">
        <f>61000+7150</f>
        <v>68150</v>
      </c>
      <c r="D52" s="241"/>
      <c r="E52" s="241">
        <f t="shared" si="14"/>
        <v>68150</v>
      </c>
      <c r="F52" s="241"/>
      <c r="G52" s="241"/>
      <c r="H52" s="241"/>
      <c r="I52" s="241"/>
      <c r="J52" s="241"/>
      <c r="K52" s="241"/>
      <c r="L52" s="241"/>
      <c r="M52" s="241"/>
      <c r="N52" s="241"/>
      <c r="O52" s="241"/>
      <c r="P52" s="241"/>
      <c r="Q52" s="241"/>
      <c r="R52" s="241">
        <f t="shared" si="13"/>
        <v>68150</v>
      </c>
      <c r="S52" s="241">
        <f>32694</f>
        <v>32694</v>
      </c>
      <c r="T52" s="241"/>
      <c r="U52" s="237"/>
    </row>
    <row r="53" spans="1:21" s="248" customFormat="1">
      <c r="A53" s="243" t="s">
        <v>933</v>
      </c>
      <c r="B53" s="244">
        <f>SUM(C53:D53)</f>
        <v>4225200</v>
      </c>
      <c r="C53" s="244">
        <f t="shared" ref="C53:T53" si="15">SUM(C45:C52)</f>
        <v>4225200</v>
      </c>
      <c r="D53" s="244">
        <f t="shared" si="15"/>
        <v>0</v>
      </c>
      <c r="E53" s="244">
        <f t="shared" si="15"/>
        <v>4225200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4225200</v>
      </c>
      <c r="S53" s="244">
        <f t="shared" si="15"/>
        <v>2582354</v>
      </c>
      <c r="T53" s="244">
        <f t="shared" si="15"/>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6">SUM(C55+D55)</f>
        <v>26940</v>
      </c>
      <c r="C55" s="241">
        <v>26940</v>
      </c>
      <c r="D55" s="241"/>
      <c r="E55" s="241">
        <f>B55-SUM(F55:Q55)</f>
        <v>26940</v>
      </c>
      <c r="F55" s="241"/>
      <c r="G55" s="241"/>
      <c r="H55" s="241"/>
      <c r="I55" s="241"/>
      <c r="J55" s="241"/>
      <c r="K55" s="241"/>
      <c r="L55" s="241"/>
      <c r="M55" s="241"/>
      <c r="N55" s="241"/>
      <c r="O55" s="241"/>
      <c r="P55" s="241"/>
      <c r="Q55" s="241"/>
      <c r="R55" s="241">
        <f t="shared" ref="R55:R60" si="17">SUM(E55:Q55)</f>
        <v>26940</v>
      </c>
      <c r="S55" s="242"/>
      <c r="T55" s="242"/>
      <c r="U55" s="237"/>
    </row>
    <row r="56" spans="1:21" s="238" customFormat="1" ht="12" customHeight="1">
      <c r="A56" s="239" t="s">
        <v>928</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ht="11.4">
      <c r="A57" s="239" t="s">
        <v>932</v>
      </c>
      <c r="B57" s="240">
        <f t="shared" si="16"/>
        <v>10000</v>
      </c>
      <c r="C57" s="241">
        <v>10000</v>
      </c>
      <c r="D57" s="241"/>
      <c r="E57" s="241">
        <f t="shared" ref="E57:E60" si="18">B57-SUM(F57:Q57)</f>
        <v>10000</v>
      </c>
      <c r="F57" s="241"/>
      <c r="G57" s="241"/>
      <c r="H57" s="241"/>
      <c r="I57" s="241"/>
      <c r="J57" s="241"/>
      <c r="K57" s="241"/>
      <c r="L57" s="241"/>
      <c r="M57" s="241"/>
      <c r="N57" s="241"/>
      <c r="O57" s="241"/>
      <c r="P57" s="241"/>
      <c r="Q57" s="241"/>
      <c r="R57" s="241">
        <f t="shared" si="17"/>
        <v>10000</v>
      </c>
      <c r="S57" s="242"/>
      <c r="T57" s="242"/>
      <c r="U57" s="237"/>
    </row>
    <row r="58" spans="1:21" s="238" customFormat="1" ht="11.4">
      <c r="A58" s="239" t="s">
        <v>930</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ht="11.4">
      <c r="A59" s="239" t="s">
        <v>931</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ht="11.4">
      <c r="A60" s="246" t="s">
        <v>2445</v>
      </c>
      <c r="B60" s="240">
        <f t="shared" si="16"/>
        <v>10000</v>
      </c>
      <c r="C60" s="241">
        <v>10000</v>
      </c>
      <c r="D60" s="241"/>
      <c r="E60" s="241">
        <f t="shared" si="18"/>
        <v>10000</v>
      </c>
      <c r="F60" s="241"/>
      <c r="G60" s="241"/>
      <c r="H60" s="241"/>
      <c r="I60" s="241"/>
      <c r="J60" s="241"/>
      <c r="K60" s="241"/>
      <c r="L60" s="241"/>
      <c r="M60" s="241"/>
      <c r="N60" s="241"/>
      <c r="O60" s="241"/>
      <c r="P60" s="241"/>
      <c r="Q60" s="241"/>
      <c r="R60" s="241">
        <f t="shared" si="17"/>
        <v>10000</v>
      </c>
      <c r="S60" s="242"/>
      <c r="T60" s="242"/>
      <c r="U60" s="237"/>
    </row>
    <row r="61" spans="1:21" s="238" customFormat="1" ht="13.95" customHeight="1">
      <c r="A61" s="243" t="s">
        <v>501</v>
      </c>
      <c r="B61" s="240">
        <f>SUM(C61:D61)</f>
        <v>46940</v>
      </c>
      <c r="C61" s="240">
        <f t="shared" ref="C61:R61" si="19">SUM(C55:C60)</f>
        <v>46940</v>
      </c>
      <c r="D61" s="240">
        <f t="shared" si="19"/>
        <v>0</v>
      </c>
      <c r="E61" s="240">
        <f t="shared" si="19"/>
        <v>46940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46940</v>
      </c>
      <c r="S61" s="242"/>
      <c r="T61" s="242"/>
      <c r="U61" s="237"/>
    </row>
    <row r="62" spans="1:21" s="238" customFormat="1" ht="11.4">
      <c r="A62" s="249" t="s">
        <v>502</v>
      </c>
      <c r="B62" s="240">
        <f>SUM(C62:D62)</f>
        <v>27856420</v>
      </c>
      <c r="C62" s="240">
        <f t="shared" ref="C62:R62" si="20">SUM(C8+C11+C13+C14+C15+C26+C27+C38+C42+C43+C53+C61)</f>
        <v>27856420</v>
      </c>
      <c r="D62" s="240">
        <f t="shared" si="20"/>
        <v>0</v>
      </c>
      <c r="E62" s="240">
        <f t="shared" si="20"/>
        <v>14192156</v>
      </c>
      <c r="F62" s="240">
        <f t="shared" si="20"/>
        <v>3592000</v>
      </c>
      <c r="G62" s="240">
        <f t="shared" si="20"/>
        <v>6560000</v>
      </c>
      <c r="H62" s="240">
        <f t="shared" si="20"/>
        <v>3512264</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27856420</v>
      </c>
      <c r="S62" s="240">
        <f>SUM(S10+S13+S14+S15+S26+S27+S38+S42+S43+S53)</f>
        <v>23058156</v>
      </c>
      <c r="T62" s="240">
        <f>SUM(T11+T13+T14+T15+T26+T27+T38+T42+T43+T53)</f>
        <v>0</v>
      </c>
      <c r="U62" s="237"/>
    </row>
    <row r="63" spans="1:21" s="238" customFormat="1" ht="22.8">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84871</v>
      </c>
      <c r="C64" s="241">
        <f>75000+9871</f>
        <v>84871</v>
      </c>
      <c r="D64" s="241"/>
      <c r="E64" s="241">
        <f>B64-SUM(F64:Q64)</f>
        <v>84871</v>
      </c>
      <c r="F64" s="241"/>
      <c r="G64" s="241"/>
      <c r="H64" s="241"/>
      <c r="I64" s="241"/>
      <c r="J64" s="241"/>
      <c r="K64" s="241"/>
      <c r="L64" s="241"/>
      <c r="M64" s="241"/>
      <c r="N64" s="241"/>
      <c r="O64" s="241"/>
      <c r="P64" s="241"/>
      <c r="Q64" s="241"/>
      <c r="R64" s="241">
        <f>SUM(E64:Q64)</f>
        <v>84871</v>
      </c>
      <c r="S64" s="241">
        <v>40197</v>
      </c>
      <c r="T64" s="241"/>
      <c r="U64" s="237"/>
    </row>
    <row r="65" spans="1:21" s="238" customFormat="1" ht="22.8">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2443</v>
      </c>
      <c r="B68" s="240">
        <f>SUM(C68+D68)</f>
        <v>55000</v>
      </c>
      <c r="C68" s="241">
        <f>50000+5000</f>
        <v>55000</v>
      </c>
      <c r="D68" s="241"/>
      <c r="E68" s="241">
        <f t="shared" ref="E68" si="21">B68-SUM(F68:Q68)</f>
        <v>55000</v>
      </c>
      <c r="F68" s="241"/>
      <c r="G68" s="241"/>
      <c r="H68" s="241"/>
      <c r="I68" s="241"/>
      <c r="J68" s="241"/>
      <c r="K68" s="241"/>
      <c r="L68" s="241"/>
      <c r="M68" s="241"/>
      <c r="N68" s="241"/>
      <c r="O68" s="241"/>
      <c r="P68" s="241"/>
      <c r="Q68" s="241"/>
      <c r="R68" s="241">
        <f>SUM(E68:Q68)</f>
        <v>55000</v>
      </c>
      <c r="S68" s="241">
        <v>50000</v>
      </c>
      <c r="T68" s="241"/>
      <c r="U68" s="237"/>
    </row>
    <row r="69" spans="1:21" s="238" customFormat="1">
      <c r="A69" s="243" t="s">
        <v>1960</v>
      </c>
      <c r="B69" s="240">
        <f>SUM(C69:D69)</f>
        <v>139871</v>
      </c>
      <c r="C69" s="240">
        <f>SUM(C63:C68)</f>
        <v>139871</v>
      </c>
      <c r="D69" s="240">
        <f>SUM(D63:D68)</f>
        <v>0</v>
      </c>
      <c r="E69" s="240">
        <f t="shared" ref="E69:T69" si="22">SUM(E64:E68)</f>
        <v>139871</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139871</v>
      </c>
      <c r="S69" s="244">
        <f t="shared" si="22"/>
        <v>90197</v>
      </c>
      <c r="T69" s="244">
        <f t="shared" si="22"/>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449208</v>
      </c>
      <c r="C74" s="241">
        <v>449208</v>
      </c>
      <c r="D74" s="241"/>
      <c r="E74" s="241">
        <f>B74-SUM(F74:Q74)</f>
        <v>449208</v>
      </c>
      <c r="F74" s="241"/>
      <c r="G74" s="241"/>
      <c r="H74" s="241"/>
      <c r="I74" s="241"/>
      <c r="J74" s="241"/>
      <c r="K74" s="241"/>
      <c r="L74" s="241"/>
      <c r="M74" s="241"/>
      <c r="N74" s="241"/>
      <c r="O74" s="241"/>
      <c r="P74" s="241"/>
      <c r="Q74" s="241"/>
      <c r="R74" s="241">
        <f>SUM(E74:Q74)</f>
        <v>449208</v>
      </c>
      <c r="S74" s="242"/>
      <c r="T74" s="242"/>
      <c r="U74" s="237"/>
    </row>
    <row r="75" spans="1:21" s="238" customFormat="1" ht="11.4">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449208</v>
      </c>
      <c r="C76" s="240">
        <f t="shared" ref="C76:Q76" si="23">SUM(C71:C75)</f>
        <v>449208</v>
      </c>
      <c r="D76" s="240">
        <f t="shared" si="23"/>
        <v>0</v>
      </c>
      <c r="E76" s="240">
        <f>SUM(E71:E75)</f>
        <v>449208</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449208</v>
      </c>
      <c r="S76" s="242"/>
      <c r="T76" s="242"/>
      <c r="U76" s="237"/>
    </row>
    <row r="77" spans="1:21" s="238" customFormat="1" ht="12"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1742</v>
      </c>
      <c r="B78" s="240">
        <f>SUM(C78+D78)</f>
        <v>1934341</v>
      </c>
      <c r="C78" s="241">
        <v>1934341</v>
      </c>
      <c r="D78" s="241"/>
      <c r="E78" s="241">
        <f>B78-SUM(F78:Q78)</f>
        <v>1934341</v>
      </c>
      <c r="F78" s="241"/>
      <c r="G78" s="241"/>
      <c r="H78" s="241"/>
      <c r="I78" s="241"/>
      <c r="J78" s="241"/>
      <c r="K78" s="241"/>
      <c r="L78" s="241"/>
      <c r="M78" s="241"/>
      <c r="N78" s="241"/>
      <c r="O78" s="241"/>
      <c r="P78" s="241"/>
      <c r="Q78" s="241"/>
      <c r="R78" s="241">
        <f>SUM(E78:Q78)</f>
        <v>1934341</v>
      </c>
      <c r="S78" s="241">
        <v>1934341</v>
      </c>
      <c r="T78" s="241"/>
      <c r="U78" s="237"/>
    </row>
    <row r="79" spans="1:21" s="238" customFormat="1" ht="11.4">
      <c r="A79" s="239" t="s">
        <v>539</v>
      </c>
      <c r="B79" s="240">
        <f>SUM(C79+D79)</f>
        <v>216291</v>
      </c>
      <c r="C79" s="241">
        <v>216291</v>
      </c>
      <c r="D79" s="241"/>
      <c r="E79" s="241">
        <f>B79-SUM(F79:Q79)</f>
        <v>216291</v>
      </c>
      <c r="F79" s="241"/>
      <c r="G79" s="241"/>
      <c r="H79" s="241"/>
      <c r="I79" s="241"/>
      <c r="J79" s="241"/>
      <c r="K79" s="241"/>
      <c r="L79" s="241"/>
      <c r="M79" s="241"/>
      <c r="N79" s="241"/>
      <c r="O79" s="241"/>
      <c r="P79" s="241"/>
      <c r="Q79" s="241"/>
      <c r="R79" s="241">
        <f>SUM(E79:Q79)</f>
        <v>216291</v>
      </c>
      <c r="S79" s="241">
        <f>C79</f>
        <v>216291</v>
      </c>
      <c r="T79" s="241"/>
      <c r="U79" s="237"/>
    </row>
    <row r="80" spans="1:21" s="238" customFormat="1">
      <c r="A80" s="243" t="s">
        <v>1743</v>
      </c>
      <c r="B80" s="240">
        <f>SUM(C80:D80)</f>
        <v>2150632</v>
      </c>
      <c r="C80" s="666">
        <f>SUM(C78:C79)</f>
        <v>2150632</v>
      </c>
      <c r="D80" s="666">
        <f t="shared" ref="D80:R80" si="24">SUM(D78:D79)</f>
        <v>0</v>
      </c>
      <c r="E80" s="666">
        <f t="shared" si="24"/>
        <v>2150632</v>
      </c>
      <c r="F80" s="666">
        <f t="shared" si="24"/>
        <v>0</v>
      </c>
      <c r="G80" s="666">
        <f t="shared" si="24"/>
        <v>0</v>
      </c>
      <c r="H80" s="666">
        <f t="shared" si="24"/>
        <v>0</v>
      </c>
      <c r="I80" s="666">
        <f t="shared" si="24"/>
        <v>0</v>
      </c>
      <c r="J80" s="666">
        <f t="shared" si="24"/>
        <v>0</v>
      </c>
      <c r="K80" s="666">
        <f t="shared" si="24"/>
        <v>0</v>
      </c>
      <c r="L80" s="666">
        <f t="shared" si="24"/>
        <v>0</v>
      </c>
      <c r="M80" s="666">
        <f t="shared" si="24"/>
        <v>0</v>
      </c>
      <c r="N80" s="666">
        <f t="shared" si="24"/>
        <v>0</v>
      </c>
      <c r="O80" s="666">
        <f t="shared" si="24"/>
        <v>0</v>
      </c>
      <c r="P80" s="666">
        <f t="shared" si="24"/>
        <v>0</v>
      </c>
      <c r="Q80" s="666">
        <f t="shared" si="24"/>
        <v>0</v>
      </c>
      <c r="R80" s="666">
        <f t="shared" si="24"/>
        <v>2150632</v>
      </c>
      <c r="S80" s="666">
        <f>SUM(S78:S79)</f>
        <v>2150632</v>
      </c>
      <c r="T80" s="666">
        <f>SUM(T78:T79)</f>
        <v>0</v>
      </c>
      <c r="U80" s="237"/>
    </row>
    <row r="81" spans="1:21" s="238" customFormat="1" ht="11.4">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2116</v>
      </c>
      <c r="B82" s="240">
        <f>SUM(C82+D82)</f>
        <v>130444</v>
      </c>
      <c r="C82" s="241">
        <v>130444</v>
      </c>
      <c r="D82" s="241"/>
      <c r="E82" s="241">
        <f>B82-SUM(F82:Q82)</f>
        <v>130444</v>
      </c>
      <c r="F82" s="241"/>
      <c r="G82" s="241"/>
      <c r="H82" s="241"/>
      <c r="I82" s="241"/>
      <c r="J82" s="241"/>
      <c r="K82" s="241"/>
      <c r="L82" s="241"/>
      <c r="M82" s="241"/>
      <c r="N82" s="241"/>
      <c r="O82" s="241"/>
      <c r="P82" s="241"/>
      <c r="Q82" s="241"/>
      <c r="R82" s="241">
        <f>SUM(E82:Q82)</f>
        <v>130444</v>
      </c>
      <c r="S82" s="242"/>
      <c r="T82" s="242"/>
      <c r="U82" s="237"/>
    </row>
    <row r="83" spans="1:21" s="238" customFormat="1" ht="11.4">
      <c r="A83" s="239" t="s">
        <v>517</v>
      </c>
      <c r="B83" s="240">
        <f t="shared" ref="B83:B93" si="25">SUM(C83+D83)</f>
        <v>85000</v>
      </c>
      <c r="C83" s="241">
        <f>35000+50000</f>
        <v>85000</v>
      </c>
      <c r="D83" s="241"/>
      <c r="E83" s="241">
        <f t="shared" ref="E83:E94" si="26">B83-SUM(F83:Q83)</f>
        <v>85000</v>
      </c>
      <c r="F83" s="241"/>
      <c r="G83" s="241"/>
      <c r="H83" s="241"/>
      <c r="I83" s="241"/>
      <c r="J83" s="241"/>
      <c r="K83" s="241"/>
      <c r="L83" s="241"/>
      <c r="M83" s="241"/>
      <c r="N83" s="241"/>
      <c r="O83" s="241"/>
      <c r="P83" s="241"/>
      <c r="Q83" s="241"/>
      <c r="R83" s="241">
        <f t="shared" ref="R83:R93" si="27">SUM(E83:Q83)</f>
        <v>85000</v>
      </c>
      <c r="S83" s="241">
        <f>C83</f>
        <v>85000</v>
      </c>
      <c r="T83" s="241"/>
      <c r="U83" s="237"/>
    </row>
    <row r="84" spans="1:21" s="238" customFormat="1" ht="11.4">
      <c r="A84" s="239" t="s">
        <v>518</v>
      </c>
      <c r="B84" s="240">
        <f t="shared" si="25"/>
        <v>342299</v>
      </c>
      <c r="C84" s="241">
        <v>342299</v>
      </c>
      <c r="D84" s="241"/>
      <c r="E84" s="241">
        <f t="shared" si="26"/>
        <v>342299</v>
      </c>
      <c r="F84" s="241"/>
      <c r="G84" s="241"/>
      <c r="H84" s="241"/>
      <c r="I84" s="241"/>
      <c r="J84" s="241"/>
      <c r="K84" s="241"/>
      <c r="L84" s="241"/>
      <c r="M84" s="241"/>
      <c r="N84" s="241"/>
      <c r="O84" s="241"/>
      <c r="P84" s="241"/>
      <c r="Q84" s="241"/>
      <c r="R84" s="241">
        <f t="shared" si="27"/>
        <v>342299</v>
      </c>
      <c r="S84" s="241">
        <f>C84</f>
        <v>342299</v>
      </c>
      <c r="T84" s="241"/>
      <c r="U84" s="237"/>
    </row>
    <row r="85" spans="1:21" s="238" customFormat="1" ht="11.4">
      <c r="A85" s="239" t="s">
        <v>519</v>
      </c>
      <c r="B85" s="240">
        <f t="shared" si="25"/>
        <v>350000</v>
      </c>
      <c r="C85" s="241">
        <v>350000</v>
      </c>
      <c r="D85" s="241"/>
      <c r="E85" s="241">
        <f t="shared" si="26"/>
        <v>350000</v>
      </c>
      <c r="F85" s="241"/>
      <c r="G85" s="241"/>
      <c r="H85" s="241"/>
      <c r="I85" s="241"/>
      <c r="J85" s="241"/>
      <c r="K85" s="241"/>
      <c r="L85" s="241"/>
      <c r="M85" s="241"/>
      <c r="N85" s="241"/>
      <c r="O85" s="241"/>
      <c r="P85" s="241"/>
      <c r="Q85" s="241"/>
      <c r="R85" s="241">
        <f t="shared" si="27"/>
        <v>350000</v>
      </c>
      <c r="S85" s="241">
        <f>C85</f>
        <v>350000</v>
      </c>
      <c r="T85" s="241"/>
      <c r="U85" s="237"/>
    </row>
    <row r="86" spans="1:21" s="238" customFormat="1" ht="11.4">
      <c r="A86" s="239" t="s">
        <v>520</v>
      </c>
      <c r="B86" s="240">
        <f t="shared" si="25"/>
        <v>0</v>
      </c>
      <c r="C86" s="241"/>
      <c r="D86" s="241"/>
      <c r="E86" s="241"/>
      <c r="F86" s="241"/>
      <c r="G86" s="241"/>
      <c r="H86" s="241"/>
      <c r="I86" s="241"/>
      <c r="J86" s="241"/>
      <c r="K86" s="241"/>
      <c r="L86" s="241"/>
      <c r="M86" s="241"/>
      <c r="N86" s="241"/>
      <c r="O86" s="241"/>
      <c r="P86" s="241"/>
      <c r="Q86" s="241"/>
      <c r="R86" s="241">
        <f t="shared" si="27"/>
        <v>0</v>
      </c>
      <c r="S86" s="241"/>
      <c r="T86" s="241"/>
      <c r="U86" s="237"/>
    </row>
    <row r="87" spans="1:21" s="238" customFormat="1" ht="11.4">
      <c r="A87" s="239" t="s">
        <v>521</v>
      </c>
      <c r="B87" s="240">
        <f t="shared" si="25"/>
        <v>135000</v>
      </c>
      <c r="C87" s="241">
        <v>135000</v>
      </c>
      <c r="D87" s="241"/>
      <c r="E87" s="241">
        <f t="shared" si="26"/>
        <v>135000</v>
      </c>
      <c r="F87" s="241"/>
      <c r="G87" s="241"/>
      <c r="H87" s="241"/>
      <c r="I87" s="241"/>
      <c r="J87" s="241"/>
      <c r="K87" s="241"/>
      <c r="L87" s="241"/>
      <c r="M87" s="241"/>
      <c r="N87" s="241"/>
      <c r="O87" s="241"/>
      <c r="P87" s="241"/>
      <c r="Q87" s="241"/>
      <c r="R87" s="241">
        <f t="shared" si="27"/>
        <v>135000</v>
      </c>
      <c r="S87" s="242"/>
      <c r="T87" s="242"/>
      <c r="U87" s="237"/>
    </row>
    <row r="88" spans="1:21" s="238" customFormat="1" ht="11.4">
      <c r="A88" s="239" t="s">
        <v>522</v>
      </c>
      <c r="B88" s="240">
        <f t="shared" si="25"/>
        <v>260000</v>
      </c>
      <c r="C88" s="241">
        <v>260000</v>
      </c>
      <c r="D88" s="241"/>
      <c r="E88" s="241">
        <f t="shared" si="26"/>
        <v>260000</v>
      </c>
      <c r="F88" s="241"/>
      <c r="G88" s="241"/>
      <c r="H88" s="241"/>
      <c r="I88" s="241"/>
      <c r="J88" s="241"/>
      <c r="K88" s="241"/>
      <c r="L88" s="241"/>
      <c r="M88" s="241"/>
      <c r="N88" s="241"/>
      <c r="O88" s="241"/>
      <c r="P88" s="241"/>
      <c r="Q88" s="241"/>
      <c r="R88" s="241">
        <f t="shared" si="27"/>
        <v>260000</v>
      </c>
      <c r="S88" s="241">
        <f>C88</f>
        <v>260000</v>
      </c>
      <c r="T88" s="241"/>
      <c r="U88" s="237"/>
    </row>
    <row r="89" spans="1:21" s="238" customFormat="1" ht="11.4">
      <c r="A89" s="239" t="s">
        <v>523</v>
      </c>
      <c r="B89" s="240">
        <f t="shared" si="25"/>
        <v>13000</v>
      </c>
      <c r="C89" s="241">
        <v>13000</v>
      </c>
      <c r="D89" s="241"/>
      <c r="E89" s="241">
        <f t="shared" si="26"/>
        <v>13000</v>
      </c>
      <c r="F89" s="241"/>
      <c r="G89" s="241"/>
      <c r="H89" s="241"/>
      <c r="I89" s="241"/>
      <c r="J89" s="241"/>
      <c r="K89" s="241"/>
      <c r="L89" s="241"/>
      <c r="M89" s="241"/>
      <c r="N89" s="241"/>
      <c r="O89" s="241"/>
      <c r="P89" s="241"/>
      <c r="Q89" s="241"/>
      <c r="R89" s="241">
        <f t="shared" si="27"/>
        <v>13000</v>
      </c>
      <c r="S89" s="241"/>
      <c r="T89" s="241"/>
      <c r="U89" s="237"/>
    </row>
    <row r="90" spans="1:21" s="238" customFormat="1" ht="11.4">
      <c r="A90" s="250" t="s">
        <v>1315</v>
      </c>
      <c r="B90" s="240">
        <f t="shared" si="25"/>
        <v>20000</v>
      </c>
      <c r="C90" s="241">
        <v>20000</v>
      </c>
      <c r="D90" s="241"/>
      <c r="E90" s="241">
        <f t="shared" si="26"/>
        <v>20000</v>
      </c>
      <c r="F90" s="241"/>
      <c r="G90" s="241"/>
      <c r="H90" s="241"/>
      <c r="I90" s="241"/>
      <c r="J90" s="241"/>
      <c r="K90" s="241"/>
      <c r="L90" s="241"/>
      <c r="M90" s="241"/>
      <c r="N90" s="241"/>
      <c r="O90" s="241"/>
      <c r="P90" s="241"/>
      <c r="Q90" s="241"/>
      <c r="R90" s="241">
        <f t="shared" si="27"/>
        <v>20000</v>
      </c>
      <c r="S90" s="241">
        <f>C90</f>
        <v>20000</v>
      </c>
      <c r="T90" s="241"/>
      <c r="U90" s="237"/>
    </row>
    <row r="91" spans="1:21" s="238" customFormat="1" ht="11.4">
      <c r="A91" s="250" t="s">
        <v>1741</v>
      </c>
      <c r="B91" s="240">
        <f t="shared" si="25"/>
        <v>25000</v>
      </c>
      <c r="C91" s="241">
        <v>25000</v>
      </c>
      <c r="D91" s="241"/>
      <c r="E91" s="241">
        <f t="shared" si="26"/>
        <v>25000</v>
      </c>
      <c r="F91" s="241"/>
      <c r="G91" s="241"/>
      <c r="H91" s="241"/>
      <c r="I91" s="241"/>
      <c r="J91" s="241"/>
      <c r="K91" s="241"/>
      <c r="L91" s="241"/>
      <c r="M91" s="241"/>
      <c r="N91" s="241"/>
      <c r="O91" s="241"/>
      <c r="P91" s="241"/>
      <c r="Q91" s="241"/>
      <c r="R91" s="241">
        <f t="shared" si="27"/>
        <v>25000</v>
      </c>
      <c r="S91" s="241">
        <f>C91</f>
        <v>25000</v>
      </c>
      <c r="T91" s="241"/>
      <c r="U91" s="237"/>
    </row>
    <row r="92" spans="1:21" s="238" customFormat="1" ht="22.8">
      <c r="A92" s="246" t="s">
        <v>2441</v>
      </c>
      <c r="B92" s="240">
        <f t="shared" si="25"/>
        <v>190000</v>
      </c>
      <c r="C92" s="241">
        <f>165000+25000</f>
        <v>190000</v>
      </c>
      <c r="D92" s="241"/>
      <c r="E92" s="241">
        <f t="shared" si="26"/>
        <v>190000</v>
      </c>
      <c r="F92" s="241"/>
      <c r="G92" s="241"/>
      <c r="H92" s="241"/>
      <c r="I92" s="241"/>
      <c r="J92" s="241"/>
      <c r="K92" s="241"/>
      <c r="L92" s="241"/>
      <c r="M92" s="241"/>
      <c r="N92" s="241"/>
      <c r="O92" s="241"/>
      <c r="P92" s="241"/>
      <c r="Q92" s="241"/>
      <c r="R92" s="241">
        <f t="shared" si="27"/>
        <v>190000</v>
      </c>
      <c r="S92" s="241">
        <f>C92</f>
        <v>190000</v>
      </c>
      <c r="T92" s="241"/>
      <c r="U92" s="237"/>
    </row>
    <row r="93" spans="1:21" s="238" customFormat="1" ht="34.200000000000003">
      <c r="A93" s="246" t="s">
        <v>2474</v>
      </c>
      <c r="B93" s="240">
        <f t="shared" si="25"/>
        <v>230000</v>
      </c>
      <c r="C93" s="241">
        <f>47000+66000+32000+65000+20000</f>
        <v>230000</v>
      </c>
      <c r="D93" s="241"/>
      <c r="E93" s="241">
        <f t="shared" si="26"/>
        <v>230000</v>
      </c>
      <c r="F93" s="241"/>
      <c r="G93" s="241"/>
      <c r="H93" s="241"/>
      <c r="I93" s="241"/>
      <c r="J93" s="241"/>
      <c r="K93" s="241"/>
      <c r="L93" s="241"/>
      <c r="M93" s="241"/>
      <c r="N93" s="241"/>
      <c r="O93" s="241"/>
      <c r="P93" s="241"/>
      <c r="Q93" s="241"/>
      <c r="R93" s="241">
        <f t="shared" si="27"/>
        <v>230000</v>
      </c>
      <c r="S93" s="241">
        <f>47000+66000+32000</f>
        <v>145000</v>
      </c>
      <c r="T93" s="241"/>
      <c r="U93" s="237"/>
    </row>
    <row r="94" spans="1:21" s="238" customFormat="1" ht="22.8">
      <c r="A94" s="246" t="s">
        <v>2442</v>
      </c>
      <c r="B94" s="240">
        <f>SUM(C94+D94)</f>
        <v>225000</v>
      </c>
      <c r="C94" s="241">
        <f>100000+50000+75000</f>
        <v>225000</v>
      </c>
      <c r="D94" s="241"/>
      <c r="E94" s="241">
        <f t="shared" si="26"/>
        <v>225000</v>
      </c>
      <c r="F94" s="241"/>
      <c r="G94" s="241"/>
      <c r="H94" s="241"/>
      <c r="I94" s="241"/>
      <c r="J94" s="241"/>
      <c r="K94" s="241"/>
      <c r="L94" s="241"/>
      <c r="M94" s="241"/>
      <c r="N94" s="241"/>
      <c r="O94" s="241"/>
      <c r="P94" s="241"/>
      <c r="Q94" s="241"/>
      <c r="R94" s="241">
        <f>SUM(E94:Q94)</f>
        <v>225000</v>
      </c>
      <c r="S94" s="241">
        <f>100000+50000</f>
        <v>150000</v>
      </c>
      <c r="T94" s="241"/>
      <c r="U94" s="237"/>
    </row>
    <row r="95" spans="1:21" s="238" customFormat="1">
      <c r="A95" s="243" t="s">
        <v>524</v>
      </c>
      <c r="B95" s="240">
        <f>SUM(C95:D95)</f>
        <v>2005743</v>
      </c>
      <c r="C95" s="240">
        <f t="shared" ref="C95:R95" si="28">SUM(C82:C94)</f>
        <v>2005743</v>
      </c>
      <c r="D95" s="240">
        <f t="shared" si="28"/>
        <v>0</v>
      </c>
      <c r="E95" s="240">
        <f t="shared" si="28"/>
        <v>2005743</v>
      </c>
      <c r="F95" s="240">
        <f t="shared" si="28"/>
        <v>0</v>
      </c>
      <c r="G95" s="240">
        <f t="shared" si="28"/>
        <v>0</v>
      </c>
      <c r="H95" s="240">
        <f t="shared" si="28"/>
        <v>0</v>
      </c>
      <c r="I95" s="240">
        <f t="shared" si="28"/>
        <v>0</v>
      </c>
      <c r="J95" s="240">
        <f t="shared" si="28"/>
        <v>0</v>
      </c>
      <c r="K95" s="240">
        <f t="shared" si="28"/>
        <v>0</v>
      </c>
      <c r="L95" s="240">
        <f t="shared" si="28"/>
        <v>0</v>
      </c>
      <c r="M95" s="240">
        <f t="shared" si="28"/>
        <v>0</v>
      </c>
      <c r="N95" s="240">
        <f t="shared" si="28"/>
        <v>0</v>
      </c>
      <c r="O95" s="240">
        <f t="shared" si="28"/>
        <v>0</v>
      </c>
      <c r="P95" s="240">
        <f t="shared" si="28"/>
        <v>0</v>
      </c>
      <c r="Q95" s="240">
        <f t="shared" si="28"/>
        <v>0</v>
      </c>
      <c r="R95" s="240">
        <f t="shared" si="28"/>
        <v>2005743</v>
      </c>
      <c r="S95" s="244">
        <f>SUM(S83:S86,S88:S94)</f>
        <v>1567299</v>
      </c>
      <c r="T95" s="240">
        <f>SUM(T83:T86,T88:T94)</f>
        <v>0</v>
      </c>
      <c r="U95" s="237"/>
    </row>
    <row r="96" spans="1:21" s="238" customFormat="1">
      <c r="A96" s="243" t="s">
        <v>525</v>
      </c>
      <c r="B96" s="240">
        <f>SUM(C96:D96)</f>
        <v>32601874</v>
      </c>
      <c r="C96" s="240">
        <f t="shared" ref="C96:R96" si="29">SUM(C62+C69+C76+C80+C95)</f>
        <v>32601874</v>
      </c>
      <c r="D96" s="240">
        <f t="shared" si="29"/>
        <v>0</v>
      </c>
      <c r="E96" s="240">
        <f t="shared" si="29"/>
        <v>18937610</v>
      </c>
      <c r="F96" s="240">
        <f t="shared" si="29"/>
        <v>3592000</v>
      </c>
      <c r="G96" s="240">
        <f t="shared" si="29"/>
        <v>6560000</v>
      </c>
      <c r="H96" s="240">
        <f t="shared" si="29"/>
        <v>3512264</v>
      </c>
      <c r="I96" s="240">
        <f t="shared" si="29"/>
        <v>0</v>
      </c>
      <c r="J96" s="240">
        <f t="shared" si="29"/>
        <v>0</v>
      </c>
      <c r="K96" s="240">
        <f t="shared" si="29"/>
        <v>0</v>
      </c>
      <c r="L96" s="240">
        <f t="shared" si="29"/>
        <v>0</v>
      </c>
      <c r="M96" s="240">
        <f t="shared" si="29"/>
        <v>0</v>
      </c>
      <c r="N96" s="240">
        <f t="shared" si="29"/>
        <v>0</v>
      </c>
      <c r="O96" s="240">
        <f t="shared" si="29"/>
        <v>0</v>
      </c>
      <c r="P96" s="240">
        <f t="shared" si="29"/>
        <v>0</v>
      </c>
      <c r="Q96" s="240">
        <f t="shared" si="29"/>
        <v>0</v>
      </c>
      <c r="R96" s="240">
        <f t="shared" si="29"/>
        <v>32601874</v>
      </c>
      <c r="S96" s="244">
        <f>SUM(+S62+S69+S80+S95)</f>
        <v>26866284</v>
      </c>
      <c r="T96" s="244">
        <f>SUM(T62+T69+T80+T95)</f>
        <v>0</v>
      </c>
      <c r="U96" s="237"/>
    </row>
    <row r="97" spans="1:21" s="238" customFormat="1" ht="11.4">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527</v>
      </c>
      <c r="B98" s="240">
        <f>SUM(C98+D98)</f>
        <v>2500000</v>
      </c>
      <c r="C98" s="241">
        <v>2500000</v>
      </c>
      <c r="D98" s="241"/>
      <c r="E98" s="241">
        <f>B98-SUM(F98:Q98)</f>
        <v>2500000</v>
      </c>
      <c r="F98" s="241"/>
      <c r="G98" s="241"/>
      <c r="H98" s="241"/>
      <c r="I98" s="241"/>
      <c r="J98" s="241"/>
      <c r="K98" s="241"/>
      <c r="L98" s="241"/>
      <c r="M98" s="241"/>
      <c r="N98" s="241"/>
      <c r="O98" s="241"/>
      <c r="P98" s="241"/>
      <c r="Q98" s="241"/>
      <c r="R98" s="241">
        <f>SUM(E98:Q98)</f>
        <v>2500000</v>
      </c>
      <c r="S98" s="241">
        <f>C98</f>
        <v>2500000</v>
      </c>
      <c r="T98" s="241"/>
      <c r="U98" s="237"/>
    </row>
    <row r="99" spans="1:21" s="238" customFormat="1" ht="11.4">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30">SUM(C98:C102)</f>
        <v>2500000</v>
      </c>
      <c r="D103" s="240">
        <f t="shared" si="30"/>
        <v>0</v>
      </c>
      <c r="E103" s="240">
        <f t="shared" si="30"/>
        <v>2500000</v>
      </c>
      <c r="F103" s="240">
        <f t="shared" si="30"/>
        <v>0</v>
      </c>
      <c r="G103" s="240">
        <f t="shared" si="30"/>
        <v>0</v>
      </c>
      <c r="H103" s="240">
        <f t="shared" si="30"/>
        <v>0</v>
      </c>
      <c r="I103" s="240">
        <f t="shared" si="30"/>
        <v>0</v>
      </c>
      <c r="J103" s="240">
        <f t="shared" si="30"/>
        <v>0</v>
      </c>
      <c r="K103" s="240">
        <f t="shared" si="30"/>
        <v>0</v>
      </c>
      <c r="L103" s="240">
        <f t="shared" si="30"/>
        <v>0</v>
      </c>
      <c r="M103" s="240">
        <f t="shared" si="30"/>
        <v>0</v>
      </c>
      <c r="N103" s="240">
        <f t="shared" si="30"/>
        <v>0</v>
      </c>
      <c r="O103" s="240">
        <f t="shared" si="30"/>
        <v>0</v>
      </c>
      <c r="P103" s="240">
        <f t="shared" si="30"/>
        <v>0</v>
      </c>
      <c r="Q103" s="240">
        <f t="shared" si="30"/>
        <v>0</v>
      </c>
      <c r="R103" s="240">
        <f t="shared" si="30"/>
        <v>2500000</v>
      </c>
      <c r="S103" s="244">
        <f t="shared" si="30"/>
        <v>2500000</v>
      </c>
      <c r="T103" s="244">
        <f t="shared" si="30"/>
        <v>0</v>
      </c>
      <c r="U103" s="237"/>
    </row>
    <row r="104" spans="1:21" s="238" customFormat="1">
      <c r="A104" s="243" t="s">
        <v>1156</v>
      </c>
      <c r="B104" s="244">
        <f>SUM(C104:D104)</f>
        <v>35101874</v>
      </c>
      <c r="C104" s="244">
        <f t="shared" ref="C104:R104" si="31">SUM(C96+C103)</f>
        <v>35101874</v>
      </c>
      <c r="D104" s="244">
        <f t="shared" si="31"/>
        <v>0</v>
      </c>
      <c r="E104" s="244">
        <f t="shared" si="31"/>
        <v>21437610</v>
      </c>
      <c r="F104" s="244">
        <f t="shared" si="31"/>
        <v>3592000</v>
      </c>
      <c r="G104" s="244">
        <f t="shared" si="31"/>
        <v>6560000</v>
      </c>
      <c r="H104" s="244">
        <f t="shared" si="31"/>
        <v>3512264</v>
      </c>
      <c r="I104" s="244">
        <f t="shared" si="31"/>
        <v>0</v>
      </c>
      <c r="J104" s="244">
        <f t="shared" si="31"/>
        <v>0</v>
      </c>
      <c r="K104" s="244">
        <f t="shared" si="31"/>
        <v>0</v>
      </c>
      <c r="L104" s="244">
        <f t="shared" si="31"/>
        <v>0</v>
      </c>
      <c r="M104" s="244">
        <f t="shared" si="31"/>
        <v>0</v>
      </c>
      <c r="N104" s="244">
        <f t="shared" si="31"/>
        <v>0</v>
      </c>
      <c r="O104" s="244">
        <f t="shared" si="31"/>
        <v>0</v>
      </c>
      <c r="P104" s="244">
        <f t="shared" si="31"/>
        <v>0</v>
      </c>
      <c r="Q104" s="244">
        <f t="shared" si="31"/>
        <v>0</v>
      </c>
      <c r="R104" s="240">
        <f t="shared" si="31"/>
        <v>35101874</v>
      </c>
      <c r="S104" s="244">
        <f>S96+S103</f>
        <v>29366284</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29366284</v>
      </c>
      <c r="T106" s="244">
        <f>T104+T105</f>
        <v>0</v>
      </c>
      <c r="U106" s="256"/>
    </row>
    <row r="107" spans="1:21" s="258" customFormat="1">
      <c r="A107" s="257" t="s">
        <v>1107</v>
      </c>
      <c r="B107" s="252"/>
      <c r="C107" s="252"/>
      <c r="D107" s="252"/>
      <c r="E107" s="240">
        <f>Application!AO634</f>
        <v>21437610</v>
      </c>
      <c r="F107" s="240">
        <f>Application!AO621</f>
        <v>3592000</v>
      </c>
      <c r="G107" s="240">
        <f>Application!AO622</f>
        <v>6560000</v>
      </c>
      <c r="H107" s="240">
        <f>Application!AO623</f>
        <v>3512264</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6" t="s">
        <v>1291</v>
      </c>
      <c r="E122" s="1586"/>
      <c r="F122" s="1586"/>
      <c r="U122" s="256"/>
    </row>
    <row r="123" spans="1:21" s="253" customFormat="1" ht="11.4">
      <c r="A123" s="253" t="s">
        <v>1292</v>
      </c>
      <c r="B123" s="546"/>
      <c r="D123" s="1588"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3.2">
      <c r="A129" s="209" t="s">
        <v>500</v>
      </c>
      <c r="B129" s="546"/>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3.2">
      <c r="A132" s="548"/>
      <c r="B132" s="209"/>
      <c r="C132" s="209"/>
      <c r="D132" s="1589" t="s">
        <v>1301</v>
      </c>
      <c r="E132" s="1589"/>
      <c r="F132" s="1589"/>
      <c r="G132" s="1589"/>
      <c r="H132" s="1589"/>
      <c r="I132" s="209"/>
      <c r="J132" s="1589" t="s">
        <v>1302</v>
      </c>
      <c r="K132" s="1589"/>
      <c r="L132" s="1589"/>
      <c r="M132" s="1589"/>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7" t="s">
        <v>1304</v>
      </c>
      <c r="B139" s="1587"/>
      <c r="C139" s="1587"/>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6" sqref="AB56:AF56"/>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610" t="s">
        <v>1747</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2"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653</v>
      </c>
      <c r="C5" s="3" t="s">
        <v>206</v>
      </c>
      <c r="F5" s="3"/>
    </row>
    <row r="6" spans="1:40" ht="13.2" customHeight="1">
      <c r="B6" s="90" t="s">
        <v>1832</v>
      </c>
    </row>
    <row r="7" spans="1:40" ht="13.2"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DDA/QCT
Building(s)</v>
      </c>
      <c r="U7" s="1598"/>
      <c r="V7" s="1598"/>
      <c r="W7" s="1598"/>
      <c r="X7" s="1598"/>
      <c r="Y7" s="1598" t="str">
        <f>IF(T25=100%,"",'Sources and Basis Breakdown'!G2)</f>
        <v>70% PVC for New Const/
Rehabilitation
NON-DDA/
NON-QCT Building(s)</v>
      </c>
      <c r="Z7" s="1598"/>
      <c r="AA7" s="1598"/>
      <c r="AB7" s="1598"/>
      <c r="AC7" s="1598"/>
      <c r="AD7" s="1598" t="str">
        <f>IF(T25=100%,'Sources and Basis Breakdown'!J2,'Sources and Basis Breakdown'!I2)</f>
        <v>30% PVC for Acquisition
DDA/QCT Building(s)</v>
      </c>
      <c r="AE7" s="1598"/>
      <c r="AF7" s="1598"/>
      <c r="AG7" s="1598"/>
      <c r="AH7" s="1598"/>
      <c r="AI7" s="1598" t="str">
        <f>IF(T25=100%,"",'Sources and Basis Breakdown'!J2)</f>
        <v>30% PVC for Acquisition
NON-DDA/
NON-QCT Building(s)</v>
      </c>
      <c r="AJ7" s="1598"/>
      <c r="AK7" s="1598"/>
      <c r="AL7" s="1598"/>
      <c r="AM7" s="1598"/>
    </row>
    <row r="8" spans="1:40" ht="13.2"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2"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2"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2" customHeight="1">
      <c r="B11" s="1104" t="s">
        <v>509</v>
      </c>
      <c r="C11" s="1105"/>
      <c r="D11" s="1105"/>
      <c r="E11" s="1105"/>
      <c r="F11" s="1105"/>
      <c r="G11" s="1105"/>
      <c r="H11" s="1105"/>
      <c r="I11" s="1105"/>
      <c r="J11" s="1105"/>
      <c r="K11" s="1105"/>
      <c r="L11" s="1105"/>
      <c r="M11" s="1105"/>
      <c r="N11" s="1105"/>
      <c r="O11" s="1105"/>
      <c r="P11" s="1105"/>
      <c r="Q11" s="1105"/>
      <c r="R11" s="1105"/>
      <c r="S11" s="1107"/>
      <c r="T11" s="1628">
        <f>IF('Sources and Basis Breakdown'!F105=0,'Sources and Basis Breakdown'!E105,'Sources and Basis Breakdown'!F105)</f>
        <v>29366284</v>
      </c>
      <c r="U11" s="1615"/>
      <c r="V11" s="1615"/>
      <c r="W11" s="1615"/>
      <c r="X11" s="1615"/>
      <c r="Y11" s="1614">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3.2"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2" customHeight="1">
      <c r="B13" s="8"/>
      <c r="C13" s="1624" t="s">
        <v>1713</v>
      </c>
      <c r="D13" s="1625"/>
      <c r="E13" s="1625"/>
      <c r="F13" s="1625"/>
      <c r="G13" s="1625"/>
      <c r="H13" s="1625"/>
      <c r="I13" s="1625"/>
      <c r="J13" s="1625"/>
      <c r="K13" s="1625"/>
      <c r="L13" s="1625"/>
      <c r="M13" s="1625"/>
      <c r="N13" s="1625"/>
      <c r="O13" s="1625"/>
      <c r="P13" s="1625"/>
      <c r="Q13" s="1625"/>
      <c r="R13" s="1625"/>
      <c r="S13" s="1626"/>
      <c r="T13" s="1616"/>
      <c r="U13" s="1613"/>
      <c r="V13" s="1613"/>
      <c r="W13" s="1613"/>
      <c r="X13" s="1613"/>
      <c r="Y13" s="1616"/>
      <c r="Z13" s="1613"/>
      <c r="AA13" s="1613"/>
      <c r="AB13" s="1613"/>
      <c r="AC13" s="1613"/>
      <c r="AD13" s="1613"/>
      <c r="AE13" s="1613"/>
      <c r="AF13" s="1613"/>
      <c r="AG13" s="1613"/>
      <c r="AH13" s="1613"/>
      <c r="AI13" s="1613"/>
      <c r="AJ13" s="1613"/>
      <c r="AK13" s="1613"/>
      <c r="AL13" s="1613"/>
      <c r="AM13" s="1613"/>
    </row>
    <row r="14" spans="1:40" ht="13.2" customHeight="1">
      <c r="B14" s="8"/>
      <c r="C14" s="1625" t="s">
        <v>768</v>
      </c>
      <c r="D14" s="1625"/>
      <c r="E14" s="1625"/>
      <c r="F14" s="1625"/>
      <c r="G14" s="1625"/>
      <c r="H14" s="1625"/>
      <c r="I14" s="1625"/>
      <c r="J14" s="1625"/>
      <c r="K14" s="1625"/>
      <c r="L14" s="1625"/>
      <c r="M14" s="1625"/>
      <c r="N14" s="1625"/>
      <c r="O14" s="1625"/>
      <c r="P14" s="1625"/>
      <c r="Q14" s="1625"/>
      <c r="R14" s="1625"/>
      <c r="S14" s="1626"/>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3.2" customHeight="1">
      <c r="B15" s="8"/>
      <c r="C15" s="1625" t="s">
        <v>769</v>
      </c>
      <c r="D15" s="1625"/>
      <c r="E15" s="1625"/>
      <c r="F15" s="1625"/>
      <c r="G15" s="1625"/>
      <c r="H15" s="1625"/>
      <c r="I15" s="1625"/>
      <c r="J15" s="1625"/>
      <c r="K15" s="1625"/>
      <c r="L15" s="1625"/>
      <c r="M15" s="1625"/>
      <c r="N15" s="1625"/>
      <c r="O15" s="1625"/>
      <c r="P15" s="1625"/>
      <c r="Q15" s="1625"/>
      <c r="R15" s="1625"/>
      <c r="S15" s="1626"/>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3.2" customHeight="1">
      <c r="B16" s="8"/>
      <c r="C16" s="1624" t="s">
        <v>1012</v>
      </c>
      <c r="D16" s="1624"/>
      <c r="E16" s="1624"/>
      <c r="F16" s="1624"/>
      <c r="G16" s="1624"/>
      <c r="H16" s="1624"/>
      <c r="I16" s="1624"/>
      <c r="J16" s="1624"/>
      <c r="K16" s="1624"/>
      <c r="L16" s="1624"/>
      <c r="M16" s="1624"/>
      <c r="N16" s="1624"/>
      <c r="O16" s="1624"/>
      <c r="P16" s="1624"/>
      <c r="Q16" s="1624"/>
      <c r="R16" s="1624"/>
      <c r="S16" s="1627"/>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3.2" customHeight="1">
      <c r="B17" s="8"/>
      <c r="C17" s="1625" t="s">
        <v>770</v>
      </c>
      <c r="D17" s="1625"/>
      <c r="E17" s="1625"/>
      <c r="F17" s="1625"/>
      <c r="G17" s="1625"/>
      <c r="H17" s="1625"/>
      <c r="I17" s="1625"/>
      <c r="J17" s="1625"/>
      <c r="K17" s="1625"/>
      <c r="L17" s="1625"/>
      <c r="M17" s="1625"/>
      <c r="N17" s="1625"/>
      <c r="O17" s="1625"/>
      <c r="P17" s="1625"/>
      <c r="Q17" s="1625"/>
      <c r="R17" s="1625"/>
      <c r="S17" s="1626"/>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3.2" customHeight="1">
      <c r="B18" s="941"/>
      <c r="C18" s="1620" t="s">
        <v>1217</v>
      </c>
      <c r="D18" s="1620"/>
      <c r="E18" s="1620"/>
      <c r="F18" s="1620"/>
      <c r="G18" s="1620"/>
      <c r="H18" s="1620"/>
      <c r="I18" s="1620"/>
      <c r="J18" s="1620"/>
      <c r="K18" s="1620"/>
      <c r="L18" s="1620"/>
      <c r="M18" s="1620"/>
      <c r="N18" s="1620"/>
      <c r="O18" s="1620"/>
      <c r="P18" s="1620"/>
      <c r="Q18" s="1620"/>
      <c r="R18" s="1620"/>
      <c r="S18" s="1621"/>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3.2" customHeight="1">
      <c r="B19" s="484"/>
      <c r="C19" s="1620" t="s">
        <v>1217</v>
      </c>
      <c r="D19" s="1620"/>
      <c r="E19" s="1620"/>
      <c r="F19" s="1620"/>
      <c r="G19" s="1620"/>
      <c r="H19" s="1620"/>
      <c r="I19" s="1620"/>
      <c r="J19" s="1620"/>
      <c r="K19" s="1620"/>
      <c r="L19" s="1620"/>
      <c r="M19" s="1620"/>
      <c r="N19" s="1620"/>
      <c r="O19" s="1620"/>
      <c r="P19" s="1620"/>
      <c r="Q19" s="1620"/>
      <c r="R19" s="1620"/>
      <c r="S19" s="1621"/>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3.2" customHeight="1">
      <c r="B20" s="1104" t="s">
        <v>771</v>
      </c>
      <c r="C20" s="1105"/>
      <c r="D20" s="1105"/>
      <c r="E20" s="1105"/>
      <c r="F20" s="1105"/>
      <c r="G20" s="1105"/>
      <c r="H20" s="1105"/>
      <c r="I20" s="1105"/>
      <c r="J20" s="1105"/>
      <c r="K20" s="1105"/>
      <c r="L20" s="1105"/>
      <c r="M20" s="1105"/>
      <c r="N20" s="1105"/>
      <c r="O20" s="1105"/>
      <c r="P20" s="1105"/>
      <c r="Q20" s="1105"/>
      <c r="R20" s="1105"/>
      <c r="S20" s="1107"/>
      <c r="T20" s="1595">
        <f>SUM(T13:X19)</f>
        <v>0</v>
      </c>
      <c r="U20" s="1296"/>
      <c r="V20" s="1296"/>
      <c r="W20" s="1296"/>
      <c r="X20" s="1296"/>
      <c r="Y20" s="1595">
        <f>SUM(Y13:AC19)</f>
        <v>0</v>
      </c>
      <c r="Z20" s="1296"/>
      <c r="AA20" s="1296"/>
      <c r="AB20" s="1296"/>
      <c r="AC20" s="1296"/>
      <c r="AD20" s="1296">
        <f>SUM(AD13:AH19)</f>
        <v>0</v>
      </c>
      <c r="AE20" s="1296"/>
      <c r="AF20" s="1296"/>
      <c r="AG20" s="1296"/>
      <c r="AH20" s="1296"/>
      <c r="AI20" s="1296">
        <f>SUM(AI13:AM19)</f>
        <v>0</v>
      </c>
      <c r="AJ20" s="1296"/>
      <c r="AK20" s="1296"/>
      <c r="AL20" s="1296"/>
      <c r="AM20" s="1296"/>
    </row>
    <row r="21" spans="1:39" ht="13.2" customHeight="1">
      <c r="B21" s="1104" t="s">
        <v>1712</v>
      </c>
      <c r="C21" s="1105"/>
      <c r="D21" s="1105"/>
      <c r="E21" s="1105"/>
      <c r="F21" s="1105"/>
      <c r="G21" s="1105"/>
      <c r="H21" s="1105"/>
      <c r="I21" s="1105"/>
      <c r="J21" s="1105"/>
      <c r="K21" s="1105"/>
      <c r="L21" s="1105"/>
      <c r="M21" s="1105"/>
      <c r="N21" s="1105"/>
      <c r="O21" s="1105"/>
      <c r="P21" s="1105"/>
      <c r="Q21" s="1105"/>
      <c r="R21" s="1105"/>
      <c r="S21" s="1107"/>
      <c r="T21" s="1167">
        <v>9057643</v>
      </c>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3.2" customHeight="1">
      <c r="B22" s="1104" t="s">
        <v>772</v>
      </c>
      <c r="C22" s="1105"/>
      <c r="D22" s="1105"/>
      <c r="E22" s="1105"/>
      <c r="F22" s="1105"/>
      <c r="G22" s="1105"/>
      <c r="H22" s="1105"/>
      <c r="I22" s="1105"/>
      <c r="J22" s="1105"/>
      <c r="K22" s="1105"/>
      <c r="L22" s="1105"/>
      <c r="M22" s="1105"/>
      <c r="N22" s="1105"/>
      <c r="O22" s="1105"/>
      <c r="P22" s="1105"/>
      <c r="Q22" s="1105"/>
      <c r="R22" s="1105"/>
      <c r="S22" s="1107"/>
      <c r="T22" s="1629">
        <f>(ABS(T20)+ABS(T21))*-1</f>
        <v>-9057643</v>
      </c>
      <c r="U22" s="1630"/>
      <c r="V22" s="1630"/>
      <c r="W22" s="1630"/>
      <c r="X22" s="1630"/>
      <c r="Y22" s="1629">
        <f t="shared" ref="Y22" si="0">(ABS(Y20)+ABS(Y21))*-1</f>
        <v>0</v>
      </c>
      <c r="Z22" s="1630"/>
      <c r="AA22" s="1630"/>
      <c r="AB22" s="1630"/>
      <c r="AC22" s="1630"/>
      <c r="AD22" s="1629">
        <f t="shared" ref="AD22" si="1">(ABS(AD20)+ABS(AD21))*-1</f>
        <v>0</v>
      </c>
      <c r="AE22" s="1630"/>
      <c r="AF22" s="1630"/>
      <c r="AG22" s="1630"/>
      <c r="AH22" s="1630"/>
      <c r="AI22" s="1629">
        <f t="shared" ref="AI22" si="2">(ABS(AI20)+ABS(AI21))*-1</f>
        <v>0</v>
      </c>
      <c r="AJ22" s="1630"/>
      <c r="AK22" s="1630"/>
      <c r="AL22" s="1630"/>
      <c r="AM22" s="1630"/>
    </row>
    <row r="23" spans="1:39" ht="13.2" customHeight="1">
      <c r="B23" s="1104" t="s">
        <v>1907</v>
      </c>
      <c r="C23" s="1105"/>
      <c r="D23" s="1105"/>
      <c r="E23" s="1105"/>
      <c r="F23" s="1105"/>
      <c r="G23" s="1105"/>
      <c r="H23" s="1105"/>
      <c r="I23" s="1105"/>
      <c r="J23" s="1105"/>
      <c r="K23" s="1105"/>
      <c r="L23" s="1105"/>
      <c r="M23" s="1105"/>
      <c r="N23" s="1105"/>
      <c r="O23" s="1105"/>
      <c r="P23" s="1105"/>
      <c r="Q23" s="1105"/>
      <c r="R23" s="1105"/>
      <c r="S23" s="1107"/>
      <c r="T23" s="1595">
        <f>T11+T22</f>
        <v>20308641</v>
      </c>
      <c r="U23" s="1296"/>
      <c r="V23" s="1296"/>
      <c r="W23" s="1296"/>
      <c r="X23" s="1296"/>
      <c r="Y23" s="1595">
        <f>Y11+Y22</f>
        <v>0</v>
      </c>
      <c r="Z23" s="1296"/>
      <c r="AA23" s="1296"/>
      <c r="AB23" s="1296"/>
      <c r="AC23" s="1296"/>
      <c r="AD23" s="1595">
        <f>IF(AD11=AD21,0,AD11)</f>
        <v>0</v>
      </c>
      <c r="AE23" s="1296"/>
      <c r="AF23" s="1296"/>
      <c r="AG23" s="1296"/>
      <c r="AH23" s="1296"/>
      <c r="AI23" s="1595">
        <f>IF(AI11=AI21,0,AI11)</f>
        <v>0</v>
      </c>
      <c r="AJ23" s="1296"/>
      <c r="AK23" s="1296"/>
      <c r="AL23" s="1296"/>
      <c r="AM23" s="1296"/>
    </row>
    <row r="24" spans="1:39" ht="13.2" customHeight="1">
      <c r="B24" s="1104" t="s">
        <v>1218</v>
      </c>
      <c r="C24" s="1105"/>
      <c r="D24" s="1105"/>
      <c r="E24" s="1105"/>
      <c r="F24" s="1105"/>
      <c r="G24" s="1105"/>
      <c r="H24" s="1105"/>
      <c r="I24" s="1105"/>
      <c r="J24" s="1105"/>
      <c r="K24" s="1105"/>
      <c r="L24" s="1105"/>
      <c r="M24" s="1105"/>
      <c r="N24" s="1105"/>
      <c r="O24" s="1105"/>
      <c r="P24" s="1105"/>
      <c r="Q24" s="1105"/>
      <c r="R24" s="1105"/>
      <c r="S24" s="1107"/>
      <c r="T24" s="1596">
        <f>Application!AJ1020</f>
        <v>28785472</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2" customHeight="1">
      <c r="B25" s="1636" t="s">
        <v>1909</v>
      </c>
      <c r="C25" s="1637"/>
      <c r="D25" s="1637"/>
      <c r="E25" s="1637"/>
      <c r="F25" s="1637"/>
      <c r="G25" s="1637"/>
      <c r="H25" s="1637"/>
      <c r="I25" s="1637"/>
      <c r="J25" s="1637"/>
      <c r="K25" s="1637"/>
      <c r="L25" s="1637"/>
      <c r="M25" s="1637"/>
      <c r="N25" s="1637"/>
      <c r="O25" s="1637"/>
      <c r="P25" s="1637"/>
      <c r="Q25" s="1637"/>
      <c r="R25" s="1637"/>
      <c r="S25" s="1638"/>
      <c r="T25" s="1631">
        <f>IF(OR(AND(Application!T193="no",Application!T194="no",Application!T196="no",Application!Y211="no"),Application!T195="yes"),1,1.3)</f>
        <v>1.3</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3.2" customHeight="1">
      <c r="B26" s="1104" t="s">
        <v>774</v>
      </c>
      <c r="C26" s="1105"/>
      <c r="D26" s="1105"/>
      <c r="E26" s="1105"/>
      <c r="F26" s="1105"/>
      <c r="G26" s="1105"/>
      <c r="H26" s="1105"/>
      <c r="I26" s="1105"/>
      <c r="J26" s="1105"/>
      <c r="K26" s="1105"/>
      <c r="L26" s="1105"/>
      <c r="M26" s="1105"/>
      <c r="N26" s="1105"/>
      <c r="O26" s="1105"/>
      <c r="P26" s="1105"/>
      <c r="Q26" s="1105"/>
      <c r="R26" s="1105"/>
      <c r="S26" s="1107"/>
      <c r="T26" s="1093">
        <f>T23*T25</f>
        <v>26401233.300000001</v>
      </c>
      <c r="U26" s="1607"/>
      <c r="V26" s="1607"/>
      <c r="W26" s="1607"/>
      <c r="X26" s="1607"/>
      <c r="Y26" s="1093">
        <f>Y23*Y25</f>
        <v>0</v>
      </c>
      <c r="Z26" s="1607"/>
      <c r="AA26" s="1607"/>
      <c r="AB26" s="1607"/>
      <c r="AC26" s="1607"/>
      <c r="AD26" s="1093">
        <f>AD23*AD25</f>
        <v>0</v>
      </c>
      <c r="AE26" s="1607"/>
      <c r="AF26" s="1607"/>
      <c r="AG26" s="1607"/>
      <c r="AH26" s="1607"/>
      <c r="AI26" s="1093">
        <f>AI23*AI25</f>
        <v>0</v>
      </c>
      <c r="AJ26" s="1607"/>
      <c r="AK26" s="1607"/>
      <c r="AL26" s="1607"/>
      <c r="AM26" s="1607"/>
    </row>
    <row r="27" spans="1:39" ht="13.2"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2"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3">
        <f>IF(ISERROR((T26*T27)),0,(T26*T27))</f>
        <v>26401233.300000001</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3.2" customHeight="1">
      <c r="B29" s="1104" t="s">
        <v>623</v>
      </c>
      <c r="C29" s="1105"/>
      <c r="D29" s="1105"/>
      <c r="E29" s="1105"/>
      <c r="F29" s="1105"/>
      <c r="G29" s="1105"/>
      <c r="H29" s="1105"/>
      <c r="I29" s="1105"/>
      <c r="J29" s="1105"/>
      <c r="K29" s="1105"/>
      <c r="L29" s="1105"/>
      <c r="M29" s="1105"/>
      <c r="N29" s="1105"/>
      <c r="O29" s="1105"/>
      <c r="P29" s="1105"/>
      <c r="Q29" s="1105"/>
      <c r="R29" s="1105"/>
      <c r="S29" s="1107"/>
      <c r="T29" s="1596">
        <f>T28+Y28+AD28+AI28</f>
        <v>26401233.300000001</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2" customHeight="1">
      <c r="B30" s="1609" t="s">
        <v>1908</v>
      </c>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row>
    <row r="31" spans="1:39" ht="13.2" customHeight="1">
      <c r="B31" s="1591" t="s">
        <v>1910</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3.2" customHeight="1">
      <c r="C33" s="4"/>
      <c r="X33" s="62"/>
      <c r="Y33" s="181"/>
      <c r="Z33" s="181"/>
      <c r="AA33" s="181"/>
      <c r="AB33" s="181"/>
      <c r="AC33" s="181"/>
      <c r="AD33" s="181"/>
      <c r="AE33" s="181"/>
      <c r="AF33" s="181"/>
      <c r="AG33" s="181"/>
      <c r="AH33" s="181"/>
    </row>
    <row r="34" spans="1:44" ht="13.2" customHeight="1">
      <c r="A34" s="3" t="s">
        <v>8</v>
      </c>
      <c r="C34" s="3" t="s">
        <v>207</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7" t="s">
        <v>41</v>
      </c>
      <c r="AE35" s="1227"/>
      <c r="AF35" s="1227"/>
      <c r="AG35" s="1227"/>
      <c r="AH35" s="1227"/>
    </row>
    <row r="36" spans="1:44" ht="13.2" customHeight="1">
      <c r="B36" s="204"/>
      <c r="X36" s="71"/>
      <c r="Y36" s="1598"/>
      <c r="Z36" s="1598"/>
      <c r="AA36" s="1598"/>
      <c r="AB36" s="1598"/>
      <c r="AC36" s="1598"/>
      <c r="AD36" s="1227"/>
      <c r="AE36" s="1227"/>
      <c r="AF36" s="1227"/>
      <c r="AG36" s="1227"/>
      <c r="AH36" s="1227"/>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7"/>
      <c r="AE37" s="1227"/>
      <c r="AF37" s="1227"/>
      <c r="AG37" s="1227"/>
      <c r="AH37" s="1227"/>
    </row>
    <row r="38" spans="1:44" ht="13.2"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26401233.300000001</v>
      </c>
      <c r="Z38" s="1296"/>
      <c r="AA38" s="1296"/>
      <c r="AB38" s="1296"/>
      <c r="AC38" s="1296"/>
      <c r="AD38" s="1296">
        <f>IF(T24&gt;=(T23+Y23+AD23+AI23),AD28+AI28,0)</f>
        <v>0</v>
      </c>
      <c r="AE38" s="1296"/>
      <c r="AF38" s="1296"/>
      <c r="AG38" s="1296"/>
      <c r="AH38" s="1296"/>
    </row>
    <row r="39" spans="1:44" ht="13.2" customHeight="1">
      <c r="B39" s="1104" t="s">
        <v>1817</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4">
        <v>0.09</v>
      </c>
      <c r="Z39" s="1594"/>
      <c r="AA39" s="1594"/>
      <c r="AB39" s="1594"/>
      <c r="AC39" s="1594"/>
      <c r="AD39" s="1594">
        <v>0.04</v>
      </c>
      <c r="AE39" s="1594"/>
      <c r="AF39" s="1594"/>
      <c r="AG39" s="1594"/>
      <c r="AH39" s="1594"/>
    </row>
    <row r="40" spans="1:44" ht="13.2"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2376111</v>
      </c>
      <c r="Z40" s="1296"/>
      <c r="AA40" s="1296"/>
      <c r="AB40" s="1296"/>
      <c r="AC40" s="1296"/>
      <c r="AD40" s="1595">
        <f>ROUND(AD38*AD39,0)</f>
        <v>0</v>
      </c>
      <c r="AE40" s="1296"/>
      <c r="AF40" s="1296"/>
      <c r="AG40" s="1296"/>
      <c r="AH40" s="1296"/>
    </row>
    <row r="41" spans="1:44" ht="13.2"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6">
        <f>IF(Application!Y211="No",'Basis &amp; Credits'!AR42,AR43)</f>
        <v>2376111</v>
      </c>
      <c r="Z41" s="1597"/>
      <c r="AA41" s="1597"/>
      <c r="AB41" s="1597"/>
      <c r="AC41" s="1597"/>
      <c r="AD41" s="1597"/>
      <c r="AE41" s="1597"/>
      <c r="AF41" s="1597"/>
      <c r="AG41" s="1597"/>
      <c r="AH41" s="1595"/>
    </row>
    <row r="42" spans="1:44" ht="13.2" customHeight="1">
      <c r="A42" s="3"/>
      <c r="B42" s="1606" t="s">
        <v>1818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2376111</v>
      </c>
    </row>
    <row r="43" spans="1:44" ht="13.2"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2376111</v>
      </c>
    </row>
    <row r="44" spans="1:44" ht="13.2"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2" customHeight="1">
      <c r="A45" s="3" t="s">
        <v>119</v>
      </c>
      <c r="C45" s="3" t="s">
        <v>253</v>
      </c>
    </row>
    <row r="46" spans="1:44" ht="13.2" customHeight="1">
      <c r="D46" s="3" t="s">
        <v>254</v>
      </c>
      <c r="AB46" s="1228">
        <f>'Sources and Uses Budget'!B104-(MAX(IF('Sources and Uses Budget'!B15="",0,'Sources and Uses Budget'!B15),IF(Application!AG387="",0,Application!AG387)))</f>
        <v>35101874</v>
      </c>
      <c r="AC46" s="1229"/>
      <c r="AD46" s="1229"/>
      <c r="AE46" s="1229"/>
      <c r="AF46" s="1230"/>
    </row>
    <row r="47" spans="1:44" ht="13.2" customHeight="1">
      <c r="D47" s="3" t="s">
        <v>837</v>
      </c>
      <c r="AB47" s="1228">
        <f>Application!AO633-MAX(IF('Sources and Uses Budget'!B15="",0,'Sources and Uses Budget'!B15),IF(Application!AG387="",0,Application!AG387))</f>
        <v>13664264</v>
      </c>
      <c r="AC47" s="1229"/>
      <c r="AD47" s="1229"/>
      <c r="AE47" s="1229"/>
      <c r="AF47" s="1230"/>
    </row>
    <row r="48" spans="1:44" ht="13.2" customHeight="1">
      <c r="D48" s="3" t="s">
        <v>379</v>
      </c>
      <c r="AB48" s="1228">
        <f>AB46-AB47</f>
        <v>21437610</v>
      </c>
      <c r="AC48" s="1229"/>
      <c r="AD48" s="1229"/>
      <c r="AE48" s="1229"/>
      <c r="AF48" s="1230"/>
    </row>
    <row r="49" spans="1:40" ht="13.2" customHeight="1">
      <c r="D49" s="3" t="s">
        <v>872</v>
      </c>
      <c r="AA49" s="34"/>
      <c r="AB49" s="1601">
        <f>AB48/(Y41*10)</f>
        <v>0.90221416423727674</v>
      </c>
      <c r="AC49" s="1602"/>
      <c r="AD49" s="1602"/>
      <c r="AE49" s="1602"/>
      <c r="AF49" s="1603"/>
    </row>
    <row r="50" spans="1:40" s="323" customFormat="1" ht="13.2" customHeight="1">
      <c r="A50"/>
      <c r="B50"/>
      <c r="C50"/>
      <c r="D50"/>
      <c r="E50" s="1608" t="s">
        <v>1954</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2"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228">
        <f>ROUND(IF(ISERROR((AB48/AB49)),0,(AB48/AB49)),0)</f>
        <v>23761110</v>
      </c>
      <c r="AC53" s="1229"/>
      <c r="AD53" s="1229"/>
      <c r="AE53" s="1229"/>
      <c r="AF53" s="1230"/>
    </row>
    <row r="54" spans="1:40" ht="13.2" customHeight="1">
      <c r="D54" s="3" t="s">
        <v>561</v>
      </c>
      <c r="AB54" s="1228">
        <f>(AB53/10)</f>
        <v>2376111</v>
      </c>
      <c r="AC54" s="1229"/>
      <c r="AD54" s="1229"/>
      <c r="AE54" s="1229"/>
      <c r="AF54" s="1230"/>
    </row>
    <row r="55" spans="1:40" ht="13.2" customHeight="1">
      <c r="D55" s="3" t="s">
        <v>342</v>
      </c>
      <c r="AB55" s="1228">
        <f>(IF((Y41&lt;AB54),Y41,AB54))</f>
        <v>2376111</v>
      </c>
      <c r="AC55" s="1229"/>
      <c r="AD55" s="1229"/>
      <c r="AE55" s="1229"/>
      <c r="AF55" s="1230"/>
    </row>
    <row r="56" spans="1:40" ht="13.2" customHeight="1">
      <c r="D56" s="3" t="s">
        <v>107</v>
      </c>
      <c r="AB56" s="1228">
        <f>ROUND((10*AB55*AB49),0)</f>
        <v>21437610</v>
      </c>
      <c r="AC56" s="1229"/>
      <c r="AD56" s="1229"/>
      <c r="AE56" s="1229"/>
      <c r="AF56" s="1230"/>
    </row>
    <row r="57" spans="1:40" ht="13.2" customHeight="1">
      <c r="D57" s="3"/>
      <c r="AB57" s="276"/>
      <c r="AC57" s="276"/>
      <c r="AD57" s="276"/>
      <c r="AE57" s="276"/>
      <c r="AF57" s="276"/>
    </row>
    <row r="58" spans="1:40" ht="13.2" customHeight="1">
      <c r="D58" s="3" t="s">
        <v>106</v>
      </c>
      <c r="AB58" s="1300">
        <f>AB48-AB56</f>
        <v>0</v>
      </c>
      <c r="AC58" s="1300"/>
      <c r="AD58" s="1300"/>
      <c r="AE58" s="1300"/>
      <c r="AF58" s="1300"/>
    </row>
    <row r="59" spans="1:40" ht="13.2" customHeight="1">
      <c r="D59" s="3"/>
      <c r="F59" s="16" t="str">
        <f>IF(AB58&gt;0,"FUNDING GAP MUST NOT EXCEED ZERO UNLESS REQUESTING STATE CREDITS","")</f>
        <v/>
      </c>
      <c r="G59" s="16"/>
      <c r="N59" s="16"/>
      <c r="AB59" s="276"/>
      <c r="AC59" s="276"/>
      <c r="AD59" s="276"/>
      <c r="AE59" s="276"/>
      <c r="AF59" s="276"/>
    </row>
    <row r="60" spans="1:40" ht="13.2"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2"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2" customHeight="1">
      <c r="A62" s="3" t="s">
        <v>122</v>
      </c>
      <c r="C62" s="3" t="s">
        <v>510</v>
      </c>
      <c r="Y62" s="1545" t="s">
        <v>298</v>
      </c>
      <c r="Z62" s="1545"/>
      <c r="AA62" s="1545"/>
      <c r="AB62" s="1545"/>
      <c r="AC62" s="1545"/>
      <c r="AD62" s="1545" t="s">
        <v>41</v>
      </c>
      <c r="AE62" s="1545"/>
      <c r="AF62" s="1545"/>
      <c r="AG62" s="1545"/>
      <c r="AH62" s="1545"/>
    </row>
    <row r="63" spans="1:40" ht="13.2"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0</v>
      </c>
      <c r="Z63" s="1604"/>
      <c r="AA63" s="1604"/>
      <c r="AB63" s="1604"/>
      <c r="AC63" s="1604"/>
      <c r="AD63" s="1296">
        <f>IF(AND(T25=1.3,Application!D214="At-Risk"),AI28,IF(Application!D214&lt;&gt;"At-Risk",0,AD28))</f>
        <v>0</v>
      </c>
      <c r="AE63" s="1604"/>
      <c r="AF63" s="1604"/>
      <c r="AG63" s="1604"/>
      <c r="AH63" s="1604"/>
    </row>
    <row r="64" spans="1:40" ht="13.2"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2"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3.2" customHeight="1">
      <c r="C67" s="3"/>
      <c r="D67" s="3" t="s">
        <v>941</v>
      </c>
      <c r="Y67" s="1296">
        <f>ROUND(Y63*Y66,0)</f>
        <v>0</v>
      </c>
      <c r="Z67" s="1604"/>
      <c r="AA67" s="1604"/>
      <c r="AB67" s="1604"/>
      <c r="AC67" s="1604"/>
      <c r="AD67" s="1296" t="str">
        <f>IF(OR(Application!D211="At-Risk",Application!D211="At-Risk/Located in Rural Census Tract",Application!D214="At-Risk"),ROUND(AD63*AD66,0),"$0")</f>
        <v>$0</v>
      </c>
      <c r="AE67" s="1296"/>
      <c r="AF67" s="1296"/>
      <c r="AG67" s="1296"/>
      <c r="AH67" s="1296"/>
    </row>
    <row r="68" spans="1:34" ht="13.2"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2"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2" customHeight="1">
      <c r="A70" s="3"/>
      <c r="C70" s="3"/>
      <c r="D70" s="3" t="s">
        <v>873</v>
      </c>
      <c r="AB70" s="1601"/>
      <c r="AC70" s="1602"/>
      <c r="AD70" s="1602"/>
      <c r="AE70" s="1602"/>
      <c r="AF70" s="1603"/>
    </row>
    <row r="71" spans="1:34" ht="13.2" customHeight="1">
      <c r="A71" s="3"/>
      <c r="C71" s="3"/>
      <c r="D71" s="3"/>
      <c r="E71" s="1605" t="s">
        <v>2252</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2"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2"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104</v>
      </c>
      <c r="AB75" s="1277">
        <f>ROUND(IF(ISERROR((AB58/AB70)),0,(AB58/AB70)),0)</f>
        <v>0</v>
      </c>
      <c r="AC75" s="1277"/>
      <c r="AD75" s="1277"/>
      <c r="AE75" s="1277"/>
      <c r="AF75" s="1277"/>
    </row>
    <row r="76" spans="1:34" ht="13.2" customHeight="1">
      <c r="C76" s="3"/>
      <c r="D76" s="3" t="s">
        <v>105</v>
      </c>
      <c r="AB76" s="1177">
        <f>IF((Y67+AD67&lt;AB75),Y67+AD67,AB75)</f>
        <v>0</v>
      </c>
      <c r="AC76" s="1178"/>
      <c r="AD76" s="1178"/>
      <c r="AE76" s="1178"/>
      <c r="AF76" s="1179"/>
    </row>
    <row r="77" spans="1:34" ht="13.2" customHeight="1">
      <c r="C77" s="3"/>
      <c r="D77" s="3" t="s">
        <v>942</v>
      </c>
      <c r="AB77" s="1599">
        <f>AB76*AB70</f>
        <v>0</v>
      </c>
      <c r="AC77" s="1599"/>
      <c r="AD77" s="1599"/>
      <c r="AE77" s="1599"/>
      <c r="AF77" s="1599"/>
    </row>
    <row r="78" spans="1:34" ht="13.2" customHeight="1">
      <c r="C78" s="3"/>
      <c r="D78" s="3"/>
      <c r="AB78" s="598"/>
      <c r="AC78" s="598"/>
      <c r="AD78" s="598"/>
      <c r="AE78" s="598"/>
      <c r="AF78" s="598"/>
    </row>
    <row r="79" spans="1:34" ht="13.2" customHeight="1">
      <c r="D79" s="3" t="s">
        <v>106</v>
      </c>
      <c r="AB79" s="1300">
        <f>AB48-(AB56+AB77)</f>
        <v>0</v>
      </c>
      <c r="AC79" s="1300"/>
      <c r="AD79" s="1300"/>
      <c r="AE79" s="1300"/>
      <c r="AF79" s="1300"/>
    </row>
    <row r="80" spans="1:34" ht="13.2" customHeight="1">
      <c r="F80" s="16"/>
      <c r="J80" s="16" t="str">
        <f>IF(AB79&gt;0,"FUNDING GAP MUST NOT EXCEED ZERO","")</f>
        <v/>
      </c>
    </row>
    <row r="81" spans="4:4" ht="13.2"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6640625" defaultRowHeight="12" zeroHeight="1"/>
  <cols>
    <col min="1" max="1" width="32.44140625" style="483" customWidth="1"/>
    <col min="2" max="3" width="12.33203125" style="481" customWidth="1"/>
    <col min="4" max="6" width="12.6640625" style="481" customWidth="1"/>
    <col min="7" max="7" width="13.44140625" style="481" customWidth="1"/>
    <col min="8" max="9" width="12.33203125" style="481" customWidth="1"/>
    <col min="10" max="10" width="12.33203125" style="575" customWidth="1"/>
    <col min="11" max="11" width="7" style="581" customWidth="1"/>
    <col min="12" max="16384" width="8.6640625" style="481"/>
  </cols>
  <sheetData>
    <row r="1" spans="1:11" s="352" customFormat="1" ht="13.2">
      <c r="A1" s="1642" t="s">
        <v>1825</v>
      </c>
      <c r="B1" s="1643"/>
      <c r="C1" s="1643"/>
      <c r="D1" s="1643"/>
      <c r="E1" s="1643"/>
      <c r="F1" s="1643"/>
      <c r="G1" s="1643"/>
      <c r="H1" s="1643"/>
      <c r="I1" s="1643"/>
      <c r="J1" s="1644"/>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ht="11.4">
      <c r="A3" s="235" t="s">
        <v>343</v>
      </c>
      <c r="B3" s="583"/>
      <c r="C3" s="583"/>
      <c r="D3" s="583"/>
      <c r="E3" s="583"/>
      <c r="F3" s="583"/>
      <c r="G3" s="583"/>
      <c r="H3" s="583"/>
      <c r="I3" s="583"/>
      <c r="J3" s="583"/>
      <c r="K3" s="579"/>
    </row>
    <row r="4" spans="1:11" s="253" customFormat="1" ht="13.2">
      <c r="A4" s="300" t="s">
        <v>67</v>
      </c>
      <c r="B4" s="584">
        <f>'Sources and Uses Budget'!C4</f>
        <v>2070000</v>
      </c>
      <c r="C4" s="585"/>
      <c r="D4" s="585"/>
      <c r="E4" s="586"/>
      <c r="F4" s="586"/>
      <c r="G4" s="586"/>
      <c r="H4" s="586"/>
      <c r="I4" s="586"/>
      <c r="J4" s="586"/>
      <c r="K4" s="579"/>
    </row>
    <row r="5" spans="1:11" s="253" customFormat="1" ht="13.2">
      <c r="A5" s="300" t="s">
        <v>68</v>
      </c>
      <c r="B5" s="584">
        <f>'Sources and Uses Budget'!C5</f>
        <v>145000</v>
      </c>
      <c r="C5" s="585"/>
      <c r="D5" s="585"/>
      <c r="E5" s="586"/>
      <c r="F5" s="586"/>
      <c r="G5" s="586"/>
      <c r="H5" s="586"/>
      <c r="I5" s="586"/>
      <c r="J5" s="586"/>
      <c r="K5" s="579"/>
    </row>
    <row r="6" spans="1:11" s="253" customFormat="1" ht="11.4">
      <c r="A6" s="239" t="s">
        <v>344</v>
      </c>
      <c r="B6" s="584">
        <f>'Sources and Uses Budget'!C6</f>
        <v>25000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2240000</v>
      </c>
      <c r="C8" s="584">
        <f>SUM(C4:C7)</f>
        <v>0</v>
      </c>
      <c r="D8" s="584">
        <f>SUM(D4:D7)</f>
        <v>0</v>
      </c>
      <c r="E8" s="586"/>
      <c r="F8" s="586"/>
      <c r="G8" s="586"/>
      <c r="H8" s="586"/>
      <c r="I8" s="586"/>
      <c r="J8" s="586"/>
      <c r="K8" s="579"/>
    </row>
    <row r="9" spans="1:11" s="253" customFormat="1" ht="11.4">
      <c r="A9" s="239" t="s">
        <v>1721</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153797</v>
      </c>
      <c r="C10" s="585"/>
      <c r="D10" s="585"/>
      <c r="E10" s="584">
        <f>'Sources and Uses Budget'!S10</f>
        <v>153797</v>
      </c>
      <c r="F10" s="585"/>
      <c r="G10" s="585"/>
      <c r="H10" s="584">
        <f>'Sources and Uses Budget'!T10</f>
        <v>0</v>
      </c>
      <c r="I10" s="585"/>
      <c r="J10" s="585"/>
      <c r="K10" s="579"/>
    </row>
    <row r="11" spans="1:11" s="253" customFormat="1">
      <c r="A11" s="243" t="s">
        <v>586</v>
      </c>
      <c r="B11" s="584">
        <f>'Sources and Uses Budget'!C11</f>
        <v>153797</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2393797</v>
      </c>
      <c r="C12" s="584">
        <f>SUM(C8+C11)</f>
        <v>0</v>
      </c>
      <c r="D12" s="584">
        <f>SUM(D8+D11)</f>
        <v>0</v>
      </c>
      <c r="E12" s="586"/>
      <c r="F12" s="586"/>
      <c r="G12" s="586"/>
      <c r="H12" s="586"/>
      <c r="I12" s="586"/>
      <c r="J12" s="586"/>
      <c r="K12" s="579"/>
    </row>
    <row r="13" spans="1:11" s="253" customFormat="1" ht="11.4">
      <c r="A13" s="456" t="s">
        <v>1110</v>
      </c>
      <c r="B13" s="584">
        <f>'Sources and Uses Budget'!C13</f>
        <v>573468</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75000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908138</v>
      </c>
      <c r="C28" s="585"/>
      <c r="D28" s="585"/>
      <c r="E28" s="584">
        <f>'Sources and Uses Budget'!S29</f>
        <v>688128</v>
      </c>
      <c r="F28" s="585"/>
      <c r="G28" s="585"/>
      <c r="H28" s="584">
        <f>'Sources and Uses Budget'!T29</f>
        <v>0</v>
      </c>
      <c r="I28" s="585"/>
      <c r="J28" s="585"/>
      <c r="K28" s="579"/>
    </row>
    <row r="29" spans="1:11" s="253" customFormat="1" ht="11.4">
      <c r="A29" s="239" t="s">
        <v>911</v>
      </c>
      <c r="B29" s="584">
        <f>'Sources and Uses Budget'!C30</f>
        <v>15231019</v>
      </c>
      <c r="C29" s="585"/>
      <c r="D29" s="585"/>
      <c r="E29" s="584">
        <f>'Sources and Uses Budget'!S30</f>
        <v>15231019</v>
      </c>
      <c r="F29" s="585"/>
      <c r="G29" s="585"/>
      <c r="H29" s="584">
        <f>'Sources and Uses Budget'!T30</f>
        <v>0</v>
      </c>
      <c r="I29" s="585"/>
      <c r="J29" s="585"/>
      <c r="K29" s="579"/>
    </row>
    <row r="30" spans="1:11" s="253" customFormat="1" ht="11.4">
      <c r="A30" s="239" t="s">
        <v>912</v>
      </c>
      <c r="B30" s="584">
        <f>'Sources and Uses Budget'!C31</f>
        <v>1092914</v>
      </c>
      <c r="C30" s="585"/>
      <c r="D30" s="585"/>
      <c r="E30" s="584">
        <f>'Sources and Uses Budget'!S31</f>
        <v>1092914</v>
      </c>
      <c r="F30" s="585"/>
      <c r="G30" s="585"/>
      <c r="H30" s="584">
        <f>'Sources and Uses Budget'!T31</f>
        <v>0</v>
      </c>
      <c r="I30" s="585"/>
      <c r="J30" s="585"/>
      <c r="K30" s="579"/>
    </row>
    <row r="31" spans="1:11" s="253" customFormat="1" ht="11.4">
      <c r="A31" s="239" t="s">
        <v>913</v>
      </c>
      <c r="B31" s="584">
        <f>'Sources and Uses Budget'!C32</f>
        <v>630505</v>
      </c>
      <c r="C31" s="585"/>
      <c r="D31" s="585"/>
      <c r="E31" s="584">
        <f>'Sources and Uses Budget'!S32</f>
        <v>630505</v>
      </c>
      <c r="F31" s="585"/>
      <c r="G31" s="585"/>
      <c r="H31" s="584">
        <f>'Sources and Uses Budget'!T32</f>
        <v>0</v>
      </c>
      <c r="I31" s="585"/>
      <c r="J31" s="585"/>
      <c r="K31" s="579"/>
    </row>
    <row r="32" spans="1:11" s="253" customFormat="1" ht="11.4">
      <c r="A32" s="239" t="s">
        <v>914</v>
      </c>
      <c r="B32" s="584">
        <f>'Sources and Uses Budget'!C33</f>
        <v>630505</v>
      </c>
      <c r="C32" s="585"/>
      <c r="D32" s="585"/>
      <c r="E32" s="584">
        <f>'Sources and Uses Budget'!S33</f>
        <v>630505</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266814</v>
      </c>
      <c r="C34" s="585"/>
      <c r="D34" s="585"/>
      <c r="E34" s="584">
        <f>'Sources and Uses Budget'!S35</f>
        <v>266814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Bond Premium</v>
      </c>
      <c r="B36" s="584">
        <f>'Sources and Uses Budget'!C37</f>
        <v>284720</v>
      </c>
      <c r="C36" s="585"/>
      <c r="D36" s="585"/>
      <c r="E36" s="584">
        <f>'Sources and Uses Budget'!S37</f>
        <v>284720</v>
      </c>
      <c r="F36" s="585"/>
      <c r="G36" s="585"/>
      <c r="H36" s="584">
        <f>'Sources and Uses Budget'!T37</f>
        <v>0</v>
      </c>
      <c r="I36" s="585"/>
      <c r="J36" s="585"/>
      <c r="K36" s="579"/>
    </row>
    <row r="37" spans="1:11" s="253" customFormat="1">
      <c r="A37" s="243" t="s">
        <v>919</v>
      </c>
      <c r="B37" s="584">
        <f>'Sources and Uses Budget'!C38</f>
        <v>19044615</v>
      </c>
      <c r="C37" s="584">
        <f>SUM(C28:C36)</f>
        <v>0</v>
      </c>
      <c r="D37" s="584">
        <f>SUM(D28:D36)</f>
        <v>0</v>
      </c>
      <c r="E37" s="584">
        <f>'Sources and Uses Budget'!S38</f>
        <v>18824605</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751000</v>
      </c>
      <c r="C39" s="585"/>
      <c r="D39" s="585"/>
      <c r="E39" s="584">
        <f>'Sources and Uses Budget'!S40</f>
        <v>751000</v>
      </c>
      <c r="F39" s="585"/>
      <c r="G39" s="585"/>
      <c r="H39" s="584">
        <f>'Sources and Uses Budget'!T40</f>
        <v>0</v>
      </c>
      <c r="I39" s="585"/>
      <c r="J39" s="585"/>
      <c r="K39" s="579"/>
    </row>
    <row r="40" spans="1:11" s="253" customFormat="1" ht="11.4">
      <c r="A40" s="239" t="s">
        <v>922</v>
      </c>
      <c r="B40" s="584">
        <f>'Sources and Uses Budget'!C41</f>
        <v>260000</v>
      </c>
      <c r="C40" s="585"/>
      <c r="D40" s="585"/>
      <c r="E40" s="584">
        <f>'Sources and Uses Budget'!S41</f>
        <v>260000</v>
      </c>
      <c r="F40" s="585"/>
      <c r="G40" s="585"/>
      <c r="H40" s="584">
        <f>'Sources and Uses Budget'!T41</f>
        <v>0</v>
      </c>
      <c r="I40" s="585"/>
      <c r="J40" s="585"/>
      <c r="K40" s="579"/>
    </row>
    <row r="41" spans="1:11" s="253" customFormat="1">
      <c r="A41" s="243" t="s">
        <v>923</v>
      </c>
      <c r="B41" s="584">
        <f>'Sources and Uses Budget'!C42</f>
        <v>1011000</v>
      </c>
      <c r="C41" s="584">
        <f>SUM(C38:C40)</f>
        <v>0</v>
      </c>
      <c r="D41" s="584">
        <f>SUM(D38:D40)</f>
        <v>0</v>
      </c>
      <c r="E41" s="584">
        <f>'Sources and Uses Budget'!S42</f>
        <v>1011000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486400</v>
      </c>
      <c r="C42" s="585"/>
      <c r="D42" s="585"/>
      <c r="E42" s="584">
        <f>'Sources and Uses Budget'!S43</f>
        <v>486400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3298926</v>
      </c>
      <c r="C44" s="585"/>
      <c r="D44" s="585"/>
      <c r="E44" s="584">
        <f>'Sources and Uses Budget'!S45</f>
        <v>1768102</v>
      </c>
      <c r="F44" s="585"/>
      <c r="G44" s="585"/>
      <c r="H44" s="584">
        <f>'Sources and Uses Budget'!T45</f>
        <v>0</v>
      </c>
      <c r="I44" s="585"/>
      <c r="J44" s="585"/>
      <c r="K44" s="579"/>
    </row>
    <row r="45" spans="1:11" s="253" customFormat="1" ht="11.4">
      <c r="A45" s="239" t="s">
        <v>927</v>
      </c>
      <c r="B45" s="584">
        <f>'Sources and Uses Budget'!C46</f>
        <v>164999</v>
      </c>
      <c r="C45" s="585"/>
      <c r="D45" s="585"/>
      <c r="E45" s="584">
        <f>'Sources and Uses Budget'!S46</f>
        <v>88433</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15000</v>
      </c>
      <c r="C47" s="585"/>
      <c r="D47" s="585"/>
      <c r="E47" s="584">
        <f>'Sources and Uses Budget'!S48</f>
        <v>15000</v>
      </c>
      <c r="F47" s="585"/>
      <c r="G47" s="585"/>
      <c r="H47" s="584">
        <f>'Sources and Uses Budget'!T48</f>
        <v>0</v>
      </c>
      <c r="I47" s="585"/>
      <c r="J47" s="585"/>
      <c r="K47" s="579"/>
    </row>
    <row r="48" spans="1:11" s="253" customFormat="1" ht="11.4">
      <c r="A48" s="239" t="s">
        <v>932</v>
      </c>
      <c r="B48" s="584">
        <f>'Sources and Uses Budget'!C49</f>
        <v>105000</v>
      </c>
      <c r="C48" s="585"/>
      <c r="D48" s="585"/>
      <c r="E48" s="584">
        <f>'Sources and Uses Budget'!S49</f>
        <v>105000</v>
      </c>
      <c r="F48" s="585"/>
      <c r="G48" s="585"/>
      <c r="H48" s="584">
        <f>'Sources and Uses Budget'!T49</f>
        <v>0</v>
      </c>
      <c r="I48" s="585"/>
      <c r="J48" s="585"/>
      <c r="K48" s="579"/>
    </row>
    <row r="49" spans="1:11" s="253" customFormat="1" ht="11.4">
      <c r="A49" s="239" t="s">
        <v>930</v>
      </c>
      <c r="B49" s="584">
        <f>'Sources and Uses Budget'!C50</f>
        <v>183125</v>
      </c>
      <c r="C49" s="585"/>
      <c r="D49" s="585"/>
      <c r="E49" s="584">
        <f>'Sources and Uses Budget'!S50</f>
        <v>183125</v>
      </c>
      <c r="F49" s="585"/>
      <c r="G49" s="585"/>
      <c r="H49" s="584">
        <f>'Sources and Uses Budget'!T50</f>
        <v>0</v>
      </c>
      <c r="I49" s="585"/>
      <c r="J49" s="585"/>
      <c r="K49" s="579"/>
    </row>
    <row r="50" spans="1:11" s="253" customFormat="1" ht="11.4">
      <c r="A50" s="239" t="s">
        <v>931</v>
      </c>
      <c r="B50" s="584">
        <f>'Sources and Uses Budget'!C51</f>
        <v>390000</v>
      </c>
      <c r="C50" s="585"/>
      <c r="D50" s="585"/>
      <c r="E50" s="584">
        <f>'Sources and Uses Budget'!S51</f>
        <v>390000</v>
      </c>
      <c r="F50" s="585"/>
      <c r="G50" s="585"/>
      <c r="H50" s="584">
        <f>'Sources and Uses Budget'!T51</f>
        <v>0</v>
      </c>
      <c r="I50" s="585"/>
      <c r="J50" s="585"/>
      <c r="K50" s="579"/>
    </row>
    <row r="51" spans="1:11" s="253" customFormat="1" ht="22.8">
      <c r="A51" s="239" t="str">
        <f>'Sources and Uses Budget'!$A52</f>
        <v>Other: Construction Lender Expenses, LACDA Lender Fees</v>
      </c>
      <c r="B51" s="584">
        <f>'Sources and Uses Budget'!C52</f>
        <v>68150</v>
      </c>
      <c r="C51" s="585"/>
      <c r="D51" s="585"/>
      <c r="E51" s="584">
        <f>'Sources and Uses Budget'!S52</f>
        <v>32694</v>
      </c>
      <c r="F51" s="585"/>
      <c r="G51" s="585"/>
      <c r="H51" s="584">
        <f>'Sources and Uses Budget'!T52</f>
        <v>0</v>
      </c>
      <c r="I51" s="585"/>
      <c r="J51" s="585"/>
      <c r="K51" s="579"/>
    </row>
    <row r="52" spans="1:11" s="577" customFormat="1">
      <c r="A52" s="243" t="s">
        <v>933</v>
      </c>
      <c r="B52" s="584">
        <f>'Sources and Uses Budget'!C53</f>
        <v>4225200</v>
      </c>
      <c r="C52" s="587">
        <f>SUM(C44:C51)</f>
        <v>0</v>
      </c>
      <c r="D52" s="587">
        <f>SUM(D44:D51)</f>
        <v>0</v>
      </c>
      <c r="E52" s="584">
        <f>'Sources and Uses Budget'!S53</f>
        <v>2582354</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26940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10000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Permanent Lender Expenses</v>
      </c>
      <c r="B59" s="584">
        <f>'Sources and Uses Budget'!C60</f>
        <v>10000</v>
      </c>
      <c r="C59" s="585"/>
      <c r="D59" s="585"/>
      <c r="E59" s="586"/>
      <c r="F59" s="586"/>
      <c r="G59" s="586"/>
      <c r="H59" s="586"/>
      <c r="I59" s="586"/>
      <c r="J59" s="586"/>
      <c r="K59" s="579"/>
    </row>
    <row r="60" spans="1:11" s="253" customFormat="1" ht="13.95" customHeight="1">
      <c r="A60" s="243" t="s">
        <v>501</v>
      </c>
      <c r="B60" s="584">
        <f>'Sources and Uses Budget'!C61</f>
        <v>46940</v>
      </c>
      <c r="C60" s="584">
        <f>SUM(C54:C59)</f>
        <v>0</v>
      </c>
      <c r="D60" s="584">
        <f>SUM(D54:D59)</f>
        <v>0</v>
      </c>
      <c r="E60" s="586"/>
      <c r="F60" s="586"/>
      <c r="G60" s="586"/>
      <c r="H60" s="586"/>
      <c r="I60" s="586"/>
      <c r="J60" s="586"/>
      <c r="K60" s="579"/>
    </row>
    <row r="61" spans="1:11" s="253" customFormat="1" ht="11.4">
      <c r="A61" s="249" t="s">
        <v>502</v>
      </c>
      <c r="B61" s="584">
        <f>'Sources and Uses Budget'!C62</f>
        <v>27856420</v>
      </c>
      <c r="C61" s="584">
        <f>SUM(C8+C11+C13+C14+C15+C25+C26+C37+C41+C42+C52+C60)</f>
        <v>0</v>
      </c>
      <c r="D61" s="584">
        <f>SUM(D8+D11+D13+D14+D15+D25+D26+D37+D41+D42+D52+D60)</f>
        <v>0</v>
      </c>
      <c r="E61" s="584">
        <f>'Sources and Uses Budget'!S62</f>
        <v>23058156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1956</v>
      </c>
      <c r="B62" s="583"/>
      <c r="C62" s="583"/>
      <c r="D62" s="583"/>
      <c r="E62" s="583"/>
      <c r="F62" s="583"/>
      <c r="G62" s="583"/>
      <c r="H62" s="583"/>
      <c r="I62" s="583"/>
      <c r="J62" s="583"/>
      <c r="K62" s="579"/>
    </row>
    <row r="63" spans="1:11" s="253" customFormat="1" ht="11.4">
      <c r="A63" s="239" t="s">
        <v>284</v>
      </c>
      <c r="B63" s="584">
        <f>'Sources and Uses Budget'!C64</f>
        <v>84871</v>
      </c>
      <c r="C63" s="585"/>
      <c r="D63" s="585"/>
      <c r="E63" s="584">
        <f>'Sources and Uses Budget'!S64</f>
        <v>40197</v>
      </c>
      <c r="F63" s="585"/>
      <c r="G63" s="585"/>
      <c r="H63" s="584">
        <f>'Sources and Uses Budget'!T64</f>
        <v>0</v>
      </c>
      <c r="I63" s="585"/>
      <c r="J63" s="585"/>
      <c r="K63" s="579"/>
    </row>
    <row r="64" spans="1:11" s="253" customFormat="1" ht="22.8">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Owner Transaction Legal</v>
      </c>
      <c r="B67" s="584">
        <f>'Sources and Uses Budget'!C68</f>
        <v>55000</v>
      </c>
      <c r="C67" s="585"/>
      <c r="D67" s="585"/>
      <c r="E67" s="584">
        <f>'Sources and Uses Budget'!S68</f>
        <v>50000</v>
      </c>
      <c r="F67" s="585"/>
      <c r="G67" s="585"/>
      <c r="H67" s="584">
        <f>'Sources and Uses Budget'!T68</f>
        <v>0</v>
      </c>
      <c r="I67" s="585"/>
      <c r="J67" s="585"/>
      <c r="K67" s="579"/>
    </row>
    <row r="68" spans="1:11" s="253" customFormat="1">
      <c r="A68" s="243" t="s">
        <v>1960</v>
      </c>
      <c r="B68" s="584">
        <f>'Sources and Uses Budget'!C69</f>
        <v>139871</v>
      </c>
      <c r="C68" s="584">
        <f>SUM(C62:C67)</f>
        <v>0</v>
      </c>
      <c r="D68" s="584">
        <f>SUM(D62:D67)</f>
        <v>0</v>
      </c>
      <c r="E68" s="584">
        <f>'Sources and Uses Budget'!S69</f>
        <v>90197</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449208</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449208</v>
      </c>
      <c r="C75" s="584">
        <f>SUM(C70:C74)</f>
        <v>0</v>
      </c>
      <c r="D75" s="584">
        <f>SUM(D70:D74)</f>
        <v>0</v>
      </c>
      <c r="E75" s="586"/>
      <c r="F75" s="586"/>
      <c r="G75" s="586"/>
      <c r="H75" s="586"/>
      <c r="I75" s="586"/>
      <c r="J75" s="586"/>
      <c r="K75" s="579"/>
    </row>
    <row r="76" spans="1:11" s="253" customFormat="1" ht="11.4">
      <c r="A76" s="235" t="s">
        <v>1744</v>
      </c>
      <c r="B76" s="583"/>
      <c r="C76" s="583"/>
      <c r="D76" s="583"/>
      <c r="E76" s="583"/>
      <c r="F76" s="583"/>
      <c r="G76" s="583"/>
      <c r="H76" s="583"/>
      <c r="I76" s="583"/>
      <c r="J76" s="583"/>
      <c r="K76" s="579"/>
    </row>
    <row r="77" spans="1:11" s="253" customFormat="1" ht="11.4">
      <c r="A77" s="239" t="s">
        <v>1745</v>
      </c>
      <c r="B77" s="584">
        <f>'Sources and Uses Budget'!C78</f>
        <v>1934341</v>
      </c>
      <c r="C77" s="585"/>
      <c r="D77" s="585"/>
      <c r="E77" s="584">
        <f>'Sources and Uses Budget'!S78</f>
        <v>1934341</v>
      </c>
      <c r="F77" s="585"/>
      <c r="G77" s="585"/>
      <c r="H77" s="584">
        <f>'Sources and Uses Budget'!T78</f>
        <v>0</v>
      </c>
      <c r="I77" s="585"/>
      <c r="J77" s="585"/>
      <c r="K77" s="579"/>
    </row>
    <row r="78" spans="1:11" s="253" customFormat="1" ht="11.4">
      <c r="A78" s="239" t="s">
        <v>539</v>
      </c>
      <c r="B78" s="584">
        <f>'Sources and Uses Budget'!C79</f>
        <v>216291</v>
      </c>
      <c r="C78" s="585"/>
      <c r="D78" s="585"/>
      <c r="E78" s="584">
        <f>'Sources and Uses Budget'!S79</f>
        <v>216291</v>
      </c>
      <c r="F78" s="585"/>
      <c r="G78" s="585"/>
      <c r="H78" s="584">
        <f>'Sources and Uses Budget'!T79</f>
        <v>0</v>
      </c>
      <c r="I78" s="585"/>
      <c r="J78" s="585"/>
      <c r="K78" s="579"/>
    </row>
    <row r="79" spans="1:11" s="253" customFormat="1">
      <c r="A79" s="243" t="s">
        <v>1743</v>
      </c>
      <c r="B79" s="584">
        <f>'Sources and Uses Budget'!C80</f>
        <v>2150632</v>
      </c>
      <c r="C79" s="667">
        <f>SUM(C77:C78)</f>
        <v>0</v>
      </c>
      <c r="D79" s="667">
        <f>SUM(D77:D78)</f>
        <v>0</v>
      </c>
      <c r="E79" s="584">
        <f>'Sources and Uses Budget'!S80</f>
        <v>2150632</v>
      </c>
      <c r="F79" s="667">
        <f>SUM(F77:F78)</f>
        <v>0</v>
      </c>
      <c r="G79" s="667">
        <f>SUM(G77:G78)</f>
        <v>0</v>
      </c>
      <c r="H79" s="584">
        <f>'Sources and Uses Budget'!T80</f>
        <v>0</v>
      </c>
      <c r="I79" s="667">
        <f>SUM(I77:I78)</f>
        <v>0</v>
      </c>
      <c r="J79" s="667">
        <f>SUM(J77:J78)</f>
        <v>0</v>
      </c>
      <c r="K79" s="579"/>
    </row>
    <row r="80" spans="1:11" s="253" customFormat="1" ht="11.4">
      <c r="A80" s="235" t="s">
        <v>516</v>
      </c>
      <c r="B80" s="583"/>
      <c r="C80" s="583"/>
      <c r="D80" s="583"/>
      <c r="E80" s="583"/>
      <c r="F80" s="583"/>
      <c r="G80" s="583"/>
      <c r="H80" s="583"/>
      <c r="I80" s="583"/>
      <c r="J80" s="583"/>
      <c r="K80" s="579"/>
    </row>
    <row r="81" spans="1:11" s="253" customFormat="1" ht="13.95" customHeight="1">
      <c r="A81" s="239" t="s">
        <v>2116</v>
      </c>
      <c r="B81" s="584">
        <f>'Sources and Uses Budget'!C82</f>
        <v>130444</v>
      </c>
      <c r="C81" s="585"/>
      <c r="D81" s="585"/>
      <c r="E81" s="586"/>
      <c r="F81" s="586"/>
      <c r="G81" s="586"/>
      <c r="H81" s="586"/>
      <c r="I81" s="586"/>
      <c r="J81" s="586"/>
      <c r="K81" s="579"/>
    </row>
    <row r="82" spans="1:11" s="253" customFormat="1" ht="11.4">
      <c r="A82" s="239" t="s">
        <v>517</v>
      </c>
      <c r="B82" s="584">
        <f>'Sources and Uses Budget'!C83</f>
        <v>85000</v>
      </c>
      <c r="C82" s="585"/>
      <c r="D82" s="585"/>
      <c r="E82" s="584">
        <f>'Sources and Uses Budget'!S83</f>
        <v>85000</v>
      </c>
      <c r="F82" s="585"/>
      <c r="G82" s="585"/>
      <c r="H82" s="584">
        <f>'Sources and Uses Budget'!T83</f>
        <v>0</v>
      </c>
      <c r="I82" s="585"/>
      <c r="J82" s="585"/>
      <c r="K82" s="579"/>
    </row>
    <row r="83" spans="1:11" s="253" customFormat="1" ht="11.4">
      <c r="A83" s="239" t="s">
        <v>518</v>
      </c>
      <c r="B83" s="584">
        <f>'Sources and Uses Budget'!C84</f>
        <v>342299</v>
      </c>
      <c r="C83" s="585"/>
      <c r="D83" s="585"/>
      <c r="E83" s="584">
        <f>'Sources and Uses Budget'!S84</f>
        <v>342299</v>
      </c>
      <c r="F83" s="585"/>
      <c r="G83" s="585"/>
      <c r="H83" s="584">
        <f>'Sources and Uses Budget'!T84</f>
        <v>0</v>
      </c>
      <c r="I83" s="585"/>
      <c r="J83" s="585"/>
      <c r="K83" s="579"/>
    </row>
    <row r="84" spans="1:11" s="253" customFormat="1" ht="11.4">
      <c r="A84" s="239" t="s">
        <v>519</v>
      </c>
      <c r="B84" s="584">
        <f>'Sources and Uses Budget'!C85</f>
        <v>350000</v>
      </c>
      <c r="C84" s="585"/>
      <c r="D84" s="585"/>
      <c r="E84" s="584">
        <f>'Sources and Uses Budget'!S85</f>
        <v>350000</v>
      </c>
      <c r="F84" s="585"/>
      <c r="G84" s="585"/>
      <c r="H84" s="584">
        <f>'Sources and Uses Budget'!T85</f>
        <v>0</v>
      </c>
      <c r="I84" s="585"/>
      <c r="J84" s="585"/>
      <c r="K84" s="579"/>
    </row>
    <row r="85" spans="1:11" s="253" customFormat="1" ht="11.4">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521</v>
      </c>
      <c r="B86" s="584">
        <f>'Sources and Uses Budget'!C87</f>
        <v>135000</v>
      </c>
      <c r="C86" s="585"/>
      <c r="D86" s="585"/>
      <c r="E86" s="586"/>
      <c r="F86" s="586"/>
      <c r="G86" s="586"/>
      <c r="H86" s="586"/>
      <c r="I86" s="586"/>
      <c r="J86" s="586"/>
      <c r="K86" s="579"/>
    </row>
    <row r="87" spans="1:11" s="253" customFormat="1" ht="11.4">
      <c r="A87" s="239" t="s">
        <v>522</v>
      </c>
      <c r="B87" s="584">
        <f>'Sources and Uses Budget'!C88</f>
        <v>260000</v>
      </c>
      <c r="C87" s="585"/>
      <c r="D87" s="585"/>
      <c r="E87" s="584">
        <f>'Sources and Uses Budget'!S88</f>
        <v>260000</v>
      </c>
      <c r="F87" s="585"/>
      <c r="G87" s="585"/>
      <c r="H87" s="584">
        <f>'Sources and Uses Budget'!T88</f>
        <v>0</v>
      </c>
      <c r="I87" s="585"/>
      <c r="J87" s="585"/>
      <c r="K87" s="579"/>
    </row>
    <row r="88" spans="1:11" s="253" customFormat="1" ht="11.4">
      <c r="A88" s="239" t="s">
        <v>523</v>
      </c>
      <c r="B88" s="584">
        <f>'Sources and Uses Budget'!C89</f>
        <v>13000</v>
      </c>
      <c r="C88" s="585"/>
      <c r="D88" s="585"/>
      <c r="E88" s="584">
        <f>'Sources and Uses Budget'!S89</f>
        <v>0</v>
      </c>
      <c r="F88" s="585"/>
      <c r="G88" s="585"/>
      <c r="H88" s="584">
        <f>'Sources and Uses Budget'!T89</f>
        <v>0</v>
      </c>
      <c r="I88" s="585"/>
      <c r="J88" s="585"/>
      <c r="K88" s="579"/>
    </row>
    <row r="89" spans="1:11" s="253" customFormat="1" ht="11.4">
      <c r="A89" s="239" t="s">
        <v>1315</v>
      </c>
      <c r="B89" s="584">
        <f>'Sources and Uses Budget'!C90</f>
        <v>20000</v>
      </c>
      <c r="C89" s="585"/>
      <c r="D89" s="585"/>
      <c r="E89" s="584">
        <f>'Sources and Uses Budget'!S90</f>
        <v>20000</v>
      </c>
      <c r="F89" s="585"/>
      <c r="G89" s="585"/>
      <c r="H89" s="584">
        <f>'Sources and Uses Budget'!T90</f>
        <v>0</v>
      </c>
      <c r="I89" s="585"/>
      <c r="J89" s="585"/>
      <c r="K89" s="579"/>
    </row>
    <row r="90" spans="1:11" s="253" customFormat="1" ht="11.4">
      <c r="A90" s="239" t="s">
        <v>1741</v>
      </c>
      <c r="B90" s="584">
        <f>'Sources and Uses Budget'!C91</f>
        <v>25000</v>
      </c>
      <c r="C90" s="585"/>
      <c r="D90" s="585"/>
      <c r="E90" s="584">
        <f>'Sources and Uses Budget'!S91</f>
        <v>25000</v>
      </c>
      <c r="F90" s="585"/>
      <c r="G90" s="585"/>
      <c r="H90" s="584">
        <f>'Sources and Uses Budget'!T91</f>
        <v>0</v>
      </c>
      <c r="I90" s="585"/>
      <c r="J90" s="585"/>
      <c r="K90" s="579"/>
    </row>
    <row r="91" spans="1:11" s="253" customFormat="1" ht="22.8">
      <c r="A91" s="239" t="str">
        <f>'Sources and Uses Budget'!$A92</f>
        <v>Other: 3rd-Party Constructon Mgmt, Prevailing Wage Monitoring</v>
      </c>
      <c r="B91" s="584">
        <f>'Sources and Uses Budget'!C92</f>
        <v>190000</v>
      </c>
      <c r="C91" s="585"/>
      <c r="D91" s="585"/>
      <c r="E91" s="584">
        <f>'Sources and Uses Budget'!S92</f>
        <v>190000</v>
      </c>
      <c r="F91" s="585"/>
      <c r="G91" s="585"/>
      <c r="H91" s="584">
        <f>'Sources and Uses Budget'!T92</f>
        <v>0</v>
      </c>
      <c r="I91" s="585"/>
      <c r="J91" s="585"/>
      <c r="K91" s="579"/>
    </row>
    <row r="92" spans="1:11" s="253" customFormat="1" ht="34.200000000000003">
      <c r="A92" s="239" t="str">
        <f>'Sources and Uses Budget'!$A93</f>
        <v>Other: PV/Battery, EBM/OPOS, CASp, Expeditor, Dry Utilities, Env Remediation, Relocation Consultant</v>
      </c>
      <c r="B92" s="584">
        <f>'Sources and Uses Budget'!C93</f>
        <v>230000</v>
      </c>
      <c r="C92" s="585"/>
      <c r="D92" s="585"/>
      <c r="E92" s="584">
        <f>'Sources and Uses Budget'!S93</f>
        <v>145000</v>
      </c>
      <c r="F92" s="585"/>
      <c r="G92" s="585"/>
      <c r="H92" s="584">
        <f>'Sources and Uses Budget'!T93</f>
        <v>0</v>
      </c>
      <c r="I92" s="585"/>
      <c r="J92" s="585"/>
      <c r="K92" s="579"/>
    </row>
    <row r="93" spans="1:11" s="253" customFormat="1" ht="22.8">
      <c r="A93" s="239" t="str">
        <f>'Sources and Uses Budget'!$A94</f>
        <v>Other: Utility Connection Fees, Entitlements, Lease-up Expenses</v>
      </c>
      <c r="B93" s="584">
        <f>'Sources and Uses Budget'!C94</f>
        <v>225000</v>
      </c>
      <c r="C93" s="585"/>
      <c r="D93" s="585"/>
      <c r="E93" s="584">
        <f>'Sources and Uses Budget'!S94</f>
        <v>150000</v>
      </c>
      <c r="F93" s="585"/>
      <c r="G93" s="585"/>
      <c r="H93" s="584">
        <f>'Sources and Uses Budget'!T94</f>
        <v>0</v>
      </c>
      <c r="I93" s="585"/>
      <c r="J93" s="585"/>
      <c r="K93" s="579"/>
    </row>
    <row r="94" spans="1:11" s="253" customFormat="1">
      <c r="A94" s="243" t="s">
        <v>524</v>
      </c>
      <c r="B94" s="584">
        <f>'Sources and Uses Budget'!C95</f>
        <v>2005743</v>
      </c>
      <c r="C94" s="584">
        <f>SUM(C81:C93)</f>
        <v>0</v>
      </c>
      <c r="D94" s="584">
        <f>SUM(D81:D93)</f>
        <v>0</v>
      </c>
      <c r="E94" s="584">
        <f>'Sources and Uses Budget'!S95</f>
        <v>1567299</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32601874</v>
      </c>
      <c r="C95" s="584">
        <f>SUM(C61+C68+C75+C79+C94)</f>
        <v>0</v>
      </c>
      <c r="D95" s="584">
        <f>SUM(D61+D68+D75+D79+D94)</f>
        <v>0</v>
      </c>
      <c r="E95" s="584">
        <f>'Sources and Uses Budget'!S96</f>
        <v>26866284</v>
      </c>
      <c r="F95" s="587">
        <f>SUM(+F61+F68+F79+F94)</f>
        <v>0</v>
      </c>
      <c r="G95" s="587">
        <f>SUM(+G61+G68+G79+G94)</f>
        <v>0</v>
      </c>
      <c r="H95" s="584">
        <f>'Sources and Uses Budget'!T96</f>
        <v>0</v>
      </c>
      <c r="I95" s="587">
        <f>SUM(I61+I68+I79+I94)</f>
        <v>0</v>
      </c>
      <c r="J95" s="587">
        <f>SUM(J61+J68+J79+J94)</f>
        <v>0</v>
      </c>
      <c r="K95" s="579"/>
    </row>
    <row r="96" spans="1:11" s="253" customFormat="1" ht="11.4">
      <c r="A96" s="235" t="s">
        <v>526</v>
      </c>
      <c r="B96" s="583"/>
      <c r="C96" s="583"/>
      <c r="D96" s="583"/>
      <c r="E96" s="583"/>
      <c r="F96" s="583"/>
      <c r="G96" s="583"/>
      <c r="H96" s="583"/>
      <c r="I96" s="583"/>
      <c r="J96" s="583"/>
      <c r="K96" s="579"/>
    </row>
    <row r="97" spans="1:11" s="253" customFormat="1" ht="11.4">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35101874</v>
      </c>
      <c r="C103" s="587">
        <f>SUM(C95+C102)</f>
        <v>0</v>
      </c>
      <c r="D103" s="587">
        <f>SUM(D95+D102)</f>
        <v>0</v>
      </c>
      <c r="E103" s="584">
        <f>'Sources and Uses Budget'!S104</f>
        <v>29366284</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29366284</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T704" sqref="T704:Y704"/>
    </sheetView>
  </sheetViews>
  <sheetFormatPr defaultColWidth="0" defaultRowHeight="13.2" zeroHeight="1"/>
  <cols>
    <col min="1" max="3" width="2.44140625" style="21" customWidth="1"/>
    <col min="4" max="4" width="3.33203125" style="21" customWidth="1"/>
    <col min="5" max="5" width="3.44140625" style="21" customWidth="1"/>
    <col min="6" max="6" width="2.6640625" style="21" customWidth="1"/>
    <col min="7" max="16" width="2.44140625" style="21" customWidth="1"/>
    <col min="17" max="17" width="3.3320312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3320312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33203125" style="21" hidden="1"/>
  </cols>
  <sheetData>
    <row r="1" spans="1:43" ht="15.75" customHeight="1">
      <c r="A1" s="1611" t="s">
        <v>846</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row>
    <row r="2" spans="1:43" s="5" customFormat="1" ht="12.7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3" t="s">
        <v>365</v>
      </c>
      <c r="AF4" s="1683"/>
      <c r="AG4" s="1683"/>
      <c r="AH4" s="1683"/>
      <c r="AI4" s="1683"/>
      <c r="AJ4" s="1683"/>
      <c r="AK4" s="1683"/>
      <c r="AL4" s="18"/>
      <c r="AN4" s="671"/>
    </row>
    <row r="5" spans="1:43" s="3" customFormat="1" ht="13.2"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6" t="s">
        <v>2340</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6" t="s">
        <v>1242</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124</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6" t="s">
        <v>1246</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5" t="s">
        <v>2210</v>
      </c>
      <c r="C20" s="1645"/>
      <c r="D20" s="1645"/>
      <c r="E20" s="1645"/>
      <c r="F20" s="1645"/>
      <c r="G20" s="1645"/>
      <c r="H20" s="1645"/>
      <c r="I20" s="1645"/>
      <c r="J20" s="1645"/>
      <c r="K20" s="1645"/>
      <c r="L20" s="1645"/>
      <c r="M20" s="1645"/>
      <c r="N20" s="1645"/>
      <c r="O20" s="1645"/>
      <c r="P20" s="1645"/>
      <c r="Q20" s="1645"/>
      <c r="R20" s="1645"/>
      <c r="S20" s="1645"/>
      <c r="T20" s="1645"/>
      <c r="U20" s="1645"/>
      <c r="V20" s="1645"/>
      <c r="W20" s="1645"/>
      <c r="X20" s="1645"/>
      <c r="Y20" s="1645"/>
      <c r="Z20" s="1645"/>
      <c r="AA20" s="1645"/>
      <c r="AB20" s="1645"/>
      <c r="AC20" s="1645"/>
      <c r="AD20" s="1645"/>
      <c r="AE20" s="1645"/>
      <c r="AF20" s="1645"/>
      <c r="AG20" s="1645"/>
      <c r="AH20" s="1645"/>
      <c r="AI20" s="1645"/>
      <c r="AJ20" s="1645"/>
      <c r="AK20" s="1645"/>
      <c r="AL20" s="103"/>
      <c r="AM20" s="27"/>
      <c r="AN20" s="670"/>
    </row>
    <row r="21" spans="1:42" s="5" customFormat="1" ht="12.75" customHeight="1">
      <c r="A21" s="27"/>
      <c r="B21" s="1645"/>
      <c r="C21" s="1645"/>
      <c r="D21" s="1645"/>
      <c r="E21" s="1645"/>
      <c r="F21" s="1645"/>
      <c r="G21" s="1645"/>
      <c r="H21" s="1645"/>
      <c r="I21" s="1645"/>
      <c r="J21" s="1645"/>
      <c r="K21" s="1645"/>
      <c r="L21" s="1645"/>
      <c r="M21" s="1645"/>
      <c r="N21" s="1645"/>
      <c r="O21" s="1645"/>
      <c r="P21" s="1645"/>
      <c r="Q21" s="1645"/>
      <c r="R21" s="1645"/>
      <c r="S21" s="1645"/>
      <c r="T21" s="1645"/>
      <c r="U21" s="1645"/>
      <c r="V21" s="1645"/>
      <c r="W21" s="1645"/>
      <c r="X21" s="1645"/>
      <c r="Y21" s="1645"/>
      <c r="Z21" s="1645"/>
      <c r="AA21" s="1645"/>
      <c r="AB21" s="1645"/>
      <c r="AC21" s="1645"/>
      <c r="AD21" s="1645"/>
      <c r="AE21" s="1645"/>
      <c r="AF21" s="1645"/>
      <c r="AG21" s="1645"/>
      <c r="AH21" s="1645"/>
      <c r="AI21" s="1645"/>
      <c r="AJ21" s="1645"/>
      <c r="AK21" s="1645"/>
      <c r="AL21" s="103"/>
      <c r="AM21" s="27"/>
      <c r="AN21" s="670"/>
      <c r="AP21" s="340"/>
    </row>
    <row r="22" spans="1:42" s="5" customFormat="1" ht="12.75" customHeight="1">
      <c r="A22" s="27"/>
      <c r="B22" s="1645"/>
      <c r="C22" s="1645"/>
      <c r="D22" s="1645"/>
      <c r="E22" s="1645"/>
      <c r="F22" s="1645"/>
      <c r="G22" s="1645"/>
      <c r="H22" s="1645"/>
      <c r="I22" s="1645"/>
      <c r="J22" s="1645"/>
      <c r="K22" s="1645"/>
      <c r="L22" s="1645"/>
      <c r="M22" s="1645"/>
      <c r="N22" s="1645"/>
      <c r="O22" s="1645"/>
      <c r="P22" s="1645"/>
      <c r="Q22" s="1645"/>
      <c r="R22" s="1645"/>
      <c r="S22" s="1645"/>
      <c r="T22" s="1645"/>
      <c r="U22" s="1645"/>
      <c r="V22" s="1645"/>
      <c r="W22" s="1645"/>
      <c r="X22" s="1645"/>
      <c r="Y22" s="1645"/>
      <c r="Z22" s="1645"/>
      <c r="AA22" s="1645"/>
      <c r="AB22" s="1645"/>
      <c r="AC22" s="1645"/>
      <c r="AD22" s="1645"/>
      <c r="AE22" s="1645"/>
      <c r="AF22" s="1645"/>
      <c r="AG22" s="1645"/>
      <c r="AH22" s="1645"/>
      <c r="AI22" s="1645"/>
      <c r="AJ22" s="1645"/>
      <c r="AK22" s="1645"/>
      <c r="AL22" s="103"/>
      <c r="AM22" s="27"/>
      <c r="AN22" s="670"/>
    </row>
    <row r="23" spans="1:42" s="4" customFormat="1" ht="12.75" customHeight="1">
      <c r="A23" s="27"/>
      <c r="B23" s="1645"/>
      <c r="C23" s="1645"/>
      <c r="D23" s="1645"/>
      <c r="E23" s="1645"/>
      <c r="F23" s="1645"/>
      <c r="G23" s="1645"/>
      <c r="H23" s="1645"/>
      <c r="I23" s="1645"/>
      <c r="J23" s="1645"/>
      <c r="K23" s="1645"/>
      <c r="L23" s="1645"/>
      <c r="M23" s="1645"/>
      <c r="N23" s="1645"/>
      <c r="O23" s="1645"/>
      <c r="P23" s="1645"/>
      <c r="Q23" s="1645"/>
      <c r="R23" s="1645"/>
      <c r="S23" s="1645"/>
      <c r="T23" s="1645"/>
      <c r="U23" s="1645"/>
      <c r="V23" s="1645"/>
      <c r="W23" s="1645"/>
      <c r="X23" s="1645"/>
      <c r="Y23" s="1645"/>
      <c r="Z23" s="1645"/>
      <c r="AA23" s="1645"/>
      <c r="AB23" s="1645"/>
      <c r="AC23" s="1645"/>
      <c r="AD23" s="1645"/>
      <c r="AE23" s="1645"/>
      <c r="AF23" s="1645"/>
      <c r="AG23" s="1645"/>
      <c r="AH23" s="1645"/>
      <c r="AI23" s="1645"/>
      <c r="AJ23" s="1645"/>
      <c r="AK23" s="1645"/>
      <c r="AL23" s="103"/>
      <c r="AM23" s="27"/>
      <c r="AN23" s="281"/>
    </row>
    <row r="24" spans="1:42" s="4" customFormat="1" ht="12.75" customHeight="1">
      <c r="A24" s="27"/>
      <c r="B24" s="1645"/>
      <c r="C24" s="1645"/>
      <c r="D24" s="1645"/>
      <c r="E24" s="1645"/>
      <c r="F24" s="1645"/>
      <c r="G24" s="1645"/>
      <c r="H24" s="1645"/>
      <c r="I24" s="1645"/>
      <c r="J24" s="1645"/>
      <c r="K24" s="1645"/>
      <c r="L24" s="1645"/>
      <c r="M24" s="1645"/>
      <c r="N24" s="1645"/>
      <c r="O24" s="1645"/>
      <c r="P24" s="1645"/>
      <c r="Q24" s="1645"/>
      <c r="R24" s="1645"/>
      <c r="S24" s="1645"/>
      <c r="T24" s="1645"/>
      <c r="U24" s="1645"/>
      <c r="V24" s="1645"/>
      <c r="W24" s="1645"/>
      <c r="X24" s="1645"/>
      <c r="Y24" s="1645"/>
      <c r="Z24" s="1645"/>
      <c r="AA24" s="1645"/>
      <c r="AB24" s="1645"/>
      <c r="AC24" s="1645"/>
      <c r="AD24" s="1645"/>
      <c r="AE24" s="1645"/>
      <c r="AF24" s="1645"/>
      <c r="AG24" s="1645"/>
      <c r="AH24" s="1645"/>
      <c r="AI24" s="1645"/>
      <c r="AJ24" s="1645"/>
      <c r="AK24" s="1645"/>
      <c r="AL24" s="103"/>
      <c r="AM24" s="27"/>
      <c r="AN24" s="672"/>
      <c r="AO24" s="91"/>
    </row>
    <row r="25" spans="1:42" s="4" customFormat="1" ht="12.75" customHeight="1">
      <c r="A25" s="27"/>
      <c r="B25" s="1645"/>
      <c r="C25" s="1645"/>
      <c r="D25" s="1645"/>
      <c r="E25" s="1645"/>
      <c r="F25" s="1645"/>
      <c r="G25" s="1645"/>
      <c r="H25" s="1645"/>
      <c r="I25" s="1645"/>
      <c r="J25" s="164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K25" s="1645"/>
      <c r="AL25" s="103"/>
      <c r="AM25" s="27"/>
      <c r="AN25" s="672"/>
    </row>
    <row r="26" spans="1:42" s="4" customFormat="1" ht="12.75" customHeight="1">
      <c r="A26" s="27"/>
      <c r="B26" s="1645"/>
      <c r="C26" s="1645"/>
      <c r="D26" s="1645"/>
      <c r="E26" s="1645"/>
      <c r="F26" s="1645"/>
      <c r="G26" s="1645"/>
      <c r="H26" s="1645"/>
      <c r="I26" s="1645"/>
      <c r="J26" s="164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K26" s="1645"/>
      <c r="AL26" s="103"/>
      <c r="AM26" s="27"/>
      <c r="AN26" s="281"/>
    </row>
    <row r="27" spans="1:42" s="4" customFormat="1" ht="12.75" customHeight="1">
      <c r="A27" s="27"/>
      <c r="B27" s="1645"/>
      <c r="C27" s="1645"/>
      <c r="D27" s="1645"/>
      <c r="E27" s="1645"/>
      <c r="F27" s="1645"/>
      <c r="G27" s="1645"/>
      <c r="H27" s="1645"/>
      <c r="I27" s="1645"/>
      <c r="J27" s="1645"/>
      <c r="K27" s="1645"/>
      <c r="L27" s="1645"/>
      <c r="M27" s="1645"/>
      <c r="N27" s="1645"/>
      <c r="O27" s="1645"/>
      <c r="P27" s="1645"/>
      <c r="Q27" s="1645"/>
      <c r="R27" s="1645"/>
      <c r="S27" s="1645"/>
      <c r="T27" s="1645"/>
      <c r="U27" s="1645"/>
      <c r="V27" s="1645"/>
      <c r="W27" s="1645"/>
      <c r="X27" s="1645"/>
      <c r="Y27" s="1645"/>
      <c r="Z27" s="1645"/>
      <c r="AA27" s="1645"/>
      <c r="AB27" s="1645"/>
      <c r="AC27" s="1645"/>
      <c r="AD27" s="1645"/>
      <c r="AE27" s="1645"/>
      <c r="AF27" s="1645"/>
      <c r="AG27" s="1645"/>
      <c r="AH27" s="1645"/>
      <c r="AI27" s="1645"/>
      <c r="AJ27" s="1645"/>
      <c r="AK27" s="1645"/>
      <c r="AL27" s="103"/>
      <c r="AM27" s="27"/>
      <c r="AN27" s="614"/>
    </row>
    <row r="28" spans="1:42" s="4" customFormat="1" ht="12.75" customHeight="1">
      <c r="A28" s="27"/>
      <c r="B28" s="1645"/>
      <c r="C28" s="1645"/>
      <c r="D28" s="1645"/>
      <c r="E28" s="1645"/>
      <c r="F28" s="1645"/>
      <c r="G28" s="1645"/>
      <c r="H28" s="1645"/>
      <c r="I28" s="1645"/>
      <c r="J28" s="1645"/>
      <c r="K28" s="1645"/>
      <c r="L28" s="1645"/>
      <c r="M28" s="1645"/>
      <c r="N28" s="1645"/>
      <c r="O28" s="1645"/>
      <c r="P28" s="1645"/>
      <c r="Q28" s="1645"/>
      <c r="R28" s="1645"/>
      <c r="S28" s="1645"/>
      <c r="T28" s="1645"/>
      <c r="U28" s="1645"/>
      <c r="V28" s="1645"/>
      <c r="W28" s="1645"/>
      <c r="X28" s="1645"/>
      <c r="Y28" s="1645"/>
      <c r="Z28" s="1645"/>
      <c r="AA28" s="1645"/>
      <c r="AB28" s="1645"/>
      <c r="AC28" s="1645"/>
      <c r="AD28" s="1645"/>
      <c r="AE28" s="1645"/>
      <c r="AF28" s="1645"/>
      <c r="AG28" s="1645"/>
      <c r="AH28" s="1645"/>
      <c r="AI28" s="1645"/>
      <c r="AJ28" s="1645"/>
      <c r="AK28" s="1645"/>
      <c r="AL28" s="103"/>
      <c r="AM28" s="27"/>
      <c r="AN28" s="614"/>
    </row>
    <row r="29" spans="1:42" s="4" customFormat="1" ht="31.95" customHeight="1">
      <c r="A29" s="27"/>
      <c r="B29" s="1645"/>
      <c r="C29" s="1645"/>
      <c r="D29" s="1645"/>
      <c r="E29" s="1645"/>
      <c r="F29" s="1645"/>
      <c r="G29" s="1645"/>
      <c r="H29" s="1645"/>
      <c r="I29" s="1645"/>
      <c r="J29" s="1645"/>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K29" s="1645"/>
      <c r="AL29" s="103"/>
      <c r="AM29" s="27"/>
      <c r="AN29" s="614"/>
    </row>
    <row r="30" spans="1:42" s="4" customFormat="1" ht="12.75" customHeight="1">
      <c r="A30" s="5"/>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61</v>
      </c>
      <c r="AG33" s="1691"/>
      <c r="AH33" s="1691"/>
      <c r="AI33" s="1691"/>
      <c r="AJ33" s="1691"/>
      <c r="AK33" s="1691"/>
      <c r="AL33" s="169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
        <v>2446</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6" t="s">
        <v>1248</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124</v>
      </c>
      <c r="AA40" s="179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6" t="s">
        <v>1278</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9"/>
      <c r="AM47" s="90"/>
      <c r="AN47" s="281"/>
    </row>
    <row r="48" spans="1:42" s="4" customFormat="1" ht="12.75" customHeight="1">
      <c r="A48" s="5"/>
      <c r="B48" s="42"/>
      <c r="R48" s="5"/>
      <c r="S48" s="42"/>
      <c r="AN48" s="281"/>
    </row>
    <row r="49" spans="1:46" s="4" customFormat="1" ht="12.75" customHeight="1">
      <c r="B49" s="1645" t="s">
        <v>1470</v>
      </c>
      <c r="C49" s="1645"/>
      <c r="D49" s="1645"/>
      <c r="E49" s="1645"/>
      <c r="F49" s="1645"/>
      <c r="G49" s="1645"/>
      <c r="H49" s="1645"/>
      <c r="I49" s="1645"/>
      <c r="J49" s="1645"/>
      <c r="K49" s="1645"/>
      <c r="L49" s="1645"/>
      <c r="M49" s="1645"/>
      <c r="N49" s="1645"/>
      <c r="O49" s="1645"/>
      <c r="P49" s="1645"/>
      <c r="Q49" s="1645"/>
      <c r="R49" s="1645"/>
      <c r="S49" s="1645"/>
      <c r="T49" s="1645"/>
      <c r="U49" s="1645"/>
      <c r="V49" s="1645"/>
      <c r="W49" s="1645"/>
      <c r="X49" s="1645"/>
      <c r="Y49" s="1645"/>
      <c r="Z49" s="1645"/>
      <c r="AA49" s="1645"/>
      <c r="AB49" s="1645"/>
      <c r="AC49" s="1645"/>
      <c r="AD49" s="1645"/>
      <c r="AE49" s="1645"/>
      <c r="AF49" s="1645"/>
      <c r="AG49" s="1645"/>
      <c r="AH49" s="1645"/>
      <c r="AI49" s="1645"/>
      <c r="AJ49" s="1645"/>
      <c r="AK49" s="1645"/>
      <c r="AL49" s="103"/>
      <c r="AM49" s="27"/>
      <c r="AN49" s="281"/>
    </row>
    <row r="50" spans="1:46" s="4" customFormat="1" ht="12.75" customHeight="1">
      <c r="A50" s="26"/>
      <c r="B50" s="1645"/>
      <c r="C50" s="1645"/>
      <c r="D50" s="1645"/>
      <c r="E50" s="1645"/>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1645"/>
      <c r="AB50" s="1645"/>
      <c r="AC50" s="1645"/>
      <c r="AD50" s="1645"/>
      <c r="AE50" s="1645"/>
      <c r="AF50" s="1645"/>
      <c r="AG50" s="1645"/>
      <c r="AH50" s="1645"/>
      <c r="AI50" s="1645"/>
      <c r="AJ50" s="1645"/>
      <c r="AK50" s="1645"/>
      <c r="AL50" s="103"/>
      <c r="AM50" s="27"/>
      <c r="AN50" s="281"/>
    </row>
    <row r="51" spans="1:46" s="4" customFormat="1" ht="12.75" customHeight="1">
      <c r="A51" s="26"/>
      <c r="B51" s="1645"/>
      <c r="C51" s="1645"/>
      <c r="D51" s="1645"/>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1645"/>
      <c r="AB51" s="1645"/>
      <c r="AC51" s="1645"/>
      <c r="AD51" s="1645"/>
      <c r="AE51" s="1645"/>
      <c r="AF51" s="1645"/>
      <c r="AG51" s="1645"/>
      <c r="AH51" s="1645"/>
      <c r="AI51" s="1645"/>
      <c r="AJ51" s="1645"/>
      <c r="AK51" s="1645"/>
      <c r="AL51" s="103"/>
      <c r="AM51" s="27"/>
      <c r="AN51" s="281"/>
    </row>
    <row r="52" spans="1:46" s="4" customFormat="1" ht="12.75" customHeight="1">
      <c r="A52" s="26"/>
      <c r="B52" s="1645"/>
      <c r="C52" s="1645"/>
      <c r="D52" s="1645"/>
      <c r="E52" s="1645"/>
      <c r="F52" s="1645"/>
      <c r="G52" s="1645"/>
      <c r="H52" s="1645"/>
      <c r="I52" s="1645"/>
      <c r="J52" s="1645"/>
      <c r="K52" s="1645"/>
      <c r="L52" s="1645"/>
      <c r="M52" s="1645"/>
      <c r="N52" s="1645"/>
      <c r="O52" s="1645"/>
      <c r="P52" s="1645"/>
      <c r="Q52" s="1645"/>
      <c r="R52" s="1645"/>
      <c r="S52" s="1645"/>
      <c r="T52" s="1645"/>
      <c r="U52" s="1645"/>
      <c r="V52" s="1645"/>
      <c r="W52" s="1645"/>
      <c r="X52" s="1645"/>
      <c r="Y52" s="1645"/>
      <c r="Z52" s="1645"/>
      <c r="AA52" s="1645"/>
      <c r="AB52" s="1645"/>
      <c r="AC52" s="1645"/>
      <c r="AD52" s="1645"/>
      <c r="AE52" s="1645"/>
      <c r="AF52" s="1645"/>
      <c r="AG52" s="1645"/>
      <c r="AH52" s="1645"/>
      <c r="AI52" s="1645"/>
      <c r="AJ52" s="1645"/>
      <c r="AK52" s="1645"/>
      <c r="AL52" s="103"/>
      <c r="AM52" s="27"/>
      <c r="AN52" s="281"/>
    </row>
    <row r="53" spans="1:46" s="4" customFormat="1" ht="12.75" customHeight="1">
      <c r="A53" s="26"/>
      <c r="B53" s="1645"/>
      <c r="C53" s="1645"/>
      <c r="D53" s="1645"/>
      <c r="E53" s="1645"/>
      <c r="F53" s="1645"/>
      <c r="G53" s="1645"/>
      <c r="H53" s="1645"/>
      <c r="I53" s="1645"/>
      <c r="J53" s="1645"/>
      <c r="K53" s="1645"/>
      <c r="L53" s="1645"/>
      <c r="M53" s="1645"/>
      <c r="N53" s="1645"/>
      <c r="O53" s="1645"/>
      <c r="P53" s="1645"/>
      <c r="Q53" s="1645"/>
      <c r="R53" s="1645"/>
      <c r="S53" s="1645"/>
      <c r="T53" s="1645"/>
      <c r="U53" s="1645"/>
      <c r="V53" s="1645"/>
      <c r="W53" s="1645"/>
      <c r="X53" s="1645"/>
      <c r="Y53" s="1645"/>
      <c r="Z53" s="1645"/>
      <c r="AA53" s="1645"/>
      <c r="AB53" s="1645"/>
      <c r="AC53" s="1645"/>
      <c r="AD53" s="1645"/>
      <c r="AE53" s="1645"/>
      <c r="AF53" s="1645"/>
      <c r="AG53" s="1645"/>
      <c r="AH53" s="1645"/>
      <c r="AI53" s="1645"/>
      <c r="AJ53" s="1645"/>
      <c r="AK53" s="1645"/>
      <c r="AL53" s="103"/>
      <c r="AM53" s="27"/>
      <c r="AN53" s="281"/>
    </row>
    <row r="54" spans="1:46" s="4" customFormat="1" ht="12.75" customHeight="1">
      <c r="A54" s="26"/>
      <c r="B54" s="1645"/>
      <c r="C54" s="1645"/>
      <c r="D54" s="1645"/>
      <c r="E54" s="1645"/>
      <c r="F54" s="1645"/>
      <c r="G54" s="1645"/>
      <c r="H54" s="1645"/>
      <c r="I54" s="1645"/>
      <c r="J54" s="1645"/>
      <c r="K54" s="1645"/>
      <c r="L54" s="1645"/>
      <c r="M54" s="1645"/>
      <c r="N54" s="1645"/>
      <c r="O54" s="1645"/>
      <c r="P54" s="1645"/>
      <c r="Q54" s="1645"/>
      <c r="R54" s="1645"/>
      <c r="S54" s="1645"/>
      <c r="T54" s="1645"/>
      <c r="U54" s="1645"/>
      <c r="V54" s="1645"/>
      <c r="W54" s="1645"/>
      <c r="X54" s="1645"/>
      <c r="Y54" s="1645"/>
      <c r="Z54" s="1645"/>
      <c r="AA54" s="1645"/>
      <c r="AB54" s="1645"/>
      <c r="AC54" s="1645"/>
      <c r="AD54" s="1645"/>
      <c r="AE54" s="1645"/>
      <c r="AF54" s="1645"/>
      <c r="AG54" s="1645"/>
      <c r="AH54" s="1645"/>
      <c r="AI54" s="1645"/>
      <c r="AJ54" s="1645"/>
      <c r="AK54" s="1645"/>
      <c r="AL54" s="103"/>
      <c r="AM54" s="27"/>
      <c r="AN54" s="281"/>
    </row>
    <row r="55" spans="1:46" s="4" customFormat="1" ht="33.450000000000003" customHeight="1">
      <c r="A55" s="26"/>
      <c r="B55" s="1645"/>
      <c r="C55" s="1645"/>
      <c r="D55" s="1645"/>
      <c r="E55" s="1645"/>
      <c r="F55" s="1645"/>
      <c r="G55" s="1645"/>
      <c r="H55" s="1645"/>
      <c r="I55" s="1645"/>
      <c r="J55" s="1645"/>
      <c r="K55" s="1645"/>
      <c r="L55" s="1645"/>
      <c r="M55" s="1645"/>
      <c r="N55" s="1645"/>
      <c r="O55" s="1645"/>
      <c r="P55" s="1645"/>
      <c r="Q55" s="1645"/>
      <c r="R55" s="1645"/>
      <c r="S55" s="1645"/>
      <c r="T55" s="1645"/>
      <c r="U55" s="1645"/>
      <c r="V55" s="1645"/>
      <c r="W55" s="1645"/>
      <c r="X55" s="1645"/>
      <c r="Y55" s="1645"/>
      <c r="Z55" s="1645"/>
      <c r="AA55" s="1645"/>
      <c r="AB55" s="1645"/>
      <c r="AC55" s="1645"/>
      <c r="AD55" s="1645"/>
      <c r="AE55" s="1645"/>
      <c r="AF55" s="1645"/>
      <c r="AG55" s="1645"/>
      <c r="AH55" s="1645"/>
      <c r="AI55" s="1645"/>
      <c r="AJ55" s="1645"/>
      <c r="AK55" s="164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5" t="s">
        <v>2203</v>
      </c>
      <c r="C57" s="1645"/>
      <c r="D57" s="1645"/>
      <c r="E57" s="1645"/>
      <c r="F57" s="1645"/>
      <c r="G57" s="1645"/>
      <c r="H57" s="1645"/>
      <c r="I57" s="1645"/>
      <c r="J57" s="1645"/>
      <c r="K57" s="1645"/>
      <c r="L57" s="1645"/>
      <c r="M57" s="1645"/>
      <c r="N57" s="1645"/>
      <c r="O57" s="1645"/>
      <c r="P57" s="1645"/>
      <c r="Q57" s="1645"/>
      <c r="R57" s="1645"/>
      <c r="S57" s="1645"/>
      <c r="T57" s="1645"/>
      <c r="U57" s="1645"/>
      <c r="V57" s="1645"/>
      <c r="W57" s="1645"/>
      <c r="X57" s="1645"/>
      <c r="Y57" s="1645"/>
      <c r="Z57" s="1645"/>
      <c r="AA57" s="1645"/>
      <c r="AB57" s="1645"/>
      <c r="AC57" s="1645"/>
      <c r="AD57" s="1645"/>
      <c r="AE57" s="1645"/>
      <c r="AF57" s="1645"/>
      <c r="AG57" s="1645"/>
      <c r="AH57" s="1645"/>
      <c r="AI57" s="1645"/>
      <c r="AJ57" s="1645"/>
      <c r="AK57" s="1645"/>
      <c r="AL57" s="103"/>
      <c r="AM57" s="27"/>
      <c r="AN57" s="281"/>
    </row>
    <row r="58" spans="1:46" s="4" customFormat="1" ht="12.75" customHeight="1">
      <c r="B58" s="1645"/>
      <c r="C58" s="1645"/>
      <c r="D58" s="1645"/>
      <c r="E58" s="1645"/>
      <c r="F58" s="1645"/>
      <c r="G58" s="1645"/>
      <c r="H58" s="1645"/>
      <c r="I58" s="1645"/>
      <c r="J58" s="1645"/>
      <c r="K58" s="1645"/>
      <c r="L58" s="1645"/>
      <c r="M58" s="1645"/>
      <c r="N58" s="1645"/>
      <c r="O58" s="1645"/>
      <c r="P58" s="1645"/>
      <c r="Q58" s="1645"/>
      <c r="R58" s="1645"/>
      <c r="S58" s="1645"/>
      <c r="T58" s="1645"/>
      <c r="U58" s="1645"/>
      <c r="V58" s="1645"/>
      <c r="W58" s="1645"/>
      <c r="X58" s="1645"/>
      <c r="Y58" s="1645"/>
      <c r="Z58" s="1645"/>
      <c r="AA58" s="1645"/>
      <c r="AB58" s="1645"/>
      <c r="AC58" s="1645"/>
      <c r="AD58" s="1645"/>
      <c r="AE58" s="1645"/>
      <c r="AF58" s="1645"/>
      <c r="AG58" s="1645"/>
      <c r="AH58" s="1645"/>
      <c r="AI58" s="1645"/>
      <c r="AJ58" s="1645"/>
      <c r="AK58" s="1645"/>
      <c r="AL58" s="103"/>
      <c r="AM58" s="27"/>
      <c r="AN58" s="281"/>
    </row>
    <row r="59" spans="1:46" s="4" customFormat="1" ht="22.95" customHeight="1">
      <c r="A59" s="426"/>
      <c r="B59" s="1645"/>
      <c r="C59" s="1645"/>
      <c r="D59" s="1645"/>
      <c r="E59" s="1645"/>
      <c r="F59" s="1645"/>
      <c r="G59" s="1645"/>
      <c r="H59" s="1645"/>
      <c r="I59" s="1645"/>
      <c r="J59" s="1645"/>
      <c r="K59" s="1645"/>
      <c r="L59" s="1645"/>
      <c r="M59" s="1645"/>
      <c r="N59" s="1645"/>
      <c r="O59" s="1645"/>
      <c r="P59" s="1645"/>
      <c r="Q59" s="1645"/>
      <c r="R59" s="1645"/>
      <c r="S59" s="1645"/>
      <c r="T59" s="1645"/>
      <c r="U59" s="1645"/>
      <c r="V59" s="1645"/>
      <c r="W59" s="1645"/>
      <c r="X59" s="1645"/>
      <c r="Y59" s="1645"/>
      <c r="Z59" s="1645"/>
      <c r="AA59" s="1645"/>
      <c r="AB59" s="1645"/>
      <c r="AC59" s="1645"/>
      <c r="AD59" s="1645"/>
      <c r="AE59" s="1645"/>
      <c r="AF59" s="1645"/>
      <c r="AG59" s="1645"/>
      <c r="AH59" s="1645"/>
      <c r="AI59" s="1645"/>
      <c r="AJ59" s="1645"/>
      <c r="AK59" s="164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4">
        <f>$AJ$31+$AJ$47</f>
        <v>10</v>
      </c>
      <c r="AL61" s="1715"/>
      <c r="AM61" s="17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3" t="s">
        <v>365</v>
      </c>
      <c r="AF64" s="1683"/>
      <c r="AG64" s="1683"/>
      <c r="AH64" s="1683"/>
      <c r="AI64" s="1683"/>
      <c r="AJ64" s="1683"/>
      <c r="AK64" s="168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6" t="s">
        <v>664</v>
      </c>
      <c r="C66" s="1796"/>
      <c r="D66" s="1796"/>
      <c r="E66" s="1796"/>
      <c r="F66" s="1796"/>
      <c r="G66" s="1796"/>
      <c r="H66" s="1796"/>
      <c r="I66" s="1796"/>
      <c r="J66" s="1796"/>
      <c r="K66" s="1796"/>
      <c r="AF66" s="1691" t="s">
        <v>938</v>
      </c>
      <c r="AG66" s="1691"/>
      <c r="AH66" s="1691"/>
      <c r="AI66" s="1691"/>
      <c r="AJ66" s="1691"/>
      <c r="AK66" s="1691"/>
      <c r="AL66" s="1691"/>
      <c r="AN66" s="281"/>
      <c r="AP66" s="4" t="s">
        <v>124</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977</v>
      </c>
      <c r="AF73" s="1683"/>
      <c r="AG73" s="1683"/>
      <c r="AH73" s="1683"/>
      <c r="AI73" s="1683"/>
      <c r="AJ73" s="1683"/>
      <c r="AK73" s="168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5" t="s">
        <v>2118</v>
      </c>
      <c r="C75" s="1645"/>
      <c r="D75" s="1645"/>
      <c r="E75" s="1645"/>
      <c r="F75" s="1645"/>
      <c r="G75" s="1645"/>
      <c r="H75" s="1645"/>
      <c r="I75" s="1645"/>
      <c r="J75" s="1645"/>
      <c r="K75" s="1645"/>
      <c r="L75" s="1645"/>
      <c r="M75" s="1645"/>
      <c r="N75" s="1645"/>
      <c r="O75" s="1645"/>
      <c r="P75" s="1645"/>
      <c r="Q75" s="1645"/>
      <c r="R75" s="1645"/>
      <c r="S75" s="1645"/>
      <c r="T75" s="1645"/>
      <c r="U75" s="1645"/>
      <c r="V75" s="1645"/>
      <c r="W75" s="1645"/>
      <c r="X75" s="1645"/>
      <c r="Y75" s="1645"/>
      <c r="Z75" s="1645"/>
      <c r="AA75" s="1645"/>
      <c r="AB75" s="1645"/>
      <c r="AC75" s="1645"/>
      <c r="AD75" s="1645"/>
      <c r="AE75" s="1645"/>
      <c r="AF75" s="1645"/>
      <c r="AG75" s="1645"/>
      <c r="AH75" s="1645"/>
      <c r="AI75" s="1645"/>
      <c r="AJ75" s="1645"/>
      <c r="AK75" s="1645"/>
      <c r="AL75" s="103"/>
      <c r="AM75" s="27"/>
      <c r="AN75" s="281"/>
    </row>
    <row r="76" spans="1:46" s="4" customFormat="1" ht="12.75" customHeight="1">
      <c r="A76" s="27"/>
      <c r="B76" s="1645"/>
      <c r="C76" s="1645"/>
      <c r="D76" s="1645"/>
      <c r="E76" s="1645"/>
      <c r="F76" s="1645"/>
      <c r="G76" s="1645"/>
      <c r="H76" s="1645"/>
      <c r="I76" s="1645"/>
      <c r="J76" s="1645"/>
      <c r="K76" s="1645"/>
      <c r="L76" s="1645"/>
      <c r="M76" s="1645"/>
      <c r="N76" s="1645"/>
      <c r="O76" s="1645"/>
      <c r="P76" s="1645"/>
      <c r="Q76" s="1645"/>
      <c r="R76" s="1645"/>
      <c r="S76" s="1645"/>
      <c r="T76" s="1645"/>
      <c r="U76" s="1645"/>
      <c r="V76" s="1645"/>
      <c r="W76" s="1645"/>
      <c r="X76" s="1645"/>
      <c r="Y76" s="1645"/>
      <c r="Z76" s="1645"/>
      <c r="AA76" s="1645"/>
      <c r="AB76" s="1645"/>
      <c r="AC76" s="1645"/>
      <c r="AD76" s="1645"/>
      <c r="AE76" s="1645"/>
      <c r="AF76" s="1645"/>
      <c r="AG76" s="1645"/>
      <c r="AH76" s="1645"/>
      <c r="AI76" s="1645"/>
      <c r="AJ76" s="1645"/>
      <c r="AK76" s="1645"/>
      <c r="AL76" s="103"/>
      <c r="AM76" s="27"/>
      <c r="AN76" s="281"/>
    </row>
    <row r="77" spans="1:46" s="4" customFormat="1" ht="12.75" customHeight="1">
      <c r="A77" s="27"/>
      <c r="B77" s="1645"/>
      <c r="C77" s="1645"/>
      <c r="D77" s="1645"/>
      <c r="E77" s="1645"/>
      <c r="F77" s="1645"/>
      <c r="G77" s="1645"/>
      <c r="H77" s="1645"/>
      <c r="I77" s="1645"/>
      <c r="J77" s="1645"/>
      <c r="K77" s="1645"/>
      <c r="L77" s="1645"/>
      <c r="M77" s="1645"/>
      <c r="N77" s="1645"/>
      <c r="O77" s="1645"/>
      <c r="P77" s="1645"/>
      <c r="Q77" s="1645"/>
      <c r="R77" s="1645"/>
      <c r="S77" s="1645"/>
      <c r="T77" s="1645"/>
      <c r="U77" s="1645"/>
      <c r="V77" s="1645"/>
      <c r="W77" s="1645"/>
      <c r="X77" s="1645"/>
      <c r="Y77" s="1645"/>
      <c r="Z77" s="1645"/>
      <c r="AA77" s="1645"/>
      <c r="AB77" s="1645"/>
      <c r="AC77" s="1645"/>
      <c r="AD77" s="1645"/>
      <c r="AE77" s="1645"/>
      <c r="AF77" s="1645"/>
      <c r="AG77" s="1645"/>
      <c r="AH77" s="1645"/>
      <c r="AI77" s="1645"/>
      <c r="AJ77" s="1645"/>
      <c r="AK77" s="1645"/>
      <c r="AL77" s="103"/>
      <c r="AM77" s="27"/>
      <c r="AN77" s="281"/>
    </row>
    <row r="78" spans="1:46" s="4" customFormat="1" ht="12.75" customHeight="1">
      <c r="A78" s="27"/>
      <c r="B78" s="1645"/>
      <c r="C78" s="1645"/>
      <c r="D78" s="1645"/>
      <c r="E78" s="1645"/>
      <c r="F78" s="1645"/>
      <c r="G78" s="1645"/>
      <c r="H78" s="1645"/>
      <c r="I78" s="1645"/>
      <c r="J78" s="1645"/>
      <c r="K78" s="1645"/>
      <c r="L78" s="1645"/>
      <c r="M78" s="1645"/>
      <c r="N78" s="1645"/>
      <c r="O78" s="1645"/>
      <c r="P78" s="1645"/>
      <c r="Q78" s="1645"/>
      <c r="R78" s="1645"/>
      <c r="S78" s="1645"/>
      <c r="T78" s="1645"/>
      <c r="U78" s="1645"/>
      <c r="V78" s="1645"/>
      <c r="W78" s="1645"/>
      <c r="X78" s="1645"/>
      <c r="Y78" s="1645"/>
      <c r="Z78" s="1645"/>
      <c r="AA78" s="1645"/>
      <c r="AB78" s="1645"/>
      <c r="AC78" s="1645"/>
      <c r="AD78" s="1645"/>
      <c r="AE78" s="1645"/>
      <c r="AF78" s="1645"/>
      <c r="AG78" s="1645"/>
      <c r="AH78" s="1645"/>
      <c r="AI78" s="1645"/>
      <c r="AJ78" s="1645"/>
      <c r="AK78" s="1645"/>
      <c r="AL78" s="103"/>
      <c r="AM78" s="27"/>
      <c r="AN78" s="281"/>
    </row>
    <row r="79" spans="1:46" s="4" customFormat="1" ht="12.75" customHeight="1">
      <c r="A79" s="27"/>
      <c r="B79" s="1645"/>
      <c r="C79" s="1645"/>
      <c r="D79" s="1645"/>
      <c r="E79" s="1645"/>
      <c r="F79" s="1645"/>
      <c r="G79" s="1645"/>
      <c r="H79" s="1645"/>
      <c r="I79" s="1645"/>
      <c r="J79" s="1645"/>
      <c r="K79" s="1645"/>
      <c r="L79" s="1645"/>
      <c r="M79" s="1645"/>
      <c r="N79" s="1645"/>
      <c r="O79" s="1645"/>
      <c r="P79" s="1645"/>
      <c r="Q79" s="1645"/>
      <c r="R79" s="1645"/>
      <c r="S79" s="1645"/>
      <c r="T79" s="1645"/>
      <c r="U79" s="1645"/>
      <c r="V79" s="1645"/>
      <c r="W79" s="1645"/>
      <c r="X79" s="1645"/>
      <c r="Y79" s="1645"/>
      <c r="Z79" s="1645"/>
      <c r="AA79" s="1645"/>
      <c r="AB79" s="1645"/>
      <c r="AC79" s="1645"/>
      <c r="AD79" s="1645"/>
      <c r="AE79" s="1645"/>
      <c r="AF79" s="1645"/>
      <c r="AG79" s="1645"/>
      <c r="AH79" s="1645"/>
      <c r="AI79" s="1645"/>
      <c r="AJ79" s="1645"/>
      <c r="AK79" s="1645"/>
      <c r="AL79" s="103"/>
      <c r="AM79" s="27"/>
      <c r="AN79" s="281"/>
    </row>
    <row r="80" spans="1:46" s="4" customFormat="1" ht="12.75" customHeight="1">
      <c r="A80" s="27"/>
      <c r="B80" s="1645"/>
      <c r="C80" s="1645"/>
      <c r="D80" s="1645"/>
      <c r="E80" s="1645"/>
      <c r="F80" s="1645"/>
      <c r="G80" s="1645"/>
      <c r="H80" s="1645"/>
      <c r="I80" s="1645"/>
      <c r="J80" s="1645"/>
      <c r="K80" s="1645"/>
      <c r="L80" s="1645"/>
      <c r="M80" s="1645"/>
      <c r="N80" s="1645"/>
      <c r="O80" s="1645"/>
      <c r="P80" s="1645"/>
      <c r="Q80" s="1645"/>
      <c r="R80" s="1645"/>
      <c r="S80" s="1645"/>
      <c r="T80" s="1645"/>
      <c r="U80" s="1645"/>
      <c r="V80" s="1645"/>
      <c r="W80" s="1645"/>
      <c r="X80" s="1645"/>
      <c r="Y80" s="1645"/>
      <c r="Z80" s="1645"/>
      <c r="AA80" s="1645"/>
      <c r="AB80" s="1645"/>
      <c r="AC80" s="1645"/>
      <c r="AD80" s="1645"/>
      <c r="AE80" s="1645"/>
      <c r="AF80" s="1645"/>
      <c r="AG80" s="1645"/>
      <c r="AH80" s="1645"/>
      <c r="AI80" s="1645"/>
      <c r="AJ80" s="1645"/>
      <c r="AK80" s="1645"/>
      <c r="AL80" s="103"/>
      <c r="AM80" s="27"/>
      <c r="AN80" s="281"/>
    </row>
    <row r="81" spans="1:42" ht="12.75" customHeight="1">
      <c r="A81" s="27"/>
      <c r="B81" s="1645"/>
      <c r="C81" s="1645"/>
      <c r="D81" s="1645"/>
      <c r="E81" s="1645"/>
      <c r="F81" s="1645"/>
      <c r="G81" s="1645"/>
      <c r="H81" s="1645"/>
      <c r="I81" s="1645"/>
      <c r="J81" s="1645"/>
      <c r="K81" s="1645"/>
      <c r="L81" s="1645"/>
      <c r="M81" s="1645"/>
      <c r="N81" s="1645"/>
      <c r="O81" s="1645"/>
      <c r="P81" s="1645"/>
      <c r="Q81" s="1645"/>
      <c r="R81" s="1645"/>
      <c r="S81" s="1645"/>
      <c r="T81" s="1645"/>
      <c r="U81" s="1645"/>
      <c r="V81" s="1645"/>
      <c r="W81" s="1645"/>
      <c r="X81" s="1645"/>
      <c r="Y81" s="1645"/>
      <c r="Z81" s="1645"/>
      <c r="AA81" s="1645"/>
      <c r="AB81" s="1645"/>
      <c r="AC81" s="1645"/>
      <c r="AD81" s="1645"/>
      <c r="AE81" s="1645"/>
      <c r="AF81" s="1645"/>
      <c r="AG81" s="1645"/>
      <c r="AH81" s="1645"/>
      <c r="AI81" s="1645"/>
      <c r="AJ81" s="1645"/>
      <c r="AK81" s="1645"/>
      <c r="AL81" s="103"/>
      <c r="AM81" s="27"/>
    </row>
    <row r="82" spans="1:42" s="4" customFormat="1" ht="12.75" customHeight="1">
      <c r="B82" s="1645"/>
      <c r="C82" s="1645"/>
      <c r="D82" s="1645"/>
      <c r="E82" s="1645"/>
      <c r="F82" s="1645"/>
      <c r="G82" s="1645"/>
      <c r="H82" s="1645"/>
      <c r="I82" s="1645"/>
      <c r="J82" s="1645"/>
      <c r="K82" s="1645"/>
      <c r="L82" s="1645"/>
      <c r="M82" s="1645"/>
      <c r="N82" s="1645"/>
      <c r="O82" s="1645"/>
      <c r="P82" s="1645"/>
      <c r="Q82" s="1645"/>
      <c r="R82" s="1645"/>
      <c r="S82" s="1645"/>
      <c r="T82" s="1645"/>
      <c r="U82" s="1645"/>
      <c r="V82" s="1645"/>
      <c r="W82" s="1645"/>
      <c r="X82" s="1645"/>
      <c r="Y82" s="1645"/>
      <c r="Z82" s="1645"/>
      <c r="AA82" s="1645"/>
      <c r="AB82" s="1645"/>
      <c r="AC82" s="1645"/>
      <c r="AD82" s="1645"/>
      <c r="AE82" s="1645"/>
      <c r="AF82" s="1645"/>
      <c r="AG82" s="1645"/>
      <c r="AH82" s="1645"/>
      <c r="AI82" s="1645"/>
      <c r="AJ82" s="1645"/>
      <c r="AK82" s="1645"/>
      <c r="AL82" s="103"/>
      <c r="AN82" s="281"/>
    </row>
    <row r="83" spans="1:42" s="4" customFormat="1" ht="12.75" customHeight="1">
      <c r="B83" s="1645"/>
      <c r="C83" s="1645"/>
      <c r="D83" s="1645"/>
      <c r="E83" s="1645"/>
      <c r="F83" s="1645"/>
      <c r="G83" s="1645"/>
      <c r="H83" s="1645"/>
      <c r="I83" s="1645"/>
      <c r="J83" s="1645"/>
      <c r="K83" s="1645"/>
      <c r="L83" s="1645"/>
      <c r="M83" s="1645"/>
      <c r="N83" s="1645"/>
      <c r="O83" s="1645"/>
      <c r="P83" s="1645"/>
      <c r="Q83" s="1645"/>
      <c r="R83" s="1645"/>
      <c r="S83" s="1645"/>
      <c r="T83" s="1645"/>
      <c r="U83" s="1645"/>
      <c r="V83" s="1645"/>
      <c r="W83" s="1645"/>
      <c r="X83" s="1645"/>
      <c r="Y83" s="1645"/>
      <c r="Z83" s="1645"/>
      <c r="AA83" s="1645"/>
      <c r="AB83" s="1645"/>
      <c r="AC83" s="1645"/>
      <c r="AD83" s="1645"/>
      <c r="AE83" s="1645"/>
      <c r="AF83" s="1645"/>
      <c r="AG83" s="1645"/>
      <c r="AH83" s="1645"/>
      <c r="AI83" s="1645"/>
      <c r="AJ83" s="1645"/>
      <c r="AK83" s="1645"/>
      <c r="AL83" s="103"/>
      <c r="AN83" s="281"/>
    </row>
    <row r="84" spans="1:42" s="4" customFormat="1" ht="14.7" customHeight="1">
      <c r="B84" s="1645"/>
      <c r="C84" s="1645"/>
      <c r="D84" s="1645"/>
      <c r="E84" s="1645"/>
      <c r="F84" s="1645"/>
      <c r="G84" s="1645"/>
      <c r="H84" s="1645"/>
      <c r="I84" s="1645"/>
      <c r="J84" s="1645"/>
      <c r="K84" s="1645"/>
      <c r="L84" s="1645"/>
      <c r="M84" s="1645"/>
      <c r="N84" s="1645"/>
      <c r="O84" s="1645"/>
      <c r="P84" s="1645"/>
      <c r="Q84" s="1645"/>
      <c r="R84" s="1645"/>
      <c r="S84" s="1645"/>
      <c r="T84" s="1645"/>
      <c r="U84" s="1645"/>
      <c r="V84" s="1645"/>
      <c r="W84" s="1645"/>
      <c r="X84" s="1645"/>
      <c r="Y84" s="1645"/>
      <c r="Z84" s="1645"/>
      <c r="AA84" s="1645"/>
      <c r="AB84" s="1645"/>
      <c r="AC84" s="1645"/>
      <c r="AD84" s="1645"/>
      <c r="AE84" s="1645"/>
      <c r="AF84" s="1645"/>
      <c r="AG84" s="1645"/>
      <c r="AH84" s="1645"/>
      <c r="AI84" s="1645"/>
      <c r="AJ84" s="1645"/>
      <c r="AK84" s="1645"/>
      <c r="AL84" s="103"/>
      <c r="AN84" s="281"/>
    </row>
    <row r="85" spans="1:42" s="4" customFormat="1" ht="12.75" customHeight="1">
      <c r="B85" s="1645"/>
      <c r="C85" s="1645"/>
      <c r="D85" s="1645"/>
      <c r="E85" s="1645"/>
      <c r="F85" s="1645"/>
      <c r="G85" s="1645"/>
      <c r="H85" s="1645"/>
      <c r="I85" s="1645"/>
      <c r="J85" s="1645"/>
      <c r="K85" s="1645"/>
      <c r="L85" s="1645"/>
      <c r="M85" s="1645"/>
      <c r="N85" s="1645"/>
      <c r="O85" s="1645"/>
      <c r="P85" s="1645"/>
      <c r="Q85" s="1645"/>
      <c r="R85" s="1645"/>
      <c r="S85" s="1645"/>
      <c r="T85" s="1645"/>
      <c r="U85" s="1645"/>
      <c r="V85" s="1645"/>
      <c r="W85" s="1645"/>
      <c r="X85" s="1645"/>
      <c r="Y85" s="1645"/>
      <c r="Z85" s="1645"/>
      <c r="AA85" s="1645"/>
      <c r="AB85" s="1645"/>
      <c r="AC85" s="1645"/>
      <c r="AD85" s="1645"/>
      <c r="AE85" s="1645"/>
      <c r="AF85" s="1645"/>
      <c r="AG85" s="1645"/>
      <c r="AH85" s="1645"/>
      <c r="AI85" s="1645"/>
      <c r="AJ85" s="1645"/>
      <c r="AK85" s="1645"/>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58</v>
      </c>
      <c r="AG95" s="1691"/>
      <c r="AH95" s="1691"/>
      <c r="AI95" s="1691"/>
      <c r="AJ95" s="1691"/>
      <c r="AK95" s="1691"/>
      <c r="AL95" s="1691"/>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59</v>
      </c>
      <c r="AG100" s="1691"/>
      <c r="AH100" s="1691"/>
      <c r="AI100" s="1691"/>
      <c r="AJ100" s="1691"/>
      <c r="AK100" s="1691"/>
      <c r="AL100" s="1691"/>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60</v>
      </c>
      <c r="AG105" s="1691"/>
      <c r="AH105" s="1691"/>
      <c r="AI105" s="1691"/>
      <c r="AJ105" s="1691"/>
      <c r="AK105" s="1691"/>
      <c r="AL105" s="1691"/>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61</v>
      </c>
      <c r="AG109" s="1691"/>
      <c r="AH109" s="1691"/>
      <c r="AI109" s="1691"/>
      <c r="AJ109" s="1691"/>
      <c r="AK109" s="1691"/>
      <c r="AL109" s="1691"/>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2" t="s">
        <v>581</v>
      </c>
      <c r="I112" s="1682"/>
      <c r="J112" s="116"/>
      <c r="K112" s="116"/>
      <c r="L112" s="116"/>
      <c r="M112" s="937" t="s">
        <v>2102</v>
      </c>
      <c r="R112" s="1800"/>
      <c r="S112" s="1800"/>
      <c r="T112" s="1800"/>
      <c r="U112" s="1800"/>
      <c r="V112" s="1800"/>
      <c r="W112" s="1800"/>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1"/>
      <c r="AN112" s="957"/>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1"/>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2" t="s">
        <v>2251</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124</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147</v>
      </c>
      <c r="F118" s="116"/>
      <c r="G118" s="116"/>
      <c r="H118" s="1799" t="s">
        <v>124</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5" t="s">
        <v>124</v>
      </c>
      <c r="C120" s="1115"/>
      <c r="D120" s="49"/>
      <c r="E120" s="1645" t="s">
        <v>1770</v>
      </c>
      <c r="F120" s="1645"/>
      <c r="G120" s="1645"/>
      <c r="H120" s="1645"/>
      <c r="I120" s="1645"/>
      <c r="J120" s="1645"/>
      <c r="K120" s="1645"/>
      <c r="L120" s="1645"/>
      <c r="M120" s="1645"/>
      <c r="N120" s="1645"/>
      <c r="O120" s="1645"/>
      <c r="P120" s="1645"/>
      <c r="Q120" s="1645"/>
      <c r="R120" s="1645"/>
      <c r="S120" s="1645"/>
      <c r="T120" s="1645"/>
      <c r="U120" s="1645"/>
      <c r="V120" s="1645"/>
      <c r="W120" s="1645"/>
      <c r="X120" s="1645"/>
      <c r="Y120" s="1645"/>
      <c r="Z120" s="1645"/>
      <c r="AA120" s="1645"/>
      <c r="AB120" s="1645"/>
      <c r="AC120" s="1645"/>
      <c r="AD120" s="1645"/>
      <c r="AE120" s="1645"/>
      <c r="AF120" s="1645"/>
      <c r="AG120" s="1645"/>
      <c r="AH120" s="49"/>
      <c r="AI120" s="49"/>
      <c r="AJ120" s="49"/>
      <c r="AK120" s="49"/>
      <c r="AL120" s="49"/>
      <c r="AN120" s="281"/>
    </row>
    <row r="121" spans="1:47" s="4" customFormat="1" ht="12.75" customHeight="1">
      <c r="B121" s="5"/>
      <c r="C121" s="115"/>
      <c r="D121" s="49"/>
      <c r="E121" s="1645"/>
      <c r="F121" s="1645"/>
      <c r="G121" s="1645"/>
      <c r="H121" s="1645"/>
      <c r="I121" s="1645"/>
      <c r="J121" s="1645"/>
      <c r="K121" s="1645"/>
      <c r="L121" s="1645"/>
      <c r="M121" s="1645"/>
      <c r="N121" s="1645"/>
      <c r="O121" s="1645"/>
      <c r="P121" s="1645"/>
      <c r="Q121" s="1645"/>
      <c r="R121" s="1645"/>
      <c r="S121" s="1645"/>
      <c r="T121" s="1645"/>
      <c r="U121" s="1645"/>
      <c r="V121" s="1645"/>
      <c r="W121" s="1645"/>
      <c r="X121" s="1645"/>
      <c r="Y121" s="1645"/>
      <c r="Z121" s="1645"/>
      <c r="AA121" s="1645"/>
      <c r="AB121" s="1645"/>
      <c r="AC121" s="1645"/>
      <c r="AD121" s="1645"/>
      <c r="AE121" s="1645"/>
      <c r="AF121" s="1645"/>
      <c r="AG121" s="1645"/>
      <c r="AH121" s="49"/>
      <c r="AI121" s="49"/>
      <c r="AJ121" s="49"/>
      <c r="AK121" s="49"/>
      <c r="AL121" s="49"/>
      <c r="AN121" s="281"/>
    </row>
    <row r="122" spans="1:47" s="4" customFormat="1" ht="12.75" customHeight="1">
      <c r="B122" s="5"/>
      <c r="C122" s="115"/>
      <c r="D122" s="49"/>
      <c r="E122" s="1645"/>
      <c r="F122" s="1645"/>
      <c r="G122" s="1645"/>
      <c r="H122" s="1645"/>
      <c r="I122" s="1645"/>
      <c r="J122" s="1645"/>
      <c r="K122" s="1645"/>
      <c r="L122" s="1645"/>
      <c r="M122" s="1645"/>
      <c r="N122" s="1645"/>
      <c r="O122" s="1645"/>
      <c r="P122" s="1645"/>
      <c r="Q122" s="1645"/>
      <c r="R122" s="1645"/>
      <c r="S122" s="1645"/>
      <c r="T122" s="1645"/>
      <c r="U122" s="1645"/>
      <c r="V122" s="1645"/>
      <c r="W122" s="1645"/>
      <c r="X122" s="1645"/>
      <c r="Y122" s="1645"/>
      <c r="Z122" s="1645"/>
      <c r="AA122" s="1645"/>
      <c r="AB122" s="1645"/>
      <c r="AC122" s="1645"/>
      <c r="AD122" s="1645"/>
      <c r="AE122" s="1645"/>
      <c r="AF122" s="1645"/>
      <c r="AG122" s="1645"/>
      <c r="AH122" s="49"/>
      <c r="AI122" s="49"/>
      <c r="AJ122" s="49"/>
      <c r="AK122" s="49"/>
      <c r="AL122" s="49"/>
      <c r="AN122" s="281"/>
    </row>
    <row r="123" spans="1:47" s="4" customFormat="1" ht="12.75" customHeight="1">
      <c r="B123" s="5"/>
      <c r="C123" s="115"/>
      <c r="D123" s="299"/>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7</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1839</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1" t="s">
        <v>61</v>
      </c>
      <c r="AG128" s="1691"/>
      <c r="AH128" s="1691"/>
      <c r="AI128" s="1691"/>
      <c r="AJ128" s="1691"/>
      <c r="AK128" s="1691"/>
      <c r="AL128" s="1691"/>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2.95"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2" t="s">
        <v>124</v>
      </c>
      <c r="T133" s="180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103</v>
      </c>
      <c r="AG135" s="1691"/>
      <c r="AH135" s="1691"/>
      <c r="AI135" s="1691"/>
      <c r="AJ135" s="1691"/>
      <c r="AK135" s="1691"/>
      <c r="AL135" s="169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2" t="s">
        <v>197</v>
      </c>
      <c r="I137" s="168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2</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61</v>
      </c>
      <c r="AG143" s="1691"/>
      <c r="AH143" s="1691"/>
      <c r="AI143" s="1691"/>
      <c r="AJ143" s="1691"/>
      <c r="AK143" s="1691"/>
      <c r="AL143" s="169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103</v>
      </c>
      <c r="AG146" s="1691"/>
      <c r="AH146" s="1691"/>
      <c r="AI146" s="1691"/>
      <c r="AJ146" s="1691"/>
      <c r="AK146" s="1691"/>
      <c r="AL146" s="1691"/>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2" t="s">
        <v>197</v>
      </c>
      <c r="I149" s="168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2</v>
      </c>
      <c r="AK151" s="10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5" t="s">
        <v>746</v>
      </c>
      <c r="F156" s="1645"/>
      <c r="G156" s="1645"/>
      <c r="H156" s="1645"/>
      <c r="I156" s="1645"/>
      <c r="J156" s="1645"/>
      <c r="K156" s="1645"/>
      <c r="L156" s="1645"/>
      <c r="M156" s="1645"/>
      <c r="N156" s="1645"/>
      <c r="O156" s="1645"/>
      <c r="P156" s="1645"/>
      <c r="Q156" s="1645"/>
      <c r="R156" s="1645"/>
      <c r="S156" s="1645"/>
      <c r="T156" s="1645"/>
      <c r="U156" s="1645"/>
      <c r="V156" s="1645"/>
      <c r="W156" s="1645"/>
      <c r="X156" s="1645"/>
      <c r="Y156" s="1645"/>
      <c r="Z156" s="1645"/>
      <c r="AA156" s="1645"/>
      <c r="AB156" s="1645"/>
      <c r="AC156" s="1645"/>
      <c r="AE156" s="342"/>
      <c r="AF156" s="1111" t="s">
        <v>59</v>
      </c>
      <c r="AG156" s="1111"/>
      <c r="AH156" s="1111"/>
      <c r="AI156" s="1111"/>
      <c r="AJ156" s="1111"/>
      <c r="AK156" s="1111"/>
      <c r="AL156" s="1111"/>
      <c r="AN156" s="281"/>
    </row>
    <row r="157" spans="1:42" s="4" customFormat="1" ht="12.75" customHeight="1">
      <c r="C157" s="3"/>
      <c r="E157" s="1645"/>
      <c r="F157" s="1645"/>
      <c r="G157" s="1645"/>
      <c r="H157" s="1645"/>
      <c r="I157" s="1645"/>
      <c r="J157" s="1645"/>
      <c r="K157" s="1645"/>
      <c r="L157" s="1645"/>
      <c r="M157" s="1645"/>
      <c r="N157" s="1645"/>
      <c r="O157" s="1645"/>
      <c r="P157" s="1645"/>
      <c r="Q157" s="1645"/>
      <c r="R157" s="1645"/>
      <c r="S157" s="1645"/>
      <c r="T157" s="1645"/>
      <c r="U157" s="1645"/>
      <c r="V157" s="1645"/>
      <c r="W157" s="1645"/>
      <c r="X157" s="1645"/>
      <c r="Y157" s="1645"/>
      <c r="Z157" s="1645"/>
      <c r="AA157" s="1645"/>
      <c r="AB157" s="1645"/>
      <c r="AC157" s="1645"/>
      <c r="AE157" s="342"/>
      <c r="AF157" s="342"/>
      <c r="AG157" s="342"/>
      <c r="AH157" s="342"/>
      <c r="AI157" s="342"/>
      <c r="AJ157" s="342"/>
      <c r="AK157" s="342"/>
      <c r="AL157" s="342"/>
      <c r="AN157" s="281"/>
    </row>
    <row r="158" spans="1:42" s="4" customFormat="1" ht="12.75" customHeight="1">
      <c r="C158" s="3"/>
      <c r="D158" s="26"/>
      <c r="E158" s="1645"/>
      <c r="F158" s="1645"/>
      <c r="G158" s="1645"/>
      <c r="H158" s="1645"/>
      <c r="I158" s="1645"/>
      <c r="J158" s="1645"/>
      <c r="K158" s="1645"/>
      <c r="L158" s="1645"/>
      <c r="M158" s="1645"/>
      <c r="N158" s="1645"/>
      <c r="O158" s="1645"/>
      <c r="P158" s="1645"/>
      <c r="Q158" s="1645"/>
      <c r="R158" s="1645"/>
      <c r="S158" s="1645"/>
      <c r="T158" s="1645"/>
      <c r="U158" s="1645"/>
      <c r="V158" s="1645"/>
      <c r="W158" s="1645"/>
      <c r="X158" s="1645"/>
      <c r="Y158" s="1645"/>
      <c r="Z158" s="1645"/>
      <c r="AA158" s="1645"/>
      <c r="AB158" s="1645"/>
      <c r="AC158" s="164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5" t="s">
        <v>1714</v>
      </c>
      <c r="F160" s="1645"/>
      <c r="G160" s="1645"/>
      <c r="H160" s="1645"/>
      <c r="I160" s="1645"/>
      <c r="J160" s="1645"/>
      <c r="K160" s="1645"/>
      <c r="L160" s="1645"/>
      <c r="M160" s="1645"/>
      <c r="N160" s="1645"/>
      <c r="O160" s="1645"/>
      <c r="P160" s="1645"/>
      <c r="Q160" s="1645"/>
      <c r="R160" s="1645"/>
      <c r="S160" s="1645"/>
      <c r="T160" s="1645"/>
      <c r="U160" s="1645"/>
      <c r="V160" s="1645"/>
      <c r="W160" s="1645"/>
      <c r="X160" s="1645"/>
      <c r="Y160" s="1645"/>
      <c r="Z160" s="1645"/>
      <c r="AA160" s="1645"/>
      <c r="AB160" s="1645"/>
      <c r="AC160" s="1645"/>
      <c r="AE160" s="342"/>
      <c r="AF160" s="1111" t="s">
        <v>60</v>
      </c>
      <c r="AG160" s="1111"/>
      <c r="AH160" s="1111"/>
      <c r="AI160" s="1111"/>
      <c r="AJ160" s="1111"/>
      <c r="AK160" s="1111"/>
      <c r="AL160" s="1111"/>
      <c r="AN160" s="281"/>
    </row>
    <row r="161" spans="1:42" s="4" customFormat="1" ht="12.75" customHeight="1">
      <c r="C161" s="3"/>
      <c r="E161" s="1645"/>
      <c r="F161" s="1645"/>
      <c r="G161" s="1645"/>
      <c r="H161" s="1645"/>
      <c r="I161" s="1645"/>
      <c r="J161" s="1645"/>
      <c r="K161" s="1645"/>
      <c r="L161" s="1645"/>
      <c r="M161" s="1645"/>
      <c r="N161" s="1645"/>
      <c r="O161" s="1645"/>
      <c r="P161" s="1645"/>
      <c r="Q161" s="1645"/>
      <c r="R161" s="1645"/>
      <c r="S161" s="1645"/>
      <c r="T161" s="1645"/>
      <c r="U161" s="1645"/>
      <c r="V161" s="1645"/>
      <c r="W161" s="1645"/>
      <c r="X161" s="1645"/>
      <c r="Y161" s="1645"/>
      <c r="Z161" s="1645"/>
      <c r="AA161" s="1645"/>
      <c r="AB161" s="1645"/>
      <c r="AC161" s="1645"/>
      <c r="AE161" s="342"/>
      <c r="AF161" s="342"/>
      <c r="AG161" s="342"/>
      <c r="AH161" s="342"/>
      <c r="AI161" s="342"/>
      <c r="AJ161" s="342"/>
      <c r="AK161" s="342"/>
      <c r="AL161" s="342"/>
      <c r="AN161" s="281"/>
    </row>
    <row r="162" spans="1:42" s="4" customFormat="1" ht="15" customHeight="1">
      <c r="C162" s="3"/>
      <c r="D162" s="26"/>
      <c r="E162" s="1645"/>
      <c r="F162" s="1645"/>
      <c r="G162" s="1645"/>
      <c r="H162" s="1645"/>
      <c r="I162" s="1645"/>
      <c r="J162" s="1645"/>
      <c r="K162" s="1645"/>
      <c r="L162" s="1645"/>
      <c r="M162" s="1645"/>
      <c r="N162" s="1645"/>
      <c r="O162" s="1645"/>
      <c r="P162" s="1645"/>
      <c r="Q162" s="1645"/>
      <c r="R162" s="1645"/>
      <c r="S162" s="1645"/>
      <c r="T162" s="1645"/>
      <c r="U162" s="1645"/>
      <c r="V162" s="1645"/>
      <c r="W162" s="1645"/>
      <c r="X162" s="1645"/>
      <c r="Y162" s="1645"/>
      <c r="Z162" s="1645"/>
      <c r="AA162" s="1645"/>
      <c r="AB162" s="1645"/>
      <c r="AC162" s="164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5" t="s">
        <v>1715</v>
      </c>
      <c r="F164" s="1645"/>
      <c r="G164" s="1645"/>
      <c r="H164" s="1645"/>
      <c r="I164" s="1645"/>
      <c r="J164" s="1645"/>
      <c r="K164" s="1645"/>
      <c r="L164" s="1645"/>
      <c r="M164" s="1645"/>
      <c r="N164" s="1645"/>
      <c r="O164" s="1645"/>
      <c r="P164" s="1645"/>
      <c r="Q164" s="1645"/>
      <c r="R164" s="1645"/>
      <c r="S164" s="1645"/>
      <c r="T164" s="1645"/>
      <c r="U164" s="1645"/>
      <c r="V164" s="1645"/>
      <c r="W164" s="1645"/>
      <c r="X164" s="1645"/>
      <c r="Y164" s="1645"/>
      <c r="Z164" s="1645"/>
      <c r="AA164" s="1645"/>
      <c r="AB164" s="1645"/>
      <c r="AC164" s="1645"/>
      <c r="AE164" s="342"/>
      <c r="AF164" s="1111" t="s">
        <v>61</v>
      </c>
      <c r="AG164" s="1111"/>
      <c r="AH164" s="1111"/>
      <c r="AI164" s="1111"/>
      <c r="AJ164" s="1111"/>
      <c r="AK164" s="1111"/>
      <c r="AL164" s="1111"/>
      <c r="AN164" s="281"/>
    </row>
    <row r="165" spans="1:42" s="4" customFormat="1" ht="12.75" customHeight="1">
      <c r="B165" s="5"/>
      <c r="C165" s="45"/>
      <c r="E165" s="1645"/>
      <c r="F165" s="1645"/>
      <c r="G165" s="1645"/>
      <c r="H165" s="1645"/>
      <c r="I165" s="1645"/>
      <c r="J165" s="1645"/>
      <c r="K165" s="1645"/>
      <c r="L165" s="1645"/>
      <c r="M165" s="1645"/>
      <c r="N165" s="1645"/>
      <c r="O165" s="1645"/>
      <c r="P165" s="1645"/>
      <c r="Q165" s="1645"/>
      <c r="R165" s="1645"/>
      <c r="S165" s="1645"/>
      <c r="T165" s="1645"/>
      <c r="U165" s="1645"/>
      <c r="V165" s="1645"/>
      <c r="W165" s="1645"/>
      <c r="X165" s="1645"/>
      <c r="Y165" s="1645"/>
      <c r="Z165" s="1645"/>
      <c r="AA165" s="1645"/>
      <c r="AB165" s="1645"/>
      <c r="AC165" s="1645"/>
      <c r="AE165" s="1111"/>
      <c r="AF165" s="1111"/>
      <c r="AG165" s="1111"/>
      <c r="AH165" s="1111"/>
      <c r="AI165" s="1111"/>
      <c r="AJ165" s="1111"/>
      <c r="AK165" s="1111"/>
      <c r="AL165" s="967"/>
      <c r="AN165" s="281"/>
    </row>
    <row r="166" spans="1:42" s="4" customFormat="1" ht="12.75" customHeight="1">
      <c r="A166" s="120"/>
      <c r="D166" s="26"/>
      <c r="E166" s="1645"/>
      <c r="F166" s="1645"/>
      <c r="G166" s="1645"/>
      <c r="H166" s="1645"/>
      <c r="I166" s="1645"/>
      <c r="J166" s="1645"/>
      <c r="K166" s="1645"/>
      <c r="L166" s="1645"/>
      <c r="M166" s="1645"/>
      <c r="N166" s="1645"/>
      <c r="O166" s="1645"/>
      <c r="P166" s="1645"/>
      <c r="Q166" s="1645"/>
      <c r="R166" s="1645"/>
      <c r="S166" s="1645"/>
      <c r="T166" s="1645"/>
      <c r="U166" s="1645"/>
      <c r="V166" s="1645"/>
      <c r="W166" s="1645"/>
      <c r="X166" s="1645"/>
      <c r="Y166" s="1645"/>
      <c r="Z166" s="1645"/>
      <c r="AA166" s="1645"/>
      <c r="AB166" s="1645"/>
      <c r="AC166" s="164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5" t="s">
        <v>1716</v>
      </c>
      <c r="F168" s="1645"/>
      <c r="G168" s="1645"/>
      <c r="H168" s="1645"/>
      <c r="I168" s="1645"/>
      <c r="J168" s="1645"/>
      <c r="K168" s="1645"/>
      <c r="L168" s="1645"/>
      <c r="M168" s="1645"/>
      <c r="N168" s="1645"/>
      <c r="O168" s="1645"/>
      <c r="P168" s="1645"/>
      <c r="Q168" s="1645"/>
      <c r="R168" s="1645"/>
      <c r="S168" s="1645"/>
      <c r="T168" s="1645"/>
      <c r="U168" s="1645"/>
      <c r="V168" s="1645"/>
      <c r="W168" s="1645"/>
      <c r="X168" s="1645"/>
      <c r="Y168" s="1645"/>
      <c r="Z168" s="1645"/>
      <c r="AA168" s="1645"/>
      <c r="AB168" s="1645"/>
      <c r="AC168" s="1645"/>
      <c r="AE168" s="342"/>
      <c r="AF168" s="1111" t="s">
        <v>60</v>
      </c>
      <c r="AG168" s="1111"/>
      <c r="AH168" s="1111"/>
      <c r="AI168" s="1111"/>
      <c r="AJ168" s="1111"/>
      <c r="AK168" s="1111"/>
      <c r="AL168" s="1111"/>
      <c r="AN168" s="281"/>
    </row>
    <row r="169" spans="1:42" s="4" customFormat="1" ht="12.75" customHeight="1">
      <c r="A169" s="111"/>
      <c r="B169" s="5"/>
      <c r="C169" s="126"/>
      <c r="D169" s="26"/>
      <c r="E169" s="1645"/>
      <c r="F169" s="1645"/>
      <c r="G169" s="1645"/>
      <c r="H169" s="1645"/>
      <c r="I169" s="1645"/>
      <c r="J169" s="1645"/>
      <c r="K169" s="1645"/>
      <c r="L169" s="1645"/>
      <c r="M169" s="1645"/>
      <c r="N169" s="1645"/>
      <c r="O169" s="1645"/>
      <c r="P169" s="1645"/>
      <c r="Q169" s="1645"/>
      <c r="R169" s="1645"/>
      <c r="S169" s="1645"/>
      <c r="T169" s="1645"/>
      <c r="U169" s="1645"/>
      <c r="V169" s="1645"/>
      <c r="W169" s="1645"/>
      <c r="X169" s="1645"/>
      <c r="Y169" s="1645"/>
      <c r="Z169" s="1645"/>
      <c r="AA169" s="1645"/>
      <c r="AB169" s="1645"/>
      <c r="AC169" s="1645"/>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5"/>
      <c r="F170" s="1645"/>
      <c r="G170" s="1645"/>
      <c r="H170" s="1645"/>
      <c r="I170" s="1645"/>
      <c r="J170" s="1645"/>
      <c r="K170" s="1645"/>
      <c r="L170" s="1645"/>
      <c r="M170" s="1645"/>
      <c r="N170" s="1645"/>
      <c r="O170" s="1645"/>
      <c r="P170" s="1645"/>
      <c r="Q170" s="1645"/>
      <c r="R170" s="1645"/>
      <c r="S170" s="1645"/>
      <c r="T170" s="1645"/>
      <c r="U170" s="1645"/>
      <c r="V170" s="1645"/>
      <c r="W170" s="1645"/>
      <c r="X170" s="1645"/>
      <c r="Y170" s="1645"/>
      <c r="Z170" s="1645"/>
      <c r="AA170" s="1645"/>
      <c r="AB170" s="1645"/>
      <c r="AC170" s="1645"/>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5" t="s">
        <v>1717</v>
      </c>
      <c r="F172" s="1645"/>
      <c r="G172" s="1645"/>
      <c r="H172" s="1645"/>
      <c r="I172" s="1645"/>
      <c r="J172" s="1645"/>
      <c r="K172" s="1645"/>
      <c r="L172" s="1645"/>
      <c r="M172" s="1645"/>
      <c r="N172" s="1645"/>
      <c r="O172" s="1645"/>
      <c r="P172" s="1645"/>
      <c r="Q172" s="1645"/>
      <c r="R172" s="1645"/>
      <c r="S172" s="1645"/>
      <c r="T172" s="1645"/>
      <c r="U172" s="1645"/>
      <c r="V172" s="1645"/>
      <c r="W172" s="1645"/>
      <c r="X172" s="1645"/>
      <c r="Y172" s="1645"/>
      <c r="Z172" s="1645"/>
      <c r="AA172" s="1645"/>
      <c r="AB172" s="1645"/>
      <c r="AC172" s="1645"/>
      <c r="AE172" s="342"/>
      <c r="AF172" s="1111" t="s">
        <v>61</v>
      </c>
      <c r="AG172" s="1111"/>
      <c r="AH172" s="1111"/>
      <c r="AI172" s="1111"/>
      <c r="AJ172" s="1111"/>
      <c r="AK172" s="1111"/>
      <c r="AL172" s="1111"/>
      <c r="AM172" s="20"/>
      <c r="AN172" s="281"/>
      <c r="AO172" s="26" t="s">
        <v>890</v>
      </c>
      <c r="AP172" s="4">
        <v>3</v>
      </c>
    </row>
    <row r="173" spans="1:42" s="4" customFormat="1" ht="12.75" customHeight="1">
      <c r="B173" s="5"/>
      <c r="C173" s="45"/>
      <c r="D173" s="26"/>
      <c r="E173" s="1645"/>
      <c r="F173" s="1645"/>
      <c r="G173" s="1645"/>
      <c r="H173" s="1645"/>
      <c r="I173" s="1645"/>
      <c r="J173" s="1645"/>
      <c r="K173" s="1645"/>
      <c r="L173" s="1645"/>
      <c r="M173" s="1645"/>
      <c r="N173" s="1645"/>
      <c r="O173" s="1645"/>
      <c r="P173" s="1645"/>
      <c r="Q173" s="1645"/>
      <c r="R173" s="1645"/>
      <c r="S173" s="1645"/>
      <c r="T173" s="1645"/>
      <c r="U173" s="1645"/>
      <c r="V173" s="1645"/>
      <c r="W173" s="1645"/>
      <c r="X173" s="1645"/>
      <c r="Y173" s="1645"/>
      <c r="Z173" s="1645"/>
      <c r="AA173" s="1645"/>
      <c r="AB173" s="1645"/>
      <c r="AC173" s="164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5"/>
      <c r="F174" s="1645"/>
      <c r="G174" s="1645"/>
      <c r="H174" s="1645"/>
      <c r="I174" s="1645"/>
      <c r="J174" s="1645"/>
      <c r="K174" s="1645"/>
      <c r="L174" s="1645"/>
      <c r="M174" s="1645"/>
      <c r="N174" s="1645"/>
      <c r="O174" s="1645"/>
      <c r="P174" s="1645"/>
      <c r="Q174" s="1645"/>
      <c r="R174" s="1645"/>
      <c r="S174" s="1645"/>
      <c r="T174" s="1645"/>
      <c r="U174" s="1645"/>
      <c r="V174" s="1645"/>
      <c r="W174" s="1645"/>
      <c r="X174" s="1645"/>
      <c r="Y174" s="1645"/>
      <c r="Z174" s="1645"/>
      <c r="AA174" s="1645"/>
      <c r="AB174" s="1645"/>
      <c r="AC174" s="164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5" t="s">
        <v>1473</v>
      </c>
      <c r="F176" s="1645"/>
      <c r="G176" s="1645"/>
      <c r="H176" s="1645"/>
      <c r="I176" s="1645"/>
      <c r="J176" s="1645"/>
      <c r="K176" s="1645"/>
      <c r="L176" s="1645"/>
      <c r="M176" s="1645"/>
      <c r="N176" s="1645"/>
      <c r="O176" s="1645"/>
      <c r="P176" s="1645"/>
      <c r="Q176" s="1645"/>
      <c r="R176" s="1645"/>
      <c r="S176" s="1645"/>
      <c r="T176" s="1645"/>
      <c r="U176" s="1645"/>
      <c r="V176" s="1645"/>
      <c r="W176" s="1645"/>
      <c r="X176" s="1645"/>
      <c r="Y176" s="1645"/>
      <c r="Z176" s="1645"/>
      <c r="AA176" s="1645"/>
      <c r="AB176" s="1645"/>
      <c r="AC176" s="1645"/>
      <c r="AE176" s="342"/>
      <c r="AF176" s="1111" t="s">
        <v>103</v>
      </c>
      <c r="AG176" s="1111"/>
      <c r="AH176" s="1111"/>
      <c r="AI176" s="1111"/>
      <c r="AJ176" s="1111"/>
      <c r="AK176" s="1111"/>
      <c r="AL176" s="1111"/>
      <c r="AM176" s="20"/>
      <c r="AN176" s="281"/>
      <c r="AO176" s="26" t="s">
        <v>281</v>
      </c>
      <c r="AP176" s="4">
        <v>1</v>
      </c>
    </row>
    <row r="177" spans="1:61" s="4" customFormat="1" ht="22.95" customHeight="1">
      <c r="A177" s="120"/>
      <c r="B177" s="5"/>
      <c r="C177" s="45"/>
      <c r="D177" s="26"/>
      <c r="E177" s="1645"/>
      <c r="F177" s="1645"/>
      <c r="G177" s="1645"/>
      <c r="H177" s="1645"/>
      <c r="I177" s="1645"/>
      <c r="J177" s="1645"/>
      <c r="K177" s="1645"/>
      <c r="L177" s="1645"/>
      <c r="M177" s="1645"/>
      <c r="N177" s="1645"/>
      <c r="O177" s="1645"/>
      <c r="P177" s="1645"/>
      <c r="Q177" s="1645"/>
      <c r="R177" s="1645"/>
      <c r="S177" s="1645"/>
      <c r="T177" s="1645"/>
      <c r="U177" s="1645"/>
      <c r="V177" s="1645"/>
      <c r="W177" s="1645"/>
      <c r="X177" s="1645"/>
      <c r="Y177" s="1645"/>
      <c r="Z177" s="1645"/>
      <c r="AA177" s="1645"/>
      <c r="AB177" s="1645"/>
      <c r="AC177" s="164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5" t="s">
        <v>1474</v>
      </c>
      <c r="F179" s="1645"/>
      <c r="G179" s="1645"/>
      <c r="H179" s="1645"/>
      <c r="I179" s="1645"/>
      <c r="J179" s="1645"/>
      <c r="K179" s="1645"/>
      <c r="L179" s="1645"/>
      <c r="M179" s="1645"/>
      <c r="N179" s="1645"/>
      <c r="O179" s="1645"/>
      <c r="P179" s="1645"/>
      <c r="Q179" s="1645"/>
      <c r="R179" s="1645"/>
      <c r="S179" s="1645"/>
      <c r="T179" s="1645"/>
      <c r="U179" s="1645"/>
      <c r="V179" s="1645"/>
      <c r="W179" s="1645"/>
      <c r="X179" s="1645"/>
      <c r="Y179" s="1645"/>
      <c r="Z179" s="1645"/>
      <c r="AA179" s="1645"/>
      <c r="AB179" s="1645"/>
      <c r="AC179" s="1645"/>
      <c r="AE179" s="342"/>
      <c r="AF179" s="1111" t="s">
        <v>319</v>
      </c>
      <c r="AG179" s="1111"/>
      <c r="AH179" s="1111"/>
      <c r="AI179" s="1111"/>
      <c r="AJ179" s="1111"/>
      <c r="AK179" s="1111"/>
      <c r="AL179" s="1111"/>
      <c r="AM179" s="20"/>
      <c r="AN179" s="281"/>
    </row>
    <row r="180" spans="1:61" s="4" customFormat="1" ht="22.95" customHeight="1">
      <c r="A180" s="120"/>
      <c r="B180" s="5"/>
      <c r="C180" s="45"/>
      <c r="D180" s="26"/>
      <c r="E180" s="1645"/>
      <c r="F180" s="1645"/>
      <c r="G180" s="1645"/>
      <c r="H180" s="1645"/>
      <c r="I180" s="1645"/>
      <c r="J180" s="1645"/>
      <c r="K180" s="1645"/>
      <c r="L180" s="1645"/>
      <c r="M180" s="1645"/>
      <c r="N180" s="1645"/>
      <c r="O180" s="1645"/>
      <c r="P180" s="1645"/>
      <c r="Q180" s="1645"/>
      <c r="R180" s="1645"/>
      <c r="S180" s="1645"/>
      <c r="T180" s="1645"/>
      <c r="U180" s="1645"/>
      <c r="V180" s="1645"/>
      <c r="W180" s="1645"/>
      <c r="X180" s="1645"/>
      <c r="Y180" s="1645"/>
      <c r="Z180" s="1645"/>
      <c r="AA180" s="1645"/>
      <c r="AB180" s="1645"/>
      <c r="AC180" s="164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2" t="s">
        <v>581</v>
      </c>
      <c r="I182" s="168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2317</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38" t="s">
        <v>61</v>
      </c>
      <c r="AG188" s="1138"/>
      <c r="AH188" s="1138"/>
      <c r="AI188" s="1138"/>
      <c r="AJ188" s="1138"/>
      <c r="AK188" s="1138"/>
      <c r="AL188" s="1138"/>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5" t="s">
        <v>2237</v>
      </c>
      <c r="F191" s="1645"/>
      <c r="G191" s="1645"/>
      <c r="H191" s="1645"/>
      <c r="I191" s="1645"/>
      <c r="J191" s="1645"/>
      <c r="K191" s="1645"/>
      <c r="L191" s="1645"/>
      <c r="M191" s="1645"/>
      <c r="N191" s="1645"/>
      <c r="O191" s="1645"/>
      <c r="P191" s="1645"/>
      <c r="Q191" s="1645"/>
      <c r="R191" s="1645"/>
      <c r="S191" s="1645"/>
      <c r="T191" s="1645"/>
      <c r="U191" s="1645"/>
      <c r="V191" s="1645"/>
      <c r="W191" s="1645"/>
      <c r="X191" s="1645"/>
      <c r="Y191" s="1645"/>
      <c r="Z191" s="1645"/>
      <c r="AA191" s="1645"/>
      <c r="AB191" s="1645"/>
      <c r="AF191" s="1111" t="s">
        <v>61</v>
      </c>
      <c r="AG191" s="1111"/>
      <c r="AH191" s="1111"/>
      <c r="AI191" s="1111"/>
      <c r="AJ191" s="1111"/>
      <c r="AK191" s="1111"/>
      <c r="AL191" s="1111"/>
      <c r="AN191" s="281"/>
      <c r="AO191" s="26" t="s">
        <v>581</v>
      </c>
      <c r="AP191" s="4">
        <v>3</v>
      </c>
    </row>
    <row r="192" spans="1:61" s="4" customFormat="1" ht="12.75" customHeight="1">
      <c r="B192" s="5"/>
      <c r="C192" s="121"/>
      <c r="E192" s="1645"/>
      <c r="F192" s="1645"/>
      <c r="G192" s="1645"/>
      <c r="H192" s="1645"/>
      <c r="I192" s="1645"/>
      <c r="J192" s="1645"/>
      <c r="K192" s="1645"/>
      <c r="L192" s="1645"/>
      <c r="M192" s="1645"/>
      <c r="N192" s="1645"/>
      <c r="O192" s="1645"/>
      <c r="P192" s="1645"/>
      <c r="Q192" s="1645"/>
      <c r="R192" s="1645"/>
      <c r="S192" s="1645"/>
      <c r="T192" s="1645"/>
      <c r="U192" s="1645"/>
      <c r="V192" s="1645"/>
      <c r="W192" s="1645"/>
      <c r="X192" s="1645"/>
      <c r="Y192" s="1645"/>
      <c r="Z192" s="1645"/>
      <c r="AA192" s="1645"/>
      <c r="AB192" s="1645"/>
      <c r="AE192" s="19"/>
      <c r="AF192" s="1111"/>
      <c r="AG192" s="1111"/>
      <c r="AH192" s="1111"/>
      <c r="AI192" s="1111"/>
      <c r="AJ192" s="1111"/>
      <c r="AK192" s="1111"/>
      <c r="AL192" s="1111"/>
      <c r="AN192" s="281"/>
      <c r="AO192" s="26" t="s">
        <v>197</v>
      </c>
      <c r="AP192" s="26">
        <f>3*$AO$197</f>
        <v>0</v>
      </c>
    </row>
    <row r="193" spans="1:53" s="4" customFormat="1" ht="12.75" customHeight="1">
      <c r="B193" s="5"/>
      <c r="C193" s="121"/>
      <c r="E193" s="1645"/>
      <c r="F193" s="1645"/>
      <c r="G193" s="1645"/>
      <c r="H193" s="1645"/>
      <c r="I193" s="1645"/>
      <c r="J193" s="1645"/>
      <c r="K193" s="1645"/>
      <c r="L193" s="1645"/>
      <c r="M193" s="1645"/>
      <c r="N193" s="1645"/>
      <c r="O193" s="1645"/>
      <c r="P193" s="1645"/>
      <c r="Q193" s="1645"/>
      <c r="R193" s="1645"/>
      <c r="S193" s="1645"/>
      <c r="T193" s="1645"/>
      <c r="U193" s="1645"/>
      <c r="V193" s="1645"/>
      <c r="W193" s="1645"/>
      <c r="X193" s="1645"/>
      <c r="Y193" s="1645"/>
      <c r="Z193" s="1645"/>
      <c r="AA193" s="1645"/>
      <c r="AB193" s="1645"/>
      <c r="AE193" s="19"/>
      <c r="AF193" s="102"/>
      <c r="AG193" s="19"/>
      <c r="AH193" s="19"/>
      <c r="AI193" s="19"/>
      <c r="AJ193" s="19"/>
      <c r="AK193" s="19"/>
      <c r="AL193" s="19"/>
      <c r="AN193" s="281"/>
      <c r="AO193" s="4" t="s">
        <v>890</v>
      </c>
      <c r="AP193" s="26">
        <f>2*$AO$197</f>
        <v>0</v>
      </c>
    </row>
    <row r="194" spans="1:53" s="4" customFormat="1" ht="6.75" customHeight="1">
      <c r="B194" s="5"/>
      <c r="C194" s="121"/>
      <c r="E194" s="1645"/>
      <c r="F194" s="1645"/>
      <c r="G194" s="1645"/>
      <c r="H194" s="1645"/>
      <c r="I194" s="1645"/>
      <c r="J194" s="1645"/>
      <c r="K194" s="1645"/>
      <c r="L194" s="1645"/>
      <c r="M194" s="1645"/>
      <c r="N194" s="1645"/>
      <c r="O194" s="1645"/>
      <c r="P194" s="1645"/>
      <c r="Q194" s="1645"/>
      <c r="R194" s="1645"/>
      <c r="S194" s="1645"/>
      <c r="T194" s="1645"/>
      <c r="U194" s="1645"/>
      <c r="V194" s="1645"/>
      <c r="W194" s="1645"/>
      <c r="X194" s="1645"/>
      <c r="Y194" s="1645"/>
      <c r="Z194" s="1645"/>
      <c r="AA194" s="1645"/>
      <c r="AB194" s="164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5" t="s">
        <v>2238</v>
      </c>
      <c r="F196" s="1645"/>
      <c r="G196" s="1645"/>
      <c r="H196" s="1645"/>
      <c r="I196" s="1645"/>
      <c r="J196" s="1645"/>
      <c r="K196" s="1645"/>
      <c r="L196" s="1645"/>
      <c r="M196" s="1645"/>
      <c r="N196" s="1645"/>
      <c r="O196" s="1645"/>
      <c r="P196" s="1645"/>
      <c r="Q196" s="1645"/>
      <c r="R196" s="1645"/>
      <c r="S196" s="1645"/>
      <c r="T196" s="1645"/>
      <c r="U196" s="1645"/>
      <c r="V196" s="1645"/>
      <c r="W196" s="1645"/>
      <c r="X196" s="1645"/>
      <c r="Y196" s="1645"/>
      <c r="Z196" s="1645"/>
      <c r="AA196" s="1645"/>
      <c r="AB196" s="1645"/>
      <c r="AF196" s="1111" t="s">
        <v>103</v>
      </c>
      <c r="AG196" s="1111"/>
      <c r="AH196" s="1111"/>
      <c r="AI196" s="1111"/>
      <c r="AJ196" s="1111"/>
      <c r="AK196" s="1111"/>
      <c r="AL196" s="1111"/>
      <c r="AN196" s="281"/>
      <c r="AY196" s="4" t="s">
        <v>2239</v>
      </c>
      <c r="AZ196" s="959">
        <f>Application!AC215</f>
        <v>46</v>
      </c>
    </row>
    <row r="197" spans="1:53" s="4" customFormat="1" ht="12.75" customHeight="1">
      <c r="B197" s="5"/>
      <c r="C197" s="45"/>
      <c r="E197" s="1645"/>
      <c r="F197" s="1645"/>
      <c r="G197" s="1645"/>
      <c r="H197" s="1645"/>
      <c r="I197" s="1645"/>
      <c r="J197" s="1645"/>
      <c r="K197" s="1645"/>
      <c r="L197" s="1645"/>
      <c r="M197" s="1645"/>
      <c r="N197" s="1645"/>
      <c r="O197" s="1645"/>
      <c r="P197" s="1645"/>
      <c r="Q197" s="1645"/>
      <c r="R197" s="1645"/>
      <c r="S197" s="1645"/>
      <c r="T197" s="1645"/>
      <c r="U197" s="1645"/>
      <c r="V197" s="1645"/>
      <c r="W197" s="1645"/>
      <c r="X197" s="1645"/>
      <c r="Y197" s="1645"/>
      <c r="Z197" s="1645"/>
      <c r="AA197" s="1645"/>
      <c r="AB197" s="1645"/>
      <c r="AD197" s="5"/>
      <c r="AE197" s="19"/>
      <c r="AF197" s="1111"/>
      <c r="AG197" s="1111"/>
      <c r="AH197" s="1111"/>
      <c r="AI197" s="1111"/>
      <c r="AJ197" s="1111"/>
      <c r="AK197" s="1111"/>
      <c r="AL197" s="1111"/>
      <c r="AN197" s="281"/>
      <c r="AO197" s="127" t="b">
        <f>IF(OR(Application!D214="Special Needs",Application!D211="At-Risk and Special Needs"),IF(Application!E217="Large Family",IF(BA203&gt;=0.25,TRUE,FALSE),IF(AZ203&gt;=0.25,TRUE,FALSE)))</f>
        <v>0</v>
      </c>
      <c r="AY197" s="4" t="s">
        <v>2240</v>
      </c>
      <c r="AZ197" s="959">
        <f>Application!G730</f>
        <v>46</v>
      </c>
    </row>
    <row r="198" spans="1:53" s="4" customFormat="1" ht="12.75" customHeight="1">
      <c r="B198" s="5"/>
      <c r="C198" s="45"/>
      <c r="E198" s="1645"/>
      <c r="F198" s="1645"/>
      <c r="G198" s="1645"/>
      <c r="H198" s="1645"/>
      <c r="I198" s="1645"/>
      <c r="J198" s="1645"/>
      <c r="K198" s="1645"/>
      <c r="L198" s="1645"/>
      <c r="M198" s="1645"/>
      <c r="N198" s="1645"/>
      <c r="O198" s="1645"/>
      <c r="P198" s="1645"/>
      <c r="Q198" s="1645"/>
      <c r="R198" s="1645"/>
      <c r="S198" s="1645"/>
      <c r="T198" s="1645"/>
      <c r="U198" s="1645"/>
      <c r="V198" s="1645"/>
      <c r="W198" s="1645"/>
      <c r="X198" s="1645"/>
      <c r="Y198" s="1645"/>
      <c r="Z198" s="1645"/>
      <c r="AA198" s="1645"/>
      <c r="AB198" s="1645"/>
      <c r="AD198" s="5"/>
      <c r="AE198" s="19"/>
      <c r="AN198" s="281"/>
      <c r="AY198" s="4" t="s">
        <v>2242</v>
      </c>
      <c r="AZ198" s="4">
        <f>Application!CC626</f>
        <v>0</v>
      </c>
    </row>
    <row r="199" spans="1:53" customFormat="1" ht="12.75" customHeight="1">
      <c r="A199" s="4"/>
      <c r="B199" s="5"/>
      <c r="C199" s="45"/>
      <c r="D199" s="4"/>
      <c r="E199" s="1645"/>
      <c r="F199" s="1645"/>
      <c r="G199" s="1645"/>
      <c r="H199" s="1645"/>
      <c r="I199" s="1645"/>
      <c r="J199" s="1645"/>
      <c r="K199" s="1645"/>
      <c r="L199" s="1645"/>
      <c r="M199" s="1645"/>
      <c r="N199" s="1645"/>
      <c r="O199" s="1645"/>
      <c r="P199" s="1645"/>
      <c r="Q199" s="1645"/>
      <c r="R199" s="1645"/>
      <c r="S199" s="1645"/>
      <c r="T199" s="1645"/>
      <c r="U199" s="1645"/>
      <c r="V199" s="1645"/>
      <c r="W199" s="1645"/>
      <c r="X199" s="1645"/>
      <c r="Y199" s="1645"/>
      <c r="Z199" s="1645"/>
      <c r="AA199" s="1645"/>
      <c r="AB199" s="1645"/>
      <c r="AC199" s="4"/>
      <c r="AD199" s="5"/>
      <c r="AE199" s="19"/>
      <c r="AF199" s="19"/>
      <c r="AG199" s="19"/>
      <c r="AH199" s="19"/>
      <c r="AI199" s="19"/>
      <c r="AJ199" s="4"/>
      <c r="AK199" s="4"/>
      <c r="AL199" s="4"/>
      <c r="AM199" s="4"/>
      <c r="AN199" s="204"/>
      <c r="AY199" s="4" t="s">
        <v>2243</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2" t="s">
        <v>2297</v>
      </c>
      <c r="F201" s="1692"/>
      <c r="G201" s="1692"/>
      <c r="H201" s="1692"/>
      <c r="I201" s="1692"/>
      <c r="J201" s="1692"/>
      <c r="K201" s="1692"/>
      <c r="L201" s="1692"/>
      <c r="M201" s="1692"/>
      <c r="N201" s="1692"/>
      <c r="O201" s="1692"/>
      <c r="P201" s="1692"/>
      <c r="Q201" s="1692"/>
      <c r="R201" s="1692"/>
      <c r="S201" s="1692"/>
      <c r="T201" s="1692"/>
      <c r="U201" s="1692"/>
      <c r="V201" s="1692"/>
      <c r="W201" s="1692"/>
      <c r="X201" s="1692"/>
      <c r="Y201" s="1692"/>
      <c r="Z201" s="1692"/>
      <c r="AA201" s="1692"/>
      <c r="AB201" s="1692"/>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2"/>
      <c r="F202" s="1692"/>
      <c r="G202" s="1692"/>
      <c r="H202" s="1692"/>
      <c r="I202" s="1692"/>
      <c r="J202" s="1692"/>
      <c r="K202" s="1692"/>
      <c r="L202" s="1692"/>
      <c r="M202" s="1692"/>
      <c r="N202" s="1692"/>
      <c r="O202" s="1692"/>
      <c r="P202" s="1692"/>
      <c r="Q202" s="1692"/>
      <c r="R202" s="1692"/>
      <c r="S202" s="1692"/>
      <c r="T202" s="1692"/>
      <c r="U202" s="1692"/>
      <c r="V202" s="1692"/>
      <c r="W202" s="1692"/>
      <c r="X202" s="1692"/>
      <c r="Y202" s="1692"/>
      <c r="Z202" s="1692"/>
      <c r="AA202" s="1692"/>
      <c r="AB202" s="1692"/>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2"/>
      <c r="F203" s="1692"/>
      <c r="G203" s="1692"/>
      <c r="H203" s="1692"/>
      <c r="I203" s="1692"/>
      <c r="J203" s="1692"/>
      <c r="K203" s="1692"/>
      <c r="L203" s="1692"/>
      <c r="M203" s="1692"/>
      <c r="N203" s="1692"/>
      <c r="O203" s="1692"/>
      <c r="P203" s="1692"/>
      <c r="Q203" s="1692"/>
      <c r="R203" s="1692"/>
      <c r="S203" s="1692"/>
      <c r="T203" s="1692"/>
      <c r="U203" s="1692"/>
      <c r="V203" s="1692"/>
      <c r="W203" s="1692"/>
      <c r="X203" s="1692"/>
      <c r="Y203" s="1692"/>
      <c r="Z203" s="1692"/>
      <c r="AA203" s="1692"/>
      <c r="AB203" s="1692"/>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82" t="s">
        <v>124</v>
      </c>
      <c r="I204" s="168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1" t="s">
        <v>61</v>
      </c>
      <c r="AG210" s="1691"/>
      <c r="AH210" s="1691"/>
      <c r="AI210" s="1691"/>
      <c r="AJ210" s="1691"/>
      <c r="AK210" s="1691"/>
      <c r="AL210" s="1691"/>
      <c r="AM210" s="4"/>
      <c r="AN210" s="204"/>
      <c r="AO210" s="4" t="s">
        <v>124</v>
      </c>
      <c r="AP210" s="472">
        <v>0</v>
      </c>
    </row>
    <row r="211" spans="1:52" customFormat="1" ht="12"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3.95"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197</v>
      </c>
      <c r="AP212" s="4">
        <v>2</v>
      </c>
    </row>
    <row r="213" spans="1:52" customFormat="1" ht="13.95" customHeight="1">
      <c r="A213" s="4"/>
      <c r="B213" s="5"/>
      <c r="C213" s="45"/>
      <c r="D213" s="26" t="s">
        <v>197</v>
      </c>
      <c r="E213" s="1690" t="s">
        <v>1255</v>
      </c>
      <c r="F213" s="1690"/>
      <c r="G213" s="1690"/>
      <c r="H213" s="1690"/>
      <c r="I213" s="1690"/>
      <c r="J213" s="1690"/>
      <c r="K213" s="1690"/>
      <c r="L213" s="1690"/>
      <c r="M213" s="1690"/>
      <c r="N213" s="1690"/>
      <c r="O213" s="1690"/>
      <c r="P213" s="1690"/>
      <c r="Q213" s="1690"/>
      <c r="R213" s="1690"/>
      <c r="S213" s="1690"/>
      <c r="T213" s="1690"/>
      <c r="U213" s="1690"/>
      <c r="V213" s="1690"/>
      <c r="W213" s="1690"/>
      <c r="X213" s="1690"/>
      <c r="Y213" s="1690"/>
      <c r="Z213" s="1690"/>
      <c r="AA213" s="1690"/>
      <c r="AB213" s="1690"/>
      <c r="AC213" s="4"/>
      <c r="AD213" s="4"/>
      <c r="AF213" s="1691" t="s">
        <v>103</v>
      </c>
      <c r="AG213" s="1691"/>
      <c r="AH213" s="1691"/>
      <c r="AI213" s="1691"/>
      <c r="AJ213" s="1691"/>
      <c r="AK213" s="1691"/>
      <c r="AL213" s="1691"/>
      <c r="AM213" s="4"/>
      <c r="AN213" s="673"/>
      <c r="AP213" s="21"/>
    </row>
    <row r="214" spans="1:52" customFormat="1" ht="12.75" customHeight="1">
      <c r="A214" s="4"/>
      <c r="B214" s="5"/>
      <c r="C214" s="115"/>
      <c r="D214" s="4"/>
      <c r="E214" s="1690"/>
      <c r="F214" s="1690"/>
      <c r="G214" s="1690"/>
      <c r="H214" s="1690"/>
      <c r="I214" s="1690"/>
      <c r="J214" s="1690"/>
      <c r="K214" s="1690"/>
      <c r="L214" s="1690"/>
      <c r="M214" s="1690"/>
      <c r="N214" s="1690"/>
      <c r="O214" s="1690"/>
      <c r="P214" s="1690"/>
      <c r="Q214" s="1690"/>
      <c r="R214" s="1690"/>
      <c r="S214" s="1690"/>
      <c r="T214" s="1690"/>
      <c r="U214" s="1690"/>
      <c r="V214" s="1690"/>
      <c r="W214" s="1690"/>
      <c r="X214" s="1690"/>
      <c r="Y214" s="1690"/>
      <c r="Z214" s="1690"/>
      <c r="AA214" s="1690"/>
      <c r="AB214" s="1690"/>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0"/>
      <c r="F215" s="1690"/>
      <c r="G215" s="1690"/>
      <c r="H215" s="1690"/>
      <c r="I215" s="1690"/>
      <c r="J215" s="1690"/>
      <c r="K215" s="1690"/>
      <c r="L215" s="1690"/>
      <c r="M215" s="1690"/>
      <c r="N215" s="1690"/>
      <c r="O215" s="1690"/>
      <c r="P215" s="1690"/>
      <c r="Q215" s="1690"/>
      <c r="R215" s="1690"/>
      <c r="S215" s="1690"/>
      <c r="T215" s="1690"/>
      <c r="U215" s="1690"/>
      <c r="V215" s="1690"/>
      <c r="W215" s="1690"/>
      <c r="X215" s="1690"/>
      <c r="Y215" s="1690"/>
      <c r="Z215" s="1690"/>
      <c r="AA215" s="1690"/>
      <c r="AB215" s="1690"/>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2" t="s">
        <v>124</v>
      </c>
      <c r="I216" s="168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5" t="s">
        <v>1490</v>
      </c>
      <c r="F222" s="1645"/>
      <c r="G222" s="1645"/>
      <c r="H222" s="1645"/>
      <c r="I222" s="1645"/>
      <c r="J222" s="1645"/>
      <c r="K222" s="1645"/>
      <c r="L222" s="1645"/>
      <c r="M222" s="1645"/>
      <c r="N222" s="1645"/>
      <c r="O222" s="1645"/>
      <c r="P222" s="1645"/>
      <c r="Q222" s="1645"/>
      <c r="R222" s="1645"/>
      <c r="S222" s="1645"/>
      <c r="T222" s="1645"/>
      <c r="U222" s="1645"/>
      <c r="V222" s="1645"/>
      <c r="W222" s="1645"/>
      <c r="X222" s="1645"/>
      <c r="Y222" s="1645"/>
      <c r="Z222" s="1645"/>
      <c r="AA222" s="1645"/>
      <c r="AB222" s="1645"/>
      <c r="AC222" s="4"/>
      <c r="AD222" s="4"/>
      <c r="AF222" s="1691" t="s">
        <v>61</v>
      </c>
      <c r="AG222" s="1691"/>
      <c r="AH222" s="1691"/>
      <c r="AI222" s="1691"/>
      <c r="AJ222" s="1691"/>
      <c r="AK222" s="1691"/>
      <c r="AL222" s="1691"/>
      <c r="AM222" s="4"/>
      <c r="AN222" s="204"/>
      <c r="AO222" s="38"/>
      <c r="AP222" s="21"/>
      <c r="AT222" s="21"/>
      <c r="AU222" s="21"/>
      <c r="AV222" s="21"/>
      <c r="AW222" s="21"/>
      <c r="AX222" s="21"/>
      <c r="AY222" s="21"/>
      <c r="AZ222" s="21"/>
    </row>
    <row r="223" spans="1:52" customFormat="1">
      <c r="A223" s="4"/>
      <c r="B223" s="5"/>
      <c r="C223" s="115"/>
      <c r="D223" s="26"/>
      <c r="E223" s="1645"/>
      <c r="F223" s="1645"/>
      <c r="G223" s="1645"/>
      <c r="H223" s="1645"/>
      <c r="I223" s="1645"/>
      <c r="J223" s="1645"/>
      <c r="K223" s="1645"/>
      <c r="L223" s="1645"/>
      <c r="M223" s="1645"/>
      <c r="N223" s="1645"/>
      <c r="O223" s="1645"/>
      <c r="P223" s="1645"/>
      <c r="Q223" s="1645"/>
      <c r="R223" s="1645"/>
      <c r="S223" s="1645"/>
      <c r="T223" s="1645"/>
      <c r="U223" s="1645"/>
      <c r="V223" s="1645"/>
      <c r="W223" s="1645"/>
      <c r="X223" s="1645"/>
      <c r="Y223" s="1645"/>
      <c r="Z223" s="1645"/>
      <c r="AA223" s="1645"/>
      <c r="AB223" s="164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5" t="s">
        <v>882</v>
      </c>
      <c r="F225" s="1645"/>
      <c r="G225" s="1645"/>
      <c r="H225" s="1645"/>
      <c r="I225" s="1645"/>
      <c r="J225" s="1645"/>
      <c r="K225" s="1645"/>
      <c r="L225" s="1645"/>
      <c r="M225" s="1645"/>
      <c r="N225" s="1645"/>
      <c r="O225" s="1645"/>
      <c r="P225" s="1645"/>
      <c r="Q225" s="1645"/>
      <c r="R225" s="1645"/>
      <c r="S225" s="1645"/>
      <c r="T225" s="1645"/>
      <c r="U225" s="1645"/>
      <c r="V225" s="1645"/>
      <c r="W225" s="1645"/>
      <c r="X225" s="1645"/>
      <c r="Y225" s="1645"/>
      <c r="Z225" s="1645"/>
      <c r="AA225" s="1645"/>
      <c r="AB225" s="1645"/>
      <c r="AC225" s="4"/>
      <c r="AD225" s="4"/>
      <c r="AF225" s="1691" t="s">
        <v>103</v>
      </c>
      <c r="AG225" s="1691"/>
      <c r="AH225" s="1691"/>
      <c r="AI225" s="1691"/>
      <c r="AJ225" s="1691"/>
      <c r="AK225" s="1691"/>
      <c r="AL225" s="1691"/>
      <c r="AM225" s="4"/>
      <c r="AN225" s="204"/>
      <c r="AO225" s="4" t="s">
        <v>124</v>
      </c>
      <c r="AP225" s="472">
        <v>0</v>
      </c>
      <c r="AT225" s="21"/>
      <c r="AU225" s="21"/>
      <c r="AV225" s="21"/>
      <c r="AW225" s="21"/>
      <c r="AX225" s="21"/>
      <c r="AY225" s="21"/>
      <c r="AZ225" s="21"/>
    </row>
    <row r="226" spans="1:82" customFormat="1">
      <c r="A226" s="4"/>
      <c r="B226" s="5"/>
      <c r="C226" s="115"/>
      <c r="D226" s="4"/>
      <c r="E226" s="1645"/>
      <c r="F226" s="1645"/>
      <c r="G226" s="1645"/>
      <c r="H226" s="1645"/>
      <c r="I226" s="1645"/>
      <c r="J226" s="1645"/>
      <c r="K226" s="1645"/>
      <c r="L226" s="1645"/>
      <c r="M226" s="1645"/>
      <c r="N226" s="1645"/>
      <c r="O226" s="1645"/>
      <c r="P226" s="1645"/>
      <c r="Q226" s="1645"/>
      <c r="R226" s="1645"/>
      <c r="S226" s="1645"/>
      <c r="T226" s="1645"/>
      <c r="U226" s="1645"/>
      <c r="V226" s="1645"/>
      <c r="W226" s="1645"/>
      <c r="X226" s="1645"/>
      <c r="Y226" s="1645"/>
      <c r="Z226" s="1645"/>
      <c r="AA226" s="1645"/>
      <c r="AB226" s="164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2" t="s">
        <v>124</v>
      </c>
      <c r="I228" s="168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5" t="s">
        <v>1123</v>
      </c>
      <c r="F234" s="1645"/>
      <c r="G234" s="1645"/>
      <c r="H234" s="1645"/>
      <c r="I234" s="1645"/>
      <c r="J234" s="1645"/>
      <c r="K234" s="1645"/>
      <c r="L234" s="1645"/>
      <c r="M234" s="1645"/>
      <c r="N234" s="1645"/>
      <c r="O234" s="1645"/>
      <c r="P234" s="1645"/>
      <c r="Q234" s="1645"/>
      <c r="R234" s="1645"/>
      <c r="S234" s="1645"/>
      <c r="T234" s="1645"/>
      <c r="U234" s="1645"/>
      <c r="V234" s="1645"/>
      <c r="W234" s="1645"/>
      <c r="X234" s="1645"/>
      <c r="Y234" s="1645"/>
      <c r="Z234" s="1645"/>
      <c r="AA234" s="1645"/>
      <c r="AB234" s="1645"/>
      <c r="AC234" s="4"/>
      <c r="AD234" s="4"/>
      <c r="AF234" s="1691" t="s">
        <v>61</v>
      </c>
      <c r="AG234" s="1691"/>
      <c r="AH234" s="1691"/>
      <c r="AI234" s="1691"/>
      <c r="AJ234" s="1691"/>
      <c r="AK234" s="1691"/>
      <c r="AL234" s="1691"/>
      <c r="AM234" s="4"/>
      <c r="AN234" s="204"/>
      <c r="AT234" s="21"/>
      <c r="AU234" s="21"/>
      <c r="AV234" s="21"/>
      <c r="AW234" s="21"/>
      <c r="AX234" s="21"/>
      <c r="AY234" s="21"/>
      <c r="AZ234" s="21"/>
    </row>
    <row r="235" spans="1:82" customFormat="1">
      <c r="A235" s="4"/>
      <c r="B235" s="5"/>
      <c r="C235" s="115"/>
      <c r="D235" s="26"/>
      <c r="E235" s="1645"/>
      <c r="F235" s="1645"/>
      <c r="G235" s="1645"/>
      <c r="H235" s="1645"/>
      <c r="I235" s="1645"/>
      <c r="J235" s="1645"/>
      <c r="K235" s="1645"/>
      <c r="L235" s="1645"/>
      <c r="M235" s="1645"/>
      <c r="N235" s="1645"/>
      <c r="O235" s="1645"/>
      <c r="P235" s="1645"/>
      <c r="Q235" s="1645"/>
      <c r="R235" s="1645"/>
      <c r="S235" s="1645"/>
      <c r="T235" s="1645"/>
      <c r="U235" s="1645"/>
      <c r="V235" s="1645"/>
      <c r="W235" s="1645"/>
      <c r="X235" s="1645"/>
      <c r="Y235" s="1645"/>
      <c r="Z235" s="1645"/>
      <c r="AA235" s="1645"/>
      <c r="AB235" s="1645"/>
      <c r="AC235" s="4"/>
      <c r="AD235" s="4"/>
      <c r="AL235" s="4"/>
      <c r="AM235" s="4"/>
      <c r="AN235" s="204"/>
    </row>
    <row r="236" spans="1:82" customFormat="1" ht="12.75" customHeight="1">
      <c r="A236" s="4"/>
      <c r="B236" s="5"/>
      <c r="C236" s="115"/>
      <c r="D236" s="26"/>
      <c r="E236" s="1645"/>
      <c r="F236" s="1645"/>
      <c r="G236" s="1645"/>
      <c r="H236" s="1645"/>
      <c r="I236" s="1645"/>
      <c r="J236" s="1645"/>
      <c r="K236" s="1645"/>
      <c r="L236" s="1645"/>
      <c r="M236" s="1645"/>
      <c r="N236" s="1645"/>
      <c r="O236" s="1645"/>
      <c r="P236" s="1645"/>
      <c r="Q236" s="1645"/>
      <c r="R236" s="1645"/>
      <c r="S236" s="1645"/>
      <c r="T236" s="1645"/>
      <c r="U236" s="1645"/>
      <c r="V236" s="1645"/>
      <c r="W236" s="1645"/>
      <c r="X236" s="1645"/>
      <c r="Y236" s="1645"/>
      <c r="Z236" s="1645"/>
      <c r="AA236" s="1645"/>
      <c r="AB236" s="164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5" t="s">
        <v>1124</v>
      </c>
      <c r="F238" s="1645"/>
      <c r="G238" s="1645"/>
      <c r="H238" s="1645"/>
      <c r="I238" s="1645"/>
      <c r="J238" s="1645"/>
      <c r="K238" s="1645"/>
      <c r="L238" s="1645"/>
      <c r="M238" s="1645"/>
      <c r="N238" s="1645"/>
      <c r="O238" s="1645"/>
      <c r="P238" s="1645"/>
      <c r="Q238" s="1645"/>
      <c r="R238" s="1645"/>
      <c r="S238" s="1645"/>
      <c r="T238" s="1645"/>
      <c r="U238" s="1645"/>
      <c r="V238" s="1645"/>
      <c r="W238" s="1645"/>
      <c r="X238" s="1645"/>
      <c r="Y238" s="1645"/>
      <c r="Z238" s="1645"/>
      <c r="AA238" s="1645"/>
      <c r="AB238" s="343"/>
      <c r="AC238" s="4"/>
      <c r="AD238" s="4"/>
      <c r="AF238" s="1691" t="s">
        <v>103</v>
      </c>
      <c r="AG238" s="1691"/>
      <c r="AH238" s="1691"/>
      <c r="AI238" s="1691"/>
      <c r="AJ238" s="1691"/>
      <c r="AK238" s="1691"/>
      <c r="AL238" s="1691"/>
      <c r="AM238" s="4"/>
      <c r="AN238" s="204"/>
      <c r="AO238" s="38"/>
      <c r="AP238" s="21"/>
    </row>
    <row r="239" spans="1:82" customFormat="1">
      <c r="A239" s="4"/>
      <c r="B239" s="5"/>
      <c r="C239" s="45"/>
      <c r="D239" s="4"/>
      <c r="E239" s="1645"/>
      <c r="F239" s="1645"/>
      <c r="G239" s="1645"/>
      <c r="H239" s="1645"/>
      <c r="I239" s="1645"/>
      <c r="J239" s="1645"/>
      <c r="K239" s="1645"/>
      <c r="L239" s="1645"/>
      <c r="M239" s="1645"/>
      <c r="N239" s="1645"/>
      <c r="O239" s="1645"/>
      <c r="P239" s="1645"/>
      <c r="Q239" s="1645"/>
      <c r="R239" s="1645"/>
      <c r="S239" s="1645"/>
      <c r="T239" s="1645"/>
      <c r="U239" s="1645"/>
      <c r="V239" s="1645"/>
      <c r="W239" s="1645"/>
      <c r="X239" s="1645"/>
      <c r="Y239" s="1645"/>
      <c r="Z239" s="1645"/>
      <c r="AA239" s="164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5"/>
      <c r="F240" s="1645"/>
      <c r="G240" s="1645"/>
      <c r="H240" s="1645"/>
      <c r="I240" s="1645"/>
      <c r="J240" s="1645"/>
      <c r="K240" s="1645"/>
      <c r="L240" s="1645"/>
      <c r="M240" s="1645"/>
      <c r="N240" s="1645"/>
      <c r="O240" s="1645"/>
      <c r="P240" s="1645"/>
      <c r="Q240" s="1645"/>
      <c r="R240" s="1645"/>
      <c r="S240" s="1645"/>
      <c r="T240" s="1645"/>
      <c r="U240" s="1645"/>
      <c r="V240" s="1645"/>
      <c r="W240" s="1645"/>
      <c r="X240" s="1645"/>
      <c r="Y240" s="1645"/>
      <c r="Z240" s="1645"/>
      <c r="AA240" s="164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2" t="s">
        <v>124</v>
      </c>
      <c r="I242" s="168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5" t="s">
        <v>318</v>
      </c>
      <c r="F248" s="1645"/>
      <c r="G248" s="1645"/>
      <c r="H248" s="1645"/>
      <c r="I248" s="1645"/>
      <c r="J248" s="1645"/>
      <c r="K248" s="1645"/>
      <c r="L248" s="1645"/>
      <c r="M248" s="1645"/>
      <c r="N248" s="1645"/>
      <c r="O248" s="1645"/>
      <c r="P248" s="1645"/>
      <c r="Q248" s="1645"/>
      <c r="R248" s="1645"/>
      <c r="S248" s="1645"/>
      <c r="T248" s="1645"/>
      <c r="U248" s="1645"/>
      <c r="V248" s="1645"/>
      <c r="W248" s="1645"/>
      <c r="X248" s="1645"/>
      <c r="Y248" s="1645"/>
      <c r="Z248" s="1645"/>
      <c r="AA248" s="1645"/>
      <c r="AB248" s="1645"/>
      <c r="AC248" s="4"/>
      <c r="AD248" s="4"/>
      <c r="AF248" s="1691" t="s">
        <v>103</v>
      </c>
      <c r="AG248" s="1691"/>
      <c r="AH248" s="1691"/>
      <c r="AI248" s="1691"/>
      <c r="AJ248" s="1691"/>
      <c r="AK248" s="1691"/>
      <c r="AL248" s="169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5"/>
      <c r="F249" s="1645"/>
      <c r="G249" s="1645"/>
      <c r="H249" s="1645"/>
      <c r="I249" s="1645"/>
      <c r="J249" s="1645"/>
      <c r="K249" s="1645"/>
      <c r="L249" s="1645"/>
      <c r="M249" s="1645"/>
      <c r="N249" s="1645"/>
      <c r="O249" s="1645"/>
      <c r="P249" s="1645"/>
      <c r="Q249" s="1645"/>
      <c r="R249" s="1645"/>
      <c r="S249" s="1645"/>
      <c r="T249" s="1645"/>
      <c r="U249" s="1645"/>
      <c r="V249" s="1645"/>
      <c r="W249" s="1645"/>
      <c r="X249" s="1645"/>
      <c r="Y249" s="1645"/>
      <c r="Z249" s="1645"/>
      <c r="AA249" s="1645"/>
      <c r="AB249" s="164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5" t="s">
        <v>1256</v>
      </c>
      <c r="F251" s="1645"/>
      <c r="G251" s="1645"/>
      <c r="H251" s="1645"/>
      <c r="I251" s="1645"/>
      <c r="J251" s="1645"/>
      <c r="K251" s="1645"/>
      <c r="L251" s="1645"/>
      <c r="M251" s="1645"/>
      <c r="N251" s="1645"/>
      <c r="O251" s="1645"/>
      <c r="P251" s="1645"/>
      <c r="Q251" s="1645"/>
      <c r="R251" s="1645"/>
      <c r="S251" s="1645"/>
      <c r="T251" s="1645"/>
      <c r="U251" s="1645"/>
      <c r="V251" s="1645"/>
      <c r="W251" s="1645"/>
      <c r="X251" s="1645"/>
      <c r="Y251" s="1645"/>
      <c r="Z251" s="1645"/>
      <c r="AA251" s="1645"/>
      <c r="AB251" s="1645"/>
      <c r="AC251" s="4"/>
      <c r="AD251" s="4"/>
      <c r="AF251" s="1691" t="s">
        <v>319</v>
      </c>
      <c r="AG251" s="1691"/>
      <c r="AH251" s="1691"/>
      <c r="AI251" s="1691"/>
      <c r="AJ251" s="1691"/>
      <c r="AK251" s="1691"/>
      <c r="AL251" s="169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5"/>
      <c r="F252" s="1645"/>
      <c r="G252" s="1645"/>
      <c r="H252" s="1645"/>
      <c r="I252" s="1645"/>
      <c r="J252" s="1645"/>
      <c r="K252" s="1645"/>
      <c r="L252" s="1645"/>
      <c r="M252" s="1645"/>
      <c r="N252" s="1645"/>
      <c r="O252" s="1645"/>
      <c r="P252" s="1645"/>
      <c r="Q252" s="1645"/>
      <c r="R252" s="1645"/>
      <c r="S252" s="1645"/>
      <c r="T252" s="1645"/>
      <c r="U252" s="1645"/>
      <c r="V252" s="1645"/>
      <c r="W252" s="1645"/>
      <c r="X252" s="1645"/>
      <c r="Y252" s="1645"/>
      <c r="Z252" s="1645"/>
      <c r="AA252" s="1645"/>
      <c r="AB252" s="164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2" t="s">
        <v>581</v>
      </c>
      <c r="I254" s="168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5" customHeight="1">
      <c r="A260" s="4"/>
      <c r="B260" s="102"/>
      <c r="C260" s="137"/>
      <c r="D260" s="26" t="s">
        <v>581</v>
      </c>
      <c r="E260" s="1645" t="s">
        <v>1952</v>
      </c>
      <c r="F260" s="1645"/>
      <c r="G260" s="1645"/>
      <c r="H260" s="1645"/>
      <c r="I260" s="1645"/>
      <c r="J260" s="1645"/>
      <c r="K260" s="1645"/>
      <c r="L260" s="1645"/>
      <c r="M260" s="1645"/>
      <c r="N260" s="1645"/>
      <c r="O260" s="1645"/>
      <c r="P260" s="1645"/>
      <c r="Q260" s="1645"/>
      <c r="R260" s="1645"/>
      <c r="S260" s="1645"/>
      <c r="T260" s="1645"/>
      <c r="U260" s="1645"/>
      <c r="V260" s="1645"/>
      <c r="W260" s="1645"/>
      <c r="X260" s="1645"/>
      <c r="Y260" s="1645"/>
      <c r="Z260" s="1645"/>
      <c r="AA260" s="1645"/>
      <c r="AB260" s="1645"/>
      <c r="AC260" s="1645"/>
      <c r="AD260" s="1645"/>
      <c r="AF260" s="1691" t="s">
        <v>103</v>
      </c>
      <c r="AG260" s="1691"/>
      <c r="AH260" s="1691"/>
      <c r="AI260" s="1691"/>
      <c r="AJ260" s="1691"/>
      <c r="AK260" s="1691"/>
      <c r="AL260" s="1691"/>
      <c r="AM260" s="104"/>
      <c r="AN260" s="204"/>
      <c r="AO260" s="4" t="s">
        <v>124</v>
      </c>
      <c r="AP260" s="472">
        <v>0</v>
      </c>
    </row>
    <row r="261" spans="1:82" customFormat="1">
      <c r="A261" s="4"/>
      <c r="B261" s="102"/>
      <c r="C261" s="137"/>
      <c r="D261" s="26"/>
      <c r="E261" s="1645"/>
      <c r="F261" s="1645"/>
      <c r="G261" s="1645"/>
      <c r="H261" s="1645"/>
      <c r="I261" s="1645"/>
      <c r="J261" s="1645"/>
      <c r="K261" s="1645"/>
      <c r="L261" s="1645"/>
      <c r="M261" s="1645"/>
      <c r="N261" s="1645"/>
      <c r="O261" s="1645"/>
      <c r="P261" s="1645"/>
      <c r="Q261" s="1645"/>
      <c r="R261" s="1645"/>
      <c r="S261" s="1645"/>
      <c r="T261" s="1645"/>
      <c r="U261" s="1645"/>
      <c r="V261" s="1645"/>
      <c r="W261" s="1645"/>
      <c r="X261" s="1645"/>
      <c r="Y261" s="1645"/>
      <c r="Z261" s="1645"/>
      <c r="AA261" s="1645"/>
      <c r="AB261" s="1645"/>
      <c r="AC261" s="1645"/>
      <c r="AD261" s="1645"/>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45"/>
      <c r="F262" s="1645"/>
      <c r="G262" s="1645"/>
      <c r="H262" s="1645"/>
      <c r="I262" s="1645"/>
      <c r="J262" s="1645"/>
      <c r="K262" s="1645"/>
      <c r="L262" s="1645"/>
      <c r="M262" s="1645"/>
      <c r="N262" s="1645"/>
      <c r="O262" s="1645"/>
      <c r="P262" s="1645"/>
      <c r="Q262" s="1645"/>
      <c r="R262" s="1645"/>
      <c r="S262" s="1645"/>
      <c r="T262" s="1645"/>
      <c r="U262" s="1645"/>
      <c r="V262" s="1645"/>
      <c r="W262" s="1645"/>
      <c r="X262" s="1645"/>
      <c r="Y262" s="1645"/>
      <c r="Z262" s="1645"/>
      <c r="AA262" s="1645"/>
      <c r="AB262" s="1645"/>
      <c r="AC262" s="1645"/>
      <c r="AD262" s="164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1" t="s">
        <v>1953</v>
      </c>
      <c r="F264" s="1681"/>
      <c r="G264" s="1681"/>
      <c r="H264" s="1681"/>
      <c r="I264" s="1681"/>
      <c r="J264" s="1681"/>
      <c r="K264" s="1681"/>
      <c r="L264" s="1681"/>
      <c r="M264" s="1681"/>
      <c r="N264" s="1681"/>
      <c r="O264" s="1681"/>
      <c r="P264" s="1681"/>
      <c r="Q264" s="1681"/>
      <c r="R264" s="1681"/>
      <c r="S264" s="1681"/>
      <c r="T264" s="1681"/>
      <c r="U264" s="1681"/>
      <c r="V264" s="1681"/>
      <c r="W264" s="1681"/>
      <c r="X264" s="1681"/>
      <c r="Y264" s="1681"/>
      <c r="Z264" s="1681"/>
      <c r="AA264" s="1681"/>
      <c r="AB264" s="1681"/>
      <c r="AC264" s="1681"/>
      <c r="AD264" s="1681"/>
      <c r="AF264" s="1691" t="s">
        <v>61</v>
      </c>
      <c r="AG264" s="1691"/>
      <c r="AH264" s="1691"/>
      <c r="AI264" s="1691"/>
      <c r="AJ264" s="1691"/>
      <c r="AK264" s="1691"/>
      <c r="AL264" s="1691"/>
      <c r="AM264" s="104"/>
      <c r="AN264" s="281"/>
    </row>
    <row r="265" spans="1:82" s="4" customFormat="1" ht="12.75" customHeight="1">
      <c r="B265" s="102"/>
      <c r="C265" s="137"/>
      <c r="D265" s="26"/>
      <c r="E265" s="1681"/>
      <c r="F265" s="1681"/>
      <c r="G265" s="1681"/>
      <c r="H265" s="1681"/>
      <c r="I265" s="1681"/>
      <c r="J265" s="1681"/>
      <c r="K265" s="1681"/>
      <c r="L265" s="1681"/>
      <c r="M265" s="1681"/>
      <c r="N265" s="1681"/>
      <c r="O265" s="1681"/>
      <c r="P265" s="1681"/>
      <c r="Q265" s="1681"/>
      <c r="R265" s="1681"/>
      <c r="S265" s="1681"/>
      <c r="T265" s="1681"/>
      <c r="U265" s="1681"/>
      <c r="V265" s="1681"/>
      <c r="W265" s="1681"/>
      <c r="X265" s="1681"/>
      <c r="Y265" s="1681"/>
      <c r="Z265" s="1681"/>
      <c r="AA265" s="1681"/>
      <c r="AB265" s="1681"/>
      <c r="AC265" s="1681"/>
      <c r="AD265" s="1681"/>
      <c r="AE265" s="108"/>
      <c r="AF265" s="108"/>
      <c r="AG265" s="108"/>
      <c r="AH265" s="108"/>
      <c r="AI265" s="108"/>
      <c r="AJ265" s="108"/>
      <c r="AK265" s="108"/>
      <c r="AL265" s="108"/>
      <c r="AM265" s="104"/>
      <c r="AN265" s="281"/>
    </row>
    <row r="266" spans="1:82" s="4" customFormat="1" ht="12.75" customHeight="1">
      <c r="B266" s="102"/>
      <c r="C266" s="137"/>
      <c r="D266" s="26"/>
      <c r="E266" s="1681"/>
      <c r="F266" s="1681"/>
      <c r="G266" s="1681"/>
      <c r="H266" s="1681"/>
      <c r="I266" s="1681"/>
      <c r="J266" s="1681"/>
      <c r="K266" s="1681"/>
      <c r="L266" s="1681"/>
      <c r="M266" s="1681"/>
      <c r="N266" s="1681"/>
      <c r="O266" s="1681"/>
      <c r="P266" s="1681"/>
      <c r="Q266" s="1681"/>
      <c r="R266" s="1681"/>
      <c r="S266" s="1681"/>
      <c r="T266" s="1681"/>
      <c r="U266" s="1681"/>
      <c r="V266" s="1681"/>
      <c r="W266" s="1681"/>
      <c r="X266" s="1681"/>
      <c r="Y266" s="1681"/>
      <c r="Z266" s="1681"/>
      <c r="AA266" s="1681"/>
      <c r="AB266" s="1681"/>
      <c r="AC266" s="1681"/>
      <c r="AD266" s="1681"/>
      <c r="AE266" s="108"/>
      <c r="AF266" s="108"/>
      <c r="AG266" s="108"/>
      <c r="AH266" s="108"/>
      <c r="AI266" s="108"/>
      <c r="AJ266" s="108"/>
      <c r="AK266" s="108"/>
      <c r="AL266" s="108"/>
      <c r="AM266" s="104"/>
      <c r="AN266" s="281"/>
    </row>
    <row r="267" spans="1:82" s="4" customFormat="1" ht="12.75" customHeight="1">
      <c r="B267" s="102"/>
      <c r="C267" s="137"/>
      <c r="D267" s="26"/>
      <c r="E267" s="1681"/>
      <c r="F267" s="1681"/>
      <c r="G267" s="1681"/>
      <c r="H267" s="1681"/>
      <c r="I267" s="1681"/>
      <c r="J267" s="1681"/>
      <c r="K267" s="1681"/>
      <c r="L267" s="1681"/>
      <c r="M267" s="1681"/>
      <c r="N267" s="1681"/>
      <c r="O267" s="1681"/>
      <c r="P267" s="1681"/>
      <c r="Q267" s="1681"/>
      <c r="R267" s="1681"/>
      <c r="S267" s="1681"/>
      <c r="T267" s="1681"/>
      <c r="U267" s="1681"/>
      <c r="V267" s="1681"/>
      <c r="W267" s="1681"/>
      <c r="X267" s="1681"/>
      <c r="Y267" s="1681"/>
      <c r="Z267" s="1681"/>
      <c r="AA267" s="1681"/>
      <c r="AB267" s="1681"/>
      <c r="AC267" s="1681"/>
      <c r="AD267" s="16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2" t="s">
        <v>124</v>
      </c>
      <c r="I269" s="168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95" customHeight="1">
      <c r="A275" s="4"/>
      <c r="B275" s="102"/>
      <c r="C275" s="137"/>
      <c r="D275" s="26" t="s">
        <v>581</v>
      </c>
      <c r="E275" s="1645" t="s">
        <v>2212</v>
      </c>
      <c r="F275" s="1645"/>
      <c r="G275" s="1645"/>
      <c r="H275" s="1645"/>
      <c r="I275" s="1645"/>
      <c r="J275" s="1645"/>
      <c r="K275" s="1645"/>
      <c r="L275" s="1645"/>
      <c r="M275" s="1645"/>
      <c r="N275" s="1645"/>
      <c r="O275" s="1645"/>
      <c r="P275" s="1645"/>
      <c r="Q275" s="1645"/>
      <c r="R275" s="1645"/>
      <c r="S275" s="1645"/>
      <c r="T275" s="1645"/>
      <c r="U275" s="1645"/>
      <c r="V275" s="1645"/>
      <c r="W275" s="1645"/>
      <c r="X275" s="1645"/>
      <c r="Y275" s="1645"/>
      <c r="Z275" s="1645"/>
      <c r="AA275" s="1645"/>
      <c r="AB275" s="1645"/>
      <c r="AC275" s="1645"/>
      <c r="AD275" s="1645"/>
      <c r="AF275" s="1691" t="s">
        <v>1633</v>
      </c>
      <c r="AG275" s="1691"/>
      <c r="AH275" s="1691"/>
      <c r="AI275" s="1691"/>
      <c r="AJ275" s="1691"/>
      <c r="AK275" s="1691"/>
      <c r="AL275" s="1691"/>
      <c r="AM275" s="104"/>
      <c r="AN275" s="204"/>
      <c r="AO275" s="26" t="s">
        <v>108</v>
      </c>
      <c r="AP275" s="4">
        <v>8</v>
      </c>
      <c r="AT275" s="428"/>
      <c r="AU275" s="428"/>
      <c r="AV275" s="428"/>
      <c r="AW275" s="428"/>
      <c r="AX275" s="428"/>
      <c r="AY275" s="428"/>
      <c r="AZ275" s="428"/>
    </row>
    <row r="276" spans="1:82" customFormat="1">
      <c r="A276" s="4"/>
      <c r="B276" s="102"/>
      <c r="C276" s="137"/>
      <c r="D276" s="26"/>
      <c r="E276" s="1645"/>
      <c r="F276" s="1645"/>
      <c r="G276" s="1645"/>
      <c r="H276" s="1645"/>
      <c r="I276" s="1645"/>
      <c r="J276" s="1645"/>
      <c r="K276" s="1645"/>
      <c r="L276" s="1645"/>
      <c r="M276" s="1645"/>
      <c r="N276" s="1645"/>
      <c r="O276" s="1645"/>
      <c r="P276" s="1645"/>
      <c r="Q276" s="1645"/>
      <c r="R276" s="1645"/>
      <c r="S276" s="1645"/>
      <c r="T276" s="1645"/>
      <c r="U276" s="1645"/>
      <c r="V276" s="1645"/>
      <c r="W276" s="1645"/>
      <c r="X276" s="1645"/>
      <c r="Y276" s="1645"/>
      <c r="Z276" s="1645"/>
      <c r="AA276" s="1645"/>
      <c r="AB276" s="1645"/>
      <c r="AC276" s="1645"/>
      <c r="AD276" s="164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5"/>
      <c r="F277" s="1645"/>
      <c r="G277" s="1645"/>
      <c r="H277" s="1645"/>
      <c r="I277" s="1645"/>
      <c r="J277" s="1645"/>
      <c r="K277" s="1645"/>
      <c r="L277" s="1645"/>
      <c r="M277" s="1645"/>
      <c r="N277" s="1645"/>
      <c r="O277" s="1645"/>
      <c r="P277" s="1645"/>
      <c r="Q277" s="1645"/>
      <c r="R277" s="1645"/>
      <c r="S277" s="1645"/>
      <c r="T277" s="1645"/>
      <c r="U277" s="1645"/>
      <c r="V277" s="1645"/>
      <c r="W277" s="1645"/>
      <c r="X277" s="1645"/>
      <c r="Y277" s="1645"/>
      <c r="Z277" s="1645"/>
      <c r="AA277" s="1645"/>
      <c r="AB277" s="1645"/>
      <c r="AC277" s="1645"/>
      <c r="AD277" s="164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2" t="s">
        <v>124</v>
      </c>
      <c r="I279" s="168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18</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99" t="s">
        <v>2447</v>
      </c>
      <c r="I287" s="1056"/>
      <c r="J287" s="1056"/>
      <c r="K287" s="1056"/>
      <c r="L287" s="1056"/>
      <c r="M287" s="1056"/>
      <c r="N287" s="1056"/>
      <c r="O287" s="1056"/>
      <c r="P287" s="1056"/>
      <c r="Q287" s="1056"/>
      <c r="R287" s="1056"/>
      <c r="S287"/>
      <c r="T287" s="41" t="s">
        <v>89</v>
      </c>
      <c r="U287"/>
      <c r="V287" s="41"/>
      <c r="W287" s="41"/>
      <c r="X287" s="41"/>
      <c r="Y287" s="41"/>
      <c r="Z287"/>
      <c r="AA287" s="1099" t="s">
        <v>2453</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100" t="s">
        <v>2449</v>
      </c>
      <c r="I288" s="1054"/>
      <c r="J288" s="1054"/>
      <c r="K288" s="1054"/>
      <c r="L288" s="1054"/>
      <c r="M288" s="1054"/>
      <c r="N288" s="1054"/>
      <c r="O288" s="1054"/>
      <c r="P288" s="1054"/>
      <c r="Q288" s="1054"/>
      <c r="R288" s="1054"/>
      <c r="S288"/>
      <c r="T288" s="41" t="s">
        <v>699</v>
      </c>
      <c r="U288"/>
      <c r="V288" s="41"/>
      <c r="W288" s="41"/>
      <c r="X288" s="41"/>
      <c r="Y288" s="41"/>
      <c r="Z288"/>
      <c r="AA288" s="1100" t="s">
        <v>2456</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100" t="s">
        <v>2448</v>
      </c>
      <c r="I289" s="1054"/>
      <c r="J289" s="1054"/>
      <c r="K289" s="1054"/>
      <c r="L289" s="1054"/>
      <c r="M289" s="1054"/>
      <c r="N289" s="1054"/>
      <c r="O289" s="1054"/>
      <c r="P289" s="1054"/>
      <c r="Q289" s="1054"/>
      <c r="R289" s="1054"/>
      <c r="S289"/>
      <c r="T289" s="41" t="s">
        <v>99</v>
      </c>
      <c r="U289"/>
      <c r="V289" s="41"/>
      <c r="W289" s="41"/>
      <c r="X289" s="41"/>
      <c r="Y289" s="41"/>
      <c r="Z289"/>
      <c r="AA289" s="1100" t="s">
        <v>2448</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375</v>
      </c>
      <c r="C290" s="41"/>
      <c r="D290" s="41"/>
      <c r="E290" s="41"/>
      <c r="F290" s="41"/>
      <c r="G290"/>
      <c r="H290" s="1100" t="s">
        <v>2452</v>
      </c>
      <c r="I290" s="1054"/>
      <c r="J290" s="1054"/>
      <c r="K290" s="1054"/>
      <c r="L290" s="1054"/>
      <c r="M290" s="1054"/>
      <c r="N290" s="1054"/>
      <c r="O290" s="1054"/>
      <c r="P290" s="1054"/>
      <c r="Q290" s="1054"/>
      <c r="R290" s="1054"/>
      <c r="S290"/>
      <c r="T290" s="41" t="s">
        <v>375</v>
      </c>
      <c r="U290"/>
      <c r="V290" s="41"/>
      <c r="W290" s="41"/>
      <c r="X290" s="41"/>
      <c r="Y290" s="41"/>
      <c r="Z290"/>
      <c r="AA290" s="1100" t="s">
        <v>2457</v>
      </c>
      <c r="AB290" s="1054"/>
      <c r="AC290" s="1054"/>
      <c r="AD290" s="1054"/>
      <c r="AE290" s="1054"/>
      <c r="AF290" s="1054"/>
      <c r="AG290" s="1054"/>
      <c r="AH290" s="1054"/>
      <c r="AI290" s="1054"/>
      <c r="AJ290" s="1054"/>
      <c r="AK290" s="1054"/>
      <c r="AL290" s="10"/>
      <c r="AN290" s="281"/>
      <c r="AO290" s="211"/>
      <c r="AP290" t="s">
        <v>348</v>
      </c>
    </row>
    <row r="291" spans="1:42" s="4" customFormat="1" ht="12.75" customHeight="1">
      <c r="B291" s="41" t="s">
        <v>376</v>
      </c>
      <c r="C291" s="41"/>
      <c r="D291" s="41"/>
      <c r="E291" s="41"/>
      <c r="F291" s="41"/>
      <c r="G291" s="41"/>
      <c r="H291" s="1117" t="s">
        <v>2451</v>
      </c>
      <c r="I291" s="1057"/>
      <c r="J291" s="1057"/>
      <c r="K291" s="1057"/>
      <c r="L291" s="1057"/>
      <c r="M291" s="1057"/>
      <c r="N291" s="5" t="s">
        <v>818</v>
      </c>
      <c r="O291" s="5"/>
      <c r="P291" s="1053"/>
      <c r="Q291" s="1053"/>
      <c r="R291" s="1053"/>
      <c r="S291" s="41"/>
      <c r="T291" s="41" t="s">
        <v>376</v>
      </c>
      <c r="U291"/>
      <c r="V291" s="41"/>
      <c r="W291" s="41"/>
      <c r="X291" s="41"/>
      <c r="Y291" s="41"/>
      <c r="Z291"/>
      <c r="AA291" s="1117" t="s">
        <v>2454</v>
      </c>
      <c r="AB291" s="1057"/>
      <c r="AC291" s="1057"/>
      <c r="AD291" s="1057"/>
      <c r="AE291" s="1057"/>
      <c r="AF291" s="1057"/>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100" t="s">
        <v>2450</v>
      </c>
      <c r="I293" s="1054"/>
      <c r="J293" s="1054"/>
      <c r="K293" s="1054"/>
      <c r="L293" s="1054"/>
      <c r="M293" s="1054"/>
      <c r="N293" s="1054"/>
      <c r="O293" s="1054"/>
      <c r="P293" s="1054"/>
      <c r="Q293" s="1054"/>
      <c r="R293" s="1054"/>
      <c r="S293" s="41"/>
      <c r="T293" s="41" t="s">
        <v>90</v>
      </c>
      <c r="U293"/>
      <c r="V293" s="41"/>
      <c r="W293" s="41"/>
      <c r="X293" s="41"/>
      <c r="Y293" s="41"/>
      <c r="Z293"/>
      <c r="AA293" s="1100" t="s">
        <v>2455</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8">
        <v>0.1</v>
      </c>
      <c r="I294" s="1858"/>
      <c r="J294" s="1858"/>
      <c r="K294" s="1858"/>
      <c r="L294" s="1858"/>
      <c r="M294" s="1858"/>
      <c r="N294" s="1858"/>
      <c r="O294" s="1858"/>
      <c r="P294" s="1858"/>
      <c r="Q294" s="1858"/>
      <c r="R294" s="1858"/>
      <c r="S294" s="41"/>
      <c r="T294" s="41" t="s">
        <v>101</v>
      </c>
      <c r="U294" s="41"/>
      <c r="V294" s="41"/>
      <c r="W294" s="41"/>
      <c r="X294" s="41"/>
      <c r="Y294" s="41"/>
      <c r="Z294" s="12"/>
      <c r="AA294" s="1858">
        <v>0.74</v>
      </c>
      <c r="AB294" s="1858"/>
      <c r="AC294" s="1858"/>
      <c r="AD294" s="1858"/>
      <c r="AE294" s="1858"/>
      <c r="AF294" s="1858"/>
      <c r="AG294" s="1858"/>
      <c r="AH294" s="1858"/>
      <c r="AI294" s="1858"/>
      <c r="AJ294" s="1858"/>
      <c r="AK294" s="1858"/>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99" t="s">
        <v>2458</v>
      </c>
      <c r="I296" s="1056"/>
      <c r="J296" s="1056"/>
      <c r="K296" s="1056"/>
      <c r="L296" s="1056"/>
      <c r="M296" s="1056"/>
      <c r="N296" s="1056"/>
      <c r="O296" s="1056"/>
      <c r="P296" s="1056"/>
      <c r="Q296" s="1056"/>
      <c r="R296" s="1056"/>
      <c r="S296"/>
      <c r="T296" s="41" t="s">
        <v>89</v>
      </c>
      <c r="U296"/>
      <c r="V296" s="41"/>
      <c r="W296" s="41"/>
      <c r="X296" s="41"/>
      <c r="Y296" s="41"/>
      <c r="Z296"/>
      <c r="AA296" s="1099" t="s">
        <v>2463</v>
      </c>
      <c r="AB296" s="1056"/>
      <c r="AC296" s="1056"/>
      <c r="AD296" s="1056"/>
      <c r="AE296" s="1056"/>
      <c r="AF296" s="1056"/>
      <c r="AG296" s="1056"/>
      <c r="AH296" s="1056"/>
      <c r="AI296" s="1056"/>
      <c r="AJ296" s="1056"/>
      <c r="AK296" s="1056"/>
      <c r="AL296" s="10"/>
      <c r="AN296" s="281"/>
      <c r="AP296" s="48" t="s">
        <v>349</v>
      </c>
    </row>
    <row r="297" spans="1:42" s="20" customFormat="1" ht="12.75" customHeight="1">
      <c r="A297" s="4"/>
      <c r="B297" s="41" t="s">
        <v>699</v>
      </c>
      <c r="C297" s="41"/>
      <c r="D297" s="41"/>
      <c r="E297" s="41"/>
      <c r="F297" s="41"/>
      <c r="G297"/>
      <c r="H297" s="1100" t="s">
        <v>2459</v>
      </c>
      <c r="I297" s="1054"/>
      <c r="J297" s="1054"/>
      <c r="K297" s="1054"/>
      <c r="L297" s="1054"/>
      <c r="M297" s="1054"/>
      <c r="N297" s="1054"/>
      <c r="O297" s="1054"/>
      <c r="P297" s="1054"/>
      <c r="Q297" s="1054"/>
      <c r="R297" s="1054"/>
      <c r="S297"/>
      <c r="T297" s="41" t="s">
        <v>699</v>
      </c>
      <c r="U297"/>
      <c r="V297" s="41"/>
      <c r="W297" s="41"/>
      <c r="X297" s="41"/>
      <c r="Y297" s="41"/>
      <c r="Z297"/>
      <c r="AA297" s="1100" t="s">
        <v>2464</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100" t="s">
        <v>2448</v>
      </c>
      <c r="I298" s="1054"/>
      <c r="J298" s="1054"/>
      <c r="K298" s="1054"/>
      <c r="L298" s="1054"/>
      <c r="M298" s="1054"/>
      <c r="N298" s="1054"/>
      <c r="O298" s="1054"/>
      <c r="P298" s="1054"/>
      <c r="Q298" s="1054"/>
      <c r="R298" s="1054"/>
      <c r="S298"/>
      <c r="T298" s="41" t="s">
        <v>99</v>
      </c>
      <c r="U298"/>
      <c r="V298" s="41"/>
      <c r="W298" s="41"/>
      <c r="X298" s="41"/>
      <c r="Y298" s="41"/>
      <c r="Z298"/>
      <c r="AA298" s="1100" t="s">
        <v>2448</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375</v>
      </c>
      <c r="C299" s="41"/>
      <c r="D299" s="41"/>
      <c r="E299" s="41"/>
      <c r="F299" s="41"/>
      <c r="G299"/>
      <c r="H299" s="1100" t="s">
        <v>2462</v>
      </c>
      <c r="I299" s="1054"/>
      <c r="J299" s="1054"/>
      <c r="K299" s="1054"/>
      <c r="L299" s="1054"/>
      <c r="M299" s="1054"/>
      <c r="N299" s="1054"/>
      <c r="O299" s="1054"/>
      <c r="P299" s="1054"/>
      <c r="Q299" s="1054"/>
      <c r="R299" s="1054"/>
      <c r="S299"/>
      <c r="T299" s="41" t="s">
        <v>375</v>
      </c>
      <c r="U299"/>
      <c r="V299" s="41"/>
      <c r="W299" s="41"/>
      <c r="X299" s="41"/>
      <c r="Y299" s="41"/>
      <c r="Z299"/>
      <c r="AA299" s="1100" t="s">
        <v>2467</v>
      </c>
      <c r="AB299" s="1054"/>
      <c r="AC299" s="1054"/>
      <c r="AD299" s="1054"/>
      <c r="AE299" s="1054"/>
      <c r="AF299" s="1054"/>
      <c r="AG299" s="1054"/>
      <c r="AH299" s="1054"/>
      <c r="AI299" s="1054"/>
      <c r="AJ299" s="1054"/>
      <c r="AK299" s="1054"/>
      <c r="AL299" s="10"/>
      <c r="AN299" s="281"/>
    </row>
    <row r="300" spans="1:42" s="4" customFormat="1" ht="12.75" customHeight="1">
      <c r="B300" s="41" t="s">
        <v>376</v>
      </c>
      <c r="C300" s="41"/>
      <c r="D300" s="41"/>
      <c r="E300" s="41"/>
      <c r="F300" s="41"/>
      <c r="G300" s="41"/>
      <c r="H300" s="1117" t="s">
        <v>2460</v>
      </c>
      <c r="I300" s="1057"/>
      <c r="J300" s="1057"/>
      <c r="K300" s="1057"/>
      <c r="L300" s="1057"/>
      <c r="M300" s="1057"/>
      <c r="N300" s="5" t="s">
        <v>818</v>
      </c>
      <c r="O300" s="5"/>
      <c r="P300" s="1053"/>
      <c r="Q300" s="1053"/>
      <c r="R300" s="1053"/>
      <c r="S300" s="41"/>
      <c r="T300" s="41" t="s">
        <v>376</v>
      </c>
      <c r="U300"/>
      <c r="V300" s="41"/>
      <c r="W300" s="41"/>
      <c r="X300" s="41"/>
      <c r="Y300" s="41"/>
      <c r="Z300"/>
      <c r="AA300" s="1117" t="s">
        <v>2465</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93</v>
      </c>
      <c r="I301" s="1054"/>
      <c r="J301" s="1054"/>
      <c r="K301" s="1054"/>
      <c r="L301" s="1054"/>
      <c r="M301" s="1054"/>
      <c r="N301" s="1054"/>
      <c r="O301" s="1054"/>
      <c r="P301" s="1054"/>
      <c r="Q301" s="1054"/>
      <c r="R301" s="1054"/>
      <c r="S301" s="41"/>
      <c r="T301" s="41" t="s">
        <v>88</v>
      </c>
      <c r="U301"/>
      <c r="V301" s="41"/>
      <c r="W301" s="41"/>
      <c r="X301" s="41"/>
      <c r="Y301" s="41"/>
      <c r="Z301"/>
      <c r="AA301" s="1054" t="s">
        <v>348</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100" t="s">
        <v>2461</v>
      </c>
      <c r="I302" s="1054"/>
      <c r="J302" s="1054"/>
      <c r="K302" s="1054"/>
      <c r="L302" s="1054"/>
      <c r="M302" s="1054"/>
      <c r="N302" s="1054"/>
      <c r="O302" s="1054"/>
      <c r="P302" s="1054"/>
      <c r="Q302" s="1054"/>
      <c r="R302" s="1054"/>
      <c r="S302" s="41"/>
      <c r="T302" s="41" t="s">
        <v>90</v>
      </c>
      <c r="U302"/>
      <c r="V302" s="41"/>
      <c r="W302" s="41"/>
      <c r="X302" s="41"/>
      <c r="Y302" s="41"/>
      <c r="Z302"/>
      <c r="AA302" s="1100" t="s">
        <v>2466</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8">
        <v>0.71</v>
      </c>
      <c r="I303" s="1858"/>
      <c r="J303" s="1858"/>
      <c r="K303" s="1858"/>
      <c r="L303" s="1858"/>
      <c r="M303" s="1858"/>
      <c r="N303" s="1858"/>
      <c r="O303" s="1858"/>
      <c r="P303" s="1858"/>
      <c r="Q303" s="1858"/>
      <c r="R303" s="1858"/>
      <c r="S303" s="41"/>
      <c r="T303" s="41" t="s">
        <v>101</v>
      </c>
      <c r="U303" s="41"/>
      <c r="V303" s="41"/>
      <c r="W303" s="41"/>
      <c r="X303" s="41"/>
      <c r="Y303" s="41"/>
      <c r="Z303" s="12"/>
      <c r="AA303" s="1858">
        <v>0.36</v>
      </c>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99" t="s">
        <v>2468</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100" t="s">
        <v>2469</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100" t="s">
        <v>2448</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375</v>
      </c>
      <c r="C308" s="41"/>
      <c r="D308" s="41"/>
      <c r="E308" s="41"/>
      <c r="F308" s="41"/>
      <c r="G308"/>
      <c r="H308" s="1100" t="s">
        <v>2472</v>
      </c>
      <c r="I308" s="1054"/>
      <c r="J308" s="1054"/>
      <c r="K308" s="1054"/>
      <c r="L308" s="1054"/>
      <c r="M308" s="1054"/>
      <c r="N308" s="1054"/>
      <c r="O308" s="1054"/>
      <c r="P308" s="1054"/>
      <c r="Q308" s="1054"/>
      <c r="R308" s="1054"/>
      <c r="S308"/>
      <c r="T308" s="41" t="s">
        <v>375</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376</v>
      </c>
      <c r="C309" s="41"/>
      <c r="D309" s="41"/>
      <c r="E309" s="41"/>
      <c r="F309" s="41"/>
      <c r="G309" s="41"/>
      <c r="H309" s="1117" t="s">
        <v>2470</v>
      </c>
      <c r="I309" s="1057"/>
      <c r="J309" s="1057"/>
      <c r="K309" s="1057"/>
      <c r="L309" s="1057"/>
      <c r="M309" s="1057"/>
      <c r="N309" s="5" t="s">
        <v>818</v>
      </c>
      <c r="O309" s="5"/>
      <c r="P309" s="1053"/>
      <c r="Q309" s="1053"/>
      <c r="R309" s="1053"/>
      <c r="S309" s="41"/>
      <c r="T309" s="41" t="s">
        <v>376</v>
      </c>
      <c r="U309"/>
      <c r="V309" s="41"/>
      <c r="W309" s="41"/>
      <c r="X309" s="41"/>
      <c r="Y309" s="41"/>
      <c r="Z309"/>
      <c r="AA309" s="1057"/>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96</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100" t="s">
        <v>2471</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8">
        <v>0.44</v>
      </c>
      <c r="I312" s="1858"/>
      <c r="J312" s="1858"/>
      <c r="K312" s="1858"/>
      <c r="L312" s="1858"/>
      <c r="M312" s="1858"/>
      <c r="N312" s="1858"/>
      <c r="O312" s="1858"/>
      <c r="P312" s="1858"/>
      <c r="Q312" s="1858"/>
      <c r="R312" s="1858"/>
      <c r="S312" s="41"/>
      <c r="T312" s="41" t="s">
        <v>101</v>
      </c>
      <c r="U312" s="41"/>
      <c r="V312" s="41"/>
      <c r="W312" s="41"/>
      <c r="X312" s="41"/>
      <c r="Y312" s="41"/>
      <c r="Z312" s="12"/>
      <c r="AA312" s="1858"/>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375</v>
      </c>
      <c r="C317" s="41"/>
      <c r="D317" s="41"/>
      <c r="E317" s="41"/>
      <c r="F317" s="41"/>
      <c r="G317"/>
      <c r="H317" s="1054"/>
      <c r="I317" s="1054"/>
      <c r="J317" s="1054"/>
      <c r="K317" s="1054"/>
      <c r="L317" s="1054"/>
      <c r="M317" s="1054"/>
      <c r="N317" s="1054"/>
      <c r="O317" s="1054"/>
      <c r="P317" s="1054"/>
      <c r="Q317" s="1054"/>
      <c r="R317" s="1054"/>
      <c r="S317"/>
      <c r="T317" s="41" t="s">
        <v>375</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376</v>
      </c>
      <c r="C318" s="41"/>
      <c r="D318" s="41"/>
      <c r="E318" s="41"/>
      <c r="F318" s="41"/>
      <c r="G318" s="41"/>
      <c r="H318" s="1057"/>
      <c r="I318" s="1057"/>
      <c r="J318" s="1057"/>
      <c r="K318" s="1057"/>
      <c r="L318" s="1057"/>
      <c r="M318" s="1057"/>
      <c r="N318" s="5" t="s">
        <v>818</v>
      </c>
      <c r="O318" s="5"/>
      <c r="P318" s="1053"/>
      <c r="Q318" s="1053"/>
      <c r="R318" s="1053"/>
      <c r="S318" s="41"/>
      <c r="T318" s="41" t="s">
        <v>376</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8"/>
      <c r="I321" s="1858"/>
      <c r="J321" s="1858"/>
      <c r="K321" s="1858"/>
      <c r="L321" s="1858"/>
      <c r="M321" s="1858"/>
      <c r="N321" s="1858"/>
      <c r="O321" s="1858"/>
      <c r="P321" s="1858"/>
      <c r="Q321" s="1858"/>
      <c r="R321" s="1858"/>
      <c r="S321" s="41"/>
      <c r="T321" s="41" t="s">
        <v>101</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375</v>
      </c>
      <c r="C326" s="41"/>
      <c r="D326" s="41"/>
      <c r="E326" s="41"/>
      <c r="F326" s="41"/>
      <c r="G326"/>
      <c r="H326" s="1054"/>
      <c r="I326" s="1054"/>
      <c r="J326" s="1054"/>
      <c r="K326" s="1054"/>
      <c r="L326" s="1054"/>
      <c r="M326" s="1054"/>
      <c r="N326" s="1054"/>
      <c r="O326" s="1054"/>
      <c r="P326" s="1054"/>
      <c r="Q326" s="1054"/>
      <c r="R326" s="1054"/>
      <c r="S326"/>
      <c r="T326" s="41" t="s">
        <v>375</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376</v>
      </c>
      <c r="C327" s="41"/>
      <c r="D327" s="41"/>
      <c r="E327" s="41"/>
      <c r="F327" s="41"/>
      <c r="G327" s="41"/>
      <c r="H327" s="1057"/>
      <c r="I327" s="1057"/>
      <c r="J327" s="1057"/>
      <c r="K327" s="1057"/>
      <c r="L327" s="1057"/>
      <c r="M327" s="1057"/>
      <c r="N327" s="5" t="s">
        <v>818</v>
      </c>
      <c r="O327" s="5"/>
      <c r="P327" s="1053"/>
      <c r="Q327" s="1053"/>
      <c r="R327" s="1053"/>
      <c r="S327" s="41"/>
      <c r="T327" s="41" t="s">
        <v>376</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8"/>
      <c r="I330" s="1858"/>
      <c r="J330" s="1858"/>
      <c r="K330" s="1858"/>
      <c r="L330" s="1858"/>
      <c r="M330" s="1858"/>
      <c r="N330" s="1858"/>
      <c r="O330" s="1858"/>
      <c r="P330" s="1858"/>
      <c r="Q330" s="1858"/>
      <c r="R330" s="1858"/>
      <c r="S330" s="41"/>
      <c r="T330" s="41" t="s">
        <v>101</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3" t="s">
        <v>365</v>
      </c>
      <c r="AF333" s="1683"/>
      <c r="AG333" s="1683"/>
      <c r="AH333" s="1683"/>
      <c r="AI333" s="1683"/>
      <c r="AJ333" s="1683"/>
      <c r="AK333" s="1683"/>
      <c r="AL333" s="3"/>
      <c r="AM333" s="827"/>
      <c r="AN333" s="3"/>
    </row>
    <row r="334" spans="1:76" s="4" customFormat="1" ht="12.75" customHeight="1">
      <c r="A334" s="3"/>
      <c r="B334" s="5"/>
      <c r="C334" s="1857" t="s">
        <v>1840</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1841</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45"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2298</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1842</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2"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2"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0</v>
      </c>
      <c r="AS354" s="3" t="s">
        <v>1778</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10</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1811</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0</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0</v>
      </c>
    </row>
    <row r="359" spans="1:46" s="4" customFormat="1" ht="12.75" customHeight="1">
      <c r="A359" s="27"/>
      <c r="B359" s="26"/>
      <c r="C359" s="1857" t="s">
        <v>1843</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432</v>
      </c>
      <c r="AP361" s="71">
        <f>IF(C409="Yes",5,0)</f>
        <v>0</v>
      </c>
    </row>
    <row r="362" spans="1:46" s="4" customFormat="1" ht="12"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0</v>
      </c>
    </row>
    <row r="363" spans="1:46" s="4" customFormat="1" ht="12.45"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171</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435</v>
      </c>
      <c r="AP365" s="71">
        <f>IF(C423="Yes",5,0)</f>
        <v>0</v>
      </c>
    </row>
    <row r="366" spans="1:46" s="4" customFormat="1" ht="12.75" customHeight="1">
      <c r="A366" s="27"/>
      <c r="B366" s="26"/>
      <c r="C366" s="1857" t="s">
        <v>1844</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25"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0</v>
      </c>
      <c r="AQ368" s="1227">
        <f>IF(AP368&gt;0,AP368,0)</f>
        <v>0</v>
      </c>
      <c r="AR368" s="1227"/>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2">
        <f>Application!CQ649-U371</f>
        <v>0</v>
      </c>
      <c r="V370" s="1702"/>
      <c r="W370" s="170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3">
        <f>Application!AG733</f>
        <v>46</v>
      </c>
      <c r="V371" s="1703"/>
      <c r="W371" s="1703"/>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0" t="s">
        <v>1787</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5"/>
      <c r="G376" s="1645"/>
      <c r="H376" s="1645"/>
      <c r="I376" s="1645"/>
      <c r="J376" s="1645"/>
      <c r="K376" s="1645"/>
      <c r="L376" s="1645"/>
      <c r="M376" s="1645"/>
      <c r="N376" s="1645"/>
      <c r="O376" s="1645"/>
      <c r="P376" s="1645"/>
      <c r="Q376" s="1645"/>
      <c r="R376" s="1645"/>
      <c r="S376" s="1645"/>
      <c r="T376" s="1645"/>
      <c r="U376" s="1645"/>
      <c r="V376" s="1645"/>
      <c r="W376" s="1645"/>
      <c r="X376" s="1645"/>
      <c r="Y376" s="1645"/>
      <c r="Z376" s="1645"/>
      <c r="AA376" s="1645"/>
      <c r="AB376" s="1645"/>
      <c r="AC376" s="1645"/>
      <c r="AD376" s="1645"/>
      <c r="AE376" s="1645"/>
      <c r="AF376" s="164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5"/>
      <c r="G377" s="1645"/>
      <c r="H377" s="1645"/>
      <c r="I377" s="1645"/>
      <c r="J377" s="1645"/>
      <c r="K377" s="1645"/>
      <c r="L377" s="1645"/>
      <c r="M377" s="1645"/>
      <c r="N377" s="1645"/>
      <c r="O377" s="1645"/>
      <c r="P377" s="1645"/>
      <c r="Q377" s="1645"/>
      <c r="R377" s="1645"/>
      <c r="S377" s="1645"/>
      <c r="T377" s="1645"/>
      <c r="U377" s="1645"/>
      <c r="V377" s="1645"/>
      <c r="W377" s="1645"/>
      <c r="X377" s="1645"/>
      <c r="Y377" s="1645"/>
      <c r="Z377" s="1645"/>
      <c r="AA377" s="1645"/>
      <c r="AB377" s="1645"/>
      <c r="AC377" s="1645"/>
      <c r="AD377" s="1645"/>
      <c r="AE377" s="1645"/>
      <c r="AF377" s="164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5"/>
      <c r="G378" s="1645"/>
      <c r="H378" s="1645"/>
      <c r="I378" s="1645"/>
      <c r="J378" s="1645"/>
      <c r="K378" s="1645"/>
      <c r="L378" s="1645"/>
      <c r="M378" s="1645"/>
      <c r="N378" s="1645"/>
      <c r="O378" s="1645"/>
      <c r="P378" s="1645"/>
      <c r="Q378" s="1645"/>
      <c r="R378" s="1645"/>
      <c r="S378" s="1645"/>
      <c r="T378" s="1645"/>
      <c r="U378" s="1645"/>
      <c r="V378" s="1645"/>
      <c r="W378" s="1645"/>
      <c r="X378" s="1645"/>
      <c r="Y378" s="1645"/>
      <c r="Z378" s="1645"/>
      <c r="AA378" s="1645"/>
      <c r="AB378" s="1645"/>
      <c r="AC378" s="1645"/>
      <c r="AD378" s="1645"/>
      <c r="AE378" s="1645"/>
      <c r="AF378" s="164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124</v>
      </c>
      <c r="D379" s="111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320</v>
      </c>
      <c r="AG379" s="1545"/>
      <c r="AH379" s="1545"/>
      <c r="AI379" s="1545"/>
      <c r="AJ379" s="1545"/>
      <c r="AK379" s="1545"/>
      <c r="AL379" s="169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7">
        <f>IF(AP381&gt;0,AP381,0)</f>
        <v>10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0" t="s">
        <v>1786</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5"/>
      <c r="G385" s="1645"/>
      <c r="H385" s="1645"/>
      <c r="I385" s="1645"/>
      <c r="J385" s="1645"/>
      <c r="K385" s="1645"/>
      <c r="L385" s="1645"/>
      <c r="M385" s="1645"/>
      <c r="N385" s="1645"/>
      <c r="O385" s="1645"/>
      <c r="P385" s="1645"/>
      <c r="Q385" s="1645"/>
      <c r="R385" s="1645"/>
      <c r="S385" s="1645"/>
      <c r="T385" s="1645"/>
      <c r="U385" s="1645"/>
      <c r="V385" s="1645"/>
      <c r="W385" s="1645"/>
      <c r="X385" s="1645"/>
      <c r="Y385" s="1645"/>
      <c r="Z385" s="1645"/>
      <c r="AA385" s="1645"/>
      <c r="AB385" s="1645"/>
      <c r="AC385" s="1645"/>
      <c r="AD385" s="1645"/>
      <c r="AE385" s="1645"/>
      <c r="AF385" s="164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5"/>
      <c r="G386" s="1645"/>
      <c r="H386" s="1645"/>
      <c r="I386" s="1645"/>
      <c r="J386" s="1645"/>
      <c r="K386" s="1645"/>
      <c r="L386" s="1645"/>
      <c r="M386" s="1645"/>
      <c r="N386" s="1645"/>
      <c r="O386" s="1645"/>
      <c r="P386" s="1645"/>
      <c r="Q386" s="1645"/>
      <c r="R386" s="1645"/>
      <c r="S386" s="1645"/>
      <c r="T386" s="1645"/>
      <c r="U386" s="1645"/>
      <c r="V386" s="1645"/>
      <c r="W386" s="1645"/>
      <c r="X386" s="1645"/>
      <c r="Y386" s="1645"/>
      <c r="Z386" s="1645"/>
      <c r="AA386" s="1645"/>
      <c r="AB386" s="1645"/>
      <c r="AC386" s="1645"/>
      <c r="AD386" s="1645"/>
      <c r="AE386" s="1645"/>
      <c r="AF386" s="164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5"/>
      <c r="G387" s="1645"/>
      <c r="H387" s="1645"/>
      <c r="I387" s="1645"/>
      <c r="J387" s="1645"/>
      <c r="K387" s="1645"/>
      <c r="L387" s="1645"/>
      <c r="M387" s="1645"/>
      <c r="N387" s="1645"/>
      <c r="O387" s="1645"/>
      <c r="P387" s="1645"/>
      <c r="Q387" s="1645"/>
      <c r="R387" s="1645"/>
      <c r="S387" s="1645"/>
      <c r="T387" s="1645"/>
      <c r="U387" s="1645"/>
      <c r="V387" s="1645"/>
      <c r="W387" s="1645"/>
      <c r="X387" s="1645"/>
      <c r="Y387" s="1645"/>
      <c r="Z387" s="1645"/>
      <c r="AA387" s="1645"/>
      <c r="AB387" s="1645"/>
      <c r="AC387" s="1645"/>
      <c r="AD387" s="1645"/>
      <c r="AE387" s="1645"/>
      <c r="AF387" s="164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5"/>
      <c r="G388" s="1645"/>
      <c r="H388" s="1645"/>
      <c r="I388" s="1645"/>
      <c r="J388" s="1645"/>
      <c r="K388" s="1645"/>
      <c r="L388" s="1645"/>
      <c r="M388" s="1645"/>
      <c r="N388" s="1645"/>
      <c r="O388" s="1645"/>
      <c r="P388" s="1645"/>
      <c r="Q388" s="1645"/>
      <c r="R388" s="1645"/>
      <c r="S388" s="1645"/>
      <c r="T388" s="1645"/>
      <c r="U388" s="1645"/>
      <c r="V388" s="1645"/>
      <c r="W388" s="1645"/>
      <c r="X388" s="1645"/>
      <c r="Y388" s="1645"/>
      <c r="Z388" s="1645"/>
      <c r="AA388" s="1645"/>
      <c r="AB388" s="1645"/>
      <c r="AC388" s="1645"/>
      <c r="AD388" s="1645"/>
      <c r="AE388" s="1645"/>
      <c r="AF388" s="164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1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320</v>
      </c>
      <c r="AG389" s="1545"/>
      <c r="AH389" s="1545"/>
      <c r="AI389" s="1545"/>
      <c r="AJ389" s="1545"/>
      <c r="AK389" s="1545"/>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0" t="s">
        <v>1951</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2"/>
      <c r="G395" s="1692"/>
      <c r="H395" s="1692"/>
      <c r="I395" s="1692"/>
      <c r="J395" s="1692"/>
      <c r="K395" s="1692"/>
      <c r="L395" s="1692"/>
      <c r="M395" s="1692"/>
      <c r="N395" s="1692"/>
      <c r="O395" s="1692"/>
      <c r="P395" s="1692"/>
      <c r="Q395" s="1692"/>
      <c r="R395" s="1692"/>
      <c r="S395" s="1692"/>
      <c r="T395" s="1692"/>
      <c r="U395" s="1692"/>
      <c r="V395" s="1692"/>
      <c r="W395" s="1692"/>
      <c r="X395" s="1692"/>
      <c r="Y395" s="1692"/>
      <c r="Z395" s="1692"/>
      <c r="AA395" s="1692"/>
      <c r="AB395" s="1692"/>
      <c r="AC395" s="1692"/>
      <c r="AD395" s="1692"/>
      <c r="AE395" s="1692"/>
      <c r="AF395" s="169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2"/>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124</v>
      </c>
      <c r="D399" s="111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69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124</v>
      </c>
      <c r="D401" s="111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320</v>
      </c>
      <c r="AG401" s="1545"/>
      <c r="AH401" s="1545"/>
      <c r="AI401" s="1545"/>
      <c r="AJ401" s="1545"/>
      <c r="AK401" s="1545"/>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0" t="s">
        <v>1785</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5"/>
      <c r="G406" s="1645"/>
      <c r="H406" s="1645"/>
      <c r="I406" s="1645"/>
      <c r="J406" s="1645"/>
      <c r="K406" s="1645"/>
      <c r="L406" s="1645"/>
      <c r="M406" s="1645"/>
      <c r="N406" s="1645"/>
      <c r="O406" s="1645"/>
      <c r="P406" s="1645"/>
      <c r="Q406" s="1645"/>
      <c r="R406" s="1645"/>
      <c r="S406" s="1645"/>
      <c r="T406" s="1645"/>
      <c r="U406" s="1645"/>
      <c r="V406" s="1645"/>
      <c r="W406" s="1645"/>
      <c r="X406" s="1645"/>
      <c r="Y406" s="1645"/>
      <c r="Z406" s="1645"/>
      <c r="AA406" s="1645"/>
      <c r="AB406" s="1645"/>
      <c r="AC406" s="1645"/>
      <c r="AD406" s="1645"/>
      <c r="AE406" s="1645"/>
      <c r="AF406" s="164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5"/>
      <c r="G407" s="1645"/>
      <c r="H407" s="1645"/>
      <c r="I407" s="1645"/>
      <c r="J407" s="1645"/>
      <c r="K407" s="1645"/>
      <c r="L407" s="1645"/>
      <c r="M407" s="1645"/>
      <c r="N407" s="1645"/>
      <c r="O407" s="1645"/>
      <c r="P407" s="1645"/>
      <c r="Q407" s="1645"/>
      <c r="R407" s="1645"/>
      <c r="S407" s="1645"/>
      <c r="T407" s="1645"/>
      <c r="U407" s="1645"/>
      <c r="V407" s="1645"/>
      <c r="W407" s="1645"/>
      <c r="X407" s="1645"/>
      <c r="Y407" s="1645"/>
      <c r="Z407" s="1645"/>
      <c r="AA407" s="1645"/>
      <c r="AB407" s="1645"/>
      <c r="AC407" s="1645"/>
      <c r="AD407" s="1645"/>
      <c r="AE407" s="1645"/>
      <c r="AF407" s="164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5"/>
      <c r="G408" s="1645"/>
      <c r="H408" s="1645"/>
      <c r="I408" s="1645"/>
      <c r="J408" s="1645"/>
      <c r="K408" s="1645"/>
      <c r="L408" s="1645"/>
      <c r="M408" s="1645"/>
      <c r="N408" s="1645"/>
      <c r="O408" s="1645"/>
      <c r="P408" s="1645"/>
      <c r="Q408" s="1645"/>
      <c r="R408" s="1645"/>
      <c r="S408" s="1645"/>
      <c r="T408" s="1645"/>
      <c r="U408" s="1645"/>
      <c r="V408" s="1645"/>
      <c r="W408" s="1645"/>
      <c r="X408" s="1645"/>
      <c r="Y408" s="1645"/>
      <c r="Z408" s="1645"/>
      <c r="AA408" s="1645"/>
      <c r="AB408" s="1645"/>
      <c r="AC408" s="1645"/>
      <c r="AD408" s="1645"/>
      <c r="AE408" s="1645"/>
      <c r="AF408" s="164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1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320</v>
      </c>
      <c r="AG409" s="1545"/>
      <c r="AH409" s="1545"/>
      <c r="AI409" s="1545"/>
      <c r="AJ409" s="1545"/>
      <c r="AK409" s="1545"/>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124</v>
      </c>
      <c r="D411" s="111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18"/>
      <c r="E414" s="698" t="s">
        <v>193</v>
      </c>
      <c r="F414" s="1700" t="s">
        <v>1789</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5"/>
      <c r="G415" s="1645"/>
      <c r="H415" s="1645"/>
      <c r="I415" s="1645"/>
      <c r="J415" s="1645"/>
      <c r="K415" s="1645"/>
      <c r="L415" s="1645"/>
      <c r="M415" s="1645"/>
      <c r="N415" s="1645"/>
      <c r="O415" s="1645"/>
      <c r="P415" s="1645"/>
      <c r="Q415" s="1645"/>
      <c r="R415" s="1645"/>
      <c r="S415" s="1645"/>
      <c r="T415" s="1645"/>
      <c r="U415" s="1645"/>
      <c r="V415" s="1645"/>
      <c r="W415" s="1645"/>
      <c r="X415" s="1645"/>
      <c r="Y415" s="1645"/>
      <c r="Z415" s="1645"/>
      <c r="AA415" s="1645"/>
      <c r="AB415" s="1645"/>
      <c r="AC415" s="1645"/>
      <c r="AD415" s="1645"/>
      <c r="AE415" s="1645"/>
      <c r="AF415" s="1691" t="s">
        <v>320</v>
      </c>
      <c r="AG415" s="1691"/>
      <c r="AH415" s="1691"/>
      <c r="AI415" s="1691"/>
      <c r="AJ415" s="1691"/>
      <c r="AK415" s="1691"/>
      <c r="AL415" s="170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5"/>
      <c r="G416" s="1645"/>
      <c r="H416" s="1645"/>
      <c r="I416" s="1645"/>
      <c r="J416" s="1645"/>
      <c r="K416" s="1645"/>
      <c r="L416" s="1645"/>
      <c r="M416" s="1645"/>
      <c r="N416" s="1645"/>
      <c r="O416" s="1645"/>
      <c r="P416" s="1645"/>
      <c r="Q416" s="1645"/>
      <c r="R416" s="1645"/>
      <c r="S416" s="1645"/>
      <c r="T416" s="1645"/>
      <c r="U416" s="1645"/>
      <c r="V416" s="1645"/>
      <c r="W416" s="1645"/>
      <c r="X416" s="1645"/>
      <c r="Y416" s="1645"/>
      <c r="Z416" s="1645"/>
      <c r="AA416" s="1645"/>
      <c r="AB416" s="1645"/>
      <c r="AC416" s="1645"/>
      <c r="AD416" s="1645"/>
      <c r="AE416" s="164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0" t="s">
        <v>1791</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8"/>
      <c r="AG419" s="718"/>
      <c r="AH419" s="718"/>
      <c r="AI419" s="718"/>
      <c r="AJ419" s="718"/>
      <c r="AK419" s="718"/>
      <c r="AL419" s="719"/>
      <c r="AM419"/>
    </row>
    <row r="420" spans="1:55">
      <c r="A420" s="5"/>
      <c r="C420" s="704"/>
      <c r="E420" s="194"/>
      <c r="F420" s="1645"/>
      <c r="G420" s="1645"/>
      <c r="H420" s="1645"/>
      <c r="I420" s="1645"/>
      <c r="J420" s="1645"/>
      <c r="K420" s="1645"/>
      <c r="L420" s="1645"/>
      <c r="M420" s="1645"/>
      <c r="N420" s="1645"/>
      <c r="O420" s="1645"/>
      <c r="P420" s="1645"/>
      <c r="Q420" s="1645"/>
      <c r="R420" s="1645"/>
      <c r="S420" s="1645"/>
      <c r="T420" s="1645"/>
      <c r="U420" s="1645"/>
      <c r="V420" s="1645"/>
      <c r="W420" s="1645"/>
      <c r="X420" s="1645"/>
      <c r="Y420" s="1645"/>
      <c r="Z420" s="1645"/>
      <c r="AA420" s="1645"/>
      <c r="AB420" s="1645"/>
      <c r="AC420" s="1645"/>
      <c r="AD420" s="1645"/>
      <c r="AE420" s="1645"/>
      <c r="AF420" s="3"/>
      <c r="AG420" s="5"/>
      <c r="AH420" s="4"/>
      <c r="AI420" s="4"/>
      <c r="AJ420" s="4"/>
      <c r="AK420" s="4"/>
      <c r="AL420" s="705"/>
      <c r="AM420"/>
    </row>
    <row r="421" spans="1:55" s="4" customFormat="1" ht="12.75" customHeight="1">
      <c r="A421" s="5"/>
      <c r="B421" s="21"/>
      <c r="C421" s="704"/>
      <c r="D421" s="21"/>
      <c r="E421" s="194"/>
      <c r="F421" s="1645"/>
      <c r="G421" s="1645"/>
      <c r="H421" s="1645"/>
      <c r="I421" s="1645"/>
      <c r="J421" s="1645"/>
      <c r="K421" s="1645"/>
      <c r="L421" s="1645"/>
      <c r="M421" s="1645"/>
      <c r="N421" s="1645"/>
      <c r="O421" s="1645"/>
      <c r="P421" s="1645"/>
      <c r="Q421" s="1645"/>
      <c r="R421" s="1645"/>
      <c r="S421" s="1645"/>
      <c r="T421" s="1645"/>
      <c r="U421" s="1645"/>
      <c r="V421" s="1645"/>
      <c r="W421" s="1645"/>
      <c r="X421" s="1645"/>
      <c r="Y421" s="1645"/>
      <c r="Z421" s="1645"/>
      <c r="AA421" s="1645"/>
      <c r="AB421" s="1645"/>
      <c r="AC421" s="1645"/>
      <c r="AD421" s="1645"/>
      <c r="AE421" s="1645"/>
      <c r="AL421" s="705"/>
      <c r="AM421"/>
      <c r="AN421" s="281"/>
    </row>
    <row r="422" spans="1:55" s="4" customFormat="1" ht="12.75" customHeight="1">
      <c r="A422" s="5"/>
      <c r="B422" s="21"/>
      <c r="C422" s="707"/>
      <c r="F422" s="1645"/>
      <c r="G422" s="1645"/>
      <c r="H422" s="1645"/>
      <c r="I422" s="1645"/>
      <c r="J422" s="1645"/>
      <c r="K422" s="1645"/>
      <c r="L422" s="1645"/>
      <c r="M422" s="1645"/>
      <c r="N422" s="1645"/>
      <c r="O422" s="1645"/>
      <c r="P422" s="1645"/>
      <c r="Q422" s="1645"/>
      <c r="R422" s="1645"/>
      <c r="S422" s="1645"/>
      <c r="T422" s="1645"/>
      <c r="U422" s="1645"/>
      <c r="V422" s="1645"/>
      <c r="W422" s="1645"/>
      <c r="X422" s="1645"/>
      <c r="Y422" s="1645"/>
      <c r="Z422" s="1645"/>
      <c r="AA422" s="1645"/>
      <c r="AB422" s="1645"/>
      <c r="AC422" s="1645"/>
      <c r="AD422" s="1645"/>
      <c r="AE422" s="1645"/>
      <c r="AL422" s="705"/>
      <c r="AM422"/>
      <c r="AN422" s="281"/>
    </row>
    <row r="423" spans="1:55" s="4" customFormat="1" ht="12.75" customHeight="1">
      <c r="A423" s="5"/>
      <c r="B423" s="21"/>
      <c r="C423" s="1698" t="s">
        <v>124</v>
      </c>
      <c r="D423" s="111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320</v>
      </c>
      <c r="AG423" s="1691"/>
      <c r="AH423" s="1691"/>
      <c r="AI423" s="1691"/>
      <c r="AJ423" s="1691"/>
      <c r="AK423" s="1691"/>
      <c r="AL423" s="1706"/>
      <c r="AM423"/>
      <c r="AN423" s="281"/>
    </row>
    <row r="424" spans="1:55" s="4" customFormat="1" ht="12.75" customHeight="1">
      <c r="A424" s="5"/>
      <c r="B424" s="21"/>
      <c r="C424" s="707"/>
      <c r="AL424" s="705"/>
      <c r="AM424"/>
      <c r="AN424" s="281"/>
    </row>
    <row r="425" spans="1:55" s="4" customFormat="1" ht="12.75" customHeight="1">
      <c r="A425" s="5"/>
      <c r="B425" s="21"/>
      <c r="C425" s="1698" t="s">
        <v>124</v>
      </c>
      <c r="D425" s="111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0" t="s">
        <v>1792</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7"/>
      <c r="AG429" s="697"/>
      <c r="AH429" s="697"/>
      <c r="AI429" s="697"/>
      <c r="AJ429" s="697"/>
      <c r="AK429" s="697"/>
      <c r="AL429" s="721"/>
      <c r="AM429"/>
      <c r="AN429" s="281"/>
    </row>
    <row r="430" spans="1:55" s="4" customFormat="1" ht="12.75" customHeight="1">
      <c r="A430" s="5"/>
      <c r="B430" s="73"/>
      <c r="C430" s="722"/>
      <c r="D430" s="73"/>
      <c r="E430" s="194"/>
      <c r="F430" s="1645"/>
      <c r="G430" s="1645"/>
      <c r="H430" s="1645"/>
      <c r="I430" s="1645"/>
      <c r="J430" s="1645"/>
      <c r="K430" s="1645"/>
      <c r="L430" s="1645"/>
      <c r="M430" s="1645"/>
      <c r="N430" s="1645"/>
      <c r="O430" s="1645"/>
      <c r="P430" s="1645"/>
      <c r="Q430" s="1645"/>
      <c r="R430" s="1645"/>
      <c r="S430" s="1645"/>
      <c r="T430" s="1645"/>
      <c r="U430" s="1645"/>
      <c r="V430" s="1645"/>
      <c r="W430" s="1645"/>
      <c r="X430" s="1645"/>
      <c r="Y430" s="1645"/>
      <c r="Z430" s="1645"/>
      <c r="AA430" s="1645"/>
      <c r="AB430" s="1645"/>
      <c r="AC430" s="1645"/>
      <c r="AD430" s="1645"/>
      <c r="AE430" s="1645"/>
      <c r="AF430" s="3"/>
      <c r="AG430" s="5"/>
      <c r="AL430" s="705"/>
      <c r="AM430"/>
      <c r="AN430" s="281"/>
    </row>
    <row r="431" spans="1:55" s="4" customFormat="1" ht="12.45" customHeight="1">
      <c r="A431" s="5"/>
      <c r="B431" s="73"/>
      <c r="C431" s="722"/>
      <c r="D431" s="73"/>
      <c r="E431" s="194"/>
      <c r="F431" s="1645"/>
      <c r="G431" s="1645"/>
      <c r="H431" s="1645"/>
      <c r="I431" s="1645"/>
      <c r="J431" s="1645"/>
      <c r="K431" s="1645"/>
      <c r="L431" s="1645"/>
      <c r="M431" s="1645"/>
      <c r="N431" s="1645"/>
      <c r="O431" s="1645"/>
      <c r="P431" s="1645"/>
      <c r="Q431" s="1645"/>
      <c r="R431" s="1645"/>
      <c r="S431" s="1645"/>
      <c r="T431" s="1645"/>
      <c r="U431" s="1645"/>
      <c r="V431" s="1645"/>
      <c r="W431" s="1645"/>
      <c r="X431" s="1645"/>
      <c r="Y431" s="1645"/>
      <c r="Z431" s="1645"/>
      <c r="AA431" s="1645"/>
      <c r="AB431" s="1645"/>
      <c r="AC431" s="1645"/>
      <c r="AD431" s="1645"/>
      <c r="AE431" s="1645"/>
      <c r="AL431" s="705"/>
      <c r="AM431"/>
      <c r="AN431" s="281"/>
    </row>
    <row r="432" spans="1:55" s="4" customFormat="1" ht="12.75" customHeight="1">
      <c r="A432" s="5"/>
      <c r="B432" s="73"/>
      <c r="C432" s="1698" t="s">
        <v>108</v>
      </c>
      <c r="D432" s="111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1" t="s">
        <v>320</v>
      </c>
      <c r="AG432" s="1691"/>
      <c r="AH432" s="1691"/>
      <c r="AI432" s="1691"/>
      <c r="AJ432" s="1691"/>
      <c r="AK432" s="1691"/>
      <c r="AL432" s="170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0" t="s">
        <v>1793</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5"/>
      <c r="G436" s="1645"/>
      <c r="H436" s="1645"/>
      <c r="I436" s="1645"/>
      <c r="J436" s="1645"/>
      <c r="K436" s="1645"/>
      <c r="L436" s="1645"/>
      <c r="M436" s="1645"/>
      <c r="N436" s="1645"/>
      <c r="O436" s="1645"/>
      <c r="P436" s="1645"/>
      <c r="Q436" s="1645"/>
      <c r="R436" s="1645"/>
      <c r="S436" s="1645"/>
      <c r="T436" s="1645"/>
      <c r="U436" s="1645"/>
      <c r="V436" s="1645"/>
      <c r="W436" s="1645"/>
      <c r="X436" s="1645"/>
      <c r="Y436" s="1645"/>
      <c r="Z436" s="1645"/>
      <c r="AA436" s="1645"/>
      <c r="AB436" s="1645"/>
      <c r="AC436" s="1645"/>
      <c r="AD436" s="1645"/>
      <c r="AE436" s="1645"/>
      <c r="AF436" s="108"/>
      <c r="AG436" s="108"/>
      <c r="AH436" s="108"/>
      <c r="AI436" s="108"/>
      <c r="AJ436" s="108"/>
      <c r="AK436" s="108"/>
      <c r="AL436" s="784"/>
      <c r="AM436"/>
      <c r="AO436" s="4"/>
      <c r="AP436" s="4"/>
    </row>
    <row r="437" spans="1:60" s="4" customFormat="1" ht="12.75" customHeight="1">
      <c r="A437" s="5"/>
      <c r="B437" s="73"/>
      <c r="C437" s="722"/>
      <c r="D437" s="73"/>
      <c r="E437" s="194"/>
      <c r="F437" s="1645"/>
      <c r="G437" s="1645"/>
      <c r="H437" s="1645"/>
      <c r="I437" s="1645"/>
      <c r="J437" s="1645"/>
      <c r="K437" s="1645"/>
      <c r="L437" s="1645"/>
      <c r="M437" s="1645"/>
      <c r="N437" s="1645"/>
      <c r="O437" s="1645"/>
      <c r="P437" s="1645"/>
      <c r="Q437" s="1645"/>
      <c r="R437" s="1645"/>
      <c r="S437" s="1645"/>
      <c r="T437" s="1645"/>
      <c r="U437" s="1645"/>
      <c r="V437" s="1645"/>
      <c r="W437" s="1645"/>
      <c r="X437" s="1645"/>
      <c r="Y437" s="1645"/>
      <c r="Z437" s="1645"/>
      <c r="AA437" s="1645"/>
      <c r="AB437" s="1645"/>
      <c r="AC437" s="1645"/>
      <c r="AD437" s="1645"/>
      <c r="AE437" s="1645"/>
      <c r="AF437" s="108"/>
      <c r="AG437" s="108"/>
      <c r="AH437" s="108"/>
      <c r="AI437" s="108"/>
      <c r="AJ437" s="108"/>
      <c r="AK437" s="108"/>
      <c r="AL437" s="784"/>
      <c r="AM437"/>
      <c r="AN437" s="281"/>
    </row>
    <row r="438" spans="1:60" s="4" customFormat="1" ht="12.75" customHeight="1">
      <c r="A438" s="5"/>
      <c r="B438" s="73"/>
      <c r="C438" s="723"/>
      <c r="D438" s="1"/>
      <c r="E438" s="225"/>
      <c r="F438" s="1645"/>
      <c r="G438" s="1645"/>
      <c r="H438" s="1645"/>
      <c r="I438" s="1645"/>
      <c r="J438" s="1645"/>
      <c r="K438" s="1645"/>
      <c r="L438" s="1645"/>
      <c r="M438" s="1645"/>
      <c r="N438" s="1645"/>
      <c r="O438" s="1645"/>
      <c r="P438" s="1645"/>
      <c r="Q438" s="1645"/>
      <c r="R438" s="1645"/>
      <c r="S438" s="1645"/>
      <c r="T438" s="1645"/>
      <c r="U438" s="1645"/>
      <c r="V438" s="1645"/>
      <c r="W438" s="1645"/>
      <c r="X438" s="1645"/>
      <c r="Y438" s="1645"/>
      <c r="Z438" s="1645"/>
      <c r="AA438" s="1645"/>
      <c r="AB438" s="1645"/>
      <c r="AC438" s="1645"/>
      <c r="AD438" s="1645"/>
      <c r="AE438" s="164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5"/>
      <c r="G439" s="1645"/>
      <c r="H439" s="1645"/>
      <c r="I439" s="1645"/>
      <c r="J439" s="1645"/>
      <c r="K439" s="1645"/>
      <c r="L439" s="1645"/>
      <c r="M439" s="1645"/>
      <c r="N439" s="1645"/>
      <c r="O439" s="1645"/>
      <c r="P439" s="1645"/>
      <c r="Q439" s="1645"/>
      <c r="R439" s="1645"/>
      <c r="S439" s="1645"/>
      <c r="T439" s="1645"/>
      <c r="U439" s="1645"/>
      <c r="V439" s="1645"/>
      <c r="W439" s="1645"/>
      <c r="X439" s="1645"/>
      <c r="Y439" s="1645"/>
      <c r="Z439" s="1645"/>
      <c r="AA439" s="1645"/>
      <c r="AB439" s="1645"/>
      <c r="AC439" s="1645"/>
      <c r="AD439" s="1645"/>
      <c r="AE439" s="1645"/>
      <c r="AF439" s="108"/>
      <c r="AG439" s="108"/>
      <c r="AH439" s="108"/>
      <c r="AI439" s="108"/>
      <c r="AJ439" s="108"/>
      <c r="AK439" s="108"/>
      <c r="AL439" s="784"/>
      <c r="AM439"/>
      <c r="AN439" s="281"/>
    </row>
    <row r="440" spans="1:60" s="4" customFormat="1" ht="12.75" customHeight="1">
      <c r="A440" s="5"/>
      <c r="B440" s="73"/>
      <c r="C440" s="723"/>
      <c r="D440" s="1"/>
      <c r="E440" s="225"/>
      <c r="F440" s="1645"/>
      <c r="G440" s="1645"/>
      <c r="H440" s="1645"/>
      <c r="I440" s="1645"/>
      <c r="J440" s="1645"/>
      <c r="K440" s="1645"/>
      <c r="L440" s="1645"/>
      <c r="M440" s="1645"/>
      <c r="N440" s="1645"/>
      <c r="O440" s="1645"/>
      <c r="P440" s="1645"/>
      <c r="Q440" s="1645"/>
      <c r="R440" s="1645"/>
      <c r="S440" s="1645"/>
      <c r="T440" s="1645"/>
      <c r="U440" s="1645"/>
      <c r="V440" s="1645"/>
      <c r="W440" s="1645"/>
      <c r="X440" s="1645"/>
      <c r="Y440" s="1645"/>
      <c r="Z440" s="1645"/>
      <c r="AA440" s="1645"/>
      <c r="AB440" s="1645"/>
      <c r="AC440" s="1645"/>
      <c r="AD440" s="1645"/>
      <c r="AE440" s="1645"/>
      <c r="AF440" s="108"/>
      <c r="AG440" s="108"/>
      <c r="AH440" s="108"/>
      <c r="AI440" s="108"/>
      <c r="AJ440" s="108"/>
      <c r="AK440" s="108"/>
      <c r="AL440" s="784"/>
      <c r="AM440"/>
      <c r="AN440" s="281"/>
    </row>
    <row r="441" spans="1:60" s="4" customFormat="1" ht="12.75" customHeight="1">
      <c r="A441" s="5"/>
      <c r="B441" s="73"/>
      <c r="C441" s="723"/>
      <c r="D441" s="1"/>
      <c r="E441" s="225"/>
      <c r="F441" s="1645"/>
      <c r="G441" s="1645"/>
      <c r="H441" s="1645"/>
      <c r="I441" s="1645"/>
      <c r="J441" s="1645"/>
      <c r="K441" s="1645"/>
      <c r="L441" s="1645"/>
      <c r="M441" s="1645"/>
      <c r="N441" s="1645"/>
      <c r="O441" s="1645"/>
      <c r="P441" s="1645"/>
      <c r="Q441" s="1645"/>
      <c r="R441" s="1645"/>
      <c r="S441" s="1645"/>
      <c r="T441" s="1645"/>
      <c r="U441" s="1645"/>
      <c r="V441" s="1645"/>
      <c r="W441" s="1645"/>
      <c r="X441" s="1645"/>
      <c r="Y441" s="1645"/>
      <c r="Z441" s="1645"/>
      <c r="AA441" s="1645"/>
      <c r="AB441" s="1645"/>
      <c r="AC441" s="1645"/>
      <c r="AD441" s="1645"/>
      <c r="AE441" s="1645"/>
      <c r="AF441" s="108"/>
      <c r="AG441" s="108"/>
      <c r="AH441" s="108"/>
      <c r="AI441" s="108"/>
      <c r="AJ441" s="108"/>
      <c r="AK441" s="108"/>
      <c r="AL441" s="784"/>
      <c r="AM441"/>
      <c r="AN441" s="281"/>
    </row>
    <row r="442" spans="1:60" s="4" customFormat="1" ht="12.75" customHeight="1">
      <c r="A442" s="5"/>
      <c r="B442" s="73"/>
      <c r="C442" s="723"/>
      <c r="D442" s="1"/>
      <c r="E442" s="225"/>
      <c r="F442" s="1645"/>
      <c r="G442" s="1645"/>
      <c r="H442" s="1645"/>
      <c r="I442" s="1645"/>
      <c r="J442" s="1645"/>
      <c r="K442" s="1645"/>
      <c r="L442" s="1645"/>
      <c r="M442" s="1645"/>
      <c r="N442" s="1645"/>
      <c r="O442" s="1645"/>
      <c r="P442" s="1645"/>
      <c r="Q442" s="1645"/>
      <c r="R442" s="1645"/>
      <c r="S442" s="1645"/>
      <c r="T442" s="1645"/>
      <c r="U442" s="1645"/>
      <c r="V442" s="1645"/>
      <c r="W442" s="1645"/>
      <c r="X442" s="1645"/>
      <c r="Y442" s="1645"/>
      <c r="Z442" s="1645"/>
      <c r="AA442" s="1645"/>
      <c r="AB442" s="1645"/>
      <c r="AC442" s="1645"/>
      <c r="AD442" s="1645"/>
      <c r="AE442" s="1645"/>
      <c r="AF442" s="108"/>
      <c r="AG442" s="108"/>
      <c r="AH442" s="108"/>
      <c r="AI442" s="108"/>
      <c r="AJ442" s="108"/>
      <c r="AK442" s="108"/>
      <c r="AL442" s="784"/>
      <c r="AM442"/>
      <c r="AN442" s="281"/>
    </row>
    <row r="443" spans="1:60" s="4" customFormat="1" ht="17.25" customHeight="1">
      <c r="A443" s="5"/>
      <c r="B443" s="73"/>
      <c r="C443" s="723"/>
      <c r="D443" s="1"/>
      <c r="E443" s="225"/>
      <c r="F443" s="1645"/>
      <c r="G443" s="1645"/>
      <c r="H443" s="1645"/>
      <c r="I443" s="1645"/>
      <c r="J443" s="1645"/>
      <c r="K443" s="1645"/>
      <c r="L443" s="1645"/>
      <c r="M443" s="1645"/>
      <c r="N443" s="1645"/>
      <c r="O443" s="1645"/>
      <c r="P443" s="1645"/>
      <c r="Q443" s="1645"/>
      <c r="R443" s="1645"/>
      <c r="S443" s="1645"/>
      <c r="T443" s="1645"/>
      <c r="U443" s="1645"/>
      <c r="V443" s="1645"/>
      <c r="W443" s="1645"/>
      <c r="X443" s="1645"/>
      <c r="Y443" s="1645"/>
      <c r="Z443" s="1645"/>
      <c r="AA443" s="1645"/>
      <c r="AB443" s="1645"/>
      <c r="AC443" s="1645"/>
      <c r="AD443" s="1645"/>
      <c r="AE443" s="1645"/>
      <c r="AL443" s="705"/>
      <c r="AM443"/>
      <c r="AN443" s="281"/>
    </row>
    <row r="444" spans="1:60" s="4" customFormat="1" ht="12.75" customHeight="1">
      <c r="A444" s="5"/>
      <c r="B444" s="21"/>
      <c r="C444" s="1698" t="s">
        <v>108</v>
      </c>
      <c r="D444" s="111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320</v>
      </c>
      <c r="AG444" s="1691"/>
      <c r="AH444" s="1691"/>
      <c r="AI444" s="1691"/>
      <c r="AJ444" s="1691"/>
      <c r="AK444" s="1691"/>
      <c r="AL444" s="170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0" t="s">
        <v>1796</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7"/>
      <c r="AG447" s="697"/>
      <c r="AH447" s="697"/>
      <c r="AI447" s="697"/>
      <c r="AJ447" s="697"/>
      <c r="AK447" s="697"/>
      <c r="AL447" s="721"/>
      <c r="AM447"/>
      <c r="AN447" s="281"/>
    </row>
    <row r="448" spans="1:60" s="4" customFormat="1" ht="12.75" customHeight="1">
      <c r="A448" s="5"/>
      <c r="B448" s="73"/>
      <c r="C448" s="723"/>
      <c r="D448" s="1"/>
      <c r="E448" s="225"/>
      <c r="F448" s="1645"/>
      <c r="G448" s="1645"/>
      <c r="H448" s="1645"/>
      <c r="I448" s="1645"/>
      <c r="J448" s="1645"/>
      <c r="K448" s="1645"/>
      <c r="L448" s="1645"/>
      <c r="M448" s="1645"/>
      <c r="N448" s="1645"/>
      <c r="O448" s="1645"/>
      <c r="P448" s="1645"/>
      <c r="Q448" s="1645"/>
      <c r="R448" s="1645"/>
      <c r="S448" s="1645"/>
      <c r="T448" s="1645"/>
      <c r="U448" s="1645"/>
      <c r="V448" s="1645"/>
      <c r="W448" s="1645"/>
      <c r="X448" s="1645"/>
      <c r="Y448" s="1645"/>
      <c r="Z448" s="1645"/>
      <c r="AA448" s="1645"/>
      <c r="AB448" s="1645"/>
      <c r="AC448" s="1645"/>
      <c r="AD448" s="1645"/>
      <c r="AE448" s="1645"/>
      <c r="AF448" s="18"/>
      <c r="AG448" s="18"/>
      <c r="AH448" s="18"/>
      <c r="AI448" s="18"/>
      <c r="AJ448" s="18"/>
      <c r="AK448" s="18"/>
      <c r="AL448" s="781"/>
      <c r="AM448"/>
      <c r="AN448" s="281"/>
    </row>
    <row r="449" spans="1:49" s="4" customFormat="1" ht="12.75" customHeight="1">
      <c r="A449" s="5"/>
      <c r="B449" s="73"/>
      <c r="C449" s="723"/>
      <c r="D449" s="1"/>
      <c r="E449" s="225"/>
      <c r="F449" s="1645"/>
      <c r="G449" s="1645"/>
      <c r="H449" s="1645"/>
      <c r="I449" s="1645"/>
      <c r="J449" s="1645"/>
      <c r="K449" s="1645"/>
      <c r="L449" s="1645"/>
      <c r="M449" s="1645"/>
      <c r="N449" s="1645"/>
      <c r="O449" s="1645"/>
      <c r="P449" s="1645"/>
      <c r="Q449" s="1645"/>
      <c r="R449" s="1645"/>
      <c r="S449" s="1645"/>
      <c r="T449" s="1645"/>
      <c r="U449" s="1645"/>
      <c r="V449" s="1645"/>
      <c r="W449" s="1645"/>
      <c r="X449" s="1645"/>
      <c r="Y449" s="1645"/>
      <c r="Z449" s="1645"/>
      <c r="AA449" s="1645"/>
      <c r="AB449" s="1645"/>
      <c r="AC449" s="1645"/>
      <c r="AD449" s="1645"/>
      <c r="AE449" s="1645"/>
      <c r="AF449" s="18"/>
      <c r="AG449" s="18"/>
      <c r="AH449" s="18"/>
      <c r="AI449" s="18"/>
      <c r="AJ449" s="18"/>
      <c r="AK449" s="18"/>
      <c r="AL449" s="781"/>
      <c r="AM449"/>
      <c r="AN449" s="281"/>
    </row>
    <row r="450" spans="1:49" s="4" customFormat="1" ht="12.75" customHeight="1">
      <c r="A450" s="5"/>
      <c r="B450" s="73"/>
      <c r="C450" s="723"/>
      <c r="D450" s="1"/>
      <c r="E450" s="225"/>
      <c r="F450" s="1645"/>
      <c r="G450" s="1645"/>
      <c r="H450" s="1645"/>
      <c r="I450" s="1645"/>
      <c r="J450" s="1645"/>
      <c r="K450" s="1645"/>
      <c r="L450" s="1645"/>
      <c r="M450" s="1645"/>
      <c r="N450" s="1645"/>
      <c r="O450" s="1645"/>
      <c r="P450" s="1645"/>
      <c r="Q450" s="1645"/>
      <c r="R450" s="1645"/>
      <c r="S450" s="1645"/>
      <c r="T450" s="1645"/>
      <c r="U450" s="1645"/>
      <c r="V450" s="1645"/>
      <c r="W450" s="1645"/>
      <c r="X450" s="1645"/>
      <c r="Y450" s="1645"/>
      <c r="Z450" s="1645"/>
      <c r="AA450" s="1645"/>
      <c r="AB450" s="1645"/>
      <c r="AC450" s="1645"/>
      <c r="AD450" s="1645"/>
      <c r="AE450" s="1645"/>
      <c r="AL450" s="705"/>
      <c r="AM450"/>
      <c r="AN450" s="281"/>
    </row>
    <row r="451" spans="1:49" s="4" customFormat="1" ht="12.75" customHeight="1">
      <c r="A451" s="5"/>
      <c r="B451" s="73"/>
      <c r="C451" s="1698" t="s">
        <v>124</v>
      </c>
      <c r="D451" s="111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320</v>
      </c>
      <c r="AG451" s="1691"/>
      <c r="AH451" s="1691"/>
      <c r="AI451" s="1691"/>
      <c r="AJ451" s="1691"/>
      <c r="AK451" s="1691"/>
      <c r="AL451" s="170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4" t="s">
        <v>124</v>
      </c>
      <c r="D455" s="1705"/>
      <c r="E455" s="698"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7" t="s">
        <v>320</v>
      </c>
      <c r="AG455" s="1867"/>
      <c r="AH455" s="1867"/>
      <c r="AI455" s="1867"/>
      <c r="AJ455" s="1867"/>
      <c r="AK455" s="1867"/>
      <c r="AL455" s="1868"/>
      <c r="AM455"/>
      <c r="AN455" s="674"/>
      <c r="AQ455" s="166"/>
    </row>
    <row r="456" spans="1:49" s="4" customFormat="1" ht="12.75" customHeight="1">
      <c r="A456" s="5"/>
      <c r="B456" s="73"/>
      <c r="C456" s="723"/>
      <c r="D456" s="1"/>
      <c r="E456" s="225"/>
      <c r="F456" s="1645"/>
      <c r="G456" s="1645"/>
      <c r="H456" s="1645"/>
      <c r="I456" s="1645"/>
      <c r="J456" s="1645"/>
      <c r="K456" s="1645"/>
      <c r="L456" s="1645"/>
      <c r="M456" s="1645"/>
      <c r="N456" s="1645"/>
      <c r="O456" s="1645"/>
      <c r="P456" s="1645"/>
      <c r="Q456" s="1645"/>
      <c r="R456" s="1645"/>
      <c r="S456" s="1645"/>
      <c r="T456" s="1645"/>
      <c r="U456" s="1645"/>
      <c r="V456" s="1645"/>
      <c r="W456" s="1645"/>
      <c r="X456" s="1645"/>
      <c r="Y456" s="1645"/>
      <c r="Z456" s="1645"/>
      <c r="AA456" s="1645"/>
      <c r="AB456" s="1645"/>
      <c r="AC456" s="1645"/>
      <c r="AD456" s="1645"/>
      <c r="AE456" s="164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4" t="s">
        <v>124</v>
      </c>
      <c r="D459" s="1705"/>
      <c r="E459" s="698" t="s">
        <v>968</v>
      </c>
      <c r="F459" s="1700" t="s">
        <v>1833</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7" t="s">
        <v>320</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5"/>
      <c r="G460" s="1645"/>
      <c r="H460" s="1645"/>
      <c r="I460" s="1645"/>
      <c r="J460" s="1645"/>
      <c r="K460" s="1645"/>
      <c r="L460" s="1645"/>
      <c r="M460" s="1645"/>
      <c r="N460" s="1645"/>
      <c r="O460" s="1645"/>
      <c r="P460" s="1645"/>
      <c r="Q460" s="1645"/>
      <c r="R460" s="1645"/>
      <c r="S460" s="1645"/>
      <c r="T460" s="1645"/>
      <c r="U460" s="1645"/>
      <c r="V460" s="1645"/>
      <c r="W460" s="1645"/>
      <c r="X460" s="1645"/>
      <c r="Y460" s="1645"/>
      <c r="Z460" s="1645"/>
      <c r="AA460" s="1645"/>
      <c r="AB460" s="1645"/>
      <c r="AC460" s="1645"/>
      <c r="AD460" s="1645"/>
      <c r="AE460" s="1645"/>
      <c r="AF460" s="3"/>
      <c r="AG460" s="5"/>
      <c r="AL460" s="705"/>
      <c r="AM460"/>
      <c r="AN460" s="670"/>
      <c r="AO460" s="4" t="s">
        <v>1331</v>
      </c>
      <c r="AP460" s="4">
        <v>5</v>
      </c>
    </row>
    <row r="461" spans="1:49" s="4" customFormat="1" ht="12.75" customHeight="1">
      <c r="A461" s="5"/>
      <c r="B461" s="21"/>
      <c r="C461" s="704"/>
      <c r="D461" s="21"/>
      <c r="E461" s="194"/>
      <c r="F461" s="1645"/>
      <c r="G461" s="1645"/>
      <c r="H461" s="1645"/>
      <c r="I461" s="1645"/>
      <c r="J461" s="1645"/>
      <c r="K461" s="1645"/>
      <c r="L461" s="1645"/>
      <c r="M461" s="1645"/>
      <c r="N461" s="1645"/>
      <c r="O461" s="1645"/>
      <c r="P461" s="1645"/>
      <c r="Q461" s="1645"/>
      <c r="R461" s="1645"/>
      <c r="S461" s="1645"/>
      <c r="T461" s="1645"/>
      <c r="U461" s="1645"/>
      <c r="V461" s="1645"/>
      <c r="W461" s="1645"/>
      <c r="X461" s="1645"/>
      <c r="Y461" s="1645"/>
      <c r="Z461" s="1645"/>
      <c r="AA461" s="1645"/>
      <c r="AB461" s="1645"/>
      <c r="AC461" s="1645"/>
      <c r="AD461" s="1645"/>
      <c r="AE461" s="1645"/>
      <c r="AF461" s="3"/>
      <c r="AG461" s="5"/>
      <c r="AL461" s="705"/>
      <c r="AM461"/>
      <c r="AN461" s="670"/>
      <c r="AO461" s="4" t="s">
        <v>1332</v>
      </c>
      <c r="AP461" s="4">
        <v>5</v>
      </c>
    </row>
    <row r="462" spans="1:49" s="4" customFormat="1" ht="4.5" customHeight="1">
      <c r="A462" s="5"/>
      <c r="B462" s="73"/>
      <c r="C462" s="700"/>
      <c r="D462" s="701"/>
      <c r="E462" s="702"/>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0" t="s">
        <v>1834</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5"/>
      <c r="G465" s="1645"/>
      <c r="H465" s="1645"/>
      <c r="I465" s="1645"/>
      <c r="J465" s="1645"/>
      <c r="K465" s="1645"/>
      <c r="L465" s="1645"/>
      <c r="M465" s="1645"/>
      <c r="N465" s="1645"/>
      <c r="O465" s="1645"/>
      <c r="P465" s="1645"/>
      <c r="Q465" s="1645"/>
      <c r="R465" s="1645"/>
      <c r="S465" s="1645"/>
      <c r="T465" s="1645"/>
      <c r="U465" s="1645"/>
      <c r="V465" s="1645"/>
      <c r="W465" s="1645"/>
      <c r="X465" s="1645"/>
      <c r="Y465" s="1645"/>
      <c r="Z465" s="1645"/>
      <c r="AA465" s="1645"/>
      <c r="AB465" s="1645"/>
      <c r="AC465" s="1645"/>
      <c r="AD465" s="1645"/>
      <c r="AE465" s="1645"/>
      <c r="AF465" s="1645"/>
      <c r="AL465" s="705"/>
      <c r="AM465"/>
      <c r="AN465" s="281"/>
      <c r="AS465" s="345"/>
      <c r="AW465" s="345" t="s">
        <v>975</v>
      </c>
      <c r="BA465" s="345" t="s">
        <v>976</v>
      </c>
    </row>
    <row r="466" spans="1:54" s="4" customFormat="1" ht="12.75" customHeight="1">
      <c r="A466" s="5"/>
      <c r="B466" s="21"/>
      <c r="C466" s="707"/>
      <c r="F466" s="1645"/>
      <c r="G466" s="1645"/>
      <c r="H466" s="1645"/>
      <c r="I466" s="1645"/>
      <c r="J466" s="1645"/>
      <c r="K466" s="1645"/>
      <c r="L466" s="1645"/>
      <c r="M466" s="1645"/>
      <c r="N466" s="1645"/>
      <c r="O466" s="1645"/>
      <c r="P466" s="1645"/>
      <c r="Q466" s="1645"/>
      <c r="R466" s="1645"/>
      <c r="S466" s="1645"/>
      <c r="T466" s="1645"/>
      <c r="U466" s="1645"/>
      <c r="V466" s="1645"/>
      <c r="W466" s="1645"/>
      <c r="X466" s="1645"/>
      <c r="Y466" s="1645"/>
      <c r="Z466" s="1645"/>
      <c r="AA466" s="1645"/>
      <c r="AB466" s="1645"/>
      <c r="AC466" s="1645"/>
      <c r="AD466" s="1645"/>
      <c r="AE466" s="1645"/>
      <c r="AF466" s="164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5"/>
      <c r="G467" s="1645"/>
      <c r="H467" s="1645"/>
      <c r="I467" s="1645"/>
      <c r="J467" s="1645"/>
      <c r="K467" s="1645"/>
      <c r="L467" s="1645"/>
      <c r="M467" s="1645"/>
      <c r="N467" s="1645"/>
      <c r="O467" s="1645"/>
      <c r="P467" s="1645"/>
      <c r="Q467" s="1645"/>
      <c r="R467" s="1645"/>
      <c r="S467" s="1645"/>
      <c r="T467" s="1645"/>
      <c r="U467" s="1645"/>
      <c r="V467" s="1645"/>
      <c r="W467" s="1645"/>
      <c r="X467" s="1645"/>
      <c r="Y467" s="1645"/>
      <c r="Z467" s="1645"/>
      <c r="AA467" s="1645"/>
      <c r="AB467" s="1645"/>
      <c r="AC467" s="1645"/>
      <c r="AD467" s="1645"/>
      <c r="AE467" s="1645"/>
      <c r="AF467" s="1645"/>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8" t="s">
        <v>124</v>
      </c>
      <c r="D468" s="111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320</v>
      </c>
      <c r="AG468" s="1545"/>
      <c r="AH468" s="1545"/>
      <c r="AI468" s="1545"/>
      <c r="AJ468" s="1545"/>
      <c r="AK468" s="1545"/>
      <c r="AL468" s="169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5" t="s">
        <v>1257</v>
      </c>
      <c r="AF477" s="1545"/>
      <c r="AG477" s="1545"/>
      <c r="AH477" s="1545"/>
      <c r="AI477" s="1545"/>
      <c r="AJ477" s="1545"/>
      <c r="AK477" s="15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7" t="s">
        <v>124</v>
      </c>
      <c r="D483" s="1708"/>
      <c r="E483" s="749" t="s">
        <v>195</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5"/>
      <c r="AN484" s="281"/>
      <c r="AO484" s="4" t="s">
        <v>1334</v>
      </c>
      <c r="AP484" s="4">
        <v>1</v>
      </c>
    </row>
    <row r="485" spans="1:50" s="4" customFormat="1" ht="12.75" hidden="1" customHeight="1">
      <c r="C485" s="727"/>
      <c r="D485" s="714"/>
      <c r="E485" s="728"/>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4" t="s">
        <v>108</v>
      </c>
      <c r="D487" s="1705"/>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4" t="s">
        <v>124</v>
      </c>
      <c r="W490" s="1684"/>
      <c r="X490" s="168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4" t="s">
        <v>124</v>
      </c>
      <c r="W492" s="1684"/>
      <c r="X492" s="168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4" t="s">
        <v>124</v>
      </c>
      <c r="W497" s="1684"/>
      <c r="X497" s="168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9"/>
      <c r="E500" s="1429"/>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4" t="s">
        <v>124</v>
      </c>
      <c r="W501" s="1684"/>
      <c r="X501" s="168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4" t="s">
        <v>124</v>
      </c>
      <c r="W503" s="1684"/>
      <c r="X503" s="168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7" t="s">
        <v>124</v>
      </c>
      <c r="D506" s="1708"/>
      <c r="E506" s="742" t="s">
        <v>195</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5"/>
      <c r="AL507" s="4"/>
      <c r="AM507" s="4"/>
      <c r="AN507" s="669"/>
      <c r="AO507" s="38"/>
      <c r="AP507" s="1284" t="s">
        <v>1498</v>
      </c>
      <c r="AQ507" s="1285"/>
      <c r="AR507" s="1286"/>
      <c r="AS507" s="624">
        <v>80</v>
      </c>
      <c r="AT507" s="4">
        <v>0</v>
      </c>
      <c r="AU507" s="160">
        <v>10</v>
      </c>
      <c r="AV507" s="160">
        <v>25</v>
      </c>
      <c r="AW507" s="160">
        <v>37.5</v>
      </c>
      <c r="AX507" s="160">
        <v>35</v>
      </c>
      <c r="AY507" s="160">
        <v>37.5</v>
      </c>
      <c r="AZ507" s="160">
        <v>50</v>
      </c>
      <c r="BA507" s="160">
        <v>50</v>
      </c>
      <c r="BB507" s="21"/>
      <c r="BC507" s="21"/>
      <c r="BE507" s="1284" t="s">
        <v>1498</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5" t="s">
        <v>124</v>
      </c>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729"/>
      <c r="AB508" s="730"/>
      <c r="AC508" s="730"/>
      <c r="AD508" s="714"/>
      <c r="AE508" s="714"/>
      <c r="AF508" s="714"/>
      <c r="AG508" s="731">
        <f>IF($C$506="Yes",(VLOOKUP($F$508,$AO$476:$AP$484,2,FALSE)),0)</f>
        <v>0</v>
      </c>
      <c r="AH508" s="732" t="s">
        <v>974</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7" t="s">
        <v>124</v>
      </c>
      <c r="D510" s="1708"/>
      <c r="E510" s="742" t="s">
        <v>303</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6" t="s">
        <v>124</v>
      </c>
      <c r="G513" s="1686"/>
      <c r="H513" s="16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7" t="s">
        <v>124</v>
      </c>
      <c r="D515" s="1708"/>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9"/>
      <c r="D517" s="1429"/>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124</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124</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124</v>
      </c>
      <c r="D524" s="1876"/>
      <c r="F524" s="496" t="s">
        <v>874</v>
      </c>
      <c r="G524" s="1645" t="s">
        <v>983</v>
      </c>
      <c r="H524" s="1645"/>
      <c r="I524" s="1645"/>
      <c r="J524" s="1645"/>
      <c r="K524" s="1645"/>
      <c r="L524" s="1645"/>
      <c r="M524" s="1645"/>
      <c r="N524" s="1645"/>
      <c r="O524" s="1645"/>
      <c r="P524" s="1645"/>
      <c r="Q524" s="1645"/>
      <c r="R524" s="1645"/>
      <c r="S524" s="1645"/>
      <c r="T524" s="1645"/>
      <c r="U524" s="1645"/>
      <c r="V524" s="1645"/>
      <c r="W524" s="1645"/>
      <c r="X524" s="1645"/>
      <c r="Y524" s="1645"/>
      <c r="Z524" s="1645"/>
      <c r="AA524" s="1645"/>
      <c r="AB524" s="1645"/>
      <c r="AC524" s="1645"/>
      <c r="AD524" s="1645"/>
      <c r="AE524" s="1645"/>
      <c r="AF524" s="1645"/>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856">
        <f>BJ528</f>
        <v>46</v>
      </c>
      <c r="BE524" s="1856"/>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6">
        <f>SUM(E581:J589)</f>
        <v>46</v>
      </c>
      <c r="BE525" s="1856"/>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59">
        <v>0</v>
      </c>
      <c r="BK526" s="186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8" t="s">
        <v>124</v>
      </c>
      <c r="D528" s="111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59">
        <f>Application!AG433</f>
        <v>46</v>
      </c>
      <c r="BK528" s="1860"/>
      <c r="BM528" s="1747"/>
      <c r="BN528" s="1748"/>
      <c r="BO528" s="1747"/>
      <c r="BP528" s="1748"/>
      <c r="BQ528" s="1760"/>
      <c r="BR528" s="1762"/>
      <c r="BS528" s="1760"/>
      <c r="BT528" s="1762"/>
      <c r="BU528" s="1747">
        <f>IF(T611&gt;0,1,0)</f>
        <v>0</v>
      </c>
      <c r="BV528" s="1748"/>
      <c r="BW528" s="1747">
        <f>IF(Y611&gt;=0.1,1,0)</f>
        <v>0</v>
      </c>
      <c r="BX528" s="1748"/>
      <c r="BY528" s="1760"/>
      <c r="BZ528" s="1762"/>
      <c r="CA528" s="1760"/>
      <c r="CB528" s="1762"/>
      <c r="CC528" s="1747"/>
      <c r="CD528" s="1748"/>
      <c r="CE528" s="1747"/>
      <c r="CF528" s="1748"/>
      <c r="CG528"/>
      <c r="CH528"/>
      <c r="CI528"/>
      <c r="CJ528"/>
    </row>
    <row r="529" spans="1:101" s="4" customFormat="1" ht="12.75" hidden="1" customHeight="1">
      <c r="C529" s="699"/>
      <c r="E529" s="143"/>
      <c r="F529" s="1568" t="s">
        <v>124</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47"/>
      <c r="BN529" s="1748"/>
      <c r="BO529" s="1747"/>
      <c r="BP529" s="1748"/>
      <c r="BQ529" s="1760"/>
      <c r="BR529" s="1762"/>
      <c r="BS529" s="1760"/>
      <c r="BT529" s="1762"/>
      <c r="BU529" s="1747"/>
      <c r="BV529" s="1748"/>
      <c r="BW529" s="1747"/>
      <c r="BX529" s="1748"/>
      <c r="BY529" s="1760">
        <f>IF(T612&gt;0,1,0)</f>
        <v>1</v>
      </c>
      <c r="BZ529" s="1762"/>
      <c r="CA529" s="1760">
        <f>IF(Y612&gt;=0.1,1,0)</f>
        <v>1</v>
      </c>
      <c r="CB529" s="1762"/>
      <c r="CC529" s="1747"/>
      <c r="CD529" s="1748"/>
      <c r="CE529" s="1747"/>
      <c r="CF529" s="1748"/>
      <c r="CG529"/>
      <c r="CH529"/>
      <c r="CI529"/>
      <c r="CJ529"/>
      <c r="CW529"/>
    </row>
    <row r="530" spans="1:101" s="4" customFormat="1" ht="12.75" hidden="1" customHeight="1">
      <c r="C530" s="747"/>
      <c r="D530" s="714"/>
      <c r="E530" s="728"/>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30"/>
      <c r="AH530" s="730"/>
      <c r="AI530" s="730"/>
      <c r="AJ530" s="730"/>
      <c r="AK530" s="715"/>
      <c r="AN530" s="281"/>
      <c r="BM530" s="1747"/>
      <c r="BN530" s="1748"/>
      <c r="BO530" s="1747"/>
      <c r="BP530" s="1748"/>
      <c r="BQ530" s="1760"/>
      <c r="BR530" s="1762"/>
      <c r="BS530" s="1760"/>
      <c r="BT530" s="1762"/>
      <c r="BU530" s="1747"/>
      <c r="BV530" s="1748"/>
      <c r="BW530" s="1747"/>
      <c r="BX530" s="1748"/>
      <c r="BY530" s="1760"/>
      <c r="BZ530" s="1762"/>
      <c r="CA530" s="1760"/>
      <c r="CB530" s="1762"/>
      <c r="CC530" s="1747">
        <f>IF(T613&gt;0,1,0)</f>
        <v>1</v>
      </c>
      <c r="CD530" s="1748"/>
      <c r="CE530" s="1747">
        <f>IF(Y613&gt;=0.1,1,0)</f>
        <v>1</v>
      </c>
      <c r="CF530" s="174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7">
        <f>SUM(BM526:BN530)</f>
        <v>0</v>
      </c>
      <c r="BN531" s="1748"/>
      <c r="BO531" s="1747">
        <f>SUM(BO526:BP530)</f>
        <v>0</v>
      </c>
      <c r="BP531" s="1748"/>
      <c r="BQ531" s="1747">
        <f>SUM(BQ526:BR530)</f>
        <v>0</v>
      </c>
      <c r="BR531" s="1748"/>
      <c r="BS531" s="1747">
        <f>SUM(BS526:BT530)</f>
        <v>0</v>
      </c>
      <c r="BT531" s="1748"/>
      <c r="BU531" s="1747">
        <f>SUM(BU526:BV530)</f>
        <v>0</v>
      </c>
      <c r="BV531" s="1748"/>
      <c r="BW531" s="1747">
        <f>SUM(BW526:BX530)</f>
        <v>0</v>
      </c>
      <c r="BX531" s="1748"/>
      <c r="BY531" s="1747">
        <f>SUM(BY526:BZ530)</f>
        <v>1</v>
      </c>
      <c r="BZ531" s="1748"/>
      <c r="CA531" s="1747">
        <f>SUM(CA526:CB530)</f>
        <v>1</v>
      </c>
      <c r="CB531" s="1748"/>
      <c r="CC531" s="1747">
        <f>SUM(CC526:CD530)</f>
        <v>1</v>
      </c>
      <c r="CD531" s="1748"/>
      <c r="CE531" s="1747">
        <f>SUM(CE526:CF530)</f>
        <v>1</v>
      </c>
      <c r="CF531" s="174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456</v>
      </c>
      <c r="AQ532" s="1865"/>
      <c r="AR532" s="1865"/>
      <c r="AS532" s="1865"/>
      <c r="AT532" s="1866"/>
      <c r="AU532" s="1864" t="s">
        <v>457</v>
      </c>
      <c r="AV532" s="1865"/>
      <c r="AW532" s="1865"/>
      <c r="AX532" s="1865"/>
      <c r="AY532" s="1866"/>
      <c r="BM532" s="1760">
        <f>SUM(BM531:BP531)</f>
        <v>0</v>
      </c>
      <c r="BN532" s="1761"/>
      <c r="BO532" s="1761"/>
      <c r="BP532" s="1762"/>
      <c r="BQ532" s="1760">
        <f>SUM(BQ531:BT531)</f>
        <v>0</v>
      </c>
      <c r="BR532" s="1761"/>
      <c r="BS532" s="1761"/>
      <c r="BT532" s="1762"/>
      <c r="BU532" s="1760">
        <f>SUM(BU531:BX531)</f>
        <v>0</v>
      </c>
      <c r="BV532" s="1761"/>
      <c r="BW532" s="1761"/>
      <c r="BX532" s="1762"/>
      <c r="BY532" s="1760">
        <f>SUM(BY531:CB531)</f>
        <v>2</v>
      </c>
      <c r="BZ532" s="1761"/>
      <c r="CA532" s="1761"/>
      <c r="CB532" s="1762"/>
      <c r="CC532" s="1760">
        <f>SUM(CC531:CF531)</f>
        <v>2</v>
      </c>
      <c r="CD532" s="1761"/>
      <c r="CE532" s="1761"/>
      <c r="CF532" s="1762"/>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5</v>
      </c>
      <c r="AQ533" s="1862"/>
      <c r="AR533" s="1862"/>
      <c r="AS533" s="1862"/>
      <c r="AT533" s="1863"/>
      <c r="AU533" s="1861">
        <f>RANK(Y609,$Y$609:$AC$613,0)+COUNTIF($Y$609:$AC$613,Y609)-1</f>
        <v>5</v>
      </c>
      <c r="AV533" s="1862"/>
      <c r="AW533" s="1862"/>
      <c r="AX533" s="1862"/>
      <c r="AY533" s="186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5</v>
      </c>
      <c r="AQ534" s="1862"/>
      <c r="AR534" s="1862"/>
      <c r="AS534" s="1862"/>
      <c r="AT534" s="1863"/>
      <c r="AU534" s="1861">
        <f>RANK(Y610,$Y$609:$AC$613,0)+COUNTIF($Y$609:$AC$613,Y610)-1</f>
        <v>5</v>
      </c>
      <c r="AV534" s="1862"/>
      <c r="AW534" s="1862"/>
      <c r="AX534" s="1862"/>
      <c r="AY534" s="186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5</v>
      </c>
      <c r="AQ535" s="1862"/>
      <c r="AR535" s="1862"/>
      <c r="AS535" s="1862"/>
      <c r="AT535" s="1863"/>
      <c r="AU535" s="1861">
        <f>RANK(Y611,$Y$609:$AC$613,0)+COUNTIF($Y$609:$AC$613,Y611)-1</f>
        <v>5</v>
      </c>
      <c r="AV535" s="1862"/>
      <c r="AW535" s="1862"/>
      <c r="AX535" s="1862"/>
      <c r="AY535" s="186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2</v>
      </c>
      <c r="AQ536" s="1862"/>
      <c r="AR536" s="1862"/>
      <c r="AS536" s="1862"/>
      <c r="AT536" s="1863"/>
      <c r="AU536" s="1861">
        <f>RANK(Y612,$Y$609:$AC$613,0)+COUNTIF($Y$609:$AC$613,Y612)-1</f>
        <v>2</v>
      </c>
      <c r="AV536" s="1862"/>
      <c r="AW536" s="1862"/>
      <c r="AX536" s="1862"/>
      <c r="AY536" s="186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1</v>
      </c>
      <c r="AQ537" s="1862"/>
      <c r="AR537" s="1862"/>
      <c r="AS537" s="1862"/>
      <c r="AT537" s="1863"/>
      <c r="AU537" s="1861">
        <f>RANK(Y613,$Y$609:$AC$613,0)+COUNTIF($Y$609:$AC$613,Y613)-1</f>
        <v>2</v>
      </c>
      <c r="AV537" s="1862"/>
      <c r="AW537" s="1862"/>
      <c r="AX537" s="1862"/>
      <c r="AY537" s="186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7">
        <f>SUM(O609:S613)</f>
        <v>46</v>
      </c>
      <c r="AZ541" s="1748"/>
      <c r="CG541"/>
      <c r="CH541" s="1792" t="s">
        <v>775</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7" t="str">
        <f>IF(AY541=BK568,"passed","failed")</f>
        <v>passed</v>
      </c>
      <c r="AT542" s="1752"/>
      <c r="AU542" s="1748"/>
      <c r="AV542" s="151"/>
      <c r="AW542" s="151"/>
      <c r="AX542" s="151"/>
      <c r="AY542" s="151"/>
      <c r="AZ542" s="152"/>
      <c r="CG542"/>
      <c r="CH542" s="1460"/>
      <c r="CI542" s="1461"/>
      <c r="CJ542" s="1461"/>
      <c r="CK542" s="1462"/>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3" t="s">
        <v>366</v>
      </c>
      <c r="AF543" s="1683"/>
      <c r="AG543" s="1683"/>
      <c r="AH543" s="1683"/>
      <c r="AI543" s="1683"/>
      <c r="AJ543" s="1683"/>
      <c r="AK543" s="1683"/>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0"/>
      <c r="CI543" s="1461"/>
      <c r="CJ543" s="1461"/>
      <c r="CK543" s="1462"/>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182</v>
      </c>
      <c r="AH544" s="1691"/>
      <c r="AI544" s="1691"/>
      <c r="AJ544" s="1691"/>
      <c r="AK544" s="18"/>
      <c r="AL544" s="18"/>
      <c r="AM544" s="21"/>
      <c r="AN544" s="281"/>
      <c r="BE544" s="1760" t="s">
        <v>223</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224</v>
      </c>
      <c r="BZ544" s="1761"/>
      <c r="CA544" s="1761"/>
      <c r="CB544" s="1762"/>
      <c r="CC544"/>
      <c r="CG544"/>
      <c r="CH544" s="1460"/>
      <c r="CI544" s="1461"/>
      <c r="CJ544" s="1461"/>
      <c r="CK544" s="1462"/>
    </row>
    <row r="545" spans="1:89" s="4" customFormat="1" ht="12.75" customHeight="1">
      <c r="A545" s="3"/>
      <c r="B545" s="1873" t="s">
        <v>1720</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7">
        <f>IF(CH546=1,0,1)</f>
        <v>0</v>
      </c>
      <c r="BF545" s="1752"/>
      <c r="BG545" s="1752"/>
      <c r="BH545" s="1748"/>
      <c r="BI545" s="1747"/>
      <c r="BJ545" s="1752"/>
      <c r="BK545" s="1752"/>
      <c r="BL545" s="1748"/>
      <c r="BM545" s="1747"/>
      <c r="BN545" s="1752"/>
      <c r="BO545" s="1752"/>
      <c r="BP545" s="1748"/>
      <c r="BQ545" s="1747"/>
      <c r="BR545" s="1752"/>
      <c r="BS545" s="1752"/>
      <c r="BT545" s="1748"/>
      <c r="BU545" s="1760"/>
      <c r="BV545" s="1761"/>
      <c r="BW545" s="1761"/>
      <c r="BX545" s="1762"/>
      <c r="BY545" s="1760"/>
      <c r="BZ545" s="1761"/>
      <c r="CA545" s="1761"/>
      <c r="CB545" s="1762"/>
      <c r="CC545"/>
      <c r="CG545"/>
      <c r="CH545" s="1511"/>
      <c r="CI545" s="1512"/>
      <c r="CJ545" s="1512"/>
      <c r="CK545" s="1513"/>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2">
        <f>ROUNDUP(BK568*0.1,0)</f>
        <v>5</v>
      </c>
      <c r="AV546" s="1784"/>
      <c r="AW546" s="438"/>
      <c r="AX546" s="438">
        <f>AU546-AP548</f>
        <v>-41</v>
      </c>
      <c r="AY546" s="439"/>
      <c r="BE546" s="1747"/>
      <c r="BF546" s="1752"/>
      <c r="BG546" s="1752"/>
      <c r="BH546" s="1748"/>
      <c r="BI546" s="1747">
        <f>IF(AND(CH547=1,BE545=0),0,1)</f>
        <v>0</v>
      </c>
      <c r="BJ546" s="1752"/>
      <c r="BK546" s="1752"/>
      <c r="BL546" s="1748"/>
      <c r="BM546" s="1747"/>
      <c r="BN546" s="1752"/>
      <c r="BO546" s="1752"/>
      <c r="BP546" s="1748"/>
      <c r="BQ546" s="1747"/>
      <c r="BR546" s="1752"/>
      <c r="BS546" s="1752"/>
      <c r="BT546" s="1748"/>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7"/>
      <c r="BF547" s="1752"/>
      <c r="BG547" s="1752"/>
      <c r="BH547" s="1748"/>
      <c r="BI547" s="1747"/>
      <c r="BJ547" s="1752"/>
      <c r="BK547" s="1752"/>
      <c r="BL547" s="1748"/>
      <c r="BM547" s="1747">
        <f>IF(AND(AND(CH548=1,BI546=0,BE545=0)),0,1)</f>
        <v>0</v>
      </c>
      <c r="BN547" s="1752"/>
      <c r="BO547" s="1752"/>
      <c r="BP547" s="1748"/>
      <c r="BQ547" s="1747"/>
      <c r="BR547" s="1752"/>
      <c r="BS547" s="1752"/>
      <c r="BT547" s="1748"/>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46</v>
      </c>
      <c r="AQ548" s="1842"/>
      <c r="AR548" s="1842"/>
      <c r="AS548" s="1842"/>
      <c r="AT548" s="1843"/>
      <c r="AU548" s="438"/>
      <c r="AV548" s="439"/>
      <c r="AW548" s="438"/>
      <c r="AX548" s="438"/>
      <c r="AY548" s="439"/>
      <c r="BE548" s="1747"/>
      <c r="BF548" s="1752"/>
      <c r="BG548" s="1752"/>
      <c r="BH548" s="1748"/>
      <c r="BI548" s="1747"/>
      <c r="BJ548" s="1752"/>
      <c r="BK548" s="1752"/>
      <c r="BL548" s="1748"/>
      <c r="BM548" s="1747"/>
      <c r="BN548" s="1752"/>
      <c r="BO548" s="1752"/>
      <c r="BP548" s="1748"/>
      <c r="BQ548" s="1747">
        <f>IF(AND(AND(AND(CH549=1,BM547=0,BI546=0,BE545=0))),0,1)</f>
        <v>0</v>
      </c>
      <c r="BR548" s="1752"/>
      <c r="BS548" s="1752"/>
      <c r="BT548" s="1748"/>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2" t="str">
        <f>IF(AP548&gt;=AU546,"passed","failed")</f>
        <v>passed</v>
      </c>
      <c r="AV549" s="1783"/>
      <c r="AW549" s="1784"/>
      <c r="AX549" s="443"/>
      <c r="AY549" s="444"/>
      <c r="BE549" s="1747"/>
      <c r="BF549" s="1752"/>
      <c r="BG549" s="1752"/>
      <c r="BH549" s="1748"/>
      <c r="BI549" s="1747"/>
      <c r="BJ549" s="1752"/>
      <c r="BK549" s="1752"/>
      <c r="BL549" s="1748"/>
      <c r="BM549" s="1747"/>
      <c r="BN549" s="1752"/>
      <c r="BO549" s="1752"/>
      <c r="BP549" s="1748"/>
      <c r="BQ549" s="1747"/>
      <c r="BR549" s="1752"/>
      <c r="BS549" s="1752"/>
      <c r="BT549" s="1748"/>
      <c r="BU549" s="1747">
        <f>IF(AND(AND(AND(AND(CH550=1,BQ548=0,BM547=0,BI546=0,BE545=0)))),0,1)</f>
        <v>0</v>
      </c>
      <c r="BV549" s="1752"/>
      <c r="BW549" s="1752"/>
      <c r="BX549" s="1748"/>
      <c r="BY549" s="1760"/>
      <c r="BZ549" s="1761"/>
      <c r="CA549" s="1761"/>
      <c r="CB549" s="1762"/>
      <c r="CC549"/>
      <c r="CD549"/>
      <c r="CE549"/>
      <c r="CF549"/>
      <c r="CG549"/>
      <c r="CH549" s="1760">
        <f>IF(OR(Y612=0,Y612&gt;=0.1),1,0)</f>
        <v>1</v>
      </c>
      <c r="CI549" s="1761"/>
      <c r="CJ549" s="1761"/>
      <c r="CK549" s="1762"/>
    </row>
    <row r="550" spans="1:89" s="4" customFormat="1" ht="13.95"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7">
        <f>SUM(BE545:BH549)</f>
        <v>0</v>
      </c>
      <c r="BF550" s="1752"/>
      <c r="BG550" s="1752"/>
      <c r="BH550" s="1748"/>
      <c r="BI550" s="1747">
        <f>SUM(BI545:BL549)</f>
        <v>0</v>
      </c>
      <c r="BJ550" s="1752"/>
      <c r="BK550" s="1752"/>
      <c r="BL550" s="1748"/>
      <c r="BM550" s="1747">
        <f>SUM(BM545:BP549)</f>
        <v>0</v>
      </c>
      <c r="BN550" s="1752"/>
      <c r="BO550" s="1752"/>
      <c r="BP550" s="1748"/>
      <c r="BQ550" s="1747">
        <f>SUM(BQ545:BT549)</f>
        <v>0</v>
      </c>
      <c r="BR550" s="1752"/>
      <c r="BS550" s="1752"/>
      <c r="BT550" s="1748"/>
      <c r="BU550" s="1747">
        <f>SUM(BU545:BX549)</f>
        <v>0</v>
      </c>
      <c r="BV550" s="1752"/>
      <c r="BW550" s="1752"/>
      <c r="BX550" s="1748"/>
      <c r="BY550" s="1747">
        <f>SUM(BY545:CB549)</f>
        <v>0</v>
      </c>
      <c r="BZ550" s="1752"/>
      <c r="CA550" s="1752"/>
      <c r="CB550" s="1748"/>
      <c r="CC550" s="1760">
        <f>IF(AND(CH546=1,T609&gt;0),0,SUM(BE550:CB550))</f>
        <v>0</v>
      </c>
      <c r="CD550" s="1761"/>
      <c r="CE550" s="1761"/>
      <c r="CF550" s="1762"/>
      <c r="CG550"/>
      <c r="CH550" s="1760">
        <f>IF(OR(Y613=0,Y613&gt;=0.1),1,0)</f>
        <v>1</v>
      </c>
      <c r="CI550" s="1761"/>
      <c r="CJ550" s="1761"/>
      <c r="CK550" s="1762"/>
    </row>
    <row r="551" spans="1:89" s="4" customFormat="1" ht="12.45" customHeight="1">
      <c r="B551" s="1763" t="s">
        <v>1499</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2"/>
      <c r="AI551" s="162"/>
      <c r="AJ551" s="162"/>
      <c r="AK551" s="163"/>
      <c r="AL551" s="163"/>
      <c r="AM551" s="163"/>
      <c r="AN551" s="281"/>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3" t="s">
        <v>1762</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2"/>
      <c r="AH554" s="162"/>
      <c r="AI554" s="162"/>
      <c r="AJ554" s="162"/>
      <c r="AK554" s="163"/>
      <c r="AL554" s="163"/>
      <c r="AM554" s="163"/>
      <c r="AN554" s="281"/>
      <c r="AP554" s="150"/>
      <c r="AQ554" s="151"/>
      <c r="AR554" s="151"/>
      <c r="AS554" s="151"/>
      <c r="AT554" s="157" t="s">
        <v>606</v>
      </c>
      <c r="AU554" s="151"/>
      <c r="AV554" s="1747" t="str">
        <f>IF(BJ590&gt;0,"failed","passed")</f>
        <v>failed</v>
      </c>
      <c r="AW554" s="1752"/>
      <c r="AX554" s="1752"/>
      <c r="AY554" s="1748"/>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4" t="s">
        <v>1500</v>
      </c>
      <c r="R557" s="1694"/>
      <c r="S557" s="1694"/>
      <c r="T557" s="1694"/>
      <c r="U557" s="1694"/>
      <c r="V557" s="1694"/>
      <c r="W557" s="1694"/>
      <c r="X557" s="1694"/>
      <c r="Y557" s="1694"/>
      <c r="Z557" s="1694"/>
      <c r="AA557" s="1694"/>
      <c r="AB557" s="1694"/>
      <c r="AC557" s="1694"/>
      <c r="AD557" s="1694"/>
      <c r="AE557" s="1694"/>
      <c r="AF557" s="16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4"/>
      <c r="R558" s="1694"/>
      <c r="S558" s="1694"/>
      <c r="T558" s="1694"/>
      <c r="U558" s="1694"/>
      <c r="V558" s="1694"/>
      <c r="W558" s="1694"/>
      <c r="X558" s="1694"/>
      <c r="Y558" s="1694"/>
      <c r="Z558" s="1694"/>
      <c r="AA558" s="1694"/>
      <c r="AB558" s="1694"/>
      <c r="AC558" s="1694"/>
      <c r="AD558" s="1694"/>
      <c r="AE558" s="1694"/>
      <c r="AF558" s="169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1761</v>
      </c>
      <c r="R559" s="1680"/>
      <c r="S559" s="1849" t="s">
        <v>204</v>
      </c>
      <c r="T559" s="1849"/>
      <c r="U559" s="1679">
        <v>0.5</v>
      </c>
      <c r="V559" s="1680"/>
      <c r="W559" s="1679">
        <v>0.45</v>
      </c>
      <c r="X559" s="1680"/>
      <c r="Y559" s="1679">
        <v>0.4</v>
      </c>
      <c r="Z559" s="1680"/>
      <c r="AA559" s="1679">
        <v>0.35</v>
      </c>
      <c r="AB559" s="1680"/>
      <c r="AC559" s="1780">
        <v>0.3</v>
      </c>
      <c r="AD559" s="1781"/>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8"/>
      <c r="P560" s="1659"/>
      <c r="Q560" s="1677"/>
      <c r="R560" s="1678"/>
      <c r="S560" s="1764"/>
      <c r="T560" s="1764"/>
      <c r="U560" s="1678"/>
      <c r="V560" s="1678"/>
      <c r="W560" s="1678"/>
      <c r="X560" s="1678"/>
      <c r="Y560" s="1678"/>
      <c r="Z560" s="1678"/>
      <c r="AA560" s="1753"/>
      <c r="AB560" s="1753"/>
      <c r="AC560" s="1678"/>
      <c r="AD560" s="1678"/>
      <c r="AE560" s="1778"/>
      <c r="AF560" s="1779"/>
      <c r="AN560" s="281"/>
      <c r="AP560" s="144" t="s">
        <v>713</v>
      </c>
      <c r="AQ560" s="9"/>
      <c r="AR560" s="9"/>
      <c r="AS560" s="9"/>
      <c r="AT560" s="1760" t="str">
        <f>IF(OR(AV554="passed",BD558="passed"),"passed","failed")</f>
        <v>passed</v>
      </c>
      <c r="AU560" s="1761"/>
      <c r="AV560" s="1761"/>
      <c r="AW560" s="1761"/>
      <c r="AX560" s="1762"/>
    </row>
    <row r="561" spans="1:96" s="4" customFormat="1" ht="12.75" customHeight="1">
      <c r="B561" s="63"/>
      <c r="I561" s="220"/>
      <c r="J561" s="162"/>
      <c r="N561" s="5"/>
      <c r="O561" s="1658"/>
      <c r="P561" s="1659"/>
      <c r="Q561" s="1660"/>
      <c r="R561" s="1661"/>
      <c r="S561" s="1661"/>
      <c r="T561" s="1661"/>
      <c r="U561" s="1661"/>
      <c r="V561" s="1661"/>
      <c r="W561" s="1661"/>
      <c r="X561" s="1661"/>
      <c r="Y561" s="1675"/>
      <c r="Z561" s="1675"/>
      <c r="AA561" s="1661"/>
      <c r="AB561" s="1661"/>
      <c r="AC561" s="1675"/>
      <c r="AD561" s="1675"/>
      <c r="AE561" s="1695"/>
      <c r="AF561" s="1696"/>
      <c r="AN561" s="281"/>
      <c r="AP561"/>
      <c r="AQ561"/>
      <c r="AR561"/>
      <c r="AS561"/>
      <c r="AT561"/>
      <c r="AU561"/>
      <c r="AV561"/>
      <c r="AW561"/>
      <c r="AX561"/>
      <c r="AY561"/>
    </row>
    <row r="562" spans="1:96" s="4" customFormat="1" ht="12.75" customHeight="1">
      <c r="B562" s="63"/>
      <c r="I562" s="220"/>
      <c r="J562" s="162"/>
      <c r="N562" s="5"/>
      <c r="O562" s="1658"/>
      <c r="P562" s="1659"/>
      <c r="Q562" s="1660"/>
      <c r="R562" s="1661"/>
      <c r="S562" s="1661"/>
      <c r="T562" s="1661"/>
      <c r="U562" s="1661"/>
      <c r="V562" s="1661"/>
      <c r="W562" s="1661"/>
      <c r="X562" s="1661"/>
      <c r="Y562" s="1661"/>
      <c r="Z562" s="1661"/>
      <c r="AA562" s="1675"/>
      <c r="AB562" s="1675"/>
      <c r="AC562" s="1661"/>
      <c r="AD562" s="1661"/>
      <c r="AE562" s="1788"/>
      <c r="AF562" s="1789"/>
      <c r="AN562" s="281"/>
      <c r="AP562" s="153" t="s">
        <v>607</v>
      </c>
      <c r="AQ562" s="154"/>
      <c r="AR562" s="154"/>
      <c r="AS562" s="154"/>
      <c r="AT562" s="154"/>
      <c r="AU562" s="154"/>
      <c r="AV562" s="155"/>
      <c r="AW562" s="1785" t="str">
        <f>IF(AND(AND(AND(AND(AS542="passed",AU549="passed",BD558="passed",SUM(T609:X613)&gt;1)))),"YES","NO")</f>
        <v>YES</v>
      </c>
      <c r="AX562" s="1786"/>
      <c r="AY562" s="1787"/>
      <c r="AZ562" s="40"/>
      <c r="BA562" s="40"/>
      <c r="BB562" s="40"/>
      <c r="BC562" s="40"/>
      <c r="BD562" s="40"/>
      <c r="BE562" s="21"/>
      <c r="BF562" s="21"/>
      <c r="BG562" s="21"/>
    </row>
    <row r="563" spans="1:96" s="4" customFormat="1" ht="12.75" customHeight="1">
      <c r="B563" s="63"/>
      <c r="I563" s="220"/>
      <c r="J563" s="162"/>
      <c r="N563" s="5"/>
      <c r="O563" s="1658"/>
      <c r="P563" s="1659"/>
      <c r="Q563" s="1660"/>
      <c r="R563" s="1661"/>
      <c r="S563" s="1661"/>
      <c r="T563" s="1661"/>
      <c r="U563" s="1661"/>
      <c r="V563" s="1661"/>
      <c r="W563" s="1661"/>
      <c r="X563" s="1661"/>
      <c r="Y563" s="1675"/>
      <c r="Z563" s="1675"/>
      <c r="AA563" s="1661"/>
      <c r="AB563" s="1661"/>
      <c r="AC563" s="1675"/>
      <c r="AD563" s="1675"/>
      <c r="AE563" s="1695"/>
      <c r="AF563" s="1696"/>
      <c r="AN563" s="281"/>
    </row>
    <row r="564" spans="1:96" s="4" customFormat="1" ht="12.75" customHeight="1">
      <c r="B564" s="63"/>
      <c r="I564" s="220"/>
      <c r="J564" s="162"/>
      <c r="N564" s="5"/>
      <c r="O564" s="1658"/>
      <c r="P564" s="1659"/>
      <c r="Q564" s="1660"/>
      <c r="R564" s="1661"/>
      <c r="S564" s="1661"/>
      <c r="T564" s="1661"/>
      <c r="U564" s="1661"/>
      <c r="V564" s="1661"/>
      <c r="W564" s="1675"/>
      <c r="X564" s="1675"/>
      <c r="Y564" s="1661"/>
      <c r="Z564" s="1661"/>
      <c r="AA564" s="1675"/>
      <c r="AB564" s="1675"/>
      <c r="AC564" s="1661"/>
      <c r="AD564" s="1661"/>
      <c r="AE564" s="1788"/>
      <c r="AF564" s="1789"/>
      <c r="AN564" s="281"/>
    </row>
    <row r="565" spans="1:96" s="4" customFormat="1" ht="12.75" customHeight="1">
      <c r="B565" s="63"/>
      <c r="I565" s="220"/>
      <c r="J565" s="162"/>
      <c r="N565" s="5"/>
      <c r="O565" s="1658"/>
      <c r="P565" s="1659"/>
      <c r="Q565" s="1660"/>
      <c r="R565" s="1661"/>
      <c r="S565" s="1661"/>
      <c r="T565" s="1661"/>
      <c r="U565" s="1661"/>
      <c r="V565" s="1661"/>
      <c r="W565" s="1661"/>
      <c r="X565" s="1661"/>
      <c r="Y565" s="1675"/>
      <c r="Z565" s="1675"/>
      <c r="AA565" s="1661"/>
      <c r="AB565" s="1661"/>
      <c r="AC565" s="1675"/>
      <c r="AD565" s="1675"/>
      <c r="AE565" s="1695"/>
      <c r="AF565" s="1696"/>
      <c r="AN565" s="281"/>
      <c r="AU565" s="21"/>
      <c r="AV565" s="21"/>
      <c r="AW565" s="8"/>
      <c r="AX565" s="9"/>
      <c r="AY565" s="9"/>
      <c r="AZ565" s="60" t="s">
        <v>1126</v>
      </c>
      <c r="BA565" s="1793" t="s">
        <v>714</v>
      </c>
      <c r="BB565" s="1794"/>
      <c r="BC565" s="1794"/>
      <c r="BD565" s="1794"/>
      <c r="BE565" s="1795"/>
      <c r="BF565" s="1757">
        <f>SUM(O609:S613)</f>
        <v>46</v>
      </c>
      <c r="BG565" s="1758"/>
      <c r="BH565" s="1758"/>
      <c r="BI565" s="1758"/>
      <c r="BJ565" s="1759"/>
      <c r="BK565" s="1662">
        <f>SUM(T609:X613)</f>
        <v>46</v>
      </c>
      <c r="BL565" s="1663"/>
      <c r="BM565" s="1663"/>
      <c r="BN565" s="1663"/>
      <c r="BO565" s="1664"/>
    </row>
    <row r="566" spans="1:96" s="4" customFormat="1" ht="12.75" customHeight="1">
      <c r="B566" s="35"/>
      <c r="I566" s="1287" t="s">
        <v>1498</v>
      </c>
      <c r="J566" s="1288"/>
      <c r="K566" s="1288"/>
      <c r="L566" s="1288"/>
      <c r="M566" s="1288"/>
      <c r="N566" s="1289"/>
      <c r="O566" s="1658">
        <v>0.5</v>
      </c>
      <c r="P566" s="1659"/>
      <c r="Q566" s="1671"/>
      <c r="R566" s="1672"/>
      <c r="S566" s="1661"/>
      <c r="T566" s="1661"/>
      <c r="U566" s="1693" t="s">
        <v>1502</v>
      </c>
      <c r="V566" s="1693"/>
      <c r="W566" s="1674">
        <v>37.5</v>
      </c>
      <c r="X566" s="1674"/>
      <c r="Y566" s="1672"/>
      <c r="Z566" s="1672"/>
      <c r="AA566" s="1674"/>
      <c r="AB566" s="1674"/>
      <c r="AC566" s="1672"/>
      <c r="AD566" s="1672"/>
      <c r="AE566" s="1790"/>
      <c r="AF566" s="1791"/>
      <c r="AN566" s="281"/>
      <c r="CL566"/>
      <c r="CM566"/>
    </row>
    <row r="567" spans="1:96" s="4" customFormat="1" ht="12.75" customHeight="1">
      <c r="B567" s="120"/>
      <c r="C567" s="61"/>
      <c r="I567" s="1287"/>
      <c r="J567" s="1288"/>
      <c r="K567" s="1288"/>
      <c r="L567" s="1288"/>
      <c r="M567" s="1288"/>
      <c r="N567" s="1289"/>
      <c r="O567" s="1658">
        <v>0.45</v>
      </c>
      <c r="P567" s="1659"/>
      <c r="Q567" s="1660"/>
      <c r="R567" s="1661"/>
      <c r="S567" s="1661"/>
      <c r="T567" s="1661"/>
      <c r="U567" s="1673" t="s">
        <v>130</v>
      </c>
      <c r="V567" s="1673"/>
      <c r="W567" s="1675">
        <v>33.799999999999997</v>
      </c>
      <c r="X567" s="1675"/>
      <c r="Y567" s="1675"/>
      <c r="Z567" s="1675"/>
      <c r="AA567" s="1661"/>
      <c r="AB567" s="1661"/>
      <c r="AC567" s="1675"/>
      <c r="AD567" s="1675"/>
      <c r="AE567" s="1695"/>
      <c r="AF567" s="1696"/>
      <c r="AN567" s="281"/>
      <c r="CL567"/>
      <c r="CM567"/>
    </row>
    <row r="568" spans="1:96" s="4" customFormat="1" ht="12.75" customHeight="1">
      <c r="B568" s="5"/>
      <c r="C568" s="5"/>
      <c r="D568" s="5"/>
      <c r="E568" s="5"/>
      <c r="I568" s="1287"/>
      <c r="J568" s="1288"/>
      <c r="K568" s="1288"/>
      <c r="L568" s="1288"/>
      <c r="M568" s="1288"/>
      <c r="N568" s="1289"/>
      <c r="O568" s="1658">
        <v>0.4</v>
      </c>
      <c r="P568" s="1659"/>
      <c r="Q568" s="1660"/>
      <c r="R568" s="1661"/>
      <c r="S568" s="1673" t="s">
        <v>1501</v>
      </c>
      <c r="T568" s="1673"/>
      <c r="U568" s="1675">
        <v>20</v>
      </c>
      <c r="V568" s="1675"/>
      <c r="W568" s="1675">
        <v>30</v>
      </c>
      <c r="X568" s="1675"/>
      <c r="Y568" s="1675"/>
      <c r="Z568" s="1675"/>
      <c r="AA568" s="1675"/>
      <c r="AB568" s="1675"/>
      <c r="AC568" s="1675"/>
      <c r="AD568" s="1675"/>
      <c r="AE568" s="1695"/>
      <c r="AF568" s="1696"/>
      <c r="AN568" s="281"/>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2">
        <f>BF565</f>
        <v>46</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58">
        <v>0.35</v>
      </c>
      <c r="P569" s="1659"/>
      <c r="Q569" s="1660"/>
      <c r="R569" s="1661"/>
      <c r="S569" s="1673" t="s">
        <v>1763</v>
      </c>
      <c r="T569" s="1673"/>
      <c r="U569" s="1675">
        <v>17.5</v>
      </c>
      <c r="V569" s="1675"/>
      <c r="W569" s="1675">
        <v>26.3</v>
      </c>
      <c r="X569" s="1675"/>
      <c r="Y569" s="1675">
        <v>35</v>
      </c>
      <c r="Z569" s="1675"/>
      <c r="AA569" s="1675"/>
      <c r="AB569" s="1675"/>
      <c r="AC569" s="1675">
        <v>50</v>
      </c>
      <c r="AD569" s="1675"/>
      <c r="AE569" s="1695"/>
      <c r="AF569" s="1696"/>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58">
        <v>0.3</v>
      </c>
      <c r="P570" s="1659"/>
      <c r="Q570" s="1660"/>
      <c r="R570" s="1661"/>
      <c r="S570" s="1673" t="s">
        <v>1764</v>
      </c>
      <c r="T570" s="1673"/>
      <c r="U570" s="1675">
        <v>15</v>
      </c>
      <c r="V570" s="1675"/>
      <c r="W570" s="1675">
        <v>22.5</v>
      </c>
      <c r="X570" s="1675"/>
      <c r="Y570" s="1675">
        <v>30</v>
      </c>
      <c r="Z570" s="1675"/>
      <c r="AA570" s="1675">
        <v>37.5</v>
      </c>
      <c r="AB570" s="1675"/>
      <c r="AC570" s="1675">
        <v>45</v>
      </c>
      <c r="AD570" s="1675"/>
      <c r="AE570" s="1695"/>
      <c r="AF570" s="16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7"/>
      <c r="J571" s="1288"/>
      <c r="K571" s="1288"/>
      <c r="L571" s="1288"/>
      <c r="M571" s="1288"/>
      <c r="N571" s="1289"/>
      <c r="O571" s="1658">
        <v>0.25</v>
      </c>
      <c r="P571" s="1659"/>
      <c r="Q571" s="1660"/>
      <c r="R571" s="1661"/>
      <c r="S571" s="1673" t="s">
        <v>1765</v>
      </c>
      <c r="T571" s="1673"/>
      <c r="U571" s="1675">
        <v>12.5</v>
      </c>
      <c r="V571" s="1675"/>
      <c r="W571" s="1675">
        <v>18.8</v>
      </c>
      <c r="X571" s="1675"/>
      <c r="Y571" s="1675">
        <v>25</v>
      </c>
      <c r="Z571" s="1675"/>
      <c r="AA571" s="1675">
        <v>31.3</v>
      </c>
      <c r="AB571" s="1675"/>
      <c r="AC571" s="1675">
        <v>37.5</v>
      </c>
      <c r="AD571" s="1675"/>
      <c r="AE571" s="1695">
        <v>50</v>
      </c>
      <c r="AF571" s="1696"/>
      <c r="AN571" s="281"/>
      <c r="AP571" s="1754" t="str">
        <f t="shared" ref="AP571:AP577" si="0">J608</f>
        <v>5 BR</v>
      </c>
      <c r="AQ571" s="1755"/>
      <c r="AR571" s="1755"/>
      <c r="AS571" s="1755"/>
      <c r="AT571" s="1756"/>
      <c r="AU571" s="1375">
        <f t="shared" ref="AU571:AU576" si="1">O608</f>
        <v>0</v>
      </c>
      <c r="AV571" s="1376"/>
      <c r="AW571" s="1376"/>
      <c r="AX571" s="1376"/>
      <c r="AY571" s="1377"/>
      <c r="AZ571" s="1375">
        <f t="shared" ref="AZ571:AZ576" si="2">T608</f>
        <v>0</v>
      </c>
      <c r="BA571" s="1376"/>
      <c r="BB571" s="1376"/>
      <c r="BC571" s="1376"/>
      <c r="BD571" s="1377"/>
      <c r="BE571" s="1749">
        <f t="shared" ref="BE571:BE576" si="3">Y608</f>
        <v>0</v>
      </c>
      <c r="BF571" s="1750"/>
      <c r="BG571" s="1750"/>
      <c r="BH571" s="1750"/>
      <c r="BI571" s="1751"/>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7"/>
      <c r="J572" s="1288"/>
      <c r="K572" s="1288"/>
      <c r="L572" s="1288"/>
      <c r="M572" s="1288"/>
      <c r="N572" s="1289"/>
      <c r="O572" s="1658">
        <v>0.2</v>
      </c>
      <c r="P572" s="1659"/>
      <c r="Q572" s="1660"/>
      <c r="R572" s="1661"/>
      <c r="S572" s="1689" t="s">
        <v>1768</v>
      </c>
      <c r="T572" s="1689"/>
      <c r="U572" s="1675">
        <v>10</v>
      </c>
      <c r="V572" s="1675"/>
      <c r="W572" s="1675">
        <v>15</v>
      </c>
      <c r="X572" s="1675"/>
      <c r="Y572" s="1675">
        <v>20</v>
      </c>
      <c r="Z572" s="1675"/>
      <c r="AA572" s="1675">
        <v>25</v>
      </c>
      <c r="AB572" s="1675"/>
      <c r="AC572" s="1675">
        <v>30</v>
      </c>
      <c r="AD572" s="1675"/>
      <c r="AE572" s="1695">
        <v>40</v>
      </c>
      <c r="AF572" s="1696"/>
      <c r="AN572" s="281"/>
      <c r="AP572" s="1754" t="str">
        <f t="shared" si="0"/>
        <v>4 BR</v>
      </c>
      <c r="AQ572" s="1755"/>
      <c r="AR572" s="1755"/>
      <c r="AS572" s="1755"/>
      <c r="AT572" s="1756"/>
      <c r="AU572" s="1375">
        <f t="shared" si="1"/>
        <v>0</v>
      </c>
      <c r="AV572" s="1376"/>
      <c r="AW572" s="1376"/>
      <c r="AX572" s="1376"/>
      <c r="AY572" s="1377"/>
      <c r="AZ572" s="1375">
        <f t="shared" si="2"/>
        <v>0</v>
      </c>
      <c r="BA572" s="1376"/>
      <c r="BB572" s="1376"/>
      <c r="BC572" s="1376"/>
      <c r="BD572" s="1377"/>
      <c r="BE572" s="1749">
        <f t="shared" si="3"/>
        <v>0</v>
      </c>
      <c r="BF572" s="1750"/>
      <c r="BG572" s="1750"/>
      <c r="BH572" s="1750"/>
      <c r="BI572" s="1751"/>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7"/>
      <c r="J573" s="1288"/>
      <c r="K573" s="1288"/>
      <c r="L573" s="1288"/>
      <c r="M573" s="1288"/>
      <c r="N573" s="1289"/>
      <c r="O573" s="1658">
        <v>0.15</v>
      </c>
      <c r="P573" s="1659"/>
      <c r="Q573" s="1660"/>
      <c r="R573" s="1661"/>
      <c r="S573" s="1673" t="s">
        <v>1766</v>
      </c>
      <c r="T573" s="1673"/>
      <c r="U573" s="1675">
        <v>7.5</v>
      </c>
      <c r="V573" s="1675"/>
      <c r="W573" s="1675">
        <v>11.3</v>
      </c>
      <c r="X573" s="1675"/>
      <c r="Y573" s="1675">
        <v>15</v>
      </c>
      <c r="Z573" s="1675"/>
      <c r="AA573" s="1675">
        <v>18.8</v>
      </c>
      <c r="AB573" s="1675"/>
      <c r="AC573" s="1675">
        <v>22.5</v>
      </c>
      <c r="AD573" s="1675"/>
      <c r="AE573" s="1695">
        <v>30</v>
      </c>
      <c r="AF573" s="1696"/>
      <c r="AN573" s="281"/>
      <c r="AP573" s="1754" t="str">
        <f t="shared" si="0"/>
        <v>3 BR</v>
      </c>
      <c r="AQ573" s="1755"/>
      <c r="AR573" s="1755"/>
      <c r="AS573" s="1755"/>
      <c r="AT573" s="1756"/>
      <c r="AU573" s="1375">
        <f t="shared" si="1"/>
        <v>0</v>
      </c>
      <c r="AV573" s="1376"/>
      <c r="AW573" s="1376"/>
      <c r="AX573" s="1376"/>
      <c r="AY573" s="1377"/>
      <c r="AZ573" s="1375">
        <f t="shared" si="2"/>
        <v>0</v>
      </c>
      <c r="BA573" s="1376"/>
      <c r="BB573" s="1376"/>
      <c r="BC573" s="1376"/>
      <c r="BD573" s="1377"/>
      <c r="BE573" s="1749">
        <f t="shared" si="3"/>
        <v>0</v>
      </c>
      <c r="BF573" s="1750"/>
      <c r="BG573" s="1750"/>
      <c r="BH573" s="1750"/>
      <c r="BI573" s="1751"/>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0"/>
      <c r="J574" s="1291"/>
      <c r="K574" s="1291"/>
      <c r="L574" s="1291"/>
      <c r="M574" s="1291"/>
      <c r="N574" s="1292"/>
      <c r="O574" s="1658">
        <v>0.1</v>
      </c>
      <c r="P574" s="1659"/>
      <c r="Q574" s="1687"/>
      <c r="R574" s="1688"/>
      <c r="S574" s="1673" t="s">
        <v>1767</v>
      </c>
      <c r="T574" s="1673"/>
      <c r="U574" s="1676">
        <v>5</v>
      </c>
      <c r="V574" s="1676"/>
      <c r="W574" s="1676">
        <v>7.5</v>
      </c>
      <c r="X574" s="1676"/>
      <c r="Y574" s="1676">
        <v>10</v>
      </c>
      <c r="Z574" s="1676"/>
      <c r="AA574" s="1676">
        <v>12.5</v>
      </c>
      <c r="AB574" s="1676"/>
      <c r="AC574" s="1676">
        <v>15</v>
      </c>
      <c r="AD574" s="1676"/>
      <c r="AE574" s="1877">
        <v>20</v>
      </c>
      <c r="AF574" s="1878"/>
      <c r="AK574" s="167"/>
      <c r="AL574" s="167"/>
      <c r="AM574" s="5"/>
      <c r="AN574" s="281"/>
      <c r="AP574" s="1754" t="str">
        <f t="shared" si="0"/>
        <v>2 BR</v>
      </c>
      <c r="AQ574" s="1755"/>
      <c r="AR574" s="1755"/>
      <c r="AS574" s="1755"/>
      <c r="AT574" s="1756"/>
      <c r="AU574" s="1375">
        <f t="shared" si="1"/>
        <v>0</v>
      </c>
      <c r="AV574" s="1376"/>
      <c r="AW574" s="1376"/>
      <c r="AX574" s="1376"/>
      <c r="AY574" s="1377"/>
      <c r="AZ574" s="1375">
        <f t="shared" si="2"/>
        <v>0</v>
      </c>
      <c r="BA574" s="1376"/>
      <c r="BB574" s="1376"/>
      <c r="BC574" s="1376"/>
      <c r="BD574" s="1377"/>
      <c r="BE574" s="1749">
        <f t="shared" si="3"/>
        <v>0</v>
      </c>
      <c r="BF574" s="1750"/>
      <c r="BG574" s="1750"/>
      <c r="BH574" s="1750"/>
      <c r="BI574" s="1751"/>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4" t="str">
        <f t="shared" si="0"/>
        <v>1 BR</v>
      </c>
      <c r="AQ575" s="1755"/>
      <c r="AR575" s="1755"/>
      <c r="AS575" s="1755"/>
      <c r="AT575" s="1756"/>
      <c r="AU575" s="1375">
        <f t="shared" si="1"/>
        <v>12</v>
      </c>
      <c r="AV575" s="1376"/>
      <c r="AW575" s="1376"/>
      <c r="AX575" s="1376"/>
      <c r="AY575" s="1377"/>
      <c r="AZ575" s="1375">
        <f t="shared" si="2"/>
        <v>12</v>
      </c>
      <c r="BA575" s="1376"/>
      <c r="BB575" s="1376"/>
      <c r="BC575" s="1376"/>
      <c r="BD575" s="1377"/>
      <c r="BE575" s="1749">
        <f t="shared" si="3"/>
        <v>1</v>
      </c>
      <c r="BF575" s="1750"/>
      <c r="BG575" s="1750"/>
      <c r="BH575" s="1750"/>
      <c r="BI575" s="1751"/>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4"/>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5"/>
      <c r="AN576" s="281"/>
      <c r="AP576" s="1754" t="str">
        <f t="shared" si="0"/>
        <v>SRO</v>
      </c>
      <c r="AQ576" s="1755"/>
      <c r="AR576" s="1755"/>
      <c r="AS576" s="1755"/>
      <c r="AT576" s="1756"/>
      <c r="AU576" s="1375">
        <f t="shared" si="1"/>
        <v>34</v>
      </c>
      <c r="AV576" s="1376"/>
      <c r="AW576" s="1376"/>
      <c r="AX576" s="1376"/>
      <c r="AY576" s="1377"/>
      <c r="AZ576" s="1375">
        <f t="shared" si="2"/>
        <v>34</v>
      </c>
      <c r="BA576" s="1376"/>
      <c r="BB576" s="1376"/>
      <c r="BC576" s="1376"/>
      <c r="BD576" s="1377"/>
      <c r="BE576" s="1749">
        <f t="shared" si="3"/>
        <v>1</v>
      </c>
      <c r="BF576" s="1750"/>
      <c r="BG576" s="1750"/>
      <c r="BH576" s="1750"/>
      <c r="BI576" s="1751"/>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4" t="s">
        <v>1508</v>
      </c>
      <c r="F577" s="1885"/>
      <c r="G577" s="1885"/>
      <c r="H577" s="1885"/>
      <c r="I577" s="1885"/>
      <c r="J577" s="1886"/>
      <c r="K577" s="1884" t="s">
        <v>1759</v>
      </c>
      <c r="L577" s="1885"/>
      <c r="M577" s="1885"/>
      <c r="N577" s="1885"/>
      <c r="O577" s="1885"/>
      <c r="P577" s="1886"/>
      <c r="Q577" s="1284" t="s">
        <v>1504</v>
      </c>
      <c r="R577" s="1285"/>
      <c r="S577" s="1285"/>
      <c r="T577" s="1285"/>
      <c r="U577" s="1285"/>
      <c r="V577" s="1286"/>
      <c r="W577" s="1284" t="str">
        <f>I566</f>
        <v>Percent of Low-Income Units (exclusive of manager’s units)</v>
      </c>
      <c r="X577" s="1285"/>
      <c r="Y577" s="1285"/>
      <c r="Z577" s="1285"/>
      <c r="AA577" s="1285"/>
      <c r="AB577" s="1286"/>
      <c r="AC577" s="1284" t="s">
        <v>1507</v>
      </c>
      <c r="AD577" s="1285"/>
      <c r="AE577" s="1285"/>
      <c r="AF577" s="1285"/>
      <c r="AG577" s="1285"/>
      <c r="AH577" s="1286"/>
      <c r="AN577" s="281"/>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7"/>
      <c r="F578" s="1888"/>
      <c r="G578" s="1888"/>
      <c r="H578" s="1888"/>
      <c r="I578" s="1888"/>
      <c r="J578" s="1889"/>
      <c r="K578" s="1887"/>
      <c r="L578" s="1888"/>
      <c r="M578" s="1888"/>
      <c r="N578" s="1888"/>
      <c r="O578" s="1888"/>
      <c r="P578" s="1889"/>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87"/>
      <c r="F579" s="1888"/>
      <c r="G579" s="1888"/>
      <c r="H579" s="1888"/>
      <c r="I579" s="1888"/>
      <c r="J579" s="1889"/>
      <c r="K579" s="1887"/>
      <c r="L579" s="1888"/>
      <c r="M579" s="1888"/>
      <c r="N579" s="1888"/>
      <c r="O579" s="1888"/>
      <c r="P579" s="1889"/>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87"/>
      <c r="F580" s="1888"/>
      <c r="G580" s="1888"/>
      <c r="H580" s="1888"/>
      <c r="I580" s="1888"/>
      <c r="J580" s="1889"/>
      <c r="K580" s="1887"/>
      <c r="L580" s="1888"/>
      <c r="M580" s="1888"/>
      <c r="N580" s="1888"/>
      <c r="O580" s="1888"/>
      <c r="P580" s="1889"/>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1127</v>
      </c>
      <c r="BH580" s="3" t="s">
        <v>1128</v>
      </c>
    </row>
    <row r="581" spans="5:96" s="4" customFormat="1" ht="12.75" customHeight="1">
      <c r="E581" s="1646"/>
      <c r="F581" s="1647"/>
      <c r="G581" s="1647"/>
      <c r="H581" s="1647"/>
      <c r="I581" s="1647"/>
      <c r="J581" s="1648"/>
      <c r="K581" s="1662">
        <v>20</v>
      </c>
      <c r="L581" s="1663"/>
      <c r="M581" s="1663"/>
      <c r="N581" s="1663"/>
      <c r="O581" s="1663"/>
      <c r="P581" s="1664"/>
      <c r="Q581" s="1665">
        <f>IF(ISERROR(IF((((E581/$BJ$528)*100)&gt;100),"EXCESSIVE VALUE",(E581/$BJ$528)*100)),0,IF((((E581/$BJ$528)*100)&gt;100),"EXCESSIVE VALUE",(E581/$BJ$528)*100))</f>
        <v>0</v>
      </c>
      <c r="R581" s="1666"/>
      <c r="S581" s="1666"/>
      <c r="T581" s="1666"/>
      <c r="U581" s="1666"/>
      <c r="V581" s="1667"/>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62">
        <f t="shared" ref="AP581:AP586" si="5">IF(OR(BE571&gt;=0.1,BE571=0),0,1)</f>
        <v>0</v>
      </c>
      <c r="AQ581" s="1663"/>
      <c r="AR581" s="1663"/>
      <c r="AS581" s="1663"/>
      <c r="AT581" s="1664"/>
      <c r="AX581" s="1747"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48"/>
    </row>
    <row r="582" spans="5:96" s="4" customFormat="1" ht="12.75" customHeight="1">
      <c r="E582" s="1646">
        <v>46</v>
      </c>
      <c r="F582" s="1647"/>
      <c r="G582" s="1647"/>
      <c r="H582" s="1647"/>
      <c r="I582" s="1647"/>
      <c r="J582" s="1648"/>
      <c r="K582" s="1662">
        <v>30</v>
      </c>
      <c r="L582" s="1663"/>
      <c r="M582" s="1663"/>
      <c r="N582" s="1663"/>
      <c r="O582" s="1663"/>
      <c r="P582" s="1664"/>
      <c r="Q582" s="1665">
        <f>IF(ISERROR(IF((((E582/$BJ$528)*100)&gt;100),"EXCESSIVE VALUE",(E582/$BJ$528)*100)),0,IF((((E582/$BJ$528)*100)&gt;100),"EXCESSIVE VALUE",(E582/$BJ$528)*100))</f>
        <v>100</v>
      </c>
      <c r="R582" s="1666"/>
      <c r="S582" s="1666"/>
      <c r="T582" s="1666"/>
      <c r="U582" s="1666"/>
      <c r="V582" s="1667"/>
      <c r="W582" s="1668">
        <f>IF(FLOOR(Q582,5)&gt;80,80,FLOOR(Q582,5))</f>
        <v>80</v>
      </c>
      <c r="X582" s="1669"/>
      <c r="Y582" s="1669"/>
      <c r="Z582" s="1669"/>
      <c r="AA582" s="1669"/>
      <c r="AB582" s="1670"/>
      <c r="AC582" s="1668">
        <f t="shared" si="4"/>
        <v>50</v>
      </c>
      <c r="AD582" s="1669"/>
      <c r="AE582" s="1669"/>
      <c r="AF582" s="1669"/>
      <c r="AG582" s="1669"/>
      <c r="AH582" s="1670"/>
      <c r="AN582" s="281"/>
      <c r="AO582" s="4">
        <v>4</v>
      </c>
      <c r="AP582" s="1662">
        <f t="shared" si="5"/>
        <v>0</v>
      </c>
      <c r="AQ582" s="1663"/>
      <c r="AR582" s="1663"/>
      <c r="AS582" s="1663"/>
      <c r="AT582" s="1664"/>
      <c r="AX582" s="1770" t="s">
        <v>616</v>
      </c>
      <c r="AY582" s="1771"/>
      <c r="AZ582" s="1074" t="s">
        <v>616</v>
      </c>
      <c r="BA582" s="1075"/>
      <c r="BB582" s="1770" t="s">
        <v>265</v>
      </c>
      <c r="BC582" s="1771"/>
      <c r="BD582" s="1760" t="s">
        <v>265</v>
      </c>
      <c r="BE582" s="1762"/>
      <c r="BF582" s="1770" t="s">
        <v>264</v>
      </c>
      <c r="BG582" s="1771"/>
      <c r="BH582" s="1760" t="s">
        <v>264</v>
      </c>
      <c r="BI582" s="1762"/>
      <c r="BJ582" s="1770" t="s">
        <v>263</v>
      </c>
      <c r="BK582" s="1771"/>
      <c r="BL582" s="1760" t="s">
        <v>263</v>
      </c>
      <c r="BM582" s="1762"/>
      <c r="BN582" s="1770" t="s">
        <v>615</v>
      </c>
      <c r="BO582" s="1771"/>
      <c r="BP582" s="1760" t="s">
        <v>615</v>
      </c>
      <c r="BQ582" s="1762"/>
    </row>
    <row r="583" spans="5:96" s="4" customFormat="1" ht="12.75" customHeight="1">
      <c r="E583" s="1646"/>
      <c r="F583" s="1647"/>
      <c r="G583" s="1647"/>
      <c r="H583" s="1647"/>
      <c r="I583" s="1647"/>
      <c r="J583" s="1648"/>
      <c r="K583" s="1662">
        <v>35</v>
      </c>
      <c r="L583" s="1663"/>
      <c r="M583" s="1663"/>
      <c r="N583" s="1663"/>
      <c r="O583" s="1663"/>
      <c r="P583" s="1664"/>
      <c r="Q583" s="1665">
        <f t="shared" ref="Q583:Q589" si="6">IF(ISERROR(IF((((E583/$BJ$528)*100)&gt;100),"EXCESSIVE VALUE",(E583/$BJ$528)*100)),0,IF((((E583/$BJ$528)*100)&gt;100),"EXCESSIVE VALUE",(E583/$BJ$528)*100))</f>
        <v>0</v>
      </c>
      <c r="R583" s="1666"/>
      <c r="S583" s="1666"/>
      <c r="T583" s="1666"/>
      <c r="U583" s="1666"/>
      <c r="V583" s="1667"/>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62">
        <f t="shared" si="5"/>
        <v>0</v>
      </c>
      <c r="AQ583" s="1663"/>
      <c r="AR583" s="1663"/>
      <c r="AS583" s="1663"/>
      <c r="AT583" s="1664"/>
      <c r="AX583" s="1770">
        <f>IF(AP533=1,1,0)</f>
        <v>0</v>
      </c>
      <c r="AY583" s="1771"/>
      <c r="AZ583" s="1747"/>
      <c r="BA583" s="1748"/>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46"/>
      <c r="F584" s="1647"/>
      <c r="G584" s="1647"/>
      <c r="H584" s="1647"/>
      <c r="I584" s="1647"/>
      <c r="J584" s="1648"/>
      <c r="K584" s="1662">
        <v>40</v>
      </c>
      <c r="L584" s="1663"/>
      <c r="M584" s="1663"/>
      <c r="N584" s="1663"/>
      <c r="O584" s="1663"/>
      <c r="P584" s="1664"/>
      <c r="Q584" s="1665">
        <f t="shared" si="6"/>
        <v>0</v>
      </c>
      <c r="R584" s="1666"/>
      <c r="S584" s="1666"/>
      <c r="T584" s="1666"/>
      <c r="U584" s="1666"/>
      <c r="V584" s="1667"/>
      <c r="W584" s="1668">
        <f t="shared" si="7"/>
        <v>0</v>
      </c>
      <c r="X584" s="1669"/>
      <c r="Y584" s="1669"/>
      <c r="Z584" s="1669"/>
      <c r="AA584" s="1669"/>
      <c r="AB584" s="1670"/>
      <c r="AC584" s="1668">
        <f t="shared" si="4"/>
        <v>0</v>
      </c>
      <c r="AD584" s="1669"/>
      <c r="AE584" s="1669"/>
      <c r="AF584" s="1669"/>
      <c r="AG584" s="1669"/>
      <c r="AH584" s="1670"/>
      <c r="AN584" s="281"/>
      <c r="AO584" s="4">
        <v>2</v>
      </c>
      <c r="AP584" s="1662">
        <f t="shared" si="5"/>
        <v>0</v>
      </c>
      <c r="AQ584" s="1663"/>
      <c r="AR584" s="1663"/>
      <c r="AS584" s="1663"/>
      <c r="AT584" s="1664"/>
      <c r="AX584" s="1768"/>
      <c r="AY584" s="1769"/>
      <c r="AZ584" s="1747"/>
      <c r="BA584" s="1748"/>
      <c r="BB584" s="1770">
        <f>IF(AP534=1,1,0)</f>
        <v>0</v>
      </c>
      <c r="BC584" s="1771"/>
      <c r="BD584" s="1747"/>
      <c r="BE584" s="1748"/>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46"/>
      <c r="F585" s="1647"/>
      <c r="G585" s="1647"/>
      <c r="H585" s="1647"/>
      <c r="I585" s="1647"/>
      <c r="J585" s="1648"/>
      <c r="K585" s="1662">
        <v>45</v>
      </c>
      <c r="L585" s="1663"/>
      <c r="M585" s="1663"/>
      <c r="N585" s="1663"/>
      <c r="O585" s="1663"/>
      <c r="P585" s="1664"/>
      <c r="Q585" s="1665">
        <f t="shared" si="6"/>
        <v>0</v>
      </c>
      <c r="R585" s="1666"/>
      <c r="S585" s="1666"/>
      <c r="T585" s="1666"/>
      <c r="U585" s="1666"/>
      <c r="V585" s="1667"/>
      <c r="W585" s="1668">
        <f>IF(FLOOR(Q585,5)&gt;65,65,FLOOR(Q585,5))</f>
        <v>0</v>
      </c>
      <c r="X585" s="1669"/>
      <c r="Y585" s="1669"/>
      <c r="Z585" s="1669"/>
      <c r="AA585" s="1669"/>
      <c r="AB585" s="1670"/>
      <c r="AC585" s="1668">
        <f t="shared" si="4"/>
        <v>0</v>
      </c>
      <c r="AD585" s="1669"/>
      <c r="AE585" s="1669"/>
      <c r="AF585" s="1669"/>
      <c r="AG585" s="1669"/>
      <c r="AH585" s="1670"/>
      <c r="AN585" s="281"/>
      <c r="AO585" s="4">
        <v>1</v>
      </c>
      <c r="AP585" s="1662">
        <f t="shared" si="5"/>
        <v>0</v>
      </c>
      <c r="AQ585" s="1663"/>
      <c r="AR585" s="1663"/>
      <c r="AS585" s="1663"/>
      <c r="AT585" s="1664"/>
      <c r="AX585" s="1768"/>
      <c r="AY585" s="1769"/>
      <c r="AZ585" s="1747"/>
      <c r="BA585" s="1748"/>
      <c r="BB585" s="1768"/>
      <c r="BC585" s="1769"/>
      <c r="BD585" s="1747"/>
      <c r="BE585" s="1748"/>
      <c r="BF585" s="1770">
        <f>IF(AP535=1,1,0)</f>
        <v>0</v>
      </c>
      <c r="BG585" s="1771"/>
      <c r="BH585" s="1747"/>
      <c r="BI585" s="1748"/>
      <c r="BJ585" s="1768"/>
      <c r="BK585" s="1769"/>
      <c r="BL585" s="1760">
        <f>IF(AND(T611&gt;0,AP535&gt;0),1,0)</f>
        <v>0</v>
      </c>
      <c r="BM585" s="1762"/>
      <c r="BN585" s="1768"/>
      <c r="BO585" s="1769"/>
      <c r="BP585" s="1760">
        <f>IF(AND(T611&gt;0,AP535&gt;0),1,0)</f>
        <v>0</v>
      </c>
      <c r="BQ585" s="1762"/>
    </row>
    <row r="586" spans="5:96" s="4" customFormat="1" ht="12.75" customHeight="1">
      <c r="E586" s="1646"/>
      <c r="F586" s="1647"/>
      <c r="G586" s="1647"/>
      <c r="H586" s="1647"/>
      <c r="I586" s="1647"/>
      <c r="J586" s="1648"/>
      <c r="K586" s="1662">
        <f>IF(OR(Application!D211="Rural",Application!D211="Rural apportionment (Section 514)",Application!D211="Rural apportionment (Section 515)",Application!D211="Rural apportionment (HOME)",Application!D211="Rural (Native American apportionment)"),"",50)</f>
        <v>50</v>
      </c>
      <c r="L586" s="1663"/>
      <c r="M586" s="1663"/>
      <c r="N586" s="1663"/>
      <c r="O586" s="1663"/>
      <c r="P586" s="1664"/>
      <c r="Q586" s="1665">
        <f t="shared" si="6"/>
        <v>0</v>
      </c>
      <c r="R586" s="1666"/>
      <c r="S586" s="1666"/>
      <c r="T586" s="1666"/>
      <c r="U586" s="1666"/>
      <c r="V586" s="1667"/>
      <c r="W586" s="1668">
        <f>IF(FLOOR(Q586,5)&gt;40,40,FLOOR(Q586,5))</f>
        <v>0</v>
      </c>
      <c r="X586" s="1669"/>
      <c r="Y586" s="1669"/>
      <c r="Z586" s="1669"/>
      <c r="AA586" s="1669"/>
      <c r="AB586" s="1670"/>
      <c r="AC586" s="1668">
        <f t="shared" si="4"/>
        <v>0</v>
      </c>
      <c r="AD586" s="1669"/>
      <c r="AE586" s="1669"/>
      <c r="AF586" s="1669"/>
      <c r="AG586" s="1669"/>
      <c r="AH586" s="1670"/>
      <c r="AN586" s="281"/>
      <c r="AO586" s="4">
        <v>0</v>
      </c>
      <c r="AP586" s="1662">
        <f t="shared" si="5"/>
        <v>0</v>
      </c>
      <c r="AQ586" s="1663"/>
      <c r="AR586" s="1663"/>
      <c r="AS586" s="1663"/>
      <c r="AT586" s="1664"/>
      <c r="AX586" s="1768"/>
      <c r="AY586" s="1769"/>
      <c r="AZ586" s="1747"/>
      <c r="BA586" s="1748"/>
      <c r="BB586" s="1768"/>
      <c r="BC586" s="1769"/>
      <c r="BD586" s="1747"/>
      <c r="BE586" s="1748"/>
      <c r="BF586" s="1768"/>
      <c r="BG586" s="1769"/>
      <c r="BH586" s="1747"/>
      <c r="BI586" s="1748"/>
      <c r="BJ586" s="1770">
        <f>IF(AP536=1,1,0)</f>
        <v>0</v>
      </c>
      <c r="BK586" s="1771"/>
      <c r="BL586" s="1768"/>
      <c r="BM586" s="1769"/>
      <c r="BN586" s="1768"/>
      <c r="BO586" s="1769"/>
      <c r="BP586" s="1760">
        <f>IF(AND(T612&gt;0,AP536&gt;0),1,0)</f>
        <v>1</v>
      </c>
      <c r="BQ586" s="1762"/>
    </row>
    <row r="587" spans="5:96" s="4" customFormat="1" ht="12.75" customHeight="1">
      <c r="E587" s="1739"/>
      <c r="F587" s="1740"/>
      <c r="G587" s="1740"/>
      <c r="H587" s="1740"/>
      <c r="I587" s="1740"/>
      <c r="J587" s="1741"/>
      <c r="K587" s="1735" t="str">
        <f>IF(OR(Application!D211="Rural",Application!D211="Rural apportionment (Section 514)",Application!D211="Rural apportionment (Section 515)",Application!D211="Rural apportionment (HOME)",Application!D211="Rural (Native American apportionment)"),"50 -","")</f>
        <v/>
      </c>
      <c r="L587" s="1736"/>
      <c r="M587" s="1737" t="s">
        <v>2279</v>
      </c>
      <c r="N587" s="1737"/>
      <c r="O587" s="1737"/>
      <c r="P587" s="1738"/>
      <c r="Q587" s="1665">
        <f t="shared" si="6"/>
        <v>0</v>
      </c>
      <c r="R587" s="1666"/>
      <c r="S587" s="1666"/>
      <c r="T587" s="1666"/>
      <c r="U587" s="1666"/>
      <c r="V587" s="1667"/>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62"/>
      <c r="AQ587" s="1663"/>
      <c r="AR587" s="1663"/>
      <c r="AS587" s="1663"/>
      <c r="AT587" s="1664"/>
      <c r="AX587" s="1768"/>
      <c r="AY587" s="1769"/>
      <c r="AZ587" s="1747"/>
      <c r="BA587" s="1748"/>
      <c r="BB587" s="1768"/>
      <c r="BC587" s="1769"/>
      <c r="BD587" s="1747"/>
      <c r="BE587" s="1748"/>
      <c r="BF587" s="1768"/>
      <c r="BG587" s="1769"/>
      <c r="BH587" s="1747"/>
      <c r="BI587" s="1748"/>
      <c r="BJ587" s="1768"/>
      <c r="BK587" s="1769"/>
      <c r="BL587" s="1768"/>
      <c r="BM587" s="1769"/>
      <c r="BN587" s="1770">
        <f>IF(AP537=1,1,0)</f>
        <v>1</v>
      </c>
      <c r="BO587" s="1771"/>
      <c r="BP587" s="1747"/>
      <c r="BQ587" s="1748"/>
    </row>
    <row r="588" spans="5:96" s="4" customFormat="1" ht="12.75" customHeight="1">
      <c r="E588" s="1739"/>
      <c r="F588" s="1740"/>
      <c r="G588" s="1740"/>
      <c r="H588" s="1740"/>
      <c r="I588" s="1740"/>
      <c r="J588" s="1741"/>
      <c r="K588" s="1735" t="str">
        <f>IF(OR(Application!D211="Rural",Application!D211="Rural apportionment (Section 514)",Application!D211="Rural apportionment (Section 515)",Application!D211="Rural apportionment (HOME)",Application!D211="Rural (Native American apportionment)"),"55 -","")</f>
        <v/>
      </c>
      <c r="L588" s="1736"/>
      <c r="M588" s="1737" t="s">
        <v>2279</v>
      </c>
      <c r="N588" s="1737"/>
      <c r="O588" s="1737"/>
      <c r="P588" s="1738"/>
      <c r="Q588" s="1665">
        <f t="shared" si="6"/>
        <v>0</v>
      </c>
      <c r="R588" s="1666"/>
      <c r="S588" s="1666"/>
      <c r="T588" s="1666"/>
      <c r="U588" s="1666"/>
      <c r="V588" s="1667"/>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0</v>
      </c>
      <c r="BK588" s="1771"/>
      <c r="BL588" s="1760">
        <f>SUM(BL583:BM587)</f>
        <v>0</v>
      </c>
      <c r="BM588" s="1762"/>
      <c r="BN588" s="1770">
        <f>SUM(BN583:BO587)</f>
        <v>1</v>
      </c>
      <c r="BO588" s="1771"/>
      <c r="BP588" s="1760">
        <f>SUM(BP583:BQ587)</f>
        <v>1</v>
      </c>
      <c r="BQ588" s="1762"/>
    </row>
    <row r="589" spans="5:96" s="4" customFormat="1" ht="12.75" customHeight="1">
      <c r="E589" s="1646"/>
      <c r="F589" s="1647"/>
      <c r="G589" s="1647"/>
      <c r="H589" s="1647"/>
      <c r="I589" s="1647"/>
      <c r="J589" s="1648"/>
      <c r="K589" s="1662" t="s">
        <v>2131</v>
      </c>
      <c r="L589" s="1663"/>
      <c r="M589" s="1663"/>
      <c r="N589" s="1663"/>
      <c r="O589" s="1663"/>
      <c r="P589" s="1664"/>
      <c r="Q589" s="1665">
        <f t="shared" si="6"/>
        <v>0</v>
      </c>
      <c r="R589" s="1666"/>
      <c r="S589" s="1666"/>
      <c r="T589" s="1666"/>
      <c r="U589" s="1666"/>
      <c r="V589" s="1667"/>
      <c r="W589" s="1668">
        <f t="shared" si="7"/>
        <v>0</v>
      </c>
      <c r="X589" s="1669"/>
      <c r="Y589" s="1669"/>
      <c r="Z589" s="1669"/>
      <c r="AA589" s="1669"/>
      <c r="AB589" s="1670"/>
      <c r="AC589" s="1668">
        <v>0</v>
      </c>
      <c r="AD589" s="1669"/>
      <c r="AE589" s="1669"/>
      <c r="AF589" s="1669"/>
      <c r="AG589" s="1669"/>
      <c r="AH589" s="1670"/>
      <c r="AN589" s="281"/>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1</v>
      </c>
      <c r="BO589" s="1766"/>
      <c r="BP589" s="1766"/>
      <c r="BQ589" s="1767"/>
    </row>
    <row r="590" spans="5:96" s="4" customFormat="1" ht="12.75" customHeight="1">
      <c r="E590" s="1646"/>
      <c r="F590" s="1647"/>
      <c r="G590" s="1647"/>
      <c r="H590" s="1647"/>
      <c r="I590" s="1647"/>
      <c r="J590" s="1648"/>
      <c r="K590" s="1662" t="s">
        <v>2132</v>
      </c>
      <c r="L590" s="1663"/>
      <c r="M590" s="1663"/>
      <c r="N590" s="1663"/>
      <c r="O590" s="1663"/>
      <c r="P590" s="1664"/>
      <c r="Q590" s="1665">
        <f>IF(ISERROR(IF((((E590/$BJ$528)*100)&gt;100),"EXCESSIVE VALUE",(E590/$BJ$528)*100)),0,IF((((E590/$BJ$528)*100)&gt;100),"EXCESSIVE VALUE",(E590/$BJ$528)*100))</f>
        <v>0</v>
      </c>
      <c r="R590" s="1666"/>
      <c r="S590" s="1666"/>
      <c r="T590" s="1666"/>
      <c r="U590" s="1666"/>
      <c r="V590" s="1667"/>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65">
        <f>AX589+BB589+BF589+BJ589+BN589</f>
        <v>1</v>
      </c>
      <c r="BK590" s="1766"/>
      <c r="BL590" s="1766"/>
      <c r="BM590" s="1767"/>
      <c r="BN590"/>
      <c r="BO590"/>
      <c r="BP590"/>
      <c r="BQ590"/>
    </row>
    <row r="591" spans="5:96" s="4" customFormat="1" ht="12.75" customHeight="1">
      <c r="E591" s="1646"/>
      <c r="F591" s="1647"/>
      <c r="G591" s="1647"/>
      <c r="H591" s="1647"/>
      <c r="I591" s="1647"/>
      <c r="J591" s="1648"/>
      <c r="K591" s="1662" t="s">
        <v>2133</v>
      </c>
      <c r="L591" s="1663"/>
      <c r="M591" s="1663"/>
      <c r="N591" s="1663"/>
      <c r="O591" s="1663"/>
      <c r="P591" s="1664"/>
      <c r="Q591" s="1665">
        <f>IF(ISERROR(IF((((E591/$BJ$528)*100)&gt;100),"EXCESSIVE VALUE",(E591/$BJ$528)*100)),0,IF((((E591/$BJ$528)*100)&gt;100),"EXCESSIVE VALUE",(E591/$BJ$528)*100))</f>
        <v>0</v>
      </c>
      <c r="R591" s="1666"/>
      <c r="S591" s="1666"/>
      <c r="T591" s="1666"/>
      <c r="U591" s="1666"/>
      <c r="V591" s="1667"/>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14">
        <f>SUM(E581:J591)</f>
        <v>46</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50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1" t="s">
        <v>103</v>
      </c>
      <c r="AH596" s="1691"/>
      <c r="AI596" s="1691"/>
      <c r="AJ596" s="1691"/>
      <c r="AK596" s="5"/>
      <c r="AL596" s="5"/>
      <c r="AM596" s="5"/>
      <c r="AN596" s="281"/>
    </row>
    <row r="597" spans="1:64" s="4" customFormat="1" ht="12.75" customHeight="1">
      <c r="B597" s="1873" t="s">
        <v>2121</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4" t="s">
        <v>1505</v>
      </c>
      <c r="P604" s="1285"/>
      <c r="Q604" s="1285"/>
      <c r="R604" s="1285"/>
      <c r="S604" s="1286"/>
      <c r="T604" s="1284" t="s">
        <v>1769</v>
      </c>
      <c r="U604" s="1285"/>
      <c r="V604" s="1285"/>
      <c r="W604" s="1285"/>
      <c r="X604" s="1286"/>
      <c r="Y604" s="1284" t="s">
        <v>1506</v>
      </c>
      <c r="Z604" s="1285"/>
      <c r="AA604" s="1285"/>
      <c r="AB604" s="1285"/>
      <c r="AC604" s="1286"/>
      <c r="AF604"/>
      <c r="AG604"/>
      <c r="AH604"/>
      <c r="AI604"/>
      <c r="AJ604"/>
    </row>
    <row r="605" spans="1:64">
      <c r="D605"/>
      <c r="E605"/>
      <c r="F605"/>
      <c r="G605"/>
      <c r="H605"/>
      <c r="I605"/>
      <c r="J605" s="1810"/>
      <c r="K605" s="1811"/>
      <c r="L605" s="1811"/>
      <c r="M605" s="1811"/>
      <c r="N605" s="1812"/>
      <c r="O605" s="1287"/>
      <c r="P605" s="1288"/>
      <c r="Q605" s="1288"/>
      <c r="R605" s="1288"/>
      <c r="S605" s="1289"/>
      <c r="T605" s="1287"/>
      <c r="U605" s="1288"/>
      <c r="V605" s="1288"/>
      <c r="W605" s="1288"/>
      <c r="X605" s="1289"/>
      <c r="Y605" s="1287"/>
      <c r="Z605" s="1288"/>
      <c r="AA605" s="1288"/>
      <c r="AB605" s="1288"/>
      <c r="AC605" s="1289"/>
      <c r="AF605"/>
      <c r="AG605"/>
      <c r="AH605"/>
      <c r="AI605"/>
      <c r="AJ605"/>
      <c r="AO605" s="38" t="s">
        <v>2231</v>
      </c>
      <c r="AR605" s="21" t="b">
        <f>$Y$614&gt;=10%</f>
        <v>1</v>
      </c>
    </row>
    <row r="606" spans="1:64">
      <c r="I606"/>
      <c r="J606" s="1810"/>
      <c r="K606" s="1811"/>
      <c r="L606" s="1811"/>
      <c r="M606" s="1811"/>
      <c r="N606" s="1812"/>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2232</v>
      </c>
      <c r="AR606" s="955">
        <f>ROUNDUP(($O$614*10%),0)</f>
        <v>5</v>
      </c>
    </row>
    <row r="607" spans="1:64">
      <c r="D607"/>
      <c r="E607"/>
      <c r="F607"/>
      <c r="G607"/>
      <c r="H607"/>
      <c r="I607"/>
      <c r="J607" s="1810"/>
      <c r="K607" s="1811"/>
      <c r="L607" s="1811"/>
      <c r="M607" s="1811"/>
      <c r="N607" s="1812"/>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2233</v>
      </c>
      <c r="AR607" s="21" t="s">
        <v>2234</v>
      </c>
    </row>
    <row r="608" spans="1:64">
      <c r="D608"/>
      <c r="E608"/>
      <c r="F608"/>
      <c r="G608"/>
      <c r="H608"/>
      <c r="I608"/>
      <c r="J608" s="1723" t="s">
        <v>225</v>
      </c>
      <c r="K608" s="1724"/>
      <c r="L608" s="1724"/>
      <c r="M608" s="1724"/>
      <c r="N608" s="1725"/>
      <c r="O608" s="1662">
        <f>Application!CM626</f>
        <v>0</v>
      </c>
      <c r="P608" s="1663"/>
      <c r="Q608" s="1663"/>
      <c r="R608" s="1663"/>
      <c r="S608" s="1664"/>
      <c r="T608" s="1662">
        <f>Application!DR627</f>
        <v>0</v>
      </c>
      <c r="U608" s="1663"/>
      <c r="V608" s="1663"/>
      <c r="W608" s="1663"/>
      <c r="X608" s="1664"/>
      <c r="Y608" s="1726">
        <f t="shared" ref="Y608:Y612" si="8">IF(T608&gt;0,T608/O608,0)</f>
        <v>0</v>
      </c>
      <c r="Z608" s="1727"/>
      <c r="AA608" s="1727"/>
      <c r="AB608" s="1727"/>
      <c r="AC608" s="1728"/>
      <c r="AD608"/>
      <c r="AF608"/>
      <c r="AG608"/>
      <c r="AH608"/>
      <c r="AI608"/>
      <c r="AJ608"/>
      <c r="AO608" s="955">
        <f>ROUNDUP((O608*10%),0)</f>
        <v>0</v>
      </c>
      <c r="AP608" s="206"/>
      <c r="AR608" s="956" t="b">
        <f>OR(SUM($T$608:T608)&gt;=$AR$606,T608&gt;=AO608)</f>
        <v>1</v>
      </c>
    </row>
    <row r="609" spans="1:60">
      <c r="D609"/>
      <c r="E609"/>
      <c r="F609"/>
      <c r="G609"/>
      <c r="H609"/>
      <c r="I609"/>
      <c r="J609" s="1723" t="s">
        <v>31</v>
      </c>
      <c r="K609" s="1724"/>
      <c r="L609" s="1724"/>
      <c r="M609" s="1724"/>
      <c r="N609" s="1725"/>
      <c r="O609" s="1662">
        <f>Application!CH626</f>
        <v>0</v>
      </c>
      <c r="P609" s="1663"/>
      <c r="Q609" s="1663"/>
      <c r="R609" s="1663"/>
      <c r="S609" s="1664"/>
      <c r="T609" s="1662">
        <f>Application!DM627</f>
        <v>0</v>
      </c>
      <c r="U609" s="1663"/>
      <c r="V609" s="1663"/>
      <c r="W609" s="1663"/>
      <c r="X609" s="1664"/>
      <c r="Y609" s="1726">
        <f t="shared" si="8"/>
        <v>0</v>
      </c>
      <c r="Z609" s="1727"/>
      <c r="AA609" s="1727"/>
      <c r="AB609" s="1727"/>
      <c r="AC609" s="1728"/>
      <c r="AD609"/>
      <c r="AF609"/>
      <c r="AG609"/>
      <c r="AH609"/>
      <c r="AI609"/>
      <c r="AJ609"/>
      <c r="AO609" s="955">
        <f t="shared" ref="AO609:AO613" si="9">ROUNDUP((O609*10%),0)</f>
        <v>0</v>
      </c>
      <c r="AP609" s="206"/>
      <c r="AR609" s="956" t="b">
        <f>OR(SUM($T$608:T609)&gt;=$AR$606,T609&gt;=AO609)</f>
        <v>1</v>
      </c>
    </row>
    <row r="610" spans="1:60">
      <c r="D610"/>
      <c r="E610"/>
      <c r="F610"/>
      <c r="G610"/>
      <c r="H610"/>
      <c r="I610"/>
      <c r="J610" s="1723" t="s">
        <v>265</v>
      </c>
      <c r="K610" s="1724"/>
      <c r="L610" s="1724"/>
      <c r="M610" s="1724"/>
      <c r="N610" s="1725"/>
      <c r="O610" s="1662">
        <f>Application!CC626</f>
        <v>0</v>
      </c>
      <c r="P610" s="1663"/>
      <c r="Q610" s="1663"/>
      <c r="R610" s="1663"/>
      <c r="S610" s="1664"/>
      <c r="T610" s="1662">
        <f>Application!DH627</f>
        <v>0</v>
      </c>
      <c r="U610" s="1663"/>
      <c r="V610" s="1663"/>
      <c r="W610" s="1663"/>
      <c r="X610" s="1664"/>
      <c r="Y610" s="1726">
        <f t="shared" si="8"/>
        <v>0</v>
      </c>
      <c r="Z610" s="1727"/>
      <c r="AA610" s="1727"/>
      <c r="AB610" s="1727"/>
      <c r="AC610" s="1728"/>
      <c r="AD610"/>
      <c r="AF610"/>
      <c r="AG610"/>
      <c r="AH610"/>
      <c r="AI610"/>
      <c r="AJ610"/>
      <c r="AO610" s="955">
        <f t="shared" si="9"/>
        <v>0</v>
      </c>
      <c r="AP610" s="206"/>
      <c r="AR610" s="956" t="b">
        <f>OR(SUM($T$608:T610)&gt;=$AR$606,T610&gt;=AO610)</f>
        <v>1</v>
      </c>
    </row>
    <row r="611" spans="1:60">
      <c r="D611"/>
      <c r="E611"/>
      <c r="F611"/>
      <c r="G611"/>
      <c r="H611"/>
      <c r="I611"/>
      <c r="J611" s="1723" t="s">
        <v>264</v>
      </c>
      <c r="K611" s="1724"/>
      <c r="L611" s="1724"/>
      <c r="M611" s="1724"/>
      <c r="N611" s="1725"/>
      <c r="O611" s="1662">
        <f>Application!BX626</f>
        <v>0</v>
      </c>
      <c r="P611" s="1663"/>
      <c r="Q611" s="1663"/>
      <c r="R611" s="1663"/>
      <c r="S611" s="1664"/>
      <c r="T611" s="1662">
        <f>Application!DC627</f>
        <v>0</v>
      </c>
      <c r="U611" s="1663"/>
      <c r="V611" s="1663"/>
      <c r="W611" s="1663"/>
      <c r="X611" s="1664"/>
      <c r="Y611" s="1726">
        <f t="shared" si="8"/>
        <v>0</v>
      </c>
      <c r="Z611" s="1727"/>
      <c r="AA611" s="1727"/>
      <c r="AB611" s="1727"/>
      <c r="AC611" s="1728"/>
      <c r="AD611"/>
      <c r="AF611"/>
      <c r="AG611"/>
      <c r="AH611"/>
      <c r="AI611"/>
      <c r="AJ611"/>
      <c r="AO611" s="955">
        <f t="shared" si="9"/>
        <v>0</v>
      </c>
      <c r="AP611" s="206"/>
      <c r="AR611" s="956" t="b">
        <f>OR(SUM($T$608:T611)&gt;=$AR$606,T611&gt;=AO611)</f>
        <v>1</v>
      </c>
    </row>
    <row r="612" spans="1:60">
      <c r="D612"/>
      <c r="E612"/>
      <c r="F612"/>
      <c r="G612"/>
      <c r="H612"/>
      <c r="I612"/>
      <c r="J612" s="1723" t="s">
        <v>263</v>
      </c>
      <c r="K612" s="1724"/>
      <c r="L612" s="1724"/>
      <c r="M612" s="1724"/>
      <c r="N612" s="1725"/>
      <c r="O612" s="1662">
        <f>Application!BS626</f>
        <v>12</v>
      </c>
      <c r="P612" s="1663"/>
      <c r="Q612" s="1663"/>
      <c r="R612" s="1663"/>
      <c r="S612" s="1664"/>
      <c r="T612" s="1662">
        <f>Application!CX627</f>
        <v>12</v>
      </c>
      <c r="U612" s="1663"/>
      <c r="V612" s="1663"/>
      <c r="W612" s="1663"/>
      <c r="X612" s="1664"/>
      <c r="Y612" s="1726">
        <f t="shared" si="8"/>
        <v>1</v>
      </c>
      <c r="Z612" s="1727"/>
      <c r="AA612" s="1727"/>
      <c r="AB612" s="1727"/>
      <c r="AC612" s="1728"/>
      <c r="AD612"/>
      <c r="AF612"/>
      <c r="AG612"/>
      <c r="AH612"/>
      <c r="AI612"/>
      <c r="AJ612"/>
      <c r="AO612" s="955">
        <f t="shared" si="9"/>
        <v>2</v>
      </c>
      <c r="AP612" s="206"/>
      <c r="AR612" s="956" t="b">
        <f>OR(SUM($T$608:T612)&gt;=$AR$606,T612&gt;=AO612)</f>
        <v>1</v>
      </c>
    </row>
    <row r="613" spans="1:60">
      <c r="D613"/>
      <c r="E613"/>
      <c r="F613"/>
      <c r="G613"/>
      <c r="H613"/>
      <c r="I613"/>
      <c r="J613" s="1723" t="s">
        <v>615</v>
      </c>
      <c r="K613" s="1724"/>
      <c r="L613" s="1724"/>
      <c r="M613" s="1724"/>
      <c r="N613" s="1725"/>
      <c r="O613" s="1662">
        <f>Application!BN626</f>
        <v>34</v>
      </c>
      <c r="P613" s="1663"/>
      <c r="Q613" s="1663"/>
      <c r="R613" s="1663"/>
      <c r="S613" s="1664"/>
      <c r="T613" s="1662">
        <f>Application!CS627</f>
        <v>34</v>
      </c>
      <c r="U613" s="1663"/>
      <c r="V613" s="1663"/>
      <c r="W613" s="1663"/>
      <c r="X613" s="1664"/>
      <c r="Y613" s="1726">
        <f>IF(T613&gt;0,T613/O613,0)</f>
        <v>1</v>
      </c>
      <c r="Z613" s="1727"/>
      <c r="AA613" s="1727"/>
      <c r="AB613" s="1727"/>
      <c r="AC613" s="1728"/>
      <c r="AD613"/>
      <c r="AF613"/>
      <c r="AG613"/>
      <c r="AH613"/>
      <c r="AI613"/>
      <c r="AJ613"/>
      <c r="AO613" s="955">
        <f t="shared" si="9"/>
        <v>4</v>
      </c>
      <c r="AP613" s="206"/>
      <c r="AR613" s="956" t="b">
        <f>OR(SUM($T$608:T613)&gt;=$AR$606,T613&gt;=AO613)</f>
        <v>1</v>
      </c>
    </row>
    <row r="614" spans="1:60">
      <c r="D614"/>
      <c r="E614"/>
      <c r="F614"/>
      <c r="G614"/>
      <c r="H614"/>
      <c r="I614"/>
      <c r="J614" s="1562" t="s">
        <v>876</v>
      </c>
      <c r="K614" s="1563"/>
      <c r="L614" s="1563"/>
      <c r="M614" s="1563"/>
      <c r="N614" s="1564"/>
      <c r="O614" s="1814">
        <f>SUM(O608:S613)</f>
        <v>46</v>
      </c>
      <c r="P614" s="1815"/>
      <c r="Q614" s="1815"/>
      <c r="R614" s="1815"/>
      <c r="S614" s="1816"/>
      <c r="T614" s="1814">
        <f>SUM(T608:X613)</f>
        <v>46</v>
      </c>
      <c r="U614" s="1815"/>
      <c r="V614" s="1815"/>
      <c r="W614" s="1815"/>
      <c r="X614" s="1816"/>
      <c r="Y614" s="1804">
        <f>IF(T614&gt;0,T614/O614,0)</f>
        <v>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1509</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68">
        <f>IF($E$592=Application!G730,$AC$592+$AJ$617,0)</f>
        <v>52</v>
      </c>
      <c r="AL619" s="1069"/>
      <c r="AM619" s="1071"/>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645" t="s">
        <v>1510</v>
      </c>
      <c r="C623" s="1645"/>
      <c r="D623" s="1645"/>
      <c r="E623" s="1645"/>
      <c r="F623" s="1645"/>
      <c r="G623" s="1645"/>
      <c r="H623" s="1645"/>
      <c r="I623" s="1645"/>
      <c r="J623" s="1645"/>
      <c r="K623" s="1645"/>
      <c r="L623" s="1645"/>
      <c r="M623" s="1645"/>
      <c r="N623" s="1645"/>
      <c r="O623" s="1645"/>
      <c r="P623" s="1645"/>
      <c r="Q623" s="1645"/>
      <c r="R623" s="1645"/>
      <c r="S623" s="1645"/>
      <c r="T623" s="1645"/>
      <c r="U623" s="1645"/>
      <c r="V623" s="1645"/>
      <c r="W623" s="1645"/>
      <c r="X623" s="1645"/>
      <c r="Y623" s="1645"/>
      <c r="Z623" s="1645"/>
      <c r="AA623" s="1645"/>
      <c r="AB623" s="1645"/>
      <c r="AC623" s="1645"/>
      <c r="AD623" s="1645"/>
      <c r="AE623" s="1645"/>
      <c r="AF623" s="1645"/>
      <c r="AG623" s="1645"/>
      <c r="AH623" s="1645"/>
      <c r="AI623" s="1645"/>
      <c r="AJ623" s="1645"/>
      <c r="AK623" s="4"/>
      <c r="AL623" s="4"/>
      <c r="AM623" s="4"/>
    </row>
    <row r="624" spans="1:60">
      <c r="A624" s="4"/>
      <c r="B624" s="1645"/>
      <c r="C624" s="1645"/>
      <c r="D624" s="1645"/>
      <c r="E624" s="1645"/>
      <c r="F624" s="1645"/>
      <c r="G624" s="1645"/>
      <c r="H624" s="1645"/>
      <c r="I624" s="1645"/>
      <c r="J624" s="1645"/>
      <c r="K624" s="1645"/>
      <c r="L624" s="1645"/>
      <c r="M624" s="1645"/>
      <c r="N624" s="1645"/>
      <c r="O624" s="1645"/>
      <c r="P624" s="1645"/>
      <c r="Q624" s="1645"/>
      <c r="R624" s="1645"/>
      <c r="S624" s="1645"/>
      <c r="T624" s="1645"/>
      <c r="U624" s="1645"/>
      <c r="V624" s="1645"/>
      <c r="W624" s="1645"/>
      <c r="X624" s="1645"/>
      <c r="Y624" s="1645"/>
      <c r="Z624" s="1645"/>
      <c r="AA624" s="1645"/>
      <c r="AB624" s="1645"/>
      <c r="AC624" s="1645"/>
      <c r="AD624" s="1645"/>
      <c r="AE624" s="1645"/>
      <c r="AF624" s="1645"/>
      <c r="AG624" s="1645"/>
      <c r="AH624" s="1645"/>
      <c r="AI624" s="1645"/>
      <c r="AJ624" s="1645"/>
      <c r="AK624" s="4"/>
      <c r="AL624" s="4"/>
      <c r="AM624" s="4"/>
    </row>
    <row r="625" spans="1:44" ht="13.9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9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8" t="s">
        <v>108</v>
      </c>
      <c r="D627" s="1118"/>
      <c r="E627" s="185"/>
      <c r="F627" s="1649" t="s">
        <v>2224</v>
      </c>
      <c r="G627" s="1650"/>
      <c r="H627" s="1650"/>
      <c r="I627" s="1650"/>
      <c r="J627" s="1650"/>
      <c r="K627" s="1650"/>
      <c r="L627" s="1650"/>
      <c r="M627" s="1650"/>
      <c r="N627" s="1650"/>
      <c r="O627" s="1650"/>
      <c r="P627" s="1650"/>
      <c r="Q627" s="1650"/>
      <c r="R627" s="1650"/>
      <c r="S627" s="1650"/>
      <c r="T627" s="1650"/>
      <c r="U627" s="1650"/>
      <c r="V627" s="1650"/>
      <c r="W627" s="1650"/>
      <c r="X627" s="1650"/>
      <c r="Y627" s="1650"/>
      <c r="Z627" s="1650"/>
      <c r="AA627" s="1650"/>
      <c r="AB627" s="1650"/>
      <c r="AC627" s="1650"/>
      <c r="AD627" s="1650"/>
      <c r="AE627" s="1651"/>
      <c r="AF627" s="175"/>
      <c r="AG627" s="1010" t="s">
        <v>938</v>
      </c>
      <c r="AH627" s="1010"/>
      <c r="AI627" s="1010"/>
      <c r="AJ627" s="1010"/>
      <c r="AK627" s="4"/>
      <c r="AL627" s="4"/>
      <c r="AM627" s="4"/>
      <c r="AO627" s="4"/>
      <c r="AP627" s="35"/>
    </row>
    <row r="628" spans="1:44">
      <c r="A628" s="4"/>
      <c r="B628" s="20"/>
      <c r="C628" s="45"/>
      <c r="D628" s="4"/>
      <c r="E628" s="185"/>
      <c r="F628" s="1652"/>
      <c r="G628" s="1653"/>
      <c r="H628" s="1653"/>
      <c r="I628" s="1653"/>
      <c r="J628" s="1653"/>
      <c r="K628" s="1653"/>
      <c r="L628" s="1653"/>
      <c r="M628" s="1653"/>
      <c r="N628" s="1653"/>
      <c r="O628" s="1653"/>
      <c r="P628" s="1653"/>
      <c r="Q628" s="1653"/>
      <c r="R628" s="1653"/>
      <c r="S628" s="1653"/>
      <c r="T628" s="1653"/>
      <c r="U628" s="1653"/>
      <c r="V628" s="1653"/>
      <c r="W628" s="1653"/>
      <c r="X628" s="1653"/>
      <c r="Y628" s="1653"/>
      <c r="Z628" s="1653"/>
      <c r="AA628" s="1653"/>
      <c r="AB628" s="1653"/>
      <c r="AC628" s="1653"/>
      <c r="AD628" s="1653"/>
      <c r="AE628" s="1654"/>
      <c r="AF628" s="175"/>
      <c r="AG628" s="175"/>
      <c r="AH628" s="175"/>
      <c r="AI628" s="175"/>
      <c r="AJ628" s="4"/>
      <c r="AK628" s="4"/>
      <c r="AL628" s="4"/>
      <c r="AM628" s="4"/>
    </row>
    <row r="629" spans="1:44" ht="13.95" customHeight="1">
      <c r="A629" s="4"/>
      <c r="B629" s="20"/>
      <c r="C629" s="45"/>
      <c r="D629" s="4"/>
      <c r="E629" s="185"/>
      <c r="F629" s="1655"/>
      <c r="G629" s="1656"/>
      <c r="H629" s="1656"/>
      <c r="I629" s="1656"/>
      <c r="J629" s="1656"/>
      <c r="K629" s="1656"/>
      <c r="L629" s="1656"/>
      <c r="M629" s="1656"/>
      <c r="N629" s="1656"/>
      <c r="O629" s="1656"/>
      <c r="P629" s="1656"/>
      <c r="Q629" s="1656"/>
      <c r="R629" s="1656"/>
      <c r="S629" s="1656"/>
      <c r="T629" s="1656"/>
      <c r="U629" s="1656"/>
      <c r="V629" s="1656"/>
      <c r="W629" s="1656"/>
      <c r="X629" s="1656"/>
      <c r="Y629" s="1656"/>
      <c r="Z629" s="1656"/>
      <c r="AA629" s="1656"/>
      <c r="AB629" s="1656"/>
      <c r="AC629" s="1656"/>
      <c r="AD629" s="1656"/>
      <c r="AE629" s="1657"/>
      <c r="AF629" s="175"/>
      <c r="AG629" s="175"/>
      <c r="AH629" s="175"/>
      <c r="AI629" s="175"/>
      <c r="AJ629" s="4"/>
      <c r="AK629" s="4"/>
      <c r="AL629" s="4"/>
      <c r="AM629" s="4"/>
    </row>
    <row r="630" spans="1:44" ht="13.9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95" customHeight="1">
      <c r="A631" s="4"/>
      <c r="B631" s="1645" t="s">
        <v>2229</v>
      </c>
      <c r="C631" s="1645"/>
      <c r="D631" s="1645"/>
      <c r="E631" s="1645"/>
      <c r="F631" s="1645"/>
      <c r="G631" s="1645"/>
      <c r="H631" s="1645"/>
      <c r="I631" s="1645"/>
      <c r="J631" s="1645"/>
      <c r="K631" s="1645"/>
      <c r="L631" s="1645"/>
      <c r="M631" s="1645"/>
      <c r="N631" s="1645"/>
      <c r="O631" s="1645"/>
      <c r="P631" s="1645"/>
      <c r="Q631" s="1645"/>
      <c r="R631" s="1645"/>
      <c r="S631" s="1645"/>
      <c r="T631" s="1645"/>
      <c r="U631" s="1645"/>
      <c r="V631" s="1645"/>
      <c r="W631" s="1645"/>
      <c r="X631" s="1645"/>
      <c r="Y631" s="1645"/>
      <c r="Z631" s="1645"/>
      <c r="AA631" s="1645"/>
      <c r="AB631" s="1645"/>
      <c r="AC631" s="1645"/>
      <c r="AD631" s="1645"/>
      <c r="AE631" s="1645"/>
      <c r="AF631" s="1645"/>
      <c r="AG631" s="1645"/>
      <c r="AH631" s="1645"/>
      <c r="AI631" s="175"/>
      <c r="AJ631" s="4"/>
      <c r="AK631" s="4"/>
      <c r="AL631" s="4"/>
      <c r="AM631" s="4"/>
      <c r="AN631" s="79"/>
    </row>
    <row r="632" spans="1:44" ht="13.95" customHeight="1">
      <c r="B632" s="1645"/>
      <c r="C632" s="1645"/>
      <c r="D632" s="1645"/>
      <c r="E632" s="1645"/>
      <c r="F632" s="1645"/>
      <c r="G632" s="1645"/>
      <c r="H632" s="1645"/>
      <c r="I632" s="1645"/>
      <c r="J632" s="1645"/>
      <c r="K632" s="1645"/>
      <c r="L632" s="1645"/>
      <c r="M632" s="1645"/>
      <c r="N632" s="1645"/>
      <c r="O632" s="1645"/>
      <c r="P632" s="1645"/>
      <c r="Q632" s="1645"/>
      <c r="R632" s="1645"/>
      <c r="S632" s="1645"/>
      <c r="T632" s="1645"/>
      <c r="U632" s="1645"/>
      <c r="V632" s="1645"/>
      <c r="W632" s="1645"/>
      <c r="X632" s="1645"/>
      <c r="Y632" s="1645"/>
      <c r="Z632" s="1645"/>
      <c r="AA632" s="1645"/>
      <c r="AB632" s="1645"/>
      <c r="AC632" s="1645"/>
      <c r="AD632" s="1645"/>
      <c r="AE632" s="1645"/>
      <c r="AF632" s="1645"/>
      <c r="AG632" s="1645"/>
      <c r="AH632" s="1645"/>
      <c r="AI632" s="162"/>
      <c r="AJ632" s="4"/>
      <c r="AK632" s="4"/>
      <c r="AL632" s="4"/>
      <c r="AM632" s="4"/>
      <c r="AN632" s="79"/>
      <c r="AR632" s="41"/>
    </row>
    <row r="633" spans="1:44" ht="13.95" customHeight="1">
      <c r="A633" s="4"/>
      <c r="B633" s="1645"/>
      <c r="C633" s="1645"/>
      <c r="D633" s="1645"/>
      <c r="E633" s="1645"/>
      <c r="F633" s="1645"/>
      <c r="G633" s="1645"/>
      <c r="H633" s="1645"/>
      <c r="I633" s="1645"/>
      <c r="J633" s="1645"/>
      <c r="K633" s="1645"/>
      <c r="L633" s="1645"/>
      <c r="M633" s="1645"/>
      <c r="N633" s="1645"/>
      <c r="O633" s="1645"/>
      <c r="P633" s="1645"/>
      <c r="Q633" s="1645"/>
      <c r="R633" s="1645"/>
      <c r="S633" s="1645"/>
      <c r="T633" s="1645"/>
      <c r="U633" s="1645"/>
      <c r="V633" s="1645"/>
      <c r="W633" s="1645"/>
      <c r="X633" s="1645"/>
      <c r="Y633" s="1645"/>
      <c r="Z633" s="1645"/>
      <c r="AA633" s="1645"/>
      <c r="AB633" s="1645"/>
      <c r="AC633" s="1645"/>
      <c r="AD633" s="1645"/>
      <c r="AE633" s="1645"/>
      <c r="AF633" s="1645"/>
      <c r="AG633" s="1645"/>
      <c r="AH633" s="1645"/>
      <c r="AI633" s="162"/>
      <c r="AJ633" s="4"/>
      <c r="AK633" s="4"/>
      <c r="AL633" s="4"/>
      <c r="AM633" s="4"/>
      <c r="AN633" s="79"/>
    </row>
    <row r="634" spans="1:44" ht="13.95" customHeight="1">
      <c r="A634" s="4"/>
      <c r="B634" s="1645"/>
      <c r="C634" s="1645"/>
      <c r="D634" s="1645"/>
      <c r="E634" s="1645"/>
      <c r="F634" s="1645"/>
      <c r="G634" s="1645"/>
      <c r="H634" s="1645"/>
      <c r="I634" s="1645"/>
      <c r="J634" s="1645"/>
      <c r="K634" s="1645"/>
      <c r="L634" s="1645"/>
      <c r="M634" s="1645"/>
      <c r="N634" s="1645"/>
      <c r="O634" s="1645"/>
      <c r="P634" s="1645"/>
      <c r="Q634" s="1645"/>
      <c r="R634" s="1645"/>
      <c r="S634" s="1645"/>
      <c r="T634" s="1645"/>
      <c r="U634" s="1645"/>
      <c r="V634" s="1645"/>
      <c r="W634" s="1645"/>
      <c r="X634" s="1645"/>
      <c r="Y634" s="1645"/>
      <c r="Z634" s="1645"/>
      <c r="AA634" s="1645"/>
      <c r="AB634" s="1645"/>
      <c r="AC634" s="1645"/>
      <c r="AD634" s="1645"/>
      <c r="AE634" s="1645"/>
      <c r="AF634" s="1645"/>
      <c r="AG634" s="1645"/>
      <c r="AH634" s="1645"/>
      <c r="AI634" s="162"/>
      <c r="AJ634" s="4"/>
      <c r="AK634" s="4"/>
      <c r="AL634" s="4"/>
      <c r="AM634" s="4"/>
      <c r="AN634" s="79"/>
    </row>
    <row r="635" spans="1:44" ht="13.95" customHeight="1">
      <c r="A635" s="4"/>
      <c r="B635" s="1645"/>
      <c r="C635" s="1645"/>
      <c r="D635" s="1645"/>
      <c r="E635" s="1645"/>
      <c r="F635" s="1645"/>
      <c r="G635" s="1645"/>
      <c r="H635" s="1645"/>
      <c r="I635" s="1645"/>
      <c r="J635" s="1645"/>
      <c r="K635" s="1645"/>
      <c r="L635" s="1645"/>
      <c r="M635" s="1645"/>
      <c r="N635" s="1645"/>
      <c r="O635" s="1645"/>
      <c r="P635" s="1645"/>
      <c r="Q635" s="1645"/>
      <c r="R635" s="1645"/>
      <c r="S635" s="1645"/>
      <c r="T635" s="1645"/>
      <c r="U635" s="1645"/>
      <c r="V635" s="1645"/>
      <c r="W635" s="1645"/>
      <c r="X635" s="1645"/>
      <c r="Y635" s="1645"/>
      <c r="Z635" s="1645"/>
      <c r="AA635" s="1645"/>
      <c r="AB635" s="1645"/>
      <c r="AC635" s="1645"/>
      <c r="AD635" s="1645"/>
      <c r="AE635" s="1645"/>
      <c r="AF635" s="1645"/>
      <c r="AG635" s="1645"/>
      <c r="AH635" s="1645"/>
      <c r="AI635" s="162"/>
      <c r="AJ635" s="4"/>
      <c r="AK635" s="4"/>
      <c r="AL635" s="4"/>
      <c r="AM635" s="4"/>
      <c r="AN635" s="79"/>
    </row>
    <row r="636" spans="1:44" ht="13.95" customHeight="1">
      <c r="A636" s="4"/>
      <c r="B636" s="1645"/>
      <c r="C636" s="1645"/>
      <c r="D636" s="1645"/>
      <c r="E636" s="1645"/>
      <c r="F636" s="1645"/>
      <c r="G636" s="1645"/>
      <c r="H636" s="1645"/>
      <c r="I636" s="1645"/>
      <c r="J636" s="1645"/>
      <c r="K636" s="1645"/>
      <c r="L636" s="1645"/>
      <c r="M636" s="1645"/>
      <c r="N636" s="1645"/>
      <c r="O636" s="1645"/>
      <c r="P636" s="1645"/>
      <c r="Q636" s="1645"/>
      <c r="R636" s="1645"/>
      <c r="S636" s="1645"/>
      <c r="T636" s="1645"/>
      <c r="U636" s="1645"/>
      <c r="V636" s="1645"/>
      <c r="W636" s="1645"/>
      <c r="X636" s="1645"/>
      <c r="Y636" s="1645"/>
      <c r="Z636" s="1645"/>
      <c r="AA636" s="1645"/>
      <c r="AB636" s="1645"/>
      <c r="AC636" s="1645"/>
      <c r="AD636" s="1645"/>
      <c r="AE636" s="1645"/>
      <c r="AF636" s="1645"/>
      <c r="AG636" s="1645"/>
      <c r="AH636" s="1645"/>
      <c r="AI636" s="162"/>
      <c r="AJ636" s="4"/>
      <c r="AK636" s="4"/>
      <c r="AL636" s="4"/>
      <c r="AM636" s="4"/>
      <c r="AN636" s="79"/>
    </row>
    <row r="637" spans="1:44" ht="13.95" customHeight="1">
      <c r="A637" s="4"/>
      <c r="B637" s="1645"/>
      <c r="C637" s="1645"/>
      <c r="D637" s="1645"/>
      <c r="E637" s="1645"/>
      <c r="F637" s="1645"/>
      <c r="G637" s="1645"/>
      <c r="H637" s="1645"/>
      <c r="I637" s="1645"/>
      <c r="J637" s="1645"/>
      <c r="K637" s="1645"/>
      <c r="L637" s="1645"/>
      <c r="M637" s="1645"/>
      <c r="N637" s="1645"/>
      <c r="O637" s="1645"/>
      <c r="P637" s="1645"/>
      <c r="Q637" s="1645"/>
      <c r="R637" s="1645"/>
      <c r="S637" s="1645"/>
      <c r="T637" s="1645"/>
      <c r="U637" s="1645"/>
      <c r="V637" s="1645"/>
      <c r="W637" s="1645"/>
      <c r="X637" s="1645"/>
      <c r="Y637" s="1645"/>
      <c r="Z637" s="1645"/>
      <c r="AA637" s="1645"/>
      <c r="AB637" s="1645"/>
      <c r="AC637" s="1645"/>
      <c r="AD637" s="1645"/>
      <c r="AE637" s="1645"/>
      <c r="AF637" s="1645"/>
      <c r="AG637" s="1645"/>
      <c r="AH637" s="1645"/>
      <c r="AI637" s="162"/>
      <c r="AJ637" s="4"/>
      <c r="AK637" s="4"/>
      <c r="AL637" s="4"/>
      <c r="AM637" s="4"/>
      <c r="AN637" s="79"/>
    </row>
    <row r="638" spans="1:44">
      <c r="A638" s="4"/>
      <c r="B638" s="1645"/>
      <c r="C638" s="1645"/>
      <c r="D638" s="1645"/>
      <c r="E638" s="1645"/>
      <c r="F638" s="1645"/>
      <c r="G638" s="1645"/>
      <c r="H638" s="1645"/>
      <c r="I638" s="1645"/>
      <c r="J638" s="1645"/>
      <c r="K638" s="1645"/>
      <c r="L638" s="1645"/>
      <c r="M638" s="1645"/>
      <c r="N638" s="1645"/>
      <c r="O638" s="1645"/>
      <c r="P638" s="1645"/>
      <c r="Q638" s="1645"/>
      <c r="R638" s="1645"/>
      <c r="S638" s="1645"/>
      <c r="T638" s="1645"/>
      <c r="U638" s="1645"/>
      <c r="V638" s="1645"/>
      <c r="W638" s="1645"/>
      <c r="X638" s="1645"/>
      <c r="Y638" s="1645"/>
      <c r="Z638" s="1645"/>
      <c r="AA638" s="1645"/>
      <c r="AB638" s="1645"/>
      <c r="AC638" s="1645"/>
      <c r="AD638" s="1645"/>
      <c r="AE638" s="1645"/>
      <c r="AF638" s="1645"/>
      <c r="AG638" s="1645"/>
      <c r="AH638" s="1645"/>
      <c r="AI638" s="162"/>
      <c r="AJ638" s="4"/>
      <c r="AK638" s="4"/>
      <c r="AL638" s="4"/>
      <c r="AM638" s="4"/>
      <c r="AN638" s="79"/>
    </row>
    <row r="639" spans="1:44">
      <c r="A639" s="4"/>
      <c r="B639" s="1645"/>
      <c r="C639" s="1645"/>
      <c r="D639" s="1645"/>
      <c r="E639" s="1645"/>
      <c r="F639" s="1645"/>
      <c r="G639" s="1645"/>
      <c r="H639" s="1645"/>
      <c r="I639" s="1645"/>
      <c r="J639" s="1645"/>
      <c r="K639" s="1645"/>
      <c r="L639" s="1645"/>
      <c r="M639" s="1645"/>
      <c r="N639" s="1645"/>
      <c r="O639" s="1645"/>
      <c r="P639" s="1645"/>
      <c r="Q639" s="1645"/>
      <c r="R639" s="1645"/>
      <c r="S639" s="1645"/>
      <c r="T639" s="1645"/>
      <c r="U639" s="1645"/>
      <c r="V639" s="1645"/>
      <c r="W639" s="1645"/>
      <c r="X639" s="1645"/>
      <c r="Y639" s="1645"/>
      <c r="Z639" s="1645"/>
      <c r="AA639" s="1645"/>
      <c r="AB639" s="1645"/>
      <c r="AC639" s="1645"/>
      <c r="AD639" s="1645"/>
      <c r="AE639" s="1645"/>
      <c r="AF639" s="1645"/>
      <c r="AG639" s="1645"/>
      <c r="AH639" s="1645"/>
      <c r="AI639" s="162"/>
      <c r="AJ639" s="4"/>
      <c r="AK639" s="4"/>
      <c r="AL639" s="4"/>
      <c r="AM639" s="4"/>
      <c r="AN639" s="79"/>
    </row>
    <row r="640" spans="1:44">
      <c r="A640" s="4"/>
      <c r="B640" s="1645"/>
      <c r="C640" s="1645"/>
      <c r="D640" s="1645"/>
      <c r="E640" s="1645"/>
      <c r="F640" s="1645"/>
      <c r="G640" s="1645"/>
      <c r="H640" s="1645"/>
      <c r="I640" s="1645"/>
      <c r="J640" s="1645"/>
      <c r="K640" s="1645"/>
      <c r="L640" s="1645"/>
      <c r="M640" s="1645"/>
      <c r="N640" s="1645"/>
      <c r="O640" s="1645"/>
      <c r="P640" s="1645"/>
      <c r="Q640" s="1645"/>
      <c r="R640" s="1645"/>
      <c r="S640" s="1645"/>
      <c r="T640" s="1645"/>
      <c r="U640" s="1645"/>
      <c r="V640" s="1645"/>
      <c r="W640" s="1645"/>
      <c r="X640" s="1645"/>
      <c r="Y640" s="1645"/>
      <c r="Z640" s="1645"/>
      <c r="AA640" s="1645"/>
      <c r="AB640" s="1645"/>
      <c r="AC640" s="1645"/>
      <c r="AD640" s="1645"/>
      <c r="AE640" s="1645"/>
      <c r="AF640" s="1645"/>
      <c r="AG640" s="1645"/>
      <c r="AH640" s="1645"/>
      <c r="AI640" s="162"/>
      <c r="AJ640" s="4"/>
      <c r="AK640" s="4"/>
      <c r="AL640" s="4"/>
      <c r="AM640" s="4"/>
      <c r="AN640" s="79"/>
    </row>
    <row r="641" spans="1:60">
      <c r="A641" s="4"/>
      <c r="B641" s="1645"/>
      <c r="C641" s="1645"/>
      <c r="D641" s="1645"/>
      <c r="E641" s="1645"/>
      <c r="F641" s="1645"/>
      <c r="G641" s="1645"/>
      <c r="H641" s="1645"/>
      <c r="I641" s="1645"/>
      <c r="J641" s="1645"/>
      <c r="K641" s="1645"/>
      <c r="L641" s="1645"/>
      <c r="M641" s="1645"/>
      <c r="N641" s="1645"/>
      <c r="O641" s="1645"/>
      <c r="P641" s="1645"/>
      <c r="Q641" s="1645"/>
      <c r="R641" s="1645"/>
      <c r="S641" s="1645"/>
      <c r="T641" s="1645"/>
      <c r="U641" s="1645"/>
      <c r="V641" s="1645"/>
      <c r="W641" s="1645"/>
      <c r="X641" s="1645"/>
      <c r="Y641" s="1645"/>
      <c r="Z641" s="1645"/>
      <c r="AA641" s="1645"/>
      <c r="AB641" s="1645"/>
      <c r="AC641" s="1645"/>
      <c r="AD641" s="1645"/>
      <c r="AE641" s="1645"/>
      <c r="AF641" s="1645"/>
      <c r="AG641" s="1645"/>
      <c r="AH641" s="1645"/>
      <c r="AI641" s="162"/>
      <c r="AJ641" s="4"/>
      <c r="AK641" s="4"/>
      <c r="AL641" s="4"/>
      <c r="AM641" s="4"/>
      <c r="AN641" s="79"/>
    </row>
    <row r="642" spans="1:60" s="644" customFormat="1" ht="12.45" customHeight="1">
      <c r="A642" s="4"/>
      <c r="B642" s="1645"/>
      <c r="C642" s="1645"/>
      <c r="D642" s="1645"/>
      <c r="E642" s="1645"/>
      <c r="F642" s="1645"/>
      <c r="G642" s="1645"/>
      <c r="H642" s="1645"/>
      <c r="I642" s="1645"/>
      <c r="J642" s="1645"/>
      <c r="K642" s="1645"/>
      <c r="L642" s="1645"/>
      <c r="M642" s="1645"/>
      <c r="N642" s="1645"/>
      <c r="O642" s="1645"/>
      <c r="P642" s="1645"/>
      <c r="Q642" s="1645"/>
      <c r="R642" s="1645"/>
      <c r="S642" s="1645"/>
      <c r="T642" s="1645"/>
      <c r="U642" s="1645"/>
      <c r="V642" s="1645"/>
      <c r="W642" s="1645"/>
      <c r="X642" s="1645"/>
      <c r="Y642" s="1645"/>
      <c r="Z642" s="1645"/>
      <c r="AA642" s="1645"/>
      <c r="AB642" s="1645"/>
      <c r="AC642" s="1645"/>
      <c r="AD642" s="1645"/>
      <c r="AE642" s="1645"/>
      <c r="AF642" s="1645"/>
      <c r="AG642" s="1645"/>
      <c r="AH642" s="1645"/>
      <c r="AI642" s="162"/>
      <c r="AJ642" s="4"/>
      <c r="AK642" s="4"/>
      <c r="AL642" s="4"/>
      <c r="AM642" s="4"/>
      <c r="AN642" s="678"/>
      <c r="BD642" s="646"/>
      <c r="BE642" s="646"/>
      <c r="BF642" s="646"/>
      <c r="BG642" s="646"/>
      <c r="BH642" s="646"/>
    </row>
    <row r="643" spans="1:60">
      <c r="A643" s="4"/>
      <c r="B643" s="1645"/>
      <c r="C643" s="1645"/>
      <c r="D643" s="1645"/>
      <c r="E643" s="1645"/>
      <c r="F643" s="1645"/>
      <c r="G643" s="1645"/>
      <c r="H643" s="1645"/>
      <c r="I643" s="1645"/>
      <c r="J643" s="1645"/>
      <c r="K643" s="1645"/>
      <c r="L643" s="1645"/>
      <c r="M643" s="1645"/>
      <c r="N643" s="1645"/>
      <c r="O643" s="1645"/>
      <c r="P643" s="1645"/>
      <c r="Q643" s="1645"/>
      <c r="R643" s="1645"/>
      <c r="S643" s="1645"/>
      <c r="T643" s="1645"/>
      <c r="U643" s="1645"/>
      <c r="V643" s="1645"/>
      <c r="W643" s="1645"/>
      <c r="X643" s="1645"/>
      <c r="Y643" s="1645"/>
      <c r="Z643" s="1645"/>
      <c r="AA643" s="1645"/>
      <c r="AB643" s="1645"/>
      <c r="AC643" s="1645"/>
      <c r="AD643" s="1645"/>
      <c r="AE643" s="1645"/>
      <c r="AF643" s="1645"/>
      <c r="AG643" s="1645"/>
      <c r="AH643" s="164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8" t="s">
        <v>108</v>
      </c>
      <c r="D650" s="1118"/>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8" t="s">
        <v>124</v>
      </c>
      <c r="D655" s="111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124</v>
      </c>
      <c r="D659" s="111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8" t="s">
        <v>124</v>
      </c>
      <c r="D663" s="111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8" t="s">
        <v>124</v>
      </c>
      <c r="D665" s="111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8" t="s">
        <v>124</v>
      </c>
      <c r="D670" s="111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8" t="s">
        <v>124</v>
      </c>
      <c r="D673" s="1118"/>
      <c r="E673" s="185" t="s">
        <v>281</v>
      </c>
      <c r="F673" s="1645" t="s">
        <v>2215</v>
      </c>
      <c r="G673" s="1645"/>
      <c r="H673" s="1645"/>
      <c r="I673" s="1645"/>
      <c r="J673" s="1645"/>
      <c r="K673" s="1645"/>
      <c r="L673" s="1645"/>
      <c r="M673" s="1645"/>
      <c r="N673" s="1645"/>
      <c r="O673" s="1645"/>
      <c r="P673" s="1645"/>
      <c r="Q673" s="1645"/>
      <c r="R673" s="1645"/>
      <c r="S673" s="1645"/>
      <c r="T673" s="1645"/>
      <c r="U673" s="1645"/>
      <c r="V673" s="1645"/>
      <c r="W673" s="1645"/>
      <c r="X673" s="1645"/>
      <c r="Y673" s="1645"/>
      <c r="Z673" s="1645"/>
      <c r="AA673" s="1645"/>
      <c r="AB673" s="1645"/>
      <c r="AC673" s="1645"/>
      <c r="AD673" s="1645"/>
      <c r="AE673" s="19"/>
      <c r="AF673" s="19"/>
      <c r="AG673" s="3" t="s">
        <v>103</v>
      </c>
      <c r="AH673" s="19"/>
      <c r="AI673" s="19"/>
      <c r="AJ673" s="4"/>
      <c r="AK673" s="4"/>
      <c r="AL673" s="4"/>
      <c r="AM673" s="4"/>
      <c r="AN673" s="79"/>
      <c r="AO673" s="21"/>
    </row>
    <row r="674" spans="1:60">
      <c r="A674" s="4"/>
      <c r="B674" s="19"/>
      <c r="C674" s="19"/>
      <c r="D674" s="19"/>
      <c r="E674" s="19"/>
      <c r="F674" s="1645"/>
      <c r="G674" s="1645"/>
      <c r="H674" s="1645"/>
      <c r="I674" s="1645"/>
      <c r="J674" s="1645"/>
      <c r="K674" s="1645"/>
      <c r="L674" s="1645"/>
      <c r="M674" s="1645"/>
      <c r="N674" s="1645"/>
      <c r="O674" s="1645"/>
      <c r="P674" s="1645"/>
      <c r="Q674" s="1645"/>
      <c r="R674" s="1645"/>
      <c r="S674" s="1645"/>
      <c r="T674" s="1645"/>
      <c r="U674" s="1645"/>
      <c r="V674" s="1645"/>
      <c r="W674" s="1645"/>
      <c r="X674" s="1645"/>
      <c r="Y674" s="1645"/>
      <c r="Z674" s="1645"/>
      <c r="AA674" s="1645"/>
      <c r="AB674" s="1645"/>
      <c r="AC674" s="1645"/>
      <c r="AD674" s="1645"/>
      <c r="AE674" s="19"/>
      <c r="AF674" s="19"/>
      <c r="AG674" s="19"/>
      <c r="AH674" s="19"/>
      <c r="AI674" s="19"/>
      <c r="AJ674" s="4"/>
      <c r="AK674" s="4"/>
      <c r="AL674" s="4"/>
      <c r="AM674" s="4"/>
      <c r="AN674" s="79"/>
      <c r="AO674" s="21"/>
    </row>
    <row r="675" spans="1:60" ht="0.75" customHeight="1">
      <c r="A675" s="4"/>
      <c r="B675" s="19"/>
      <c r="C675" s="19"/>
      <c r="D675" s="19"/>
      <c r="E675" s="19"/>
      <c r="F675" s="1645"/>
      <c r="G675" s="1645"/>
      <c r="H675" s="1645"/>
      <c r="I675" s="1645"/>
      <c r="J675" s="1645"/>
      <c r="K675" s="1645"/>
      <c r="L675" s="1645"/>
      <c r="M675" s="1645"/>
      <c r="N675" s="1645"/>
      <c r="O675" s="1645"/>
      <c r="P675" s="1645"/>
      <c r="Q675" s="1645"/>
      <c r="R675" s="1645"/>
      <c r="S675" s="1645"/>
      <c r="T675" s="1645"/>
      <c r="U675" s="1645"/>
      <c r="V675" s="1645"/>
      <c r="W675" s="1645"/>
      <c r="X675" s="1645"/>
      <c r="Y675" s="1645"/>
      <c r="Z675" s="1645"/>
      <c r="AA675" s="1645"/>
      <c r="AB675" s="1645"/>
      <c r="AC675" s="1645"/>
      <c r="AD675" s="164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5" t="s">
        <v>1944</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c r="A695" s="1545" t="s">
        <v>1945</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6"/>
      <c r="Z696" s="1168" t="s">
        <v>233</v>
      </c>
      <c r="AA696" s="1169"/>
      <c r="AB696" s="1169"/>
      <c r="AC696" s="1169"/>
      <c r="AD696" s="1169"/>
      <c r="AE696" s="1226"/>
      <c r="AF696" s="1168" t="s">
        <v>235</v>
      </c>
      <c r="AG696" s="1169"/>
      <c r="AH696" s="1169"/>
      <c r="AI696" s="1169"/>
      <c r="AJ696" s="1169"/>
      <c r="AK696" s="122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c r="A698" s="594" t="s">
        <v>653</v>
      </c>
      <c r="B698" s="1718" t="s">
        <v>270</v>
      </c>
      <c r="C698" s="1718"/>
      <c r="D698" s="1718"/>
      <c r="E698" s="1718"/>
      <c r="F698" s="1718"/>
      <c r="G698" s="1718"/>
      <c r="H698" s="1718"/>
      <c r="I698" s="1718"/>
      <c r="J698" s="1718"/>
      <c r="K698" s="1718"/>
      <c r="L698" s="1718"/>
      <c r="M698" s="1718"/>
      <c r="N698" s="1718"/>
      <c r="O698" s="1718"/>
      <c r="P698" s="1718"/>
      <c r="Q698" s="1718"/>
      <c r="R698" s="1718"/>
      <c r="S698" s="1719"/>
      <c r="T698" s="1742">
        <f>SUM(T699:Y700)</f>
        <v>10</v>
      </c>
      <c r="U698" s="1742"/>
      <c r="V698" s="1742"/>
      <c r="W698" s="1742"/>
      <c r="X698" s="1742"/>
      <c r="Y698" s="1742"/>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c r="A699" s="614"/>
      <c r="B699" s="615"/>
      <c r="C699" s="620"/>
      <c r="D699" s="306" t="s">
        <v>210</v>
      </c>
      <c r="E699" s="1720" t="s">
        <v>236</v>
      </c>
      <c r="F699" s="1720"/>
      <c r="G699" s="1720"/>
      <c r="H699" s="1720"/>
      <c r="I699" s="1720"/>
      <c r="J699" s="1720"/>
      <c r="K699" s="1720"/>
      <c r="L699" s="1720"/>
      <c r="M699" s="1720"/>
      <c r="N699" s="1720"/>
      <c r="O699" s="1720"/>
      <c r="P699" s="1720"/>
      <c r="Q699" s="1720"/>
      <c r="R699" s="1720"/>
      <c r="S699" s="1721"/>
      <c r="T699" s="1722">
        <f>AJ31</f>
        <v>7</v>
      </c>
      <c r="U699" s="1722"/>
      <c r="V699" s="1722"/>
      <c r="W699" s="1722"/>
      <c r="X699" s="1722"/>
      <c r="Y699" s="1722"/>
      <c r="Z699" s="1746">
        <v>7</v>
      </c>
      <c r="AA699" s="1746"/>
      <c r="AB699" s="1746"/>
      <c r="AC699" s="1746"/>
      <c r="AD699" s="1746"/>
      <c r="AE699" s="1746"/>
      <c r="AF699" s="1827"/>
      <c r="AG699" s="1827"/>
      <c r="AH699" s="1827"/>
      <c r="AI699" s="1827"/>
      <c r="AJ699" s="1827"/>
      <c r="AK699" s="1827"/>
      <c r="AL699" s="778"/>
      <c r="AM699" s="20"/>
    </row>
    <row r="700" spans="1:43">
      <c r="A700" s="616"/>
      <c r="B700" s="615"/>
      <c r="C700" s="615"/>
      <c r="D700" s="306" t="s">
        <v>429</v>
      </c>
      <c r="E700" s="1720" t="s">
        <v>237</v>
      </c>
      <c r="F700" s="1720"/>
      <c r="G700" s="1720"/>
      <c r="H700" s="1720"/>
      <c r="I700" s="1720"/>
      <c r="J700" s="1720"/>
      <c r="K700" s="1720"/>
      <c r="L700" s="1720"/>
      <c r="M700" s="1720"/>
      <c r="N700" s="1720"/>
      <c r="O700" s="1720"/>
      <c r="P700" s="1720"/>
      <c r="Q700" s="1720"/>
      <c r="R700" s="1720"/>
      <c r="S700" s="1721"/>
      <c r="T700" s="1722">
        <f>AJ47</f>
        <v>3</v>
      </c>
      <c r="U700" s="1722"/>
      <c r="V700" s="1722"/>
      <c r="W700" s="1722"/>
      <c r="X700" s="1722"/>
      <c r="Y700" s="1722"/>
      <c r="Z700" s="1746">
        <v>3</v>
      </c>
      <c r="AA700" s="1746"/>
      <c r="AB700" s="1746"/>
      <c r="AC700" s="1746"/>
      <c r="AD700" s="1746"/>
      <c r="AE700" s="1746"/>
      <c r="AF700" s="1827"/>
      <c r="AG700" s="1827"/>
      <c r="AH700" s="1827"/>
      <c r="AI700" s="1827"/>
      <c r="AJ700" s="1827"/>
      <c r="AK700" s="1827"/>
      <c r="AL700" s="778"/>
      <c r="AM700" s="20"/>
    </row>
    <row r="701" spans="1:43">
      <c r="A701" s="594" t="s">
        <v>8</v>
      </c>
      <c r="B701" s="1718" t="s">
        <v>271</v>
      </c>
      <c r="C701" s="1718"/>
      <c r="D701" s="1718"/>
      <c r="E701" s="1718"/>
      <c r="F701" s="1718"/>
      <c r="G701" s="1718"/>
      <c r="H701" s="1718"/>
      <c r="I701" s="1718"/>
      <c r="J701" s="1718"/>
      <c r="K701" s="1718"/>
      <c r="L701" s="1718"/>
      <c r="M701" s="1718"/>
      <c r="N701" s="1718"/>
      <c r="O701" s="1718"/>
      <c r="P701" s="1718"/>
      <c r="Q701" s="1718"/>
      <c r="R701" s="1718"/>
      <c r="S701" s="1719"/>
      <c r="T701" s="1742">
        <f>AK68</f>
        <v>10</v>
      </c>
      <c r="U701" s="1742"/>
      <c r="V701" s="1742"/>
      <c r="W701" s="1742"/>
      <c r="X701" s="1742"/>
      <c r="Y701" s="1742"/>
      <c r="Z701" s="1227">
        <v>10</v>
      </c>
      <c r="AA701" s="1227"/>
      <c r="AB701" s="1227"/>
      <c r="AC701" s="1227"/>
      <c r="AD701" s="1227"/>
      <c r="AE701" s="1227"/>
      <c r="AF701" s="1227">
        <f>IF(T701&gt;Z701,Z701,T701)</f>
        <v>10</v>
      </c>
      <c r="AG701" s="1227"/>
      <c r="AH701" s="1227"/>
      <c r="AI701" s="1227"/>
      <c r="AJ701" s="1227"/>
      <c r="AK701" s="1227"/>
      <c r="AL701" s="778"/>
      <c r="AM701" s="20"/>
    </row>
    <row r="702" spans="1:43">
      <c r="A702" s="594" t="s">
        <v>119</v>
      </c>
      <c r="B702" s="1718" t="s">
        <v>272</v>
      </c>
      <c r="C702" s="1718"/>
      <c r="D702" s="1718"/>
      <c r="E702" s="1718"/>
      <c r="F702" s="1718"/>
      <c r="G702" s="1718"/>
      <c r="H702" s="1718"/>
      <c r="I702" s="1718"/>
      <c r="J702" s="1718"/>
      <c r="K702" s="1718"/>
      <c r="L702" s="1718"/>
      <c r="M702" s="1718"/>
      <c r="N702" s="1718"/>
      <c r="O702" s="1718"/>
      <c r="P702" s="1718"/>
      <c r="Q702" s="1718"/>
      <c r="R702" s="1718"/>
      <c r="S702" s="1719"/>
      <c r="T702" s="1742">
        <f>AO693</f>
        <v>25</v>
      </c>
      <c r="U702" s="1742">
        <f>IF(AND(AND(A703&gt;15,15+A704),A704&gt;10,A703+10),A702,0)</f>
        <v>0</v>
      </c>
      <c r="V702" s="1742">
        <f>IF(AND(AND(B703&gt;15,15+B704),B704&gt;10,B703+10),#REF!,0)</f>
        <v>0</v>
      </c>
      <c r="W702" s="1742">
        <f>IF(AND(AND(C703&gt;15,15+C704),C704&gt;10,C703+10),B702,0)</f>
        <v>0</v>
      </c>
      <c r="X702" s="1742" t="e">
        <f>IF(AND(AND(D703&gt;15,15+D704),D704&gt;10,D703+10),D702,0)</f>
        <v>#VALUE!</v>
      </c>
      <c r="Y702" s="1742"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c r="A703" s="594"/>
      <c r="B703" s="615"/>
      <c r="C703" s="615"/>
      <c r="D703" s="306" t="s">
        <v>1468</v>
      </c>
      <c r="E703" s="1720" t="s">
        <v>294</v>
      </c>
      <c r="F703" s="1720"/>
      <c r="G703" s="1720"/>
      <c r="H703" s="1720"/>
      <c r="I703" s="1720"/>
      <c r="J703" s="1720"/>
      <c r="K703" s="1720"/>
      <c r="L703" s="1720"/>
      <c r="M703" s="1720"/>
      <c r="N703" s="1720"/>
      <c r="O703" s="1720"/>
      <c r="P703" s="1720"/>
      <c r="Q703" s="1720"/>
      <c r="R703" s="1720"/>
      <c r="S703" s="1721"/>
      <c r="T703" s="1722">
        <f>AK283</f>
        <v>18</v>
      </c>
      <c r="U703" s="1722"/>
      <c r="V703" s="1722"/>
      <c r="W703" s="1722"/>
      <c r="X703" s="1722"/>
      <c r="Y703" s="1722"/>
      <c r="Z703" s="1746">
        <v>15</v>
      </c>
      <c r="AA703" s="1746"/>
      <c r="AB703" s="1746"/>
      <c r="AC703" s="1746"/>
      <c r="AD703" s="1746"/>
      <c r="AE703" s="1746"/>
      <c r="AF703" s="1827"/>
      <c r="AG703" s="1827"/>
      <c r="AH703" s="1827"/>
      <c r="AI703" s="1827"/>
      <c r="AJ703" s="1827"/>
      <c r="AK703" s="1827"/>
      <c r="AL703" s="778"/>
      <c r="AM703" s="20"/>
    </row>
    <row r="704" spans="1:43">
      <c r="A704" s="617"/>
      <c r="B704" s="90"/>
      <c r="C704" s="90"/>
      <c r="D704" s="618" t="s">
        <v>1469</v>
      </c>
      <c r="E704" s="1720" t="s">
        <v>295</v>
      </c>
      <c r="F704" s="1720"/>
      <c r="G704" s="1720"/>
      <c r="H704" s="1720"/>
      <c r="I704" s="1720"/>
      <c r="J704" s="1720"/>
      <c r="K704" s="1720"/>
      <c r="L704" s="1720"/>
      <c r="M704" s="1720"/>
      <c r="N704" s="1720"/>
      <c r="O704" s="1720"/>
      <c r="P704" s="1720"/>
      <c r="Q704" s="1720"/>
      <c r="R704" s="1720"/>
      <c r="S704" s="1721"/>
      <c r="T704" s="1722">
        <f>AK474</f>
        <v>10</v>
      </c>
      <c r="U704" s="1722"/>
      <c r="V704" s="1722"/>
      <c r="W704" s="1722"/>
      <c r="X704" s="1722"/>
      <c r="Y704" s="1722"/>
      <c r="Z704" s="1746">
        <v>10</v>
      </c>
      <c r="AA704" s="1746"/>
      <c r="AB704" s="1746"/>
      <c r="AC704" s="1746"/>
      <c r="AD704" s="1746"/>
      <c r="AE704" s="1746"/>
      <c r="AF704" s="1827"/>
      <c r="AG704" s="1827"/>
      <c r="AH704" s="1827"/>
      <c r="AI704" s="1827"/>
      <c r="AJ704" s="1827"/>
      <c r="AK704" s="1827"/>
      <c r="AL704" s="778"/>
      <c r="AM704" s="20"/>
    </row>
    <row r="705" spans="1:39" hidden="1">
      <c r="A705" s="594" t="s">
        <v>122</v>
      </c>
      <c r="B705" s="1718" t="s">
        <v>541</v>
      </c>
      <c r="C705" s="1718"/>
      <c r="D705" s="1718"/>
      <c r="E705" s="1718"/>
      <c r="F705" s="1718"/>
      <c r="G705" s="1718"/>
      <c r="H705" s="1718"/>
      <c r="I705" s="1718"/>
      <c r="J705" s="1718"/>
      <c r="K705" s="1718"/>
      <c r="L705" s="1718"/>
      <c r="M705" s="1718"/>
      <c r="N705" s="1718"/>
      <c r="O705" s="1718"/>
      <c r="P705" s="1718"/>
      <c r="Q705" s="1718"/>
      <c r="R705" s="1718"/>
      <c r="S705" s="1719"/>
      <c r="T705" s="1742"/>
      <c r="U705" s="1742"/>
      <c r="V705" s="1742"/>
      <c r="W705" s="1742"/>
      <c r="X705" s="1742"/>
      <c r="Y705" s="1742"/>
      <c r="Z705" s="1227"/>
      <c r="AA705" s="1227"/>
      <c r="AB705" s="1227"/>
      <c r="AC705" s="1227"/>
      <c r="AD705" s="1227"/>
      <c r="AE705" s="1227"/>
      <c r="AF705" s="1227"/>
      <c r="AG705" s="1227"/>
      <c r="AH705" s="1227"/>
      <c r="AI705" s="1227"/>
      <c r="AJ705" s="1227"/>
      <c r="AK705" s="1227"/>
      <c r="AL705" s="778"/>
      <c r="AM705" s="20"/>
    </row>
    <row r="706" spans="1:39">
      <c r="A706" s="594" t="s">
        <v>122</v>
      </c>
      <c r="B706" s="1718" t="s">
        <v>542</v>
      </c>
      <c r="C706" s="1718"/>
      <c r="D706" s="1718"/>
      <c r="E706" s="1718"/>
      <c r="F706" s="1718"/>
      <c r="G706" s="1718"/>
      <c r="H706" s="1718"/>
      <c r="I706" s="1718"/>
      <c r="J706" s="1718"/>
      <c r="K706" s="1718"/>
      <c r="L706" s="1718"/>
      <c r="M706" s="1718"/>
      <c r="N706" s="1718"/>
      <c r="O706" s="1718"/>
      <c r="P706" s="1718"/>
      <c r="Q706" s="1718"/>
      <c r="R706" s="1718"/>
      <c r="S706" s="1719"/>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c r="A707" s="619"/>
      <c r="B707" s="621"/>
      <c r="C707" s="621"/>
      <c r="D707" s="622" t="s">
        <v>2220</v>
      </c>
      <c r="E707" s="1720" t="s">
        <v>183</v>
      </c>
      <c r="F707" s="1720"/>
      <c r="G707" s="1720"/>
      <c r="H707" s="1720"/>
      <c r="I707" s="1720"/>
      <c r="J707" s="1720"/>
      <c r="K707" s="1720"/>
      <c r="L707" s="1720"/>
      <c r="M707" s="1720"/>
      <c r="N707" s="1720"/>
      <c r="O707" s="1720"/>
      <c r="P707" s="1720"/>
      <c r="Q707" s="1720"/>
      <c r="R707" s="1720"/>
      <c r="S707" s="1721"/>
      <c r="T707" s="1743">
        <f>AC592</f>
        <v>50</v>
      </c>
      <c r="U707" s="1744"/>
      <c r="V707" s="1744"/>
      <c r="W707" s="1744"/>
      <c r="X707" s="1744"/>
      <c r="Y707" s="1745"/>
      <c r="Z707" s="1743">
        <v>50</v>
      </c>
      <c r="AA707" s="1744"/>
      <c r="AB707" s="1744"/>
      <c r="AC707" s="1744"/>
      <c r="AD707" s="1744"/>
      <c r="AE707" s="1745"/>
      <c r="AF707" s="1822"/>
      <c r="AG707" s="1823"/>
      <c r="AH707" s="1823"/>
      <c r="AI707" s="1823"/>
      <c r="AJ707" s="1823"/>
      <c r="AK707" s="1824"/>
      <c r="AL707" s="778"/>
      <c r="AM707" s="4"/>
    </row>
    <row r="708" spans="1:39">
      <c r="A708" s="623"/>
      <c r="B708" s="615"/>
      <c r="C708" s="615"/>
      <c r="D708" s="306" t="s">
        <v>2221</v>
      </c>
      <c r="E708" s="1720" t="s">
        <v>269</v>
      </c>
      <c r="F708" s="1720"/>
      <c r="G708" s="1720"/>
      <c r="H708" s="1720"/>
      <c r="I708" s="1720"/>
      <c r="J708" s="1720"/>
      <c r="K708" s="1720"/>
      <c r="L708" s="1720"/>
      <c r="M708" s="1720"/>
      <c r="N708" s="1720"/>
      <c r="O708" s="1720"/>
      <c r="P708" s="1720"/>
      <c r="Q708" s="1720"/>
      <c r="R708" s="1720"/>
      <c r="S708" s="1721"/>
      <c r="T708" s="1714">
        <f>IF(AJ617&gt;0,2,0)</f>
        <v>2</v>
      </c>
      <c r="U708" s="1715"/>
      <c r="V708" s="1715"/>
      <c r="W708" s="1715"/>
      <c r="X708" s="1715"/>
      <c r="Y708" s="1716"/>
      <c r="Z708" s="1068">
        <v>2</v>
      </c>
      <c r="AA708" s="1069"/>
      <c r="AB708" s="1069"/>
      <c r="AC708" s="1069"/>
      <c r="AD708" s="1069"/>
      <c r="AE708" s="1071"/>
      <c r="AF708" s="1838"/>
      <c r="AG708" s="1839"/>
      <c r="AH708" s="1839"/>
      <c r="AI708" s="1839"/>
      <c r="AJ708" s="1839"/>
      <c r="AK708" s="1840"/>
      <c r="AL708" s="778"/>
      <c r="AM708" s="4"/>
    </row>
    <row r="709" spans="1:39">
      <c r="A709" s="619" t="s">
        <v>123</v>
      </c>
      <c r="B709" s="1718" t="s">
        <v>543</v>
      </c>
      <c r="C709" s="1718"/>
      <c r="D709" s="1718"/>
      <c r="E709" s="1718"/>
      <c r="F709" s="1718"/>
      <c r="G709" s="1718"/>
      <c r="H709" s="1718"/>
      <c r="I709" s="1718"/>
      <c r="J709" s="1718"/>
      <c r="K709" s="1718"/>
      <c r="L709" s="1718"/>
      <c r="M709" s="1718"/>
      <c r="N709" s="1718"/>
      <c r="O709" s="1718"/>
      <c r="P709" s="1718"/>
      <c r="Q709" s="1718"/>
      <c r="R709" s="1718"/>
      <c r="S709" s="1719"/>
      <c r="T709" s="1742">
        <f>AK645</f>
        <v>10</v>
      </c>
      <c r="U709" s="1742"/>
      <c r="V709" s="1742"/>
      <c r="W709" s="1742"/>
      <c r="X709" s="1742"/>
      <c r="Y709" s="1742"/>
      <c r="Z709" s="1227">
        <v>10</v>
      </c>
      <c r="AA709" s="1227"/>
      <c r="AB709" s="1227"/>
      <c r="AC709" s="1227"/>
      <c r="AD709" s="1227"/>
      <c r="AE709" s="1227"/>
      <c r="AF709" s="1424">
        <f>IF(T709&gt;Z709,Z709,T709)</f>
        <v>10</v>
      </c>
      <c r="AG709" s="1425"/>
      <c r="AH709" s="1425"/>
      <c r="AI709" s="1425"/>
      <c r="AJ709" s="1425"/>
      <c r="AK709" s="1426"/>
      <c r="AL709" s="778"/>
      <c r="AM709" s="20"/>
    </row>
    <row r="710" spans="1:39">
      <c r="A710" s="619" t="s">
        <v>125</v>
      </c>
      <c r="B710" s="1718" t="s">
        <v>985</v>
      </c>
      <c r="C710" s="1718"/>
      <c r="D710" s="1718"/>
      <c r="E710" s="1718"/>
      <c r="F710" s="1718"/>
      <c r="G710" s="1718"/>
      <c r="H710" s="1718"/>
      <c r="I710" s="1718"/>
      <c r="J710" s="1718"/>
      <c r="K710" s="1718"/>
      <c r="L710" s="1718"/>
      <c r="M710" s="1718"/>
      <c r="N710" s="1718"/>
      <c r="O710" s="1718"/>
      <c r="P710" s="1718"/>
      <c r="Q710" s="1718"/>
      <c r="R710" s="1718"/>
      <c r="S710" s="1719"/>
      <c r="T710" s="1819">
        <f>IF(AK688&gt;2,2,AK688)</f>
        <v>2</v>
      </c>
      <c r="U710" s="1820"/>
      <c r="V710" s="1820"/>
      <c r="W710" s="1820"/>
      <c r="X710" s="1820"/>
      <c r="Y710" s="1821"/>
      <c r="Z710" s="1424">
        <v>2</v>
      </c>
      <c r="AA710" s="1425"/>
      <c r="AB710" s="1425"/>
      <c r="AC710" s="1425"/>
      <c r="AD710" s="1425"/>
      <c r="AE710" s="1426"/>
      <c r="AF710" s="1424">
        <f>IF(T710&gt;Z710,Z710,T710)</f>
        <v>2</v>
      </c>
      <c r="AG710" s="1836"/>
      <c r="AH710" s="1836"/>
      <c r="AI710" s="1836"/>
      <c r="AJ710" s="1836"/>
      <c r="AK710" s="1837"/>
      <c r="AL710" s="3"/>
      <c r="AM710" s="20"/>
    </row>
    <row r="711" spans="1:39">
      <c r="A711" s="1717" t="s">
        <v>297</v>
      </c>
      <c r="B711" s="1718"/>
      <c r="C711" s="1718"/>
      <c r="D711" s="1718"/>
      <c r="E711" s="1718"/>
      <c r="F711" s="1718"/>
      <c r="G711" s="1718"/>
      <c r="H711" s="1718"/>
      <c r="I711" s="1718"/>
      <c r="J711" s="1718"/>
      <c r="K711" s="1718"/>
      <c r="L711" s="1718"/>
      <c r="M711" s="1718"/>
      <c r="N711" s="1718"/>
      <c r="O711" s="1718"/>
      <c r="P711" s="1718"/>
      <c r="Q711" s="1718"/>
      <c r="R711" s="1718"/>
      <c r="S711" s="1719"/>
      <c r="T711" s="1467"/>
      <c r="U711" s="1467"/>
      <c r="V711" s="1467"/>
      <c r="W711" s="1467"/>
      <c r="X711" s="1467"/>
      <c r="Y711" s="1467"/>
      <c r="Z711" s="1746" t="s">
        <v>296</v>
      </c>
      <c r="AA711" s="1746"/>
      <c r="AB711" s="1746"/>
      <c r="AC711" s="1746"/>
      <c r="AD711" s="1746"/>
      <c r="AE711" s="1746"/>
      <c r="AF711" s="1424">
        <f>IF(T711&gt;0,T711,0)</f>
        <v>0</v>
      </c>
      <c r="AG711" s="1425"/>
      <c r="AH711" s="1425"/>
      <c r="AI711" s="1425"/>
      <c r="AJ711" s="1425"/>
      <c r="AK711" s="1426"/>
      <c r="AL711" s="18"/>
      <c r="AM711" s="20"/>
    </row>
    <row r="712" spans="1:39" ht="15.6">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8">
        <f>SUM(AF698:AK710)-AF711</f>
        <v>109</v>
      </c>
      <c r="AG712" s="1829"/>
      <c r="AH712" s="1829"/>
      <c r="AI712" s="1829"/>
      <c r="AJ712" s="1829"/>
      <c r="AK712" s="1830"/>
      <c r="AL712" s="779"/>
      <c r="AM712" s="4"/>
    </row>
    <row r="713" spans="1:39" ht="12.45"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31"/>
      <c r="AG713" s="1832"/>
      <c r="AH713" s="1832"/>
      <c r="AI713" s="1832"/>
      <c r="AJ713" s="1832"/>
      <c r="AK713" s="1833"/>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3"/>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3"/>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3"/>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3"/>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6" customWidth="1"/>
    <col min="11" max="11" width="2.44140625" style="897" customWidth="1"/>
    <col min="12" max="43" width="2.44140625" style="896" customWidth="1"/>
    <col min="44" max="47" width="2.44140625" style="896" hidden="1" customWidth="1"/>
    <col min="48" max="16384" width="9.33203125" style="896" hidden="1"/>
  </cols>
  <sheetData>
    <row r="1" spans="1:57" ht="15" customHeight="1">
      <c r="A1" s="1902" t="s">
        <v>2037</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8"/>
      <c r="B3" s="898"/>
      <c r="I3" s="899"/>
      <c r="K3" s="900"/>
    </row>
    <row r="4" spans="1:57" ht="14.25" customHeight="1">
      <c r="A4" s="1901" t="s">
        <v>2038</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2041</v>
      </c>
      <c r="I6" s="899"/>
      <c r="K6" s="900"/>
      <c r="U6" s="1900"/>
      <c r="V6" s="1900"/>
      <c r="W6" s="1900"/>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8"/>
      <c r="Q9" s="1908"/>
      <c r="R9" s="1908"/>
      <c r="S9" s="1908"/>
      <c r="T9" s="1908"/>
    </row>
    <row r="10" spans="1:57">
      <c r="A10" s="898"/>
      <c r="B10" s="898"/>
      <c r="I10" s="899"/>
      <c r="K10" s="900"/>
    </row>
    <row r="11" spans="1:57">
      <c r="A11" s="1901" t="s">
        <v>2044</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483</v>
      </c>
    </row>
    <row r="13" spans="1:57">
      <c r="A13" s="898"/>
      <c r="B13" s="898"/>
      <c r="D13" s="896" t="s">
        <v>2045</v>
      </c>
      <c r="I13" s="899"/>
      <c r="K13" s="900"/>
      <c r="T13" s="1900"/>
      <c r="U13" s="1900"/>
      <c r="V13" s="1900"/>
    </row>
    <row r="14" spans="1:57">
      <c r="A14" s="898"/>
      <c r="B14" s="898"/>
      <c r="E14" s="896" t="s">
        <v>2052</v>
      </c>
      <c r="I14" s="899"/>
      <c r="K14" s="900"/>
      <c r="N14" s="1906"/>
      <c r="O14" s="1906"/>
      <c r="P14" s="1906"/>
      <c r="Q14" s="1906"/>
      <c r="R14" s="1906"/>
      <c r="S14" s="1906"/>
      <c r="T14" s="1906"/>
      <c r="U14" s="1906"/>
      <c r="V14" s="1906"/>
      <c r="W14" s="1906"/>
      <c r="X14" s="1906"/>
      <c r="Y14" s="1906"/>
      <c r="Z14" s="1906"/>
      <c r="AA14" s="1906"/>
      <c r="AB14" s="1906"/>
      <c r="AC14" s="1906"/>
      <c r="AD14" s="1906"/>
      <c r="AE14" s="1906"/>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2376111</v>
      </c>
    </row>
    <row r="16" spans="1:57">
      <c r="A16" s="898"/>
      <c r="B16" s="898"/>
      <c r="BC16" s="896" t="s">
        <v>2056</v>
      </c>
      <c r="BE16" s="896">
        <f>'Basis &amp; Credits'!T11+'Basis &amp; Credits'!AD11</f>
        <v>29366284</v>
      </c>
    </row>
    <row r="17" spans="1:43">
      <c r="A17" s="898"/>
      <c r="B17" s="898"/>
      <c r="D17" s="896" t="s">
        <v>2047</v>
      </c>
      <c r="I17" s="899"/>
      <c r="K17" s="900"/>
      <c r="U17" s="1907" t="str">
        <f>IF(T13="yes",(BE15/BE16)," ")</f>
        <v xml:space="preserve"> </v>
      </c>
      <c r="V17" s="1907"/>
      <c r="W17" s="1907"/>
      <c r="X17" s="1907"/>
      <c r="Y17" s="1907"/>
    </row>
    <row r="18" spans="1:43">
      <c r="A18" s="898"/>
      <c r="B18" s="898"/>
      <c r="I18" s="899"/>
      <c r="K18" s="900"/>
    </row>
    <row r="19" spans="1:43">
      <c r="A19" s="1901" t="s">
        <v>2049</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728</v>
      </c>
      <c r="D22" s="901"/>
      <c r="E22" s="896" t="s">
        <v>2050</v>
      </c>
      <c r="H22" s="902"/>
      <c r="K22" s="896"/>
      <c r="Q22" s="1909">
        <f>ROUND('Basis &amp; Credits'!AB55,0)</f>
        <v>2376111</v>
      </c>
      <c r="R22" s="1909"/>
      <c r="S22" s="1909"/>
      <c r="T22" s="1909"/>
      <c r="U22" s="1909"/>
      <c r="V22" s="1909"/>
      <c r="W22" s="1909"/>
      <c r="X22" s="1909"/>
      <c r="Y22" s="916"/>
    </row>
    <row r="23" spans="1:43">
      <c r="C23" s="898"/>
      <c r="D23" s="898"/>
      <c r="G23" s="903"/>
      <c r="H23" s="903"/>
      <c r="I23" s="904"/>
      <c r="J23" s="904"/>
      <c r="K23" s="903"/>
      <c r="M23" s="897"/>
    </row>
    <row r="24" spans="1:43">
      <c r="C24" s="905"/>
      <c r="D24" s="905"/>
      <c r="E24" s="906"/>
      <c r="J24" s="904"/>
      <c r="K24" s="896"/>
      <c r="L24" s="1912" t="s">
        <v>2027</v>
      </c>
      <c r="M24" s="1912"/>
      <c r="N24" s="1912"/>
      <c r="P24" s="1897" t="s">
        <v>2028</v>
      </c>
      <c r="Q24" s="1897"/>
      <c r="R24" s="1897"/>
      <c r="S24" s="1897"/>
      <c r="T24" s="1897"/>
      <c r="V24" s="1897" t="s">
        <v>2029</v>
      </c>
      <c r="W24" s="1897"/>
      <c r="X24" s="1897"/>
    </row>
    <row r="25" spans="1:43">
      <c r="C25" s="901" t="s">
        <v>190</v>
      </c>
      <c r="D25" s="901"/>
      <c r="E25" s="896" t="s">
        <v>986</v>
      </c>
      <c r="J25" s="904"/>
      <c r="L25" s="1898" t="s">
        <v>2030</v>
      </c>
      <c r="M25" s="1898"/>
      <c r="N25" s="1898"/>
      <c r="P25" s="1898" t="s">
        <v>2031</v>
      </c>
      <c r="Q25" s="1898"/>
      <c r="R25" s="1898"/>
      <c r="S25" s="1898"/>
      <c r="T25" s="1898"/>
      <c r="V25" s="1898" t="s">
        <v>2030</v>
      </c>
      <c r="W25" s="1898"/>
      <c r="X25" s="1898"/>
    </row>
    <row r="26" spans="1:43">
      <c r="C26" s="898"/>
      <c r="D26" s="898"/>
      <c r="E26" s="907" t="s">
        <v>2032</v>
      </c>
      <c r="F26" s="907"/>
      <c r="J26" s="908"/>
      <c r="L26" s="1910">
        <f>Application!BN626</f>
        <v>34</v>
      </c>
      <c r="M26" s="1910"/>
      <c r="N26" s="1910"/>
      <c r="P26" s="1899">
        <v>0.9</v>
      </c>
      <c r="Q26" s="1899"/>
      <c r="R26" s="1899"/>
      <c r="S26" s="1899"/>
      <c r="T26" s="1899"/>
      <c r="V26" s="1899">
        <f>L26*P26</f>
        <v>30.6</v>
      </c>
      <c r="W26" s="1899"/>
      <c r="X26" s="1899"/>
    </row>
    <row r="27" spans="1:43">
      <c r="C27" s="898"/>
      <c r="D27" s="898"/>
      <c r="E27" s="896" t="s">
        <v>2033</v>
      </c>
      <c r="J27" s="908"/>
      <c r="L27" s="1890">
        <f>Application!BS626</f>
        <v>12</v>
      </c>
      <c r="M27" s="1890">
        <f>Application!BS634+Application!BS643+Application!CX657</f>
        <v>0</v>
      </c>
      <c r="N27" s="1890"/>
      <c r="P27" s="1895">
        <v>1</v>
      </c>
      <c r="Q27" s="1895"/>
      <c r="R27" s="1895"/>
      <c r="S27" s="1895"/>
      <c r="T27" s="1895"/>
      <c r="V27" s="1895">
        <f>L27*P27</f>
        <v>12</v>
      </c>
      <c r="W27" s="1895"/>
      <c r="X27" s="1895"/>
    </row>
    <row r="28" spans="1:43">
      <c r="C28" s="898"/>
      <c r="D28" s="898"/>
      <c r="E28" s="896" t="s">
        <v>2034</v>
      </c>
      <c r="J28" s="908"/>
      <c r="L28" s="1890">
        <f>Application!BX626</f>
        <v>0</v>
      </c>
      <c r="M28" s="1890">
        <f>Application!BX634+Application!BX643+Application!DC657</f>
        <v>0</v>
      </c>
      <c r="N28" s="1890"/>
      <c r="P28" s="1895">
        <v>1.25</v>
      </c>
      <c r="Q28" s="1895"/>
      <c r="R28" s="1895"/>
      <c r="S28" s="1895"/>
      <c r="T28" s="1895"/>
      <c r="V28" s="1895">
        <f>L28*P28</f>
        <v>0</v>
      </c>
      <c r="W28" s="1895"/>
      <c r="X28" s="1895"/>
    </row>
    <row r="29" spans="1:43">
      <c r="C29" s="898"/>
      <c r="D29" s="898"/>
      <c r="E29" s="896" t="s">
        <v>2035</v>
      </c>
      <c r="J29" s="908"/>
      <c r="L29" s="1890">
        <f>Application!CC626</f>
        <v>0</v>
      </c>
      <c r="M29" s="1890">
        <f>Application!CC634+Application!CC643+Application!DH657</f>
        <v>0</v>
      </c>
      <c r="N29" s="1890"/>
      <c r="P29" s="1895">
        <v>1.5</v>
      </c>
      <c r="Q29" s="1895"/>
      <c r="R29" s="1895"/>
      <c r="S29" s="1895"/>
      <c r="T29" s="1895"/>
      <c r="V29" s="1895">
        <f>L29*P29</f>
        <v>0</v>
      </c>
      <c r="W29" s="1895"/>
      <c r="X29" s="1895"/>
    </row>
    <row r="30" spans="1:43">
      <c r="C30" s="898"/>
      <c r="D30" s="898"/>
      <c r="E30" s="896" t="s">
        <v>2036</v>
      </c>
      <c r="J30" s="908"/>
      <c r="L30" s="1891">
        <f>Application!CH626+Application!CM626</f>
        <v>0</v>
      </c>
      <c r="M30" s="1891"/>
      <c r="N30" s="1891"/>
      <c r="P30" s="1895">
        <v>1.75</v>
      </c>
      <c r="Q30" s="1895"/>
      <c r="R30" s="1895">
        <f>1.75+0.25*0</f>
        <v>1.75</v>
      </c>
      <c r="S30" s="1895"/>
      <c r="T30" s="1895"/>
      <c r="V30" s="1896">
        <f>L30*P30</f>
        <v>0</v>
      </c>
      <c r="W30" s="1896"/>
      <c r="X30" s="1896"/>
    </row>
    <row r="31" spans="1:43">
      <c r="C31" s="898"/>
      <c r="D31" s="898"/>
      <c r="L31" s="1910">
        <f>SUM(L26:N30)</f>
        <v>46</v>
      </c>
      <c r="M31" s="1911"/>
      <c r="N31" s="1911"/>
      <c r="V31" s="1899">
        <f>SUM(V26:X30)</f>
        <v>42.6</v>
      </c>
      <c r="W31" s="1899"/>
      <c r="X31" s="1899"/>
    </row>
    <row r="32" spans="1:43">
      <c r="C32" s="898"/>
      <c r="D32" s="898"/>
      <c r="K32" s="909"/>
    </row>
    <row r="33" spans="1:27">
      <c r="C33" s="901" t="s">
        <v>191</v>
      </c>
      <c r="D33" s="901"/>
      <c r="E33" s="898" t="s">
        <v>2051</v>
      </c>
      <c r="H33" s="910"/>
      <c r="I33" s="911"/>
      <c r="J33" s="912"/>
      <c r="K33" s="909"/>
      <c r="M33" s="897"/>
      <c r="V33" s="1892">
        <f>IF(V31&gt;0,V31/Q22," ")</f>
        <v>1.7928455362565134E-5</v>
      </c>
      <c r="W33" s="1893"/>
      <c r="X33" s="1893"/>
      <c r="Y33" s="1893"/>
      <c r="Z33" s="1893"/>
      <c r="AA33" s="1894"/>
    </row>
    <row r="34" spans="1:27">
      <c r="K34" s="896"/>
      <c r="M34" s="897"/>
    </row>
    <row r="35" spans="1:27">
      <c r="E35" s="898" t="s">
        <v>2057</v>
      </c>
      <c r="F35" s="898"/>
      <c r="G35" s="898"/>
      <c r="H35" s="898"/>
      <c r="I35" s="898"/>
      <c r="J35" s="898"/>
      <c r="K35" s="898"/>
      <c r="L35" s="898"/>
      <c r="M35" s="918"/>
      <c r="N35" s="898"/>
      <c r="O35" s="898"/>
      <c r="P35" s="898"/>
      <c r="Q35" s="898"/>
      <c r="R35" s="898"/>
      <c r="V35" s="1903">
        <f>IF(V31&gt;0,1/V33," ")</f>
        <v>55777.253521126753</v>
      </c>
      <c r="W35" s="1904"/>
      <c r="X35" s="1904"/>
      <c r="Y35" s="1904"/>
      <c r="Z35" s="1904"/>
      <c r="AA35" s="190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Taylor Holland</cp:lastModifiedBy>
  <cp:lastPrinted>2024-02-06T02:20:35Z</cp:lastPrinted>
  <dcterms:created xsi:type="dcterms:W3CDTF">2007-12-27T18:26:28Z</dcterms:created>
  <dcterms:modified xsi:type="dcterms:W3CDTF">2024-02-13T18:51:48Z</dcterms:modified>
</cp:coreProperties>
</file>